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hidePivotFieldList="1" defaultThemeVersion="166925"/>
  <xr:revisionPtr revIDLastSave="0" documentId="13_ncr:1_{493A3E4B-B6E9-4CE8-BC06-55764DDFD561}" xr6:coauthVersionLast="47" xr6:coauthVersionMax="47" xr10:uidLastSave="{00000000-0000-0000-0000-000000000000}"/>
  <bookViews>
    <workbookView xWindow="-120" yWindow="-120" windowWidth="29040" windowHeight="15840" tabRatio="806" firstSheet="3" activeTab="7" xr2:uid="{D8801E50-2A93-410E-8468-4E53C7B06A3D}"/>
  </bookViews>
  <sheets>
    <sheet name="Legend" sheetId="72" r:id="rId1"/>
    <sheet name="LOG" sheetId="168" r:id="rId2"/>
    <sheet name="Commodities" sheetId="73" r:id="rId3"/>
    <sheet name="EnergyBalance" sheetId="149" r:id="rId4"/>
    <sheet name="Inputs_BY IIS" sheetId="139" r:id="rId5"/>
    <sheet name="IIS_BY Techs" sheetId="128" r:id="rId6"/>
    <sheet name="IIS_New Techs" sheetId="138" r:id="rId7"/>
    <sheet name="IIS_Prod" sheetId="140" r:id="rId8"/>
    <sheet name="IIS_Capacity" sheetId="148" r:id="rId9"/>
    <sheet name="IIS_Costs" sheetId="153" r:id="rId10"/>
    <sheet name="Inputs_BY INM" sheetId="144" r:id="rId11"/>
    <sheet name="Inputs_NT INM" sheetId="159" r:id="rId12"/>
    <sheet name="INM_BY Techs" sheetId="155" r:id="rId13"/>
    <sheet name="INM_New Techs" sheetId="156" r:id="rId14"/>
    <sheet name="Cem_GCP_Prod" sheetId="145" r:id="rId15"/>
    <sheet name="Cem_SFI_Cap" sheetId="157" r:id="rId16"/>
    <sheet name="Cem_GNR_Metrics" sheetId="147" r:id="rId17"/>
    <sheet name="Cem_NewTechs" sheetId="160" r:id="rId18"/>
    <sheet name="INF_Techs" sheetId="161" r:id="rId19"/>
    <sheet name="INF_Commodities" sheetId="162" r:id="rId20"/>
    <sheet name="INF_BY" sheetId="163" r:id="rId21"/>
    <sheet name="INF_NewTech" sheetId="164" r:id="rId22"/>
    <sheet name="INF_Constraints" sheetId="167" r:id="rId23"/>
    <sheet name="IIS_Constraints" sheetId="150" r:id="rId24"/>
    <sheet name="INF_Data" sheetId="165" r:id="rId25"/>
  </sheets>
  <definedNames>
    <definedName name="__123Graph_A" localSheetId="12" hidden="1">#REF!</definedName>
    <definedName name="__123Graph_A" localSheetId="13" hidden="1">#REF!</definedName>
    <definedName name="__123Graph_A" localSheetId="11" hidden="1">#REF!</definedName>
    <definedName name="__123Graph_A" localSheetId="1" hidden="1">#REF!</definedName>
    <definedName name="__123Graph_A" hidden="1">#REF!</definedName>
    <definedName name="__123Graph_B" localSheetId="12" hidden="1">#REF!</definedName>
    <definedName name="__123Graph_B" localSheetId="13" hidden="1">#REF!</definedName>
    <definedName name="__123Graph_B" localSheetId="11" hidden="1">#REF!</definedName>
    <definedName name="__123Graph_B" localSheetId="1" hidden="1">#REF!</definedName>
    <definedName name="__123Graph_B" hidden="1">#REF!</definedName>
    <definedName name="__123Graph_C" localSheetId="12" hidden="1">#REF!</definedName>
    <definedName name="__123Graph_C" localSheetId="13" hidden="1">#REF!</definedName>
    <definedName name="__123Graph_C" localSheetId="11" hidden="1">#REF!</definedName>
    <definedName name="__123Graph_C" localSheetId="1" hidden="1">#REF!</definedName>
    <definedName name="__123Graph_C" hidden="1">#REF!</definedName>
    <definedName name="__123Graph_D" localSheetId="12" hidden="1">#REF!</definedName>
    <definedName name="__123Graph_D" localSheetId="13" hidden="1">#REF!</definedName>
    <definedName name="__123Graph_D" localSheetId="1" hidden="1">#REF!</definedName>
    <definedName name="__123Graph_D" hidden="1">#REF!</definedName>
    <definedName name="__123Graph_E" localSheetId="12" hidden="1">#REF!</definedName>
    <definedName name="__123Graph_E" localSheetId="13" hidden="1">#REF!</definedName>
    <definedName name="__123Graph_E" localSheetId="1" hidden="1">#REF!</definedName>
    <definedName name="__123Graph_E" hidden="1">#REF!</definedName>
    <definedName name="__123Graph_X" localSheetId="12" hidden="1">#REF!</definedName>
    <definedName name="__123Graph_X" localSheetId="13" hidden="1">#REF!</definedName>
    <definedName name="__123Graph_X" localSheetId="1" hidden="1">#REF!</definedName>
    <definedName name="__123Graph_X" hidden="1">#REF!</definedName>
    <definedName name="_118__123Graph_CCHART_2" localSheetId="12" hidden="1">#REF!</definedName>
    <definedName name="_118__123Graph_CCHART_2" localSheetId="13" hidden="1">#REF!</definedName>
    <definedName name="_118__123Graph_CCHART_2" localSheetId="1" hidden="1">#REF!</definedName>
    <definedName name="_118__123Graph_CCHART_2" hidden="1">#REF!</definedName>
    <definedName name="_134__123Graph_XCHART_1" localSheetId="12" hidden="1">#REF!</definedName>
    <definedName name="_134__123Graph_XCHART_1" localSheetId="13" hidden="1">#REF!</definedName>
    <definedName name="_134__123Graph_XCHART_1" localSheetId="1" hidden="1">#REF!</definedName>
    <definedName name="_134__123Graph_XCHART_1" hidden="1">#REF!</definedName>
    <definedName name="_150__123Graph_XCHART_3" localSheetId="12" hidden="1">#REF!</definedName>
    <definedName name="_150__123Graph_XCHART_3" localSheetId="13" hidden="1">#REF!</definedName>
    <definedName name="_150__123Graph_XCHART_3" localSheetId="1" hidden="1">#REF!</definedName>
    <definedName name="_150__123Graph_XCHART_3" hidden="1">#REF!</definedName>
    <definedName name="_16__123Graph_ACHART_1" localSheetId="12" hidden="1">#REF!</definedName>
    <definedName name="_16__123Graph_ACHART_1" localSheetId="13" hidden="1">#REF!</definedName>
    <definedName name="_16__123Graph_ACHART_1" localSheetId="1" hidden="1">#REF!</definedName>
    <definedName name="_16__123Graph_ACHART_1" hidden="1">#REF!</definedName>
    <definedName name="_32__123Graph_ACHART_3" localSheetId="12" hidden="1">#REF!</definedName>
    <definedName name="_32__123Graph_ACHART_3" localSheetId="13" hidden="1">#REF!</definedName>
    <definedName name="_32__123Graph_ACHART_3" localSheetId="1" hidden="1">#REF!</definedName>
    <definedName name="_32__123Graph_ACHART_3" hidden="1">#REF!</definedName>
    <definedName name="_48__123Graph_BCHART_1" localSheetId="12" hidden="1">#REF!</definedName>
    <definedName name="_48__123Graph_BCHART_1" localSheetId="13" hidden="1">#REF!</definedName>
    <definedName name="_48__123Graph_BCHART_1" localSheetId="1" hidden="1">#REF!</definedName>
    <definedName name="_48__123Graph_BCHART_1" hidden="1">#REF!</definedName>
    <definedName name="_77__123Graph_BCHART_2" localSheetId="12" hidden="1">#REF!</definedName>
    <definedName name="_77__123Graph_BCHART_2" localSheetId="13" hidden="1">#REF!</definedName>
    <definedName name="_77__123Graph_BCHART_2" localSheetId="1" hidden="1">#REF!</definedName>
    <definedName name="_77__123Graph_BCHART_2" hidden="1">#REF!</definedName>
    <definedName name="_78__123Graph_BCHART_4" localSheetId="12" hidden="1">#REF!</definedName>
    <definedName name="_78__123Graph_BCHART_4" localSheetId="13" hidden="1">#REF!</definedName>
    <definedName name="_78__123Graph_BCHART_4" localSheetId="1" hidden="1">#REF!</definedName>
    <definedName name="_78__123Graph_BCHART_4" hidden="1">#REF!</definedName>
    <definedName name="_93__123Graph_CCHART_1" localSheetId="12" hidden="1">#REF!</definedName>
    <definedName name="_93__123Graph_CCHART_1" localSheetId="13" hidden="1">#REF!</definedName>
    <definedName name="_93__123Graph_CCHART_1" localSheetId="1" hidden="1">#REF!</definedName>
    <definedName name="_93__123Graph_CCHART_1" hidden="1">#REF!</definedName>
    <definedName name="_Order1" hidden="1">255</definedName>
    <definedName name="_Order2" hidden="1">255</definedName>
    <definedName name="_Ref94102448" localSheetId="9">IIS_Costs!$B$3</definedName>
    <definedName name="_Ref94103649" localSheetId="9">IIS_Costs!$B$14</definedName>
    <definedName name="aa"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12" hidden="1">#REF!</definedName>
    <definedName name="aaa" localSheetId="13" hidden="1">#REF!</definedName>
    <definedName name="aaa" localSheetId="11" hidden="1">#REF!</definedName>
    <definedName name="aaa" localSheetId="1" hidden="1">#REF!</definedName>
    <definedName name="aaa" hidden="1">#REF!</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45" l="1"/>
  <c r="E21" i="145"/>
  <c r="F21" i="145"/>
  <c r="G21" i="145"/>
  <c r="H21" i="145"/>
  <c r="I21" i="145"/>
  <c r="J21" i="145"/>
  <c r="K21" i="145"/>
  <c r="L21" i="145"/>
  <c r="M21" i="145"/>
  <c r="N21" i="145"/>
  <c r="O21" i="145"/>
  <c r="P21" i="145"/>
  <c r="Q21" i="145"/>
  <c r="R21" i="145"/>
  <c r="S21" i="145"/>
  <c r="T21" i="145"/>
  <c r="U21" i="145"/>
  <c r="V21" i="145"/>
  <c r="W21" i="145"/>
  <c r="X21" i="145"/>
  <c r="Y21" i="145"/>
  <c r="Z21" i="145"/>
  <c r="C21" i="145"/>
  <c r="W57" i="145"/>
  <c r="V57" i="145"/>
  <c r="U57" i="145"/>
  <c r="T57" i="145"/>
  <c r="S57" i="145"/>
  <c r="R57" i="145"/>
  <c r="Q57" i="145"/>
  <c r="P57" i="145"/>
  <c r="O57" i="145"/>
  <c r="N57" i="145"/>
  <c r="M57" i="145"/>
  <c r="L57" i="145"/>
  <c r="K57" i="145"/>
  <c r="J57" i="145"/>
  <c r="I57" i="145"/>
  <c r="H57" i="145"/>
  <c r="G57" i="145"/>
  <c r="F57" i="145"/>
  <c r="E57" i="145"/>
  <c r="D57" i="145"/>
  <c r="C57" i="145"/>
  <c r="P453" i="149"/>
  <c r="P454" i="149"/>
  <c r="P455" i="149"/>
  <c r="P456" i="149"/>
  <c r="P458" i="149"/>
  <c r="P459" i="149"/>
  <c r="P461" i="149"/>
  <c r="AC461" i="149"/>
  <c r="P462" i="149"/>
  <c r="P463" i="149"/>
  <c r="P464" i="149"/>
  <c r="G465" i="149"/>
  <c r="H465" i="149"/>
  <c r="I465" i="149"/>
  <c r="J465" i="149"/>
  <c r="K465" i="149"/>
  <c r="L465" i="149"/>
  <c r="M465" i="149"/>
  <c r="N465" i="149"/>
  <c r="O465" i="149"/>
  <c r="P465" i="149"/>
  <c r="Q465" i="149"/>
  <c r="R465" i="149"/>
  <c r="S465" i="149"/>
  <c r="T465" i="149"/>
  <c r="U465" i="149"/>
  <c r="V465" i="149"/>
  <c r="W465" i="149"/>
  <c r="X465" i="149"/>
  <c r="Y465" i="149"/>
  <c r="Z465" i="149"/>
  <c r="AA465" i="149"/>
  <c r="AB465" i="149"/>
  <c r="AC465" i="149"/>
  <c r="AD465" i="149"/>
  <c r="AE465" i="149"/>
  <c r="AF465" i="149"/>
  <c r="P466" i="149"/>
  <c r="P467" i="149"/>
  <c r="F465" i="149"/>
  <c r="E465" i="149"/>
  <c r="Z103" i="145" l="1"/>
  <c r="D68" i="145" l="1"/>
  <c r="D103" i="145" s="1"/>
  <c r="E68" i="145"/>
  <c r="E103" i="145" s="1"/>
  <c r="F68" i="145"/>
  <c r="F103" i="145" s="1"/>
  <c r="G68" i="145"/>
  <c r="G103" i="145" s="1"/>
  <c r="H68" i="145"/>
  <c r="H103" i="145" s="1"/>
  <c r="I68" i="145"/>
  <c r="I103" i="145" s="1"/>
  <c r="J68" i="145"/>
  <c r="J103" i="145" s="1"/>
  <c r="K68" i="145"/>
  <c r="K103" i="145" s="1"/>
  <c r="L68" i="145"/>
  <c r="L103" i="145" s="1"/>
  <c r="M68" i="145"/>
  <c r="M103" i="145" s="1"/>
  <c r="N68" i="145"/>
  <c r="N103" i="145" s="1"/>
  <c r="O68" i="145"/>
  <c r="O103" i="145" s="1"/>
  <c r="P68" i="145"/>
  <c r="P103" i="145" s="1"/>
  <c r="Q68" i="145"/>
  <c r="Q103" i="145" s="1"/>
  <c r="R68" i="145"/>
  <c r="R103" i="145" s="1"/>
  <c r="S68" i="145"/>
  <c r="S103" i="145" s="1"/>
  <c r="T68" i="145"/>
  <c r="T103" i="145" s="1"/>
  <c r="U68" i="145"/>
  <c r="U103" i="145" s="1"/>
  <c r="V68" i="145"/>
  <c r="V103" i="145" s="1"/>
  <c r="W68" i="145"/>
  <c r="W103" i="145" s="1"/>
  <c r="X68" i="145"/>
  <c r="X103" i="145" s="1"/>
  <c r="Y68" i="145"/>
  <c r="Y103" i="145" s="1"/>
  <c r="C68" i="145"/>
  <c r="C103" i="145" s="1"/>
  <c r="Z36" i="145"/>
  <c r="Y36" i="145"/>
  <c r="X36" i="145"/>
  <c r="W36" i="145"/>
  <c r="V36" i="145"/>
  <c r="U36" i="145"/>
  <c r="T36" i="145"/>
  <c r="S36" i="145"/>
  <c r="R36" i="145"/>
  <c r="Q36" i="145"/>
  <c r="P36" i="145"/>
  <c r="O36" i="145"/>
  <c r="N36" i="145"/>
  <c r="M36" i="145"/>
  <c r="L36" i="145"/>
  <c r="K36" i="145"/>
  <c r="J36" i="145"/>
  <c r="I36" i="145"/>
  <c r="H36" i="145"/>
  <c r="G36" i="145"/>
  <c r="F36" i="145"/>
  <c r="E36" i="145"/>
  <c r="D36" i="145"/>
  <c r="C36" i="145"/>
  <c r="F444" i="165" a="1"/>
  <c r="F444" i="165" s="1"/>
  <c r="W14" i="140"/>
  <c r="X14" i="140"/>
  <c r="Y14" i="140"/>
  <c r="S28" i="163"/>
  <c r="AK107" i="163"/>
  <c r="Y444" i="165" a="1"/>
  <c r="Y444" i="165"/>
  <c r="Z444" i="165" a="1"/>
  <c r="Z444" i="165" s="1"/>
  <c r="AA444" i="165" a="1"/>
  <c r="AA444" i="165" s="1"/>
  <c r="AB444" i="165" a="1"/>
  <c r="AB444" i="165" s="1"/>
  <c r="AC444" i="165" a="1"/>
  <c r="AC444" i="165" s="1"/>
  <c r="AD444" i="165" a="1"/>
  <c r="AD444" i="165" s="1"/>
  <c r="AE444" i="165" a="1"/>
  <c r="AE444" i="165" s="1"/>
  <c r="AF444" i="165" a="1"/>
  <c r="AF444" i="165"/>
  <c r="AG444" i="165" a="1"/>
  <c r="AG444" i="165" s="1"/>
  <c r="W444" i="165" a="1"/>
  <c r="W444" i="165" s="1"/>
  <c r="X444" i="165" a="1"/>
  <c r="X444" i="165" s="1"/>
  <c r="N444" i="165" a="1"/>
  <c r="N444" i="165" s="1"/>
  <c r="G444" i="165" a="1"/>
  <c r="G444" i="165" s="1"/>
  <c r="H444" i="165" a="1"/>
  <c r="H444" i="165" s="1"/>
  <c r="I444" i="165" a="1"/>
  <c r="I444" i="165" s="1"/>
  <c r="J444" i="165" a="1"/>
  <c r="J444" i="165" s="1"/>
  <c r="K444" i="165" a="1"/>
  <c r="K444" i="165" s="1"/>
  <c r="L444" i="165" a="1"/>
  <c r="L444" i="165" s="1"/>
  <c r="M444" i="165" a="1"/>
  <c r="M444" i="165" s="1"/>
  <c r="O444" i="165" a="1"/>
  <c r="O444" i="165" s="1"/>
  <c r="P444" i="165" a="1"/>
  <c r="P444" i="165" s="1"/>
  <c r="Q444" i="165" a="1"/>
  <c r="Q444" i="165" s="1"/>
  <c r="R444" i="165" a="1"/>
  <c r="R444" i="165" s="1"/>
  <c r="S444" i="165" a="1"/>
  <c r="S444" i="165" s="1"/>
  <c r="T444" i="165" a="1"/>
  <c r="T444" i="165" s="1"/>
  <c r="U444" i="165" a="1"/>
  <c r="U444" i="165" s="1"/>
  <c r="V444" i="165" a="1"/>
  <c r="V444" i="165" s="1"/>
  <c r="H229" i="165"/>
  <c r="G229" i="165"/>
  <c r="I229" i="165"/>
  <c r="J229" i="165"/>
  <c r="K229" i="165"/>
  <c r="L229" i="165"/>
  <c r="M229" i="165"/>
  <c r="N229" i="165"/>
  <c r="O229" i="165"/>
  <c r="P229" i="165"/>
  <c r="Q229" i="165"/>
  <c r="R229" i="165"/>
  <c r="S229" i="165"/>
  <c r="T229" i="165"/>
  <c r="U229" i="165"/>
  <c r="V229" i="165"/>
  <c r="W229" i="165"/>
  <c r="X229" i="165"/>
  <c r="Y229" i="165"/>
  <c r="Z229" i="165"/>
  <c r="AA229" i="165"/>
  <c r="AB229" i="165"/>
  <c r="AC229" i="165"/>
  <c r="AD229" i="165"/>
  <c r="AE229" i="165"/>
  <c r="AF229" i="165"/>
  <c r="AG229" i="165"/>
  <c r="AH229" i="165"/>
  <c r="AH130" i="144"/>
  <c r="AH170" i="165" l="1"/>
  <c r="AG170" i="165"/>
  <c r="AF170" i="165"/>
  <c r="AE170" i="165"/>
  <c r="AD170" i="165"/>
  <c r="AC170" i="165"/>
  <c r="AB170" i="165"/>
  <c r="AA170" i="165"/>
  <c r="Z170" i="165"/>
  <c r="Y170" i="165"/>
  <c r="X170" i="165"/>
  <c r="W170" i="165"/>
  <c r="V170" i="165"/>
  <c r="U170" i="165"/>
  <c r="T170" i="165"/>
  <c r="S170" i="165"/>
  <c r="R170" i="165"/>
  <c r="Q170" i="165"/>
  <c r="P170" i="165"/>
  <c r="O170" i="165"/>
  <c r="N170" i="165"/>
  <c r="M170" i="165"/>
  <c r="L170" i="165"/>
  <c r="K170" i="165"/>
  <c r="J170" i="165"/>
  <c r="I170" i="165"/>
  <c r="H170" i="165"/>
  <c r="G170" i="165"/>
  <c r="AI232" i="165"/>
  <c r="AI229" i="165" s="1"/>
  <c r="C28" i="73"/>
  <c r="D28" i="73"/>
  <c r="F189" i="139" l="1"/>
  <c r="G189" i="139"/>
  <c r="H189" i="139"/>
  <c r="K189" i="139"/>
  <c r="L189" i="139"/>
  <c r="M189" i="139"/>
  <c r="N189" i="139"/>
  <c r="V189" i="139"/>
  <c r="W189" i="139"/>
  <c r="AC189" i="139"/>
  <c r="E189" i="139"/>
  <c r="AK63" i="138"/>
  <c r="K64" i="155" l="1"/>
  <c r="L64" i="155"/>
  <c r="M64" i="155"/>
  <c r="N64" i="155"/>
  <c r="O64" i="155"/>
  <c r="P64" i="155"/>
  <c r="Q64" i="155"/>
  <c r="R64" i="155"/>
  <c r="S64" i="155"/>
  <c r="U64" i="155"/>
  <c r="V64" i="155"/>
  <c r="W64" i="155"/>
  <c r="X64" i="155"/>
  <c r="Y64" i="155"/>
  <c r="Z64" i="155"/>
  <c r="AA64" i="155"/>
  <c r="AB64" i="155"/>
  <c r="AC64" i="155"/>
  <c r="AD64" i="155"/>
  <c r="AE64" i="155"/>
  <c r="AF64" i="155"/>
  <c r="AG64" i="155"/>
  <c r="AH64" i="155"/>
  <c r="AI64" i="155"/>
  <c r="AJ64" i="155"/>
  <c r="AK64" i="155"/>
  <c r="J64" i="155"/>
  <c r="K47" i="155"/>
  <c r="L47" i="155"/>
  <c r="M47" i="155"/>
  <c r="N47" i="155"/>
  <c r="O47" i="155"/>
  <c r="P47" i="155"/>
  <c r="Q47" i="155"/>
  <c r="R47" i="155"/>
  <c r="S47" i="155"/>
  <c r="U47" i="155"/>
  <c r="V47" i="155"/>
  <c r="W47" i="155"/>
  <c r="X47" i="155"/>
  <c r="Y47" i="155"/>
  <c r="Z47" i="155"/>
  <c r="AA47" i="155"/>
  <c r="AB47" i="155"/>
  <c r="AC47" i="155"/>
  <c r="AD47" i="155"/>
  <c r="AE47" i="155"/>
  <c r="AF47" i="155"/>
  <c r="AG47" i="155"/>
  <c r="AH47" i="155"/>
  <c r="AI47" i="155"/>
  <c r="AJ47" i="155"/>
  <c r="AK47" i="155"/>
  <c r="J47" i="155"/>
  <c r="AL45" i="138"/>
  <c r="AL34" i="138"/>
  <c r="M34" i="138" s="1"/>
  <c r="I45" i="138" l="1"/>
  <c r="AL70" i="138"/>
  <c r="AL82" i="138" s="1"/>
  <c r="Q34" i="138"/>
  <c r="AC45" i="138"/>
  <c r="U45" i="138"/>
  <c r="M45" i="138"/>
  <c r="J34" i="138"/>
  <c r="I34" i="138"/>
  <c r="AH34" i="138"/>
  <c r="AD45" i="138"/>
  <c r="AG34" i="138"/>
  <c r="Z34" i="138"/>
  <c r="V45" i="138"/>
  <c r="Y34" i="138"/>
  <c r="R34" i="138"/>
  <c r="N45" i="138"/>
  <c r="H34" i="138"/>
  <c r="AB34" i="138"/>
  <c r="T34" i="138"/>
  <c r="L34" i="138"/>
  <c r="AF45" i="138"/>
  <c r="X45" i="138"/>
  <c r="P45" i="138"/>
  <c r="AI34" i="138"/>
  <c r="AA34" i="138"/>
  <c r="S34" i="138"/>
  <c r="K34" i="138"/>
  <c r="AE45" i="138"/>
  <c r="W45" i="138"/>
  <c r="O45" i="138"/>
  <c r="AF34" i="138"/>
  <c r="X34" i="138"/>
  <c r="P34" i="138"/>
  <c r="H45" i="138"/>
  <c r="AB45" i="138"/>
  <c r="T45" i="138"/>
  <c r="L45" i="138"/>
  <c r="AE34" i="138"/>
  <c r="W34" i="138"/>
  <c r="O34" i="138"/>
  <c r="AI45" i="138"/>
  <c r="AA45" i="138"/>
  <c r="S45" i="138"/>
  <c r="K45" i="138"/>
  <c r="AD34" i="138"/>
  <c r="V34" i="138"/>
  <c r="N34" i="138"/>
  <c r="AH45" i="138"/>
  <c r="Z45" i="138"/>
  <c r="R45" i="138"/>
  <c r="J45" i="138"/>
  <c r="AC34" i="138"/>
  <c r="U34" i="138"/>
  <c r="AG45" i="138"/>
  <c r="Y45" i="138"/>
  <c r="Q45" i="138"/>
  <c r="P82" i="139"/>
  <c r="Q82" i="139"/>
  <c r="R82" i="139"/>
  <c r="S82" i="139"/>
  <c r="T82" i="139"/>
  <c r="U82" i="139"/>
  <c r="V82" i="139"/>
  <c r="W82" i="139"/>
  <c r="X82" i="139"/>
  <c r="Y82" i="139"/>
  <c r="Z82" i="139"/>
  <c r="E10" i="128" l="1"/>
  <c r="E11" i="128"/>
  <c r="E12" i="128"/>
  <c r="E9" i="128"/>
  <c r="F82" i="139"/>
  <c r="AJ223" i="149" l="1"/>
  <c r="I51" i="167" l="1"/>
  <c r="I52" i="167" s="1"/>
  <c r="I53" i="167" s="1"/>
  <c r="I54" i="167" s="1"/>
  <c r="I55" i="167" s="1"/>
  <c r="I56" i="167" s="1"/>
  <c r="I57" i="167" s="1"/>
  <c r="I58" i="167" s="1"/>
  <c r="I59" i="167" s="1"/>
  <c r="I60" i="167" s="1"/>
  <c r="J51" i="167"/>
  <c r="J52" i="167" s="1"/>
  <c r="J53" i="167" s="1"/>
  <c r="J54" i="167" s="1"/>
  <c r="J55" i="167" s="1"/>
  <c r="J56" i="167" s="1"/>
  <c r="J57" i="167" s="1"/>
  <c r="J58" i="167" s="1"/>
  <c r="J59" i="167" s="1"/>
  <c r="J60" i="167" s="1"/>
  <c r="K51" i="167"/>
  <c r="K52" i="167" s="1"/>
  <c r="K53" i="167" s="1"/>
  <c r="K54" i="167" s="1"/>
  <c r="K55" i="167" s="1"/>
  <c r="K56" i="167" s="1"/>
  <c r="K57" i="167" s="1"/>
  <c r="K58" i="167" s="1"/>
  <c r="K59" i="167" s="1"/>
  <c r="K60" i="167" s="1"/>
  <c r="L51" i="167"/>
  <c r="L52" i="167" s="1"/>
  <c r="L53" i="167" s="1"/>
  <c r="L54" i="167" s="1"/>
  <c r="L55" i="167" s="1"/>
  <c r="L56" i="167" s="1"/>
  <c r="L57" i="167" s="1"/>
  <c r="L58" i="167" s="1"/>
  <c r="L59" i="167" s="1"/>
  <c r="L60" i="167" s="1"/>
  <c r="M51" i="167"/>
  <c r="M52" i="167" s="1"/>
  <c r="M53" i="167" s="1"/>
  <c r="M54" i="167" s="1"/>
  <c r="M55" i="167" s="1"/>
  <c r="M56" i="167" s="1"/>
  <c r="M57" i="167" s="1"/>
  <c r="M58" i="167" s="1"/>
  <c r="M59" i="167" s="1"/>
  <c r="M60" i="167" s="1"/>
  <c r="N51" i="167"/>
  <c r="N52" i="167" s="1"/>
  <c r="N53" i="167" s="1"/>
  <c r="N54" i="167" s="1"/>
  <c r="N55" i="167" s="1"/>
  <c r="N56" i="167" s="1"/>
  <c r="N57" i="167" s="1"/>
  <c r="N58" i="167" s="1"/>
  <c r="N59" i="167" s="1"/>
  <c r="N60" i="167" s="1"/>
  <c r="O51" i="167"/>
  <c r="O52" i="167" s="1"/>
  <c r="O53" i="167" s="1"/>
  <c r="O54" i="167" s="1"/>
  <c r="O55" i="167" s="1"/>
  <c r="O56" i="167" s="1"/>
  <c r="O57" i="167" s="1"/>
  <c r="O58" i="167" s="1"/>
  <c r="O59" i="167" s="1"/>
  <c r="O60" i="167" s="1"/>
  <c r="P51" i="167"/>
  <c r="P52" i="167" s="1"/>
  <c r="P53" i="167" s="1"/>
  <c r="P54" i="167" s="1"/>
  <c r="P55" i="167" s="1"/>
  <c r="P56" i="167" s="1"/>
  <c r="P57" i="167" s="1"/>
  <c r="P58" i="167" s="1"/>
  <c r="P59" i="167" s="1"/>
  <c r="P60" i="167" s="1"/>
  <c r="Q51" i="167"/>
  <c r="Q52" i="167" s="1"/>
  <c r="Q53" i="167" s="1"/>
  <c r="Q54" i="167" s="1"/>
  <c r="Q55" i="167" s="1"/>
  <c r="Q56" i="167" s="1"/>
  <c r="Q57" i="167" s="1"/>
  <c r="Q58" i="167" s="1"/>
  <c r="Q59" i="167" s="1"/>
  <c r="Q60" i="167" s="1"/>
  <c r="R51" i="167"/>
  <c r="R52" i="167" s="1"/>
  <c r="R53" i="167" s="1"/>
  <c r="R54" i="167" s="1"/>
  <c r="R55" i="167" s="1"/>
  <c r="R56" i="167" s="1"/>
  <c r="R57" i="167" s="1"/>
  <c r="R58" i="167" s="1"/>
  <c r="R59" i="167" s="1"/>
  <c r="R60" i="167" s="1"/>
  <c r="S51" i="167"/>
  <c r="S52" i="167" s="1"/>
  <c r="S53" i="167" s="1"/>
  <c r="S54" i="167" s="1"/>
  <c r="S55" i="167" s="1"/>
  <c r="S56" i="167" s="1"/>
  <c r="S57" i="167" s="1"/>
  <c r="S58" i="167" s="1"/>
  <c r="S59" i="167" s="1"/>
  <c r="S60" i="167" s="1"/>
  <c r="T51" i="167"/>
  <c r="T52" i="167" s="1"/>
  <c r="T53" i="167" s="1"/>
  <c r="T54" i="167" s="1"/>
  <c r="T55" i="167" s="1"/>
  <c r="T56" i="167" s="1"/>
  <c r="T57" i="167" s="1"/>
  <c r="T58" i="167" s="1"/>
  <c r="T59" i="167" s="1"/>
  <c r="T60" i="167" s="1"/>
  <c r="U51" i="167"/>
  <c r="U52" i="167" s="1"/>
  <c r="U53" i="167" s="1"/>
  <c r="U54" i="167" s="1"/>
  <c r="U55" i="167" s="1"/>
  <c r="U56" i="167" s="1"/>
  <c r="U57" i="167" s="1"/>
  <c r="U58" i="167" s="1"/>
  <c r="U59" i="167" s="1"/>
  <c r="U60" i="167" s="1"/>
  <c r="V51" i="167"/>
  <c r="V52" i="167" s="1"/>
  <c r="V53" i="167" s="1"/>
  <c r="V54" i="167" s="1"/>
  <c r="V55" i="167" s="1"/>
  <c r="V56" i="167" s="1"/>
  <c r="V57" i="167" s="1"/>
  <c r="V58" i="167" s="1"/>
  <c r="V59" i="167" s="1"/>
  <c r="V60" i="167" s="1"/>
  <c r="W51" i="167"/>
  <c r="W52" i="167" s="1"/>
  <c r="W53" i="167" s="1"/>
  <c r="W54" i="167" s="1"/>
  <c r="W55" i="167" s="1"/>
  <c r="W56" i="167" s="1"/>
  <c r="W57" i="167" s="1"/>
  <c r="W58" i="167" s="1"/>
  <c r="W59" i="167" s="1"/>
  <c r="W60" i="167" s="1"/>
  <c r="X51" i="167"/>
  <c r="X52" i="167" s="1"/>
  <c r="X53" i="167" s="1"/>
  <c r="X54" i="167" s="1"/>
  <c r="X55" i="167" s="1"/>
  <c r="X56" i="167" s="1"/>
  <c r="X57" i="167" s="1"/>
  <c r="X58" i="167" s="1"/>
  <c r="X59" i="167" s="1"/>
  <c r="X60" i="167" s="1"/>
  <c r="Y51" i="167"/>
  <c r="Y52" i="167" s="1"/>
  <c r="Y53" i="167" s="1"/>
  <c r="Y54" i="167" s="1"/>
  <c r="Y55" i="167" s="1"/>
  <c r="Y56" i="167" s="1"/>
  <c r="Y57" i="167" s="1"/>
  <c r="Y58" i="167" s="1"/>
  <c r="Y59" i="167" s="1"/>
  <c r="Y60" i="167" s="1"/>
  <c r="Z51" i="167"/>
  <c r="Z52" i="167" s="1"/>
  <c r="Z53" i="167" s="1"/>
  <c r="Z54" i="167" s="1"/>
  <c r="Z55" i="167" s="1"/>
  <c r="Z56" i="167" s="1"/>
  <c r="Z57" i="167" s="1"/>
  <c r="Z58" i="167" s="1"/>
  <c r="Z59" i="167" s="1"/>
  <c r="Z60" i="167" s="1"/>
  <c r="AA51" i="167"/>
  <c r="AA52" i="167" s="1"/>
  <c r="AA53" i="167" s="1"/>
  <c r="AA54" i="167" s="1"/>
  <c r="AA55" i="167" s="1"/>
  <c r="AA56" i="167" s="1"/>
  <c r="AA57" i="167" s="1"/>
  <c r="AA58" i="167" s="1"/>
  <c r="AA59" i="167" s="1"/>
  <c r="AA60" i="167" s="1"/>
  <c r="AB51" i="167"/>
  <c r="AB52" i="167" s="1"/>
  <c r="AB53" i="167" s="1"/>
  <c r="AB54" i="167" s="1"/>
  <c r="AB55" i="167" s="1"/>
  <c r="AB56" i="167" s="1"/>
  <c r="AB57" i="167" s="1"/>
  <c r="AB58" i="167" s="1"/>
  <c r="AB59" i="167" s="1"/>
  <c r="AB60" i="167" s="1"/>
  <c r="AC51" i="167"/>
  <c r="AC52" i="167" s="1"/>
  <c r="AC53" i="167" s="1"/>
  <c r="AC54" i="167" s="1"/>
  <c r="AC55" i="167" s="1"/>
  <c r="AC56" i="167" s="1"/>
  <c r="AC57" i="167" s="1"/>
  <c r="AC58" i="167" s="1"/>
  <c r="AC59" i="167" s="1"/>
  <c r="AC60" i="167" s="1"/>
  <c r="AD51" i="167"/>
  <c r="AD52" i="167" s="1"/>
  <c r="AD53" i="167" s="1"/>
  <c r="AD54" i="167" s="1"/>
  <c r="AD55" i="167" s="1"/>
  <c r="AD56" i="167" s="1"/>
  <c r="AD57" i="167" s="1"/>
  <c r="AD58" i="167" s="1"/>
  <c r="AD59" i="167" s="1"/>
  <c r="AD60" i="167" s="1"/>
  <c r="AE51" i="167"/>
  <c r="AE52" i="167" s="1"/>
  <c r="AE53" i="167" s="1"/>
  <c r="AE54" i="167" s="1"/>
  <c r="AE55" i="167" s="1"/>
  <c r="AE56" i="167" s="1"/>
  <c r="AE57" i="167" s="1"/>
  <c r="AE58" i="167" s="1"/>
  <c r="AE59" i="167" s="1"/>
  <c r="AE60" i="167" s="1"/>
  <c r="AF51" i="167"/>
  <c r="AF52" i="167" s="1"/>
  <c r="AF53" i="167" s="1"/>
  <c r="AF54" i="167" s="1"/>
  <c r="AF55" i="167" s="1"/>
  <c r="AF56" i="167" s="1"/>
  <c r="AF57" i="167" s="1"/>
  <c r="AF58" i="167" s="1"/>
  <c r="AF59" i="167" s="1"/>
  <c r="AF60" i="167" s="1"/>
  <c r="AG51" i="167"/>
  <c r="AG52" i="167" s="1"/>
  <c r="AG53" i="167" s="1"/>
  <c r="AG54" i="167" s="1"/>
  <c r="AG55" i="167" s="1"/>
  <c r="AG56" i="167" s="1"/>
  <c r="AG57" i="167" s="1"/>
  <c r="AG58" i="167" s="1"/>
  <c r="AG59" i="167" s="1"/>
  <c r="AG60" i="167" s="1"/>
  <c r="AH51" i="167"/>
  <c r="AH52" i="167" s="1"/>
  <c r="AH53" i="167" s="1"/>
  <c r="AH54" i="167" s="1"/>
  <c r="AH55" i="167" s="1"/>
  <c r="AH56" i="167" s="1"/>
  <c r="AH57" i="167" s="1"/>
  <c r="AH58" i="167" s="1"/>
  <c r="AH59" i="167" s="1"/>
  <c r="AH60" i="167" s="1"/>
  <c r="AI51" i="167"/>
  <c r="AI52" i="167" s="1"/>
  <c r="AI53" i="167" s="1"/>
  <c r="AI54" i="167" s="1"/>
  <c r="AI55" i="167" s="1"/>
  <c r="AI56" i="167" s="1"/>
  <c r="AI57" i="167" s="1"/>
  <c r="AI58" i="167" s="1"/>
  <c r="AI59" i="167" s="1"/>
  <c r="AI60" i="167" s="1"/>
  <c r="H51" i="167"/>
  <c r="H52" i="167" s="1"/>
  <c r="H53" i="167" s="1"/>
  <c r="H54" i="167" s="1"/>
  <c r="H55" i="167" s="1"/>
  <c r="H56" i="167" s="1"/>
  <c r="H57" i="167" s="1"/>
  <c r="H58" i="167" s="1"/>
  <c r="H59" i="167" s="1"/>
  <c r="H60" i="167" s="1"/>
  <c r="C52" i="167"/>
  <c r="C53" i="167"/>
  <c r="C54" i="167"/>
  <c r="C55" i="167"/>
  <c r="C56" i="167"/>
  <c r="C57" i="167"/>
  <c r="C58" i="167"/>
  <c r="C59" i="167"/>
  <c r="C60" i="167"/>
  <c r="C51" i="167"/>
  <c r="AC89" i="144"/>
  <c r="D411" i="149"/>
  <c r="D412" i="149"/>
  <c r="D413" i="149"/>
  <c r="D414" i="149"/>
  <c r="D415" i="149"/>
  <c r="D416" i="149"/>
  <c r="D417" i="149"/>
  <c r="D418" i="149"/>
  <c r="D419" i="149"/>
  <c r="D420" i="149"/>
  <c r="D421" i="149"/>
  <c r="D422" i="149"/>
  <c r="D423" i="149"/>
  <c r="D424" i="149"/>
  <c r="D425" i="149"/>
  <c r="AF446" i="149"/>
  <c r="AE446" i="149"/>
  <c r="AD446" i="149"/>
  <c r="AC446" i="149"/>
  <c r="AB446" i="149"/>
  <c r="AA446" i="149"/>
  <c r="Z446" i="149"/>
  <c r="Y446" i="149"/>
  <c r="Y447" i="149" s="1"/>
  <c r="X446" i="149"/>
  <c r="W446" i="149"/>
  <c r="V446" i="149"/>
  <c r="U446" i="149"/>
  <c r="T446" i="149"/>
  <c r="S446" i="149"/>
  <c r="R446" i="149"/>
  <c r="Q446" i="149"/>
  <c r="P446" i="149"/>
  <c r="P447" i="149" s="1"/>
  <c r="O446" i="149"/>
  <c r="N446" i="149"/>
  <c r="M446" i="149"/>
  <c r="L446" i="149"/>
  <c r="K446" i="149"/>
  <c r="J446" i="149"/>
  <c r="I446" i="149"/>
  <c r="H446" i="149"/>
  <c r="G446" i="149"/>
  <c r="F446" i="149"/>
  <c r="F447" i="149" s="1"/>
  <c r="E446" i="149"/>
  <c r="E447" i="149" s="1"/>
  <c r="AF82" i="139"/>
  <c r="AN42" i="128" l="1"/>
  <c r="H31" i="167" l="1"/>
  <c r="I31" i="167"/>
  <c r="J31" i="167"/>
  <c r="K31" i="167"/>
  <c r="L31" i="167"/>
  <c r="M31" i="167"/>
  <c r="N31" i="167"/>
  <c r="O31" i="167"/>
  <c r="P31" i="167"/>
  <c r="Q31" i="167"/>
  <c r="R31" i="167"/>
  <c r="S31" i="167"/>
  <c r="T31" i="167"/>
  <c r="U31" i="167"/>
  <c r="V31" i="167"/>
  <c r="W31" i="167"/>
  <c r="X31" i="167"/>
  <c r="Y31" i="167"/>
  <c r="Z31" i="167"/>
  <c r="AA31" i="167"/>
  <c r="AB31" i="167"/>
  <c r="AC31" i="167"/>
  <c r="AD31" i="167"/>
  <c r="AE31" i="167"/>
  <c r="AF31" i="167"/>
  <c r="AG31" i="167"/>
  <c r="AH31" i="167"/>
  <c r="G31" i="167"/>
  <c r="I124" i="163"/>
  <c r="H7" i="167" s="1"/>
  <c r="J124" i="163"/>
  <c r="I7" i="167" s="1"/>
  <c r="K124" i="163"/>
  <c r="J7" i="167" s="1"/>
  <c r="L124" i="163"/>
  <c r="K7" i="167" s="1"/>
  <c r="M124" i="163"/>
  <c r="L7" i="167" s="1"/>
  <c r="N124" i="163"/>
  <c r="M7" i="167" s="1"/>
  <c r="O124" i="163"/>
  <c r="N7" i="167" s="1"/>
  <c r="P124" i="163"/>
  <c r="O7" i="167" s="1"/>
  <c r="Q124" i="163"/>
  <c r="P7" i="167" s="1"/>
  <c r="R124" i="163"/>
  <c r="Q7" i="167" s="1"/>
  <c r="S124" i="163"/>
  <c r="R7" i="167" s="1"/>
  <c r="T124" i="163"/>
  <c r="S7" i="167" s="1"/>
  <c r="U124" i="163"/>
  <c r="T7" i="167" s="1"/>
  <c r="V124" i="163"/>
  <c r="U7" i="167" s="1"/>
  <c r="W124" i="163"/>
  <c r="V7" i="167" s="1"/>
  <c r="X124" i="163"/>
  <c r="W7" i="167" s="1"/>
  <c r="Y124" i="163"/>
  <c r="X7" i="167" s="1"/>
  <c r="Z124" i="163"/>
  <c r="Y7" i="167" s="1"/>
  <c r="AA124" i="163"/>
  <c r="Z7" i="167" s="1"/>
  <c r="AB124" i="163"/>
  <c r="AA7" i="167" s="1"/>
  <c r="AC124" i="163"/>
  <c r="AB7" i="167" s="1"/>
  <c r="AD124" i="163"/>
  <c r="AC7" i="167" s="1"/>
  <c r="AE124" i="163"/>
  <c r="AD7" i="167" s="1"/>
  <c r="AF124" i="163"/>
  <c r="AE7" i="167" s="1"/>
  <c r="AG124" i="163"/>
  <c r="AF7" i="167" s="1"/>
  <c r="AH124" i="163"/>
  <c r="AG7" i="167" s="1"/>
  <c r="AI124" i="163"/>
  <c r="AH7" i="167" s="1"/>
  <c r="H124" i="163"/>
  <c r="G7" i="167" s="1"/>
  <c r="D7" i="73"/>
  <c r="D8" i="73"/>
  <c r="D9" i="73"/>
  <c r="D10" i="73"/>
  <c r="D11" i="73"/>
  <c r="D12" i="73"/>
  <c r="D13" i="73"/>
  <c r="D14" i="73"/>
  <c r="D15" i="73"/>
  <c r="D16" i="73"/>
  <c r="D17" i="73"/>
  <c r="D18" i="73"/>
  <c r="D19" i="73"/>
  <c r="D20" i="73"/>
  <c r="D6" i="73"/>
  <c r="C7" i="73"/>
  <c r="C8" i="73"/>
  <c r="C9" i="73"/>
  <c r="C10" i="73"/>
  <c r="C11" i="73"/>
  <c r="C12" i="73"/>
  <c r="C13" i="73"/>
  <c r="C14" i="73"/>
  <c r="C15" i="73"/>
  <c r="C16" i="73"/>
  <c r="C17" i="73"/>
  <c r="C18" i="73"/>
  <c r="C19" i="73"/>
  <c r="C20" i="73"/>
  <c r="C6" i="73"/>
  <c r="H228" i="165" l="1"/>
  <c r="Y228" i="165"/>
  <c r="O228" i="165"/>
  <c r="AH228" i="165"/>
  <c r="P228" i="165"/>
  <c r="D168" i="165" l="1"/>
  <c r="M230" i="165" l="1"/>
  <c r="L230" i="165"/>
  <c r="X230" i="165"/>
  <c r="N230" i="165"/>
  <c r="Y230" i="165"/>
  <c r="P230" i="165"/>
  <c r="AH230" i="165"/>
  <c r="AD230" i="165"/>
  <c r="AA230" i="165"/>
  <c r="O230" i="165"/>
  <c r="Q230" i="165"/>
  <c r="AF230" i="165"/>
  <c r="AB230" i="165"/>
  <c r="H230" i="165"/>
  <c r="I230" i="165"/>
  <c r="AE230" i="165"/>
  <c r="J230" i="165"/>
  <c r="G172" i="165"/>
  <c r="K230" i="165"/>
  <c r="G230" i="165" l="1"/>
  <c r="AI171" i="165" l="1"/>
  <c r="E487" i="165"/>
  <c r="E481" i="165"/>
  <c r="E482" i="165"/>
  <c r="E483" i="165"/>
  <c r="E484" i="165"/>
  <c r="K170" i="164" s="1"/>
  <c r="E485" i="165"/>
  <c r="K171" i="164" s="1"/>
  <c r="K177" i="164" s="1"/>
  <c r="L177" i="164" s="1"/>
  <c r="M177" i="164" s="1"/>
  <c r="N177" i="164" s="1"/>
  <c r="O177" i="164" s="1"/>
  <c r="P177" i="164" s="1"/>
  <c r="Q177" i="164" s="1"/>
  <c r="R177" i="164" s="1"/>
  <c r="S177" i="164" s="1"/>
  <c r="T177" i="164" s="1"/>
  <c r="U177" i="164" s="1"/>
  <c r="V177" i="164" s="1"/>
  <c r="W177" i="164" s="1"/>
  <c r="X177" i="164" s="1"/>
  <c r="Y177" i="164" s="1"/>
  <c r="Z177" i="164" s="1"/>
  <c r="AA177" i="164" s="1"/>
  <c r="AB177" i="164" s="1"/>
  <c r="AC177" i="164" s="1"/>
  <c r="AD177" i="164" s="1"/>
  <c r="AE177" i="164" s="1"/>
  <c r="AF177" i="164" s="1"/>
  <c r="AG177" i="164" s="1"/>
  <c r="AH177" i="164" s="1"/>
  <c r="AI177" i="164" s="1"/>
  <c r="AJ177" i="164" s="1"/>
  <c r="AK177" i="164" s="1"/>
  <c r="AL177" i="164" s="1"/>
  <c r="E480" i="165"/>
  <c r="K166" i="164" s="1"/>
  <c r="E474" i="165"/>
  <c r="E473" i="165"/>
  <c r="K155" i="164" s="1"/>
  <c r="L155" i="164" s="1"/>
  <c r="M155" i="164" s="1"/>
  <c r="N155" i="164" s="1"/>
  <c r="O155" i="164" s="1"/>
  <c r="P155" i="164" s="1"/>
  <c r="Q155" i="164" s="1"/>
  <c r="R155" i="164" s="1"/>
  <c r="S155" i="164" s="1"/>
  <c r="T155" i="164" s="1"/>
  <c r="U155" i="164" s="1"/>
  <c r="V155" i="164" s="1"/>
  <c r="W155" i="164" s="1"/>
  <c r="X155" i="164" s="1"/>
  <c r="Y155" i="164" s="1"/>
  <c r="Z155" i="164" s="1"/>
  <c r="AA155" i="164" s="1"/>
  <c r="AB155" i="164" s="1"/>
  <c r="AC155" i="164" s="1"/>
  <c r="AD155" i="164" s="1"/>
  <c r="AE155" i="164" s="1"/>
  <c r="AF155" i="164" s="1"/>
  <c r="AG155" i="164" s="1"/>
  <c r="AH155" i="164" s="1"/>
  <c r="AI155" i="164" s="1"/>
  <c r="AJ155" i="164" s="1"/>
  <c r="AK155" i="164" s="1"/>
  <c r="AL155" i="164" s="1"/>
  <c r="G428" i="165"/>
  <c r="G429" i="165"/>
  <c r="G427" i="165"/>
  <c r="G419" i="165"/>
  <c r="G420" i="165"/>
  <c r="G418" i="165"/>
  <c r="G399" i="165"/>
  <c r="G400" i="165"/>
  <c r="G398" i="165"/>
  <c r="G389" i="165"/>
  <c r="G390" i="165"/>
  <c r="G388" i="165"/>
  <c r="G371" i="165"/>
  <c r="G372" i="165"/>
  <c r="G370" i="165"/>
  <c r="G358" i="165"/>
  <c r="H358" i="165"/>
  <c r="I358" i="165"/>
  <c r="G359" i="165"/>
  <c r="H359" i="165"/>
  <c r="I359" i="165"/>
  <c r="G360" i="165"/>
  <c r="H360" i="165"/>
  <c r="I360" i="165"/>
  <c r="G361" i="165"/>
  <c r="H361" i="165"/>
  <c r="I361" i="165"/>
  <c r="G362" i="165"/>
  <c r="H362" i="165"/>
  <c r="I362" i="165"/>
  <c r="H357" i="165"/>
  <c r="I357" i="165"/>
  <c r="G357" i="165"/>
  <c r="J69" i="164"/>
  <c r="K69" i="164" s="1"/>
  <c r="L69" i="164" s="1"/>
  <c r="M69" i="164" s="1"/>
  <c r="N69" i="164" s="1"/>
  <c r="O69" i="164" s="1"/>
  <c r="P69" i="164" s="1"/>
  <c r="Q69" i="164" s="1"/>
  <c r="R69" i="164" s="1"/>
  <c r="S69" i="164" s="1"/>
  <c r="T69" i="164" s="1"/>
  <c r="U69" i="164" s="1"/>
  <c r="V69" i="164" s="1"/>
  <c r="W69" i="164" s="1"/>
  <c r="X69" i="164" s="1"/>
  <c r="Y69" i="164" s="1"/>
  <c r="Z69" i="164" s="1"/>
  <c r="AA69" i="164" s="1"/>
  <c r="AB69" i="164" s="1"/>
  <c r="AC69" i="164" s="1"/>
  <c r="AD69" i="164" s="1"/>
  <c r="AE69" i="164" s="1"/>
  <c r="AF69" i="164" s="1"/>
  <c r="AG69" i="164" s="1"/>
  <c r="AH69" i="164" s="1"/>
  <c r="AI69" i="164" s="1"/>
  <c r="AJ69" i="164" s="1"/>
  <c r="AK69" i="164" s="1"/>
  <c r="J63" i="164"/>
  <c r="K63" i="164" s="1"/>
  <c r="L63" i="164" s="1"/>
  <c r="M63" i="164" s="1"/>
  <c r="N63" i="164" s="1"/>
  <c r="O63" i="164" s="1"/>
  <c r="P63" i="164" s="1"/>
  <c r="Q63" i="164" s="1"/>
  <c r="R63" i="164" s="1"/>
  <c r="S63" i="164" s="1"/>
  <c r="T63" i="164" s="1"/>
  <c r="U63" i="164" s="1"/>
  <c r="V63" i="164" s="1"/>
  <c r="W63" i="164" s="1"/>
  <c r="X63" i="164" s="1"/>
  <c r="Y63" i="164" s="1"/>
  <c r="Z63" i="164" s="1"/>
  <c r="AA63" i="164" s="1"/>
  <c r="AB63" i="164" s="1"/>
  <c r="AC63" i="164" s="1"/>
  <c r="AD63" i="164" s="1"/>
  <c r="AE63" i="164" s="1"/>
  <c r="AF63" i="164" s="1"/>
  <c r="AG63" i="164" s="1"/>
  <c r="AH63" i="164" s="1"/>
  <c r="AI63" i="164" s="1"/>
  <c r="AJ63" i="164" s="1"/>
  <c r="AK63" i="164" s="1"/>
  <c r="J58" i="164"/>
  <c r="K58" i="164" s="1"/>
  <c r="L58" i="164" s="1"/>
  <c r="M58" i="164" s="1"/>
  <c r="N58" i="164" s="1"/>
  <c r="O58" i="164" s="1"/>
  <c r="P58" i="164" s="1"/>
  <c r="Q58" i="164" s="1"/>
  <c r="R58" i="164" s="1"/>
  <c r="S58" i="164" s="1"/>
  <c r="T58" i="164" s="1"/>
  <c r="U58" i="164" s="1"/>
  <c r="V58" i="164" s="1"/>
  <c r="W58" i="164" s="1"/>
  <c r="X58" i="164" s="1"/>
  <c r="Y58" i="164" s="1"/>
  <c r="Z58" i="164" s="1"/>
  <c r="AA58" i="164" s="1"/>
  <c r="AB58" i="164" s="1"/>
  <c r="AC58" i="164" s="1"/>
  <c r="AD58" i="164" s="1"/>
  <c r="AE58" i="164" s="1"/>
  <c r="AF58" i="164" s="1"/>
  <c r="AG58" i="164" s="1"/>
  <c r="AH58" i="164" s="1"/>
  <c r="AI58" i="164" s="1"/>
  <c r="AJ58" i="164" s="1"/>
  <c r="AK58" i="164" s="1"/>
  <c r="AG144" i="163"/>
  <c r="AF144" i="163"/>
  <c r="AC144" i="163"/>
  <c r="R144" i="163"/>
  <c r="AX140" i="163" s="1"/>
  <c r="O144" i="163"/>
  <c r="N144" i="163"/>
  <c r="M144" i="163"/>
  <c r="J144" i="163"/>
  <c r="AP140" i="163" s="1"/>
  <c r="H144" i="163"/>
  <c r="AW5" i="163"/>
  <c r="AX5" i="163"/>
  <c r="AY5" i="163"/>
  <c r="AZ5" i="163"/>
  <c r="BA5" i="163"/>
  <c r="BB5" i="163"/>
  <c r="BC5" i="163"/>
  <c r="BD5" i="163"/>
  <c r="BE5" i="163"/>
  <c r="BF5" i="163"/>
  <c r="BG5" i="163"/>
  <c r="BH5" i="163"/>
  <c r="BI5" i="163"/>
  <c r="BJ5" i="163"/>
  <c r="BK5" i="163"/>
  <c r="BL5" i="163"/>
  <c r="BM5" i="163"/>
  <c r="BN5" i="163"/>
  <c r="BO5" i="163"/>
  <c r="BP5" i="163"/>
  <c r="BQ5" i="163"/>
  <c r="AW6" i="163"/>
  <c r="AX6" i="163"/>
  <c r="AY6" i="163"/>
  <c r="AZ6" i="163"/>
  <c r="BA6" i="163"/>
  <c r="BB6" i="163"/>
  <c r="BC6" i="163"/>
  <c r="BD6" i="163"/>
  <c r="BE6" i="163"/>
  <c r="BF6" i="163"/>
  <c r="BG6" i="163"/>
  <c r="BH6" i="163"/>
  <c r="BI6" i="163"/>
  <c r="BJ6" i="163"/>
  <c r="BK6" i="163"/>
  <c r="BL6" i="163"/>
  <c r="BM6" i="163"/>
  <c r="BN6" i="163"/>
  <c r="BO6" i="163"/>
  <c r="BP6" i="163"/>
  <c r="BQ6" i="163"/>
  <c r="AW7" i="163"/>
  <c r="AX7" i="163"/>
  <c r="AY7" i="163"/>
  <c r="AZ7" i="163"/>
  <c r="BA7" i="163"/>
  <c r="BB7" i="163"/>
  <c r="BC7" i="163"/>
  <c r="BD7" i="163"/>
  <c r="BE7" i="163"/>
  <c r="BF7" i="163"/>
  <c r="BG7" i="163"/>
  <c r="BH7" i="163"/>
  <c r="BI7" i="163"/>
  <c r="BJ7" i="163"/>
  <c r="BK7" i="163"/>
  <c r="BL7" i="163"/>
  <c r="BM7" i="163"/>
  <c r="BN7" i="163"/>
  <c r="BO7" i="163"/>
  <c r="BP7" i="163"/>
  <c r="BQ7" i="163"/>
  <c r="AW8" i="163"/>
  <c r="AX8" i="163"/>
  <c r="AY8" i="163"/>
  <c r="AZ8" i="163"/>
  <c r="BA8" i="163"/>
  <c r="BB8" i="163"/>
  <c r="BC8" i="163"/>
  <c r="BD8" i="163"/>
  <c r="BE8" i="163"/>
  <c r="BF8" i="163"/>
  <c r="BG8" i="163"/>
  <c r="BH8" i="163"/>
  <c r="BI8" i="163"/>
  <c r="BJ8" i="163"/>
  <c r="BK8" i="163"/>
  <c r="BL8" i="163"/>
  <c r="BM8" i="163"/>
  <c r="BN8" i="163"/>
  <c r="BO8" i="163"/>
  <c r="BP8" i="163"/>
  <c r="BQ8" i="163"/>
  <c r="AW9" i="163"/>
  <c r="O28" i="163" s="1"/>
  <c r="AX9" i="163"/>
  <c r="AY9" i="163"/>
  <c r="AZ9" i="163"/>
  <c r="R28" i="163" s="1"/>
  <c r="BA9" i="163"/>
  <c r="BB9" i="163"/>
  <c r="BC9" i="163"/>
  <c r="BD9" i="163"/>
  <c r="BE9" i="163"/>
  <c r="BF9" i="163"/>
  <c r="BG9" i="163"/>
  <c r="Y28" i="163" s="1"/>
  <c r="BH9" i="163"/>
  <c r="BI9" i="163"/>
  <c r="BJ9" i="163"/>
  <c r="BK9" i="163"/>
  <c r="BL9" i="163"/>
  <c r="AD28" i="163" s="1"/>
  <c r="AD44" i="163" s="1"/>
  <c r="BM9" i="163"/>
  <c r="AE28" i="163" s="1"/>
  <c r="BN9" i="163"/>
  <c r="AF28" i="163" s="1"/>
  <c r="BO9" i="163"/>
  <c r="AG28" i="163" s="1"/>
  <c r="BP9" i="163"/>
  <c r="AH28" i="163" s="1"/>
  <c r="BQ9" i="163"/>
  <c r="AI28" i="163" s="1"/>
  <c r="AW10" i="163"/>
  <c r="AX10" i="163"/>
  <c r="AY10" i="163"/>
  <c r="AZ10" i="163"/>
  <c r="BA10" i="163"/>
  <c r="BB10" i="163"/>
  <c r="BC10" i="163"/>
  <c r="BD10" i="163"/>
  <c r="BE10" i="163"/>
  <c r="BF10" i="163"/>
  <c r="BG10" i="163"/>
  <c r="BH10" i="163"/>
  <c r="BI10" i="163"/>
  <c r="BJ10" i="163"/>
  <c r="BK10" i="163"/>
  <c r="BL10" i="163"/>
  <c r="BM10" i="163"/>
  <c r="BN10" i="163"/>
  <c r="BO10" i="163"/>
  <c r="BP10" i="163"/>
  <c r="BQ10" i="163"/>
  <c r="AW11" i="163"/>
  <c r="AX11" i="163"/>
  <c r="AY11" i="163"/>
  <c r="AZ11" i="163"/>
  <c r="BA11" i="163"/>
  <c r="BB11" i="163"/>
  <c r="BC11" i="163"/>
  <c r="BD11" i="163"/>
  <c r="BE11" i="163"/>
  <c r="BF11" i="163"/>
  <c r="BG11" i="163"/>
  <c r="BH11" i="163"/>
  <c r="BI11" i="163"/>
  <c r="BJ11" i="163"/>
  <c r="BK11" i="163"/>
  <c r="BL11" i="163"/>
  <c r="BM11" i="163"/>
  <c r="BN11" i="163"/>
  <c r="BO11" i="163"/>
  <c r="BP11" i="163"/>
  <c r="BQ11" i="163"/>
  <c r="AW12" i="163"/>
  <c r="O31" i="163" s="1"/>
  <c r="O47" i="163" s="1"/>
  <c r="AX12" i="163"/>
  <c r="AY12" i="163"/>
  <c r="AZ12" i="163"/>
  <c r="R31" i="163" s="1"/>
  <c r="BA12" i="163"/>
  <c r="S31" i="163" s="1"/>
  <c r="BB12" i="163"/>
  <c r="BC12" i="163"/>
  <c r="BD12" i="163"/>
  <c r="BE12" i="163"/>
  <c r="BF12" i="163"/>
  <c r="BG12" i="163"/>
  <c r="Y31" i="163" s="1"/>
  <c r="Y47" i="163" s="1"/>
  <c r="BH12" i="163"/>
  <c r="Z31" i="163" s="1"/>
  <c r="Z47" i="163" s="1"/>
  <c r="BI12" i="163"/>
  <c r="BJ12" i="163"/>
  <c r="BK12" i="163"/>
  <c r="BL12" i="163"/>
  <c r="BM12" i="163"/>
  <c r="BN12" i="163"/>
  <c r="AF31" i="163" s="1"/>
  <c r="BO12" i="163"/>
  <c r="BP12" i="163"/>
  <c r="BQ12" i="163"/>
  <c r="AW13" i="163"/>
  <c r="O32" i="163" s="1"/>
  <c r="AX13" i="163"/>
  <c r="AY13" i="163"/>
  <c r="AZ13" i="163"/>
  <c r="R32" i="163" s="1"/>
  <c r="BA13" i="163"/>
  <c r="S32" i="163" s="1"/>
  <c r="BB13" i="163"/>
  <c r="BC13" i="163"/>
  <c r="BD13" i="163"/>
  <c r="BE13" i="163"/>
  <c r="BF13" i="163"/>
  <c r="BG13" i="163"/>
  <c r="Y32" i="163" s="1"/>
  <c r="BH13" i="163"/>
  <c r="Z32" i="163" s="1"/>
  <c r="BI13" i="163"/>
  <c r="BJ13" i="163"/>
  <c r="BK13" i="163"/>
  <c r="BL13" i="163"/>
  <c r="AD32" i="163" s="1"/>
  <c r="BM13" i="163"/>
  <c r="AE32" i="163" s="1"/>
  <c r="BN13" i="163"/>
  <c r="AF32" i="163" s="1"/>
  <c r="BO13" i="163"/>
  <c r="AG32" i="163" s="1"/>
  <c r="BP13" i="163"/>
  <c r="BQ13" i="163"/>
  <c r="AW14" i="163"/>
  <c r="AX14" i="163"/>
  <c r="AY14" i="163"/>
  <c r="AZ14" i="163"/>
  <c r="BA14" i="163"/>
  <c r="BB14" i="163"/>
  <c r="BC14" i="163"/>
  <c r="BD14" i="163"/>
  <c r="BE14" i="163"/>
  <c r="BF14" i="163"/>
  <c r="BG14" i="163"/>
  <c r="BH14" i="163"/>
  <c r="BI14" i="163"/>
  <c r="BJ14" i="163"/>
  <c r="BK14" i="163"/>
  <c r="BL14" i="163"/>
  <c r="BM14" i="163"/>
  <c r="BN14" i="163"/>
  <c r="BO14" i="163"/>
  <c r="BP14" i="163"/>
  <c r="BQ14" i="163"/>
  <c r="AW15" i="163"/>
  <c r="AX15" i="163"/>
  <c r="AY15" i="163"/>
  <c r="AZ15" i="163"/>
  <c r="BA15" i="163"/>
  <c r="BB15" i="163"/>
  <c r="BC15" i="163"/>
  <c r="BD15" i="163"/>
  <c r="BE15" i="163"/>
  <c r="BF15" i="163"/>
  <c r="BG15" i="163"/>
  <c r="BH15" i="163"/>
  <c r="BI15" i="163"/>
  <c r="BJ15" i="163"/>
  <c r="BK15" i="163"/>
  <c r="BL15" i="163"/>
  <c r="BM15" i="163"/>
  <c r="BN15" i="163"/>
  <c r="BO15" i="163"/>
  <c r="BP15" i="163"/>
  <c r="BQ15" i="163"/>
  <c r="AW16" i="163"/>
  <c r="O35" i="163" s="1"/>
  <c r="AX16" i="163"/>
  <c r="AY16" i="163"/>
  <c r="AZ16" i="163"/>
  <c r="R35" i="163" s="1"/>
  <c r="BA16" i="163"/>
  <c r="BB16" i="163"/>
  <c r="BC16" i="163"/>
  <c r="BD16" i="163"/>
  <c r="BE16" i="163"/>
  <c r="BF16" i="163"/>
  <c r="BG16" i="163"/>
  <c r="BH16" i="163"/>
  <c r="BI16" i="163"/>
  <c r="BJ16" i="163"/>
  <c r="BK16" i="163"/>
  <c r="BL16" i="163"/>
  <c r="AD35" i="163" s="1"/>
  <c r="BM16" i="163"/>
  <c r="AE35" i="163" s="1"/>
  <c r="BN16" i="163"/>
  <c r="AF35" i="163" s="1"/>
  <c r="BO16" i="163"/>
  <c r="AG35" i="163" s="1"/>
  <c r="BP16" i="163"/>
  <c r="BQ16" i="163"/>
  <c r="AW17" i="163"/>
  <c r="AX17" i="163"/>
  <c r="AY17" i="163"/>
  <c r="AZ17" i="163"/>
  <c r="BA17" i="163"/>
  <c r="BB17" i="163"/>
  <c r="BC17" i="163"/>
  <c r="BD17" i="163"/>
  <c r="BE17" i="163"/>
  <c r="BF17" i="163"/>
  <c r="BG17" i="163"/>
  <c r="BH17" i="163"/>
  <c r="BI17" i="163"/>
  <c r="BJ17" i="163"/>
  <c r="BK17" i="163"/>
  <c r="BL17" i="163"/>
  <c r="BM17" i="163"/>
  <c r="BN17" i="163"/>
  <c r="BO17" i="163"/>
  <c r="BP17" i="163"/>
  <c r="BQ17" i="163"/>
  <c r="AW18" i="163"/>
  <c r="AX18" i="163"/>
  <c r="AY18" i="163"/>
  <c r="AZ18" i="163"/>
  <c r="BA18" i="163"/>
  <c r="BB18" i="163"/>
  <c r="BC18" i="163"/>
  <c r="BD18" i="163"/>
  <c r="BE18" i="163"/>
  <c r="BF18" i="163"/>
  <c r="BG18" i="163"/>
  <c r="BH18" i="163"/>
  <c r="BI18" i="163"/>
  <c r="BJ18" i="163"/>
  <c r="BK18" i="163"/>
  <c r="BL18" i="163"/>
  <c r="BM18" i="163"/>
  <c r="BN18" i="163"/>
  <c r="BO18" i="163"/>
  <c r="BP18" i="163"/>
  <c r="BQ18" i="163"/>
  <c r="AW19" i="163"/>
  <c r="AX19" i="163"/>
  <c r="AY19" i="163"/>
  <c r="AZ19" i="163"/>
  <c r="BA19" i="163"/>
  <c r="BB19" i="163"/>
  <c r="BC19" i="163"/>
  <c r="BD19" i="163"/>
  <c r="BE19" i="163"/>
  <c r="BF19" i="163"/>
  <c r="BG19" i="163"/>
  <c r="BH19" i="163"/>
  <c r="BI19" i="163"/>
  <c r="BJ19" i="163"/>
  <c r="BK19" i="163"/>
  <c r="BL19" i="163"/>
  <c r="BM19" i="163"/>
  <c r="BN19" i="163"/>
  <c r="BO19" i="163"/>
  <c r="BP19" i="163"/>
  <c r="BQ19" i="163"/>
  <c r="AS5" i="163"/>
  <c r="AT5" i="163"/>
  <c r="AU5" i="163"/>
  <c r="AV5" i="163"/>
  <c r="AS6" i="163"/>
  <c r="AT6" i="163"/>
  <c r="AU6" i="163"/>
  <c r="AV6" i="163"/>
  <c r="AS7" i="163"/>
  <c r="AT7" i="163"/>
  <c r="AU7" i="163"/>
  <c r="AV7" i="163"/>
  <c r="AS8" i="163"/>
  <c r="AT8" i="163"/>
  <c r="AU8" i="163"/>
  <c r="AV8" i="163"/>
  <c r="AS9" i="163"/>
  <c r="AT9" i="163"/>
  <c r="AU9" i="163"/>
  <c r="AV9" i="163"/>
  <c r="AS10" i="163"/>
  <c r="AT10" i="163"/>
  <c r="AU10" i="163"/>
  <c r="AV10" i="163"/>
  <c r="AS11" i="163"/>
  <c r="AT11" i="163"/>
  <c r="AU11" i="163"/>
  <c r="AV11" i="163"/>
  <c r="AS12" i="163"/>
  <c r="AT12" i="163"/>
  <c r="AU12" i="163"/>
  <c r="AV12" i="163"/>
  <c r="AS13" i="163"/>
  <c r="AT13" i="163"/>
  <c r="AU13" i="163"/>
  <c r="AV13" i="163"/>
  <c r="AS14" i="163"/>
  <c r="AT14" i="163"/>
  <c r="AU14" i="163"/>
  <c r="AV14" i="163"/>
  <c r="AS15" i="163"/>
  <c r="AT15" i="163"/>
  <c r="AU15" i="163"/>
  <c r="AV15" i="163"/>
  <c r="AS16" i="163"/>
  <c r="AT16" i="163"/>
  <c r="AU16" i="163"/>
  <c r="AV16" i="163"/>
  <c r="AS17" i="163"/>
  <c r="AT17" i="163"/>
  <c r="AU17" i="163"/>
  <c r="AV17" i="163"/>
  <c r="AS18" i="163"/>
  <c r="AT18" i="163"/>
  <c r="AU18" i="163"/>
  <c r="AV18" i="163"/>
  <c r="AS19" i="163"/>
  <c r="AT19" i="163"/>
  <c r="AU19" i="163"/>
  <c r="AV19" i="163"/>
  <c r="AR5" i="163"/>
  <c r="AR6" i="163"/>
  <c r="AR7" i="163"/>
  <c r="AR8" i="163"/>
  <c r="AR9" i="163"/>
  <c r="J28" i="163" s="1"/>
  <c r="J44" i="163" s="1"/>
  <c r="AR10" i="163"/>
  <c r="AR11" i="163"/>
  <c r="AR12" i="163"/>
  <c r="AR13" i="163"/>
  <c r="J32" i="163" s="1"/>
  <c r="AR14" i="163"/>
  <c r="AR15" i="163"/>
  <c r="AR16" i="163"/>
  <c r="AR17" i="163"/>
  <c r="AR18" i="163"/>
  <c r="AR19" i="163"/>
  <c r="AQ5" i="163"/>
  <c r="AQ6" i="163"/>
  <c r="AQ7" i="163"/>
  <c r="AQ8" i="163"/>
  <c r="AQ9" i="163"/>
  <c r="AQ10" i="163"/>
  <c r="AQ11" i="163"/>
  <c r="AQ12" i="163"/>
  <c r="AQ13" i="163"/>
  <c r="I32" i="163" s="1"/>
  <c r="AQ14" i="163"/>
  <c r="AQ15" i="163"/>
  <c r="AQ16" i="163"/>
  <c r="AQ17" i="163"/>
  <c r="AQ18" i="163"/>
  <c r="AQ19" i="163"/>
  <c r="AP6" i="163"/>
  <c r="AP7" i="163"/>
  <c r="AP8" i="163"/>
  <c r="AP9" i="163"/>
  <c r="H28" i="163" s="1"/>
  <c r="AP10" i="163"/>
  <c r="AP11" i="163"/>
  <c r="AP12" i="163"/>
  <c r="H31" i="163" s="1"/>
  <c r="H47" i="163" s="1"/>
  <c r="AP13" i="163"/>
  <c r="H32" i="163" s="1"/>
  <c r="AP14" i="163"/>
  <c r="AP15" i="163"/>
  <c r="AP16" i="163"/>
  <c r="H35" i="163" s="1"/>
  <c r="AP17" i="163"/>
  <c r="AP18" i="163"/>
  <c r="AP19" i="163"/>
  <c r="AP5" i="163"/>
  <c r="K178" i="164"/>
  <c r="L178" i="164" s="1"/>
  <c r="M178" i="164" s="1"/>
  <c r="N178" i="164" s="1"/>
  <c r="O178" i="164" s="1"/>
  <c r="P178" i="164" s="1"/>
  <c r="Q178" i="164" s="1"/>
  <c r="R178" i="164" s="1"/>
  <c r="S178" i="164" s="1"/>
  <c r="T178" i="164" s="1"/>
  <c r="U178" i="164" s="1"/>
  <c r="V178" i="164" s="1"/>
  <c r="W178" i="164" s="1"/>
  <c r="X178" i="164" s="1"/>
  <c r="Y178" i="164" s="1"/>
  <c r="Z178" i="164" s="1"/>
  <c r="AA178" i="164" s="1"/>
  <c r="AB178" i="164" s="1"/>
  <c r="AC178" i="164" s="1"/>
  <c r="AD178" i="164" s="1"/>
  <c r="AE178" i="164" s="1"/>
  <c r="AF178" i="164" s="1"/>
  <c r="AG178" i="164" s="1"/>
  <c r="AH178" i="164" s="1"/>
  <c r="AI178" i="164" s="1"/>
  <c r="AJ178" i="164" s="1"/>
  <c r="AK178" i="164" s="1"/>
  <c r="AL178" i="164" s="1"/>
  <c r="K169" i="164"/>
  <c r="L169" i="164" s="1"/>
  <c r="M169" i="164" s="1"/>
  <c r="N169" i="164" s="1"/>
  <c r="O169" i="164" s="1"/>
  <c r="P169" i="164" s="1"/>
  <c r="Q169" i="164" s="1"/>
  <c r="R169" i="164" s="1"/>
  <c r="S169" i="164" s="1"/>
  <c r="T169" i="164" s="1"/>
  <c r="U169" i="164" s="1"/>
  <c r="V169" i="164" s="1"/>
  <c r="W169" i="164" s="1"/>
  <c r="X169" i="164" s="1"/>
  <c r="Y169" i="164" s="1"/>
  <c r="Z169" i="164" s="1"/>
  <c r="AA169" i="164" s="1"/>
  <c r="AB169" i="164" s="1"/>
  <c r="AC169" i="164" s="1"/>
  <c r="AD169" i="164" s="1"/>
  <c r="AE169" i="164" s="1"/>
  <c r="AF169" i="164" s="1"/>
  <c r="AG169" i="164" s="1"/>
  <c r="AH169" i="164" s="1"/>
  <c r="AI169" i="164" s="1"/>
  <c r="AJ169" i="164" s="1"/>
  <c r="AK169" i="164" s="1"/>
  <c r="AL169" i="164" s="1"/>
  <c r="K168" i="164"/>
  <c r="K167" i="164"/>
  <c r="K173" i="164" s="1"/>
  <c r="L173" i="164" s="1"/>
  <c r="M173" i="164" s="1"/>
  <c r="N173" i="164" s="1"/>
  <c r="O173" i="164" s="1"/>
  <c r="P173" i="164" s="1"/>
  <c r="Q173" i="164" s="1"/>
  <c r="R173" i="164" s="1"/>
  <c r="S173" i="164" s="1"/>
  <c r="T173" i="164" s="1"/>
  <c r="U173" i="164" s="1"/>
  <c r="V173" i="164" s="1"/>
  <c r="W173" i="164" s="1"/>
  <c r="X173" i="164" s="1"/>
  <c r="Y173" i="164" s="1"/>
  <c r="Z173" i="164" s="1"/>
  <c r="AA173" i="164" s="1"/>
  <c r="AB173" i="164" s="1"/>
  <c r="AC173" i="164" s="1"/>
  <c r="AD173" i="164" s="1"/>
  <c r="AE173" i="164" s="1"/>
  <c r="AF173" i="164" s="1"/>
  <c r="AG173" i="164" s="1"/>
  <c r="AH173" i="164" s="1"/>
  <c r="AI173" i="164" s="1"/>
  <c r="AJ173" i="164" s="1"/>
  <c r="AK173" i="164" s="1"/>
  <c r="AL173" i="164" s="1"/>
  <c r="E475" i="165"/>
  <c r="C465" i="165"/>
  <c r="G27" i="164" s="1"/>
  <c r="G34" i="164" s="1"/>
  <c r="C463" i="165"/>
  <c r="G7" i="164" s="1"/>
  <c r="E372" i="165"/>
  <c r="I372" i="165" s="1"/>
  <c r="D372" i="165"/>
  <c r="H372" i="165" s="1"/>
  <c r="E371" i="165"/>
  <c r="I371" i="165" s="1"/>
  <c r="D371" i="165"/>
  <c r="H371" i="165" s="1"/>
  <c r="E370" i="165"/>
  <c r="I370" i="165" s="1"/>
  <c r="D370" i="165"/>
  <c r="H370" i="165" s="1"/>
  <c r="J294" i="165" a="1"/>
  <c r="J294" i="165" s="1"/>
  <c r="I294" i="165" a="1"/>
  <c r="I294" i="165" s="1"/>
  <c r="H294" i="165" a="1"/>
  <c r="H294" i="165" s="1"/>
  <c r="G294" i="165" a="1"/>
  <c r="G294" i="165" s="1"/>
  <c r="F294" i="165" a="1"/>
  <c r="F294" i="165" s="1"/>
  <c r="C264" i="165"/>
  <c r="AI144" i="163"/>
  <c r="AG228" i="165"/>
  <c r="AC228" i="165"/>
  <c r="Z228" i="165"/>
  <c r="Z230" i="165" s="1"/>
  <c r="Z144" i="163"/>
  <c r="BF140" i="163" s="1"/>
  <c r="R228" i="165"/>
  <c r="P144" i="163"/>
  <c r="H123" i="163"/>
  <c r="AZ126" i="165"/>
  <c r="AY126" i="165"/>
  <c r="AX126" i="165"/>
  <c r="AW126" i="165"/>
  <c r="AV126" i="165"/>
  <c r="AU126" i="165"/>
  <c r="AT126" i="165"/>
  <c r="AS126" i="165"/>
  <c r="AR126" i="165"/>
  <c r="AQ126" i="165"/>
  <c r="AP120" i="165"/>
  <c r="AP126" i="165" s="1"/>
  <c r="Y120" i="165"/>
  <c r="X120" i="165"/>
  <c r="W120" i="165"/>
  <c r="V120" i="165"/>
  <c r="U120" i="165"/>
  <c r="T120" i="165"/>
  <c r="S120" i="165"/>
  <c r="R120" i="165"/>
  <c r="Q120" i="165"/>
  <c r="P120" i="165"/>
  <c r="M120" i="165"/>
  <c r="M126" i="165" s="1"/>
  <c r="L120" i="165"/>
  <c r="L126" i="165" s="1"/>
  <c r="J120" i="165"/>
  <c r="J126" i="165" s="1"/>
  <c r="I120" i="165"/>
  <c r="I126" i="165" s="1"/>
  <c r="H120" i="165"/>
  <c r="H126" i="165" s="1"/>
  <c r="F120" i="165"/>
  <c r="F126" i="165" s="1"/>
  <c r="E120" i="165"/>
  <c r="E126" i="165" s="1"/>
  <c r="D120" i="165"/>
  <c r="D126" i="165" s="1"/>
  <c r="C120" i="165"/>
  <c r="C126" i="165" s="1"/>
  <c r="AY119" i="165"/>
  <c r="AY130" i="165" s="1"/>
  <c r="AX119" i="165"/>
  <c r="AX130" i="165" s="1"/>
  <c r="AW119" i="165"/>
  <c r="AW130" i="165" s="1"/>
  <c r="AV119" i="165"/>
  <c r="AV130" i="165" s="1"/>
  <c r="AU119" i="165"/>
  <c r="AU130" i="165" s="1"/>
  <c r="AT119" i="165"/>
  <c r="AT130" i="165" s="1"/>
  <c r="AS119" i="165"/>
  <c r="AS130" i="165" s="1"/>
  <c r="AR119" i="165"/>
  <c r="AR130" i="165" s="1"/>
  <c r="AQ119" i="165"/>
  <c r="AQ130" i="165" s="1"/>
  <c r="AP119" i="165"/>
  <c r="AP130" i="165" s="1"/>
  <c r="AM119" i="165"/>
  <c r="AL119" i="165"/>
  <c r="AK119" i="165"/>
  <c r="AJ119" i="165"/>
  <c r="AI119" i="165"/>
  <c r="AH119" i="165"/>
  <c r="AG119" i="165"/>
  <c r="AF119" i="165"/>
  <c r="AE119" i="165"/>
  <c r="AD119" i="165"/>
  <c r="AC119" i="165"/>
  <c r="AC133" i="165" s="1"/>
  <c r="E151" i="165" s="1"/>
  <c r="E159" i="165" s="1"/>
  <c r="Y119" i="165"/>
  <c r="Y126" i="165" s="1"/>
  <c r="X119" i="165"/>
  <c r="X126" i="165" s="1"/>
  <c r="W119" i="165"/>
  <c r="W126" i="165" s="1"/>
  <c r="V119" i="165"/>
  <c r="V126" i="165" s="1"/>
  <c r="U119" i="165"/>
  <c r="U126" i="165" s="1"/>
  <c r="T119" i="165"/>
  <c r="T126" i="165" s="1"/>
  <c r="S119" i="165"/>
  <c r="S126" i="165" s="1"/>
  <c r="R119" i="165"/>
  <c r="R126" i="165" s="1"/>
  <c r="Q119" i="165"/>
  <c r="Q126" i="165" s="1"/>
  <c r="P119" i="165"/>
  <c r="P126" i="165" s="1"/>
  <c r="M119" i="165"/>
  <c r="L119" i="165"/>
  <c r="J119" i="165"/>
  <c r="I119" i="165"/>
  <c r="H119" i="165"/>
  <c r="F119" i="165"/>
  <c r="E119" i="165"/>
  <c r="D119" i="165"/>
  <c r="C119" i="165"/>
  <c r="C130" i="165" s="1"/>
  <c r="AY118" i="165"/>
  <c r="AY125" i="165" s="1"/>
  <c r="AX118" i="165"/>
  <c r="AX125" i="165" s="1"/>
  <c r="AW118" i="165"/>
  <c r="AW125" i="165" s="1"/>
  <c r="AV118" i="165"/>
  <c r="AV125" i="165" s="1"/>
  <c r="AU118" i="165"/>
  <c r="AU125" i="165" s="1"/>
  <c r="AT118" i="165"/>
  <c r="AT125" i="165" s="1"/>
  <c r="AS118" i="165"/>
  <c r="AS125" i="165" s="1"/>
  <c r="AR118" i="165"/>
  <c r="AR125" i="165" s="1"/>
  <c r="AQ118" i="165"/>
  <c r="AQ125" i="165" s="1"/>
  <c r="AP118" i="165"/>
  <c r="AP125" i="165" s="1"/>
  <c r="Y118" i="165"/>
  <c r="Y125" i="165" s="1"/>
  <c r="X118" i="165"/>
  <c r="X125" i="165" s="1"/>
  <c r="W118" i="165"/>
  <c r="W125" i="165" s="1"/>
  <c r="V118" i="165"/>
  <c r="V125" i="165" s="1"/>
  <c r="U118" i="165"/>
  <c r="U125" i="165" s="1"/>
  <c r="T118" i="165"/>
  <c r="T125" i="165" s="1"/>
  <c r="S118" i="165"/>
  <c r="S125" i="165" s="1"/>
  <c r="R118" i="165"/>
  <c r="R125" i="165" s="1"/>
  <c r="Q118" i="165"/>
  <c r="Q125" i="165" s="1"/>
  <c r="P118" i="165"/>
  <c r="P125" i="165" s="1"/>
  <c r="M118" i="165"/>
  <c r="M125" i="165" s="1"/>
  <c r="L118" i="165"/>
  <c r="L125" i="165" s="1"/>
  <c r="J118" i="165"/>
  <c r="J125" i="165" s="1"/>
  <c r="I118" i="165"/>
  <c r="I125" i="165" s="1"/>
  <c r="H118" i="165"/>
  <c r="H125" i="165" s="1"/>
  <c r="F118" i="165"/>
  <c r="F125" i="165" s="1"/>
  <c r="E118" i="165"/>
  <c r="E125" i="165" s="1"/>
  <c r="D118" i="165"/>
  <c r="D125" i="165" s="1"/>
  <c r="C118" i="165"/>
  <c r="C125" i="165" s="1"/>
  <c r="AY117" i="165"/>
  <c r="AY124" i="165" s="1"/>
  <c r="AX117" i="165"/>
  <c r="AX124" i="165" s="1"/>
  <c r="AW117" i="165"/>
  <c r="AW124" i="165" s="1"/>
  <c r="AV117" i="165"/>
  <c r="AV124" i="165" s="1"/>
  <c r="AU117" i="165"/>
  <c r="AU124" i="165" s="1"/>
  <c r="AT117" i="165"/>
  <c r="AT124" i="165" s="1"/>
  <c r="AS117" i="165"/>
  <c r="AS124" i="165" s="1"/>
  <c r="AR117" i="165"/>
  <c r="AR124" i="165" s="1"/>
  <c r="AQ117" i="165"/>
  <c r="AQ124" i="165" s="1"/>
  <c r="AP117" i="165"/>
  <c r="AP124" i="165" s="1"/>
  <c r="Y117" i="165"/>
  <c r="Y124" i="165" s="1"/>
  <c r="X117" i="165"/>
  <c r="X124" i="165" s="1"/>
  <c r="W117" i="165"/>
  <c r="W124" i="165" s="1"/>
  <c r="V117" i="165"/>
  <c r="V124" i="165" s="1"/>
  <c r="U117" i="165"/>
  <c r="U124" i="165" s="1"/>
  <c r="T117" i="165"/>
  <c r="T124" i="165" s="1"/>
  <c r="S117" i="165"/>
  <c r="S124" i="165" s="1"/>
  <c r="R117" i="165"/>
  <c r="R124" i="165" s="1"/>
  <c r="Q117" i="165"/>
  <c r="Q124" i="165" s="1"/>
  <c r="P117" i="165"/>
  <c r="P124" i="165" s="1"/>
  <c r="M117" i="165"/>
  <c r="M124" i="165" s="1"/>
  <c r="L117" i="165"/>
  <c r="L124" i="165" s="1"/>
  <c r="J117" i="165"/>
  <c r="J124" i="165" s="1"/>
  <c r="I117" i="165"/>
  <c r="I124" i="165" s="1"/>
  <c r="H117" i="165"/>
  <c r="H124" i="165" s="1"/>
  <c r="F117" i="165"/>
  <c r="F124" i="165" s="1"/>
  <c r="E117" i="165"/>
  <c r="E124" i="165" s="1"/>
  <c r="D117" i="165"/>
  <c r="D124" i="165" s="1"/>
  <c r="C117" i="165"/>
  <c r="C124" i="165" s="1"/>
  <c r="AY116" i="165"/>
  <c r="AY123" i="165" s="1"/>
  <c r="AX116" i="165"/>
  <c r="AX123" i="165" s="1"/>
  <c r="AW116" i="165"/>
  <c r="AW123" i="165" s="1"/>
  <c r="AV116" i="165"/>
  <c r="AV123" i="165" s="1"/>
  <c r="AU116" i="165"/>
  <c r="AU123" i="165" s="1"/>
  <c r="AT116" i="165"/>
  <c r="AT123" i="165" s="1"/>
  <c r="AS116" i="165"/>
  <c r="AS123" i="165" s="1"/>
  <c r="AR116" i="165"/>
  <c r="AR123" i="165" s="1"/>
  <c r="AQ116" i="165"/>
  <c r="AQ123" i="165" s="1"/>
  <c r="AP116" i="165"/>
  <c r="AP123" i="165" s="1"/>
  <c r="Y116" i="165"/>
  <c r="Y123" i="165" s="1"/>
  <c r="X116" i="165"/>
  <c r="X123" i="165" s="1"/>
  <c r="W116" i="165"/>
  <c r="W123" i="165" s="1"/>
  <c r="V116" i="165"/>
  <c r="V123" i="165" s="1"/>
  <c r="U116" i="165"/>
  <c r="U123" i="165" s="1"/>
  <c r="T116" i="165"/>
  <c r="T123" i="165" s="1"/>
  <c r="S116" i="165"/>
  <c r="S123" i="165" s="1"/>
  <c r="R116" i="165"/>
  <c r="R123" i="165" s="1"/>
  <c r="Q116" i="165"/>
  <c r="Q123" i="165" s="1"/>
  <c r="P116" i="165"/>
  <c r="P123" i="165" s="1"/>
  <c r="M116" i="165"/>
  <c r="M123" i="165" s="1"/>
  <c r="L116" i="165"/>
  <c r="L123" i="165" s="1"/>
  <c r="J116" i="165"/>
  <c r="J123" i="165" s="1"/>
  <c r="I116" i="165"/>
  <c r="I123" i="165" s="1"/>
  <c r="H116" i="165"/>
  <c r="H123" i="165" s="1"/>
  <c r="F116" i="165"/>
  <c r="F123" i="165" s="1"/>
  <c r="E116" i="165"/>
  <c r="E123" i="165" s="1"/>
  <c r="D116" i="165"/>
  <c r="D123" i="165" s="1"/>
  <c r="C116" i="165"/>
  <c r="C123" i="165" s="1"/>
  <c r="AY115" i="165"/>
  <c r="AY122" i="165" s="1"/>
  <c r="AX115" i="165"/>
  <c r="AX122" i="165" s="1"/>
  <c r="AW115" i="165"/>
  <c r="AW122" i="165" s="1"/>
  <c r="AV115" i="165"/>
  <c r="AV122" i="165" s="1"/>
  <c r="AU115" i="165"/>
  <c r="AU122" i="165" s="1"/>
  <c r="AT115" i="165"/>
  <c r="AT122" i="165" s="1"/>
  <c r="AS115" i="165"/>
  <c r="AS122" i="165" s="1"/>
  <c r="AR115" i="165"/>
  <c r="AR122" i="165" s="1"/>
  <c r="AQ115" i="165"/>
  <c r="AQ122" i="165" s="1"/>
  <c r="AP115" i="165"/>
  <c r="AP122" i="165" s="1"/>
  <c r="Y115" i="165"/>
  <c r="Y122" i="165" s="1"/>
  <c r="X115" i="165"/>
  <c r="X122" i="165" s="1"/>
  <c r="W115" i="165"/>
  <c r="W122" i="165" s="1"/>
  <c r="V115" i="165"/>
  <c r="V122" i="165" s="1"/>
  <c r="U115" i="165"/>
  <c r="U122" i="165" s="1"/>
  <c r="T115" i="165"/>
  <c r="T122" i="165" s="1"/>
  <c r="S115" i="165"/>
  <c r="S122" i="165" s="1"/>
  <c r="R115" i="165"/>
  <c r="R122" i="165" s="1"/>
  <c r="Q115" i="165"/>
  <c r="Q122" i="165" s="1"/>
  <c r="P115" i="165"/>
  <c r="P122" i="165" s="1"/>
  <c r="M115" i="165"/>
  <c r="M122" i="165" s="1"/>
  <c r="L115" i="165"/>
  <c r="L122" i="165" s="1"/>
  <c r="J115" i="165"/>
  <c r="J122" i="165" s="1"/>
  <c r="I115" i="165"/>
  <c r="I122" i="165" s="1"/>
  <c r="H115" i="165"/>
  <c r="H122" i="165" s="1"/>
  <c r="F115" i="165"/>
  <c r="F122" i="165" s="1"/>
  <c r="E115" i="165"/>
  <c r="E122" i="165" s="1"/>
  <c r="D115" i="165"/>
  <c r="D122" i="165" s="1"/>
  <c r="C115" i="165"/>
  <c r="C122" i="165" s="1"/>
  <c r="B97" i="165"/>
  <c r="B98" i="165" s="1"/>
  <c r="B90" i="165"/>
  <c r="B89" i="165"/>
  <c r="C82" i="165"/>
  <c r="H142" i="163" s="1"/>
  <c r="I142" i="163" s="1"/>
  <c r="J142" i="163" s="1"/>
  <c r="K142" i="163" s="1"/>
  <c r="L142" i="163" s="1"/>
  <c r="M142" i="163" s="1"/>
  <c r="N142" i="163" s="1"/>
  <c r="O142" i="163" s="1"/>
  <c r="P142" i="163" s="1"/>
  <c r="Q142" i="163" s="1"/>
  <c r="R142" i="163" s="1"/>
  <c r="S142" i="163" s="1"/>
  <c r="T142" i="163" s="1"/>
  <c r="U142" i="163" s="1"/>
  <c r="V142" i="163" s="1"/>
  <c r="W142" i="163" s="1"/>
  <c r="X142" i="163" s="1"/>
  <c r="Y142" i="163" s="1"/>
  <c r="Z142" i="163" s="1"/>
  <c r="AA142" i="163" s="1"/>
  <c r="AB142" i="163" s="1"/>
  <c r="AC142" i="163" s="1"/>
  <c r="AD142" i="163" s="1"/>
  <c r="AE142" i="163" s="1"/>
  <c r="AF142" i="163" s="1"/>
  <c r="AG142" i="163" s="1"/>
  <c r="AH142" i="163" s="1"/>
  <c r="AI142" i="163" s="1"/>
  <c r="K31" i="165"/>
  <c r="I31" i="165"/>
  <c r="H31" i="165"/>
  <c r="G31" i="165"/>
  <c r="E31" i="165"/>
  <c r="D31" i="165"/>
  <c r="C31" i="165"/>
  <c r="B31" i="165"/>
  <c r="K30" i="165"/>
  <c r="I30" i="165"/>
  <c r="H30" i="165"/>
  <c r="G30" i="165"/>
  <c r="E30" i="165"/>
  <c r="D30" i="165"/>
  <c r="C30" i="165"/>
  <c r="B30" i="165"/>
  <c r="K29" i="165"/>
  <c r="I29" i="165"/>
  <c r="H29" i="165"/>
  <c r="G29" i="165"/>
  <c r="E29" i="165"/>
  <c r="D29" i="165"/>
  <c r="C29" i="165"/>
  <c r="B29" i="165"/>
  <c r="K28" i="165"/>
  <c r="I28" i="165"/>
  <c r="H28" i="165"/>
  <c r="G28" i="165"/>
  <c r="E28" i="165"/>
  <c r="D28" i="165"/>
  <c r="C28" i="165"/>
  <c r="B28" i="165"/>
  <c r="K27" i="165"/>
  <c r="I27" i="165"/>
  <c r="H27" i="165"/>
  <c r="G27" i="165"/>
  <c r="E27" i="165"/>
  <c r="D27" i="165"/>
  <c r="C27" i="165"/>
  <c r="B27" i="165"/>
  <c r="K26" i="165"/>
  <c r="I26" i="165"/>
  <c r="H26" i="165"/>
  <c r="G26" i="165"/>
  <c r="E26" i="165"/>
  <c r="D26" i="165"/>
  <c r="C26" i="165"/>
  <c r="B26" i="165"/>
  <c r="AS21" i="165"/>
  <c r="W21" i="165"/>
  <c r="J21" i="165"/>
  <c r="F21" i="165"/>
  <c r="F31" i="165" s="1"/>
  <c r="AS20" i="165"/>
  <c r="AZ119" i="165" s="1"/>
  <c r="AZ130" i="165" s="1"/>
  <c r="W20" i="165"/>
  <c r="J20" i="165"/>
  <c r="K119" i="165" s="1"/>
  <c r="F20" i="165"/>
  <c r="F30" i="165" s="1"/>
  <c r="AS19" i="165"/>
  <c r="AZ118" i="165" s="1"/>
  <c r="AZ125" i="165" s="1"/>
  <c r="W19" i="165"/>
  <c r="J19" i="165"/>
  <c r="J29" i="165" s="1"/>
  <c r="F19" i="165"/>
  <c r="F29" i="165" s="1"/>
  <c r="AS18" i="165"/>
  <c r="AZ117" i="165" s="1"/>
  <c r="AZ124" i="165" s="1"/>
  <c r="W18" i="165"/>
  <c r="J18" i="165"/>
  <c r="J28" i="165" s="1"/>
  <c r="F18" i="165"/>
  <c r="G117" i="165" s="1"/>
  <c r="G124" i="165" s="1"/>
  <c r="AS17" i="165"/>
  <c r="AZ116" i="165" s="1"/>
  <c r="AZ123" i="165" s="1"/>
  <c r="W17" i="165"/>
  <c r="J17" i="165"/>
  <c r="F17" i="165"/>
  <c r="AS16" i="165"/>
  <c r="AZ115" i="165" s="1"/>
  <c r="AZ122" i="165" s="1"/>
  <c r="W16" i="165"/>
  <c r="J16" i="165"/>
  <c r="K115" i="165" s="1"/>
  <c r="K122" i="165" s="1"/>
  <c r="F16" i="165"/>
  <c r="F26" i="165" s="1"/>
  <c r="AL127" i="164"/>
  <c r="AK127" i="164"/>
  <c r="AJ127" i="164"/>
  <c r="AI127" i="164"/>
  <c r="AH127" i="164"/>
  <c r="AG127" i="164"/>
  <c r="AF127" i="164"/>
  <c r="AE127" i="164"/>
  <c r="AD127" i="164"/>
  <c r="AC127" i="164"/>
  <c r="AB127" i="164"/>
  <c r="AA127" i="164"/>
  <c r="Z127" i="164"/>
  <c r="Y127" i="164"/>
  <c r="X127" i="164"/>
  <c r="W127" i="164"/>
  <c r="V127" i="164"/>
  <c r="U127" i="164"/>
  <c r="T127" i="164"/>
  <c r="S127" i="164"/>
  <c r="R127" i="164"/>
  <c r="Q127" i="164"/>
  <c r="P127" i="164"/>
  <c r="O127" i="164"/>
  <c r="N127" i="164"/>
  <c r="M127" i="164"/>
  <c r="L127" i="164"/>
  <c r="K127" i="164"/>
  <c r="AL125" i="164"/>
  <c r="AK125" i="164"/>
  <c r="AJ125" i="164"/>
  <c r="AI125" i="164"/>
  <c r="AH125" i="164"/>
  <c r="AG125" i="164"/>
  <c r="AF125" i="164"/>
  <c r="AE125" i="164"/>
  <c r="AD125" i="164"/>
  <c r="AC125" i="164"/>
  <c r="AB125" i="164"/>
  <c r="AA125" i="164"/>
  <c r="Z125" i="164"/>
  <c r="Y125" i="164"/>
  <c r="X125" i="164"/>
  <c r="W125" i="164"/>
  <c r="V125" i="164"/>
  <c r="U125" i="164"/>
  <c r="T125" i="164"/>
  <c r="S125" i="164"/>
  <c r="R125" i="164"/>
  <c r="Q125" i="164"/>
  <c r="P125" i="164"/>
  <c r="O125" i="164"/>
  <c r="N125" i="164"/>
  <c r="M125" i="164"/>
  <c r="L125" i="164"/>
  <c r="K125" i="164"/>
  <c r="AL123" i="164"/>
  <c r="AK123" i="164"/>
  <c r="AJ123" i="164"/>
  <c r="AI123" i="164"/>
  <c r="AH123" i="164"/>
  <c r="AG123" i="164"/>
  <c r="AF123" i="164"/>
  <c r="AE123" i="164"/>
  <c r="AD123" i="164"/>
  <c r="AC123" i="164"/>
  <c r="AB123" i="164"/>
  <c r="AA123" i="164"/>
  <c r="Z123" i="164"/>
  <c r="Y123" i="164"/>
  <c r="X123" i="164"/>
  <c r="W123" i="164"/>
  <c r="V123" i="164"/>
  <c r="U123" i="164"/>
  <c r="T123" i="164"/>
  <c r="S123" i="164"/>
  <c r="R123" i="164"/>
  <c r="Q123" i="164"/>
  <c r="P123" i="164"/>
  <c r="O123" i="164"/>
  <c r="N123" i="164"/>
  <c r="M123" i="164"/>
  <c r="L123" i="164"/>
  <c r="K123" i="164"/>
  <c r="AL121" i="164"/>
  <c r="AK121" i="164"/>
  <c r="AJ121" i="164"/>
  <c r="AI121" i="164"/>
  <c r="AH121" i="164"/>
  <c r="AG121" i="164"/>
  <c r="AF121" i="164"/>
  <c r="AE121" i="164"/>
  <c r="AD121" i="164"/>
  <c r="AC121" i="164"/>
  <c r="AB121" i="164"/>
  <c r="AA121" i="164"/>
  <c r="Z121" i="164"/>
  <c r="Y121" i="164"/>
  <c r="X121" i="164"/>
  <c r="W121" i="164"/>
  <c r="V121" i="164"/>
  <c r="U121" i="164"/>
  <c r="T121" i="164"/>
  <c r="S121" i="164"/>
  <c r="R121" i="164"/>
  <c r="Q121" i="164"/>
  <c r="P121" i="164"/>
  <c r="O121" i="164"/>
  <c r="N121" i="164"/>
  <c r="M121" i="164"/>
  <c r="L121" i="164"/>
  <c r="K121" i="164"/>
  <c r="AL119" i="164"/>
  <c r="AK119" i="164"/>
  <c r="AJ119" i="164"/>
  <c r="AI119" i="164"/>
  <c r="AH119" i="164"/>
  <c r="AG119" i="164"/>
  <c r="AF119" i="164"/>
  <c r="AE119" i="164"/>
  <c r="AD119" i="164"/>
  <c r="AC119" i="164"/>
  <c r="AB119" i="164"/>
  <c r="AA119" i="164"/>
  <c r="Z119" i="164"/>
  <c r="Y119" i="164"/>
  <c r="X119" i="164"/>
  <c r="W119" i="164"/>
  <c r="V119" i="164"/>
  <c r="U119" i="164"/>
  <c r="T119" i="164"/>
  <c r="S119" i="164"/>
  <c r="R119" i="164"/>
  <c r="Q119" i="164"/>
  <c r="P119" i="164"/>
  <c r="O119" i="164"/>
  <c r="N119" i="164"/>
  <c r="M119" i="164"/>
  <c r="L119" i="164"/>
  <c r="K119" i="164"/>
  <c r="AL117" i="164"/>
  <c r="AK117" i="164"/>
  <c r="AJ117" i="164"/>
  <c r="AI117" i="164"/>
  <c r="AH117" i="164"/>
  <c r="AG117" i="164"/>
  <c r="AF117" i="164"/>
  <c r="AE117" i="164"/>
  <c r="AD117" i="164"/>
  <c r="AC117" i="164"/>
  <c r="AB117" i="164"/>
  <c r="AA117" i="164"/>
  <c r="Z117" i="164"/>
  <c r="Y117" i="164"/>
  <c r="X117" i="164"/>
  <c r="W117" i="164"/>
  <c r="V117" i="164"/>
  <c r="U117" i="164"/>
  <c r="T117" i="164"/>
  <c r="S117" i="164"/>
  <c r="R117" i="164"/>
  <c r="Q117" i="164"/>
  <c r="P117" i="164"/>
  <c r="O117" i="164"/>
  <c r="N117" i="164"/>
  <c r="M117" i="164"/>
  <c r="L117" i="164"/>
  <c r="K117" i="164"/>
  <c r="AL102" i="164"/>
  <c r="AK102" i="164"/>
  <c r="AJ102" i="164"/>
  <c r="AI102" i="164"/>
  <c r="AH102" i="164"/>
  <c r="AG102" i="164"/>
  <c r="AF102" i="164"/>
  <c r="AE102" i="164"/>
  <c r="AD102" i="164"/>
  <c r="AC102" i="164"/>
  <c r="AB102" i="164"/>
  <c r="AA102" i="164"/>
  <c r="Z102" i="164"/>
  <c r="Y102" i="164"/>
  <c r="X102" i="164"/>
  <c r="W102" i="164"/>
  <c r="V102" i="164"/>
  <c r="U102" i="164"/>
  <c r="T102" i="164"/>
  <c r="S102" i="164"/>
  <c r="R102" i="164"/>
  <c r="Q102" i="164"/>
  <c r="P102" i="164"/>
  <c r="O102" i="164"/>
  <c r="N102" i="164"/>
  <c r="M102" i="164"/>
  <c r="L102" i="164"/>
  <c r="K102" i="164"/>
  <c r="AL100" i="164"/>
  <c r="AK100" i="164"/>
  <c r="AJ100" i="164"/>
  <c r="AI100" i="164"/>
  <c r="AH100" i="164"/>
  <c r="AG100" i="164"/>
  <c r="AF100" i="164"/>
  <c r="AE100" i="164"/>
  <c r="AD100" i="164"/>
  <c r="AC100" i="164"/>
  <c r="AB100" i="164"/>
  <c r="AA100" i="164"/>
  <c r="Z100" i="164"/>
  <c r="Y100" i="164"/>
  <c r="X100" i="164"/>
  <c r="W100" i="164"/>
  <c r="V100" i="164"/>
  <c r="U100" i="164"/>
  <c r="T100" i="164"/>
  <c r="S100" i="164"/>
  <c r="R100" i="164"/>
  <c r="Q100" i="164"/>
  <c r="P100" i="164"/>
  <c r="O100" i="164"/>
  <c r="N100" i="164"/>
  <c r="M100" i="164"/>
  <c r="L100" i="164"/>
  <c r="K100" i="164"/>
  <c r="AL98" i="164"/>
  <c r="AK98" i="164"/>
  <c r="AJ98" i="164"/>
  <c r="AI98" i="164"/>
  <c r="AH98" i="164"/>
  <c r="AG98" i="164"/>
  <c r="AF98" i="164"/>
  <c r="AE98" i="164"/>
  <c r="AD98" i="164"/>
  <c r="AC98" i="164"/>
  <c r="AB98" i="164"/>
  <c r="AA98" i="164"/>
  <c r="Z98" i="164"/>
  <c r="Y98" i="164"/>
  <c r="X98" i="164"/>
  <c r="W98" i="164"/>
  <c r="V98" i="164"/>
  <c r="U98" i="164"/>
  <c r="T98" i="164"/>
  <c r="S98" i="164"/>
  <c r="R98" i="164"/>
  <c r="Q98" i="164"/>
  <c r="P98" i="164"/>
  <c r="O98" i="164"/>
  <c r="N98" i="164"/>
  <c r="M98" i="164"/>
  <c r="L98" i="164"/>
  <c r="K98" i="164"/>
  <c r="AL96" i="164"/>
  <c r="AK96" i="164"/>
  <c r="AJ96" i="164"/>
  <c r="AI96" i="164"/>
  <c r="AH96" i="164"/>
  <c r="AG96" i="164"/>
  <c r="AF96" i="164"/>
  <c r="AE96" i="164"/>
  <c r="AD96" i="164"/>
  <c r="AC96" i="164"/>
  <c r="AB96" i="164"/>
  <c r="AA96" i="164"/>
  <c r="Z96" i="164"/>
  <c r="Y96" i="164"/>
  <c r="X96" i="164"/>
  <c r="W96" i="164"/>
  <c r="V96" i="164"/>
  <c r="U96" i="164"/>
  <c r="T96" i="164"/>
  <c r="S96" i="164"/>
  <c r="R96" i="164"/>
  <c r="Q96" i="164"/>
  <c r="P96" i="164"/>
  <c r="O96" i="164"/>
  <c r="N96" i="164"/>
  <c r="M96" i="164"/>
  <c r="L96" i="164"/>
  <c r="K96" i="164"/>
  <c r="AL94" i="164"/>
  <c r="AK94" i="164"/>
  <c r="AJ94" i="164"/>
  <c r="AI94" i="164"/>
  <c r="AH94" i="164"/>
  <c r="AG94" i="164"/>
  <c r="AF94" i="164"/>
  <c r="AE94" i="164"/>
  <c r="AD94" i="164"/>
  <c r="AC94" i="164"/>
  <c r="AB94" i="164"/>
  <c r="AA94" i="164"/>
  <c r="Z94" i="164"/>
  <c r="Y94" i="164"/>
  <c r="X94" i="164"/>
  <c r="W94" i="164"/>
  <c r="V94" i="164"/>
  <c r="U94" i="164"/>
  <c r="T94" i="164"/>
  <c r="S94" i="164"/>
  <c r="R94" i="164"/>
  <c r="Q94" i="164"/>
  <c r="P94" i="164"/>
  <c r="O94" i="164"/>
  <c r="N94" i="164"/>
  <c r="M94" i="164"/>
  <c r="L94" i="164"/>
  <c r="K94" i="164"/>
  <c r="AL92" i="164"/>
  <c r="AK92" i="164"/>
  <c r="AJ92" i="164"/>
  <c r="AI92" i="164"/>
  <c r="AH92" i="164"/>
  <c r="AG92" i="164"/>
  <c r="AF92" i="164"/>
  <c r="AE92" i="164"/>
  <c r="AD92" i="164"/>
  <c r="AC92" i="164"/>
  <c r="AB92" i="164"/>
  <c r="AA92" i="164"/>
  <c r="Z92" i="164"/>
  <c r="Y92" i="164"/>
  <c r="X92" i="164"/>
  <c r="W92" i="164"/>
  <c r="V92" i="164"/>
  <c r="U92" i="164"/>
  <c r="T92" i="164"/>
  <c r="S92" i="164"/>
  <c r="R92" i="164"/>
  <c r="Q92" i="164"/>
  <c r="P92" i="164"/>
  <c r="O92" i="164"/>
  <c r="N92" i="164"/>
  <c r="M92" i="164"/>
  <c r="L92" i="164"/>
  <c r="K92" i="164"/>
  <c r="K71" i="164"/>
  <c r="L71" i="164" s="1"/>
  <c r="M71" i="164" s="1"/>
  <c r="N71" i="164" s="1"/>
  <c r="O71" i="164" s="1"/>
  <c r="P71" i="164" s="1"/>
  <c r="Q71" i="164" s="1"/>
  <c r="R71" i="164" s="1"/>
  <c r="S71" i="164" s="1"/>
  <c r="T71" i="164" s="1"/>
  <c r="U71" i="164" s="1"/>
  <c r="V71" i="164" s="1"/>
  <c r="W71" i="164" s="1"/>
  <c r="X71" i="164" s="1"/>
  <c r="Y71" i="164" s="1"/>
  <c r="Z71" i="164" s="1"/>
  <c r="AA71" i="164" s="1"/>
  <c r="AB71" i="164" s="1"/>
  <c r="AC71" i="164" s="1"/>
  <c r="AD71" i="164" s="1"/>
  <c r="AE71" i="164" s="1"/>
  <c r="AF71" i="164" s="1"/>
  <c r="AG71" i="164" s="1"/>
  <c r="AH71" i="164" s="1"/>
  <c r="AI71" i="164" s="1"/>
  <c r="AJ71" i="164" s="1"/>
  <c r="AK71" i="164" s="1"/>
  <c r="K70" i="164"/>
  <c r="L70" i="164" s="1"/>
  <c r="M70" i="164" s="1"/>
  <c r="N70" i="164" s="1"/>
  <c r="O70" i="164" s="1"/>
  <c r="P70" i="164" s="1"/>
  <c r="Q70" i="164" s="1"/>
  <c r="R70" i="164" s="1"/>
  <c r="S70" i="164" s="1"/>
  <c r="T70" i="164" s="1"/>
  <c r="U70" i="164" s="1"/>
  <c r="V70" i="164" s="1"/>
  <c r="W70" i="164" s="1"/>
  <c r="X70" i="164" s="1"/>
  <c r="Y70" i="164" s="1"/>
  <c r="Z70" i="164" s="1"/>
  <c r="AA70" i="164" s="1"/>
  <c r="AB70" i="164" s="1"/>
  <c r="AC70" i="164" s="1"/>
  <c r="AD70" i="164" s="1"/>
  <c r="AE70" i="164" s="1"/>
  <c r="AF70" i="164" s="1"/>
  <c r="AG70" i="164" s="1"/>
  <c r="AH70" i="164" s="1"/>
  <c r="AI70" i="164" s="1"/>
  <c r="AJ70" i="164" s="1"/>
  <c r="AK70" i="164" s="1"/>
  <c r="K65" i="164"/>
  <c r="L65" i="164" s="1"/>
  <c r="M65" i="164" s="1"/>
  <c r="N65" i="164" s="1"/>
  <c r="O65" i="164" s="1"/>
  <c r="P65" i="164" s="1"/>
  <c r="Q65" i="164" s="1"/>
  <c r="R65" i="164" s="1"/>
  <c r="S65" i="164" s="1"/>
  <c r="T65" i="164" s="1"/>
  <c r="U65" i="164" s="1"/>
  <c r="V65" i="164" s="1"/>
  <c r="W65" i="164" s="1"/>
  <c r="X65" i="164" s="1"/>
  <c r="Y65" i="164" s="1"/>
  <c r="Z65" i="164" s="1"/>
  <c r="AA65" i="164" s="1"/>
  <c r="AB65" i="164" s="1"/>
  <c r="AC65" i="164" s="1"/>
  <c r="AD65" i="164" s="1"/>
  <c r="AE65" i="164" s="1"/>
  <c r="AF65" i="164" s="1"/>
  <c r="AG65" i="164" s="1"/>
  <c r="AH65" i="164" s="1"/>
  <c r="AI65" i="164" s="1"/>
  <c r="AJ65" i="164" s="1"/>
  <c r="AK65" i="164" s="1"/>
  <c r="K64" i="164"/>
  <c r="L64" i="164" s="1"/>
  <c r="M64" i="164" s="1"/>
  <c r="N64" i="164" s="1"/>
  <c r="O64" i="164" s="1"/>
  <c r="P64" i="164" s="1"/>
  <c r="Q64" i="164" s="1"/>
  <c r="R64" i="164" s="1"/>
  <c r="S64" i="164" s="1"/>
  <c r="T64" i="164" s="1"/>
  <c r="U64" i="164" s="1"/>
  <c r="V64" i="164" s="1"/>
  <c r="W64" i="164" s="1"/>
  <c r="X64" i="164" s="1"/>
  <c r="Y64" i="164" s="1"/>
  <c r="Z64" i="164" s="1"/>
  <c r="AA64" i="164" s="1"/>
  <c r="AB64" i="164" s="1"/>
  <c r="AC64" i="164" s="1"/>
  <c r="AD64" i="164" s="1"/>
  <c r="AE64" i="164" s="1"/>
  <c r="AF64" i="164" s="1"/>
  <c r="AG64" i="164" s="1"/>
  <c r="AH64" i="164" s="1"/>
  <c r="AI64" i="164" s="1"/>
  <c r="AJ64" i="164" s="1"/>
  <c r="AK64" i="164" s="1"/>
  <c r="K60" i="164"/>
  <c r="L60" i="164" s="1"/>
  <c r="M60" i="164" s="1"/>
  <c r="N60" i="164" s="1"/>
  <c r="O60" i="164" s="1"/>
  <c r="P60" i="164" s="1"/>
  <c r="Q60" i="164" s="1"/>
  <c r="R60" i="164" s="1"/>
  <c r="S60" i="164" s="1"/>
  <c r="T60" i="164" s="1"/>
  <c r="U60" i="164" s="1"/>
  <c r="V60" i="164" s="1"/>
  <c r="W60" i="164" s="1"/>
  <c r="X60" i="164" s="1"/>
  <c r="Y60" i="164" s="1"/>
  <c r="Z60" i="164" s="1"/>
  <c r="AA60" i="164" s="1"/>
  <c r="AB60" i="164" s="1"/>
  <c r="AC60" i="164" s="1"/>
  <c r="AD60" i="164" s="1"/>
  <c r="AE60" i="164" s="1"/>
  <c r="AF60" i="164" s="1"/>
  <c r="AG60" i="164" s="1"/>
  <c r="AH60" i="164" s="1"/>
  <c r="AI60" i="164" s="1"/>
  <c r="AJ60" i="164" s="1"/>
  <c r="AK60" i="164" s="1"/>
  <c r="K59" i="164"/>
  <c r="L59" i="164" s="1"/>
  <c r="M59" i="164" s="1"/>
  <c r="N59" i="164" s="1"/>
  <c r="O59" i="164" s="1"/>
  <c r="P59" i="164" s="1"/>
  <c r="Q59" i="164" s="1"/>
  <c r="R59" i="164" s="1"/>
  <c r="S59" i="164" s="1"/>
  <c r="T59" i="164" s="1"/>
  <c r="U59" i="164" s="1"/>
  <c r="V59" i="164" s="1"/>
  <c r="W59" i="164" s="1"/>
  <c r="X59" i="164" s="1"/>
  <c r="Y59" i="164" s="1"/>
  <c r="Z59" i="164" s="1"/>
  <c r="AA59" i="164" s="1"/>
  <c r="AB59" i="164" s="1"/>
  <c r="AC59" i="164" s="1"/>
  <c r="AD59" i="164" s="1"/>
  <c r="AE59" i="164" s="1"/>
  <c r="AF59" i="164" s="1"/>
  <c r="AG59" i="164" s="1"/>
  <c r="AH59" i="164" s="1"/>
  <c r="AI59" i="164" s="1"/>
  <c r="AJ59" i="164" s="1"/>
  <c r="AK59" i="164" s="1"/>
  <c r="K55" i="164"/>
  <c r="L55" i="164" s="1"/>
  <c r="M55" i="164" s="1"/>
  <c r="N55" i="164" s="1"/>
  <c r="O55" i="164" s="1"/>
  <c r="P55" i="164" s="1"/>
  <c r="Q55" i="164" s="1"/>
  <c r="R55" i="164" s="1"/>
  <c r="S55" i="164" s="1"/>
  <c r="T55" i="164" s="1"/>
  <c r="U55" i="164" s="1"/>
  <c r="V55" i="164" s="1"/>
  <c r="W55" i="164" s="1"/>
  <c r="X55" i="164" s="1"/>
  <c r="Y55" i="164" s="1"/>
  <c r="Z55" i="164" s="1"/>
  <c r="AA55" i="164" s="1"/>
  <c r="AB55" i="164" s="1"/>
  <c r="AC55" i="164" s="1"/>
  <c r="AD55" i="164" s="1"/>
  <c r="AE55" i="164" s="1"/>
  <c r="AF55" i="164" s="1"/>
  <c r="AG55" i="164" s="1"/>
  <c r="AH55" i="164" s="1"/>
  <c r="AI55" i="164" s="1"/>
  <c r="AJ55" i="164" s="1"/>
  <c r="AK55" i="164" s="1"/>
  <c r="K51" i="164"/>
  <c r="L51" i="164" s="1"/>
  <c r="M51" i="164" s="1"/>
  <c r="N51" i="164" s="1"/>
  <c r="O51" i="164" s="1"/>
  <c r="P51" i="164" s="1"/>
  <c r="Q51" i="164" s="1"/>
  <c r="R51" i="164" s="1"/>
  <c r="S51" i="164" s="1"/>
  <c r="T51" i="164" s="1"/>
  <c r="U51" i="164" s="1"/>
  <c r="V51" i="164" s="1"/>
  <c r="W51" i="164" s="1"/>
  <c r="X51" i="164" s="1"/>
  <c r="Y51" i="164" s="1"/>
  <c r="Z51" i="164" s="1"/>
  <c r="AA51" i="164" s="1"/>
  <c r="AB51" i="164" s="1"/>
  <c r="AC51" i="164" s="1"/>
  <c r="AD51" i="164" s="1"/>
  <c r="AE51" i="164" s="1"/>
  <c r="AF51" i="164" s="1"/>
  <c r="AG51" i="164" s="1"/>
  <c r="AH51" i="164" s="1"/>
  <c r="AI51" i="164" s="1"/>
  <c r="AJ51" i="164" s="1"/>
  <c r="AK51" i="164" s="1"/>
  <c r="K50" i="164"/>
  <c r="L50" i="164" s="1"/>
  <c r="M50" i="164" s="1"/>
  <c r="N50" i="164" s="1"/>
  <c r="O50" i="164" s="1"/>
  <c r="P50" i="164" s="1"/>
  <c r="Q50" i="164" s="1"/>
  <c r="R50" i="164" s="1"/>
  <c r="S50" i="164" s="1"/>
  <c r="T50" i="164" s="1"/>
  <c r="U50" i="164" s="1"/>
  <c r="V50" i="164" s="1"/>
  <c r="W50" i="164" s="1"/>
  <c r="X50" i="164" s="1"/>
  <c r="Y50" i="164" s="1"/>
  <c r="Z50" i="164" s="1"/>
  <c r="AA50" i="164" s="1"/>
  <c r="AB50" i="164" s="1"/>
  <c r="AC50" i="164" s="1"/>
  <c r="AD50" i="164" s="1"/>
  <c r="AE50" i="164" s="1"/>
  <c r="AF50" i="164" s="1"/>
  <c r="AG50" i="164" s="1"/>
  <c r="AH50" i="164" s="1"/>
  <c r="AI50" i="164" s="1"/>
  <c r="AJ50" i="164" s="1"/>
  <c r="AK50" i="164" s="1"/>
  <c r="K44" i="164"/>
  <c r="L44" i="164" s="1"/>
  <c r="M44" i="164" s="1"/>
  <c r="N44" i="164" s="1"/>
  <c r="O44" i="164" s="1"/>
  <c r="P44" i="164" s="1"/>
  <c r="Q44" i="164" s="1"/>
  <c r="R44" i="164" s="1"/>
  <c r="S44" i="164" s="1"/>
  <c r="T44" i="164" s="1"/>
  <c r="U44" i="164" s="1"/>
  <c r="V44" i="164" s="1"/>
  <c r="W44" i="164" s="1"/>
  <c r="X44" i="164" s="1"/>
  <c r="Y44" i="164" s="1"/>
  <c r="Z44" i="164" s="1"/>
  <c r="AA44" i="164" s="1"/>
  <c r="AB44" i="164" s="1"/>
  <c r="AC44" i="164" s="1"/>
  <c r="AD44" i="164" s="1"/>
  <c r="AE44" i="164" s="1"/>
  <c r="AF44" i="164" s="1"/>
  <c r="AG44" i="164" s="1"/>
  <c r="AH44" i="164" s="1"/>
  <c r="AI44" i="164" s="1"/>
  <c r="AJ44" i="164" s="1"/>
  <c r="AK44" i="164" s="1"/>
  <c r="K43" i="164"/>
  <c r="L43" i="164" s="1"/>
  <c r="M43" i="164" s="1"/>
  <c r="N43" i="164" s="1"/>
  <c r="O43" i="164" s="1"/>
  <c r="P43" i="164" s="1"/>
  <c r="Q43" i="164" s="1"/>
  <c r="R43" i="164" s="1"/>
  <c r="S43" i="164" s="1"/>
  <c r="T43" i="164" s="1"/>
  <c r="U43" i="164" s="1"/>
  <c r="V43" i="164" s="1"/>
  <c r="W43" i="164" s="1"/>
  <c r="X43" i="164" s="1"/>
  <c r="Y43" i="164" s="1"/>
  <c r="Z43" i="164" s="1"/>
  <c r="AA43" i="164" s="1"/>
  <c r="AB43" i="164" s="1"/>
  <c r="AC43" i="164" s="1"/>
  <c r="AD43" i="164" s="1"/>
  <c r="AE43" i="164" s="1"/>
  <c r="AF43" i="164" s="1"/>
  <c r="AG43" i="164" s="1"/>
  <c r="AH43" i="164" s="1"/>
  <c r="AI43" i="164" s="1"/>
  <c r="AJ43" i="164" s="1"/>
  <c r="AK43" i="164" s="1"/>
  <c r="K38" i="164"/>
  <c r="L38" i="164" s="1"/>
  <c r="M38" i="164" s="1"/>
  <c r="N38" i="164" s="1"/>
  <c r="O38" i="164" s="1"/>
  <c r="P38" i="164" s="1"/>
  <c r="Q38" i="164" s="1"/>
  <c r="R38" i="164" s="1"/>
  <c r="S38" i="164" s="1"/>
  <c r="T38" i="164" s="1"/>
  <c r="U38" i="164" s="1"/>
  <c r="V38" i="164" s="1"/>
  <c r="W38" i="164" s="1"/>
  <c r="X38" i="164" s="1"/>
  <c r="Y38" i="164" s="1"/>
  <c r="Z38" i="164" s="1"/>
  <c r="AA38" i="164" s="1"/>
  <c r="AB38" i="164" s="1"/>
  <c r="AC38" i="164" s="1"/>
  <c r="AD38" i="164" s="1"/>
  <c r="AE38" i="164" s="1"/>
  <c r="AF38" i="164" s="1"/>
  <c r="AG38" i="164" s="1"/>
  <c r="AH38" i="164" s="1"/>
  <c r="AI38" i="164" s="1"/>
  <c r="AJ38" i="164" s="1"/>
  <c r="AK38" i="164" s="1"/>
  <c r="K36" i="164"/>
  <c r="L36" i="164" s="1"/>
  <c r="M36" i="164" s="1"/>
  <c r="N36" i="164" s="1"/>
  <c r="O36" i="164" s="1"/>
  <c r="P36" i="164" s="1"/>
  <c r="Q36" i="164" s="1"/>
  <c r="R36" i="164" s="1"/>
  <c r="S36" i="164" s="1"/>
  <c r="T36" i="164" s="1"/>
  <c r="U36" i="164" s="1"/>
  <c r="V36" i="164" s="1"/>
  <c r="W36" i="164" s="1"/>
  <c r="X36" i="164" s="1"/>
  <c r="Y36" i="164" s="1"/>
  <c r="Z36" i="164" s="1"/>
  <c r="AA36" i="164" s="1"/>
  <c r="AB36" i="164" s="1"/>
  <c r="AC36" i="164" s="1"/>
  <c r="AD36" i="164" s="1"/>
  <c r="AE36" i="164" s="1"/>
  <c r="AF36" i="164" s="1"/>
  <c r="AG36" i="164" s="1"/>
  <c r="AH36" i="164" s="1"/>
  <c r="AI36" i="164" s="1"/>
  <c r="AJ36" i="164" s="1"/>
  <c r="AK36" i="164" s="1"/>
  <c r="K30" i="164"/>
  <c r="L30" i="164" s="1"/>
  <c r="M30" i="164" s="1"/>
  <c r="N30" i="164" s="1"/>
  <c r="O30" i="164" s="1"/>
  <c r="P30" i="164" s="1"/>
  <c r="Q30" i="164" s="1"/>
  <c r="R30" i="164" s="1"/>
  <c r="S30" i="164" s="1"/>
  <c r="T30" i="164" s="1"/>
  <c r="U30" i="164" s="1"/>
  <c r="V30" i="164" s="1"/>
  <c r="W30" i="164" s="1"/>
  <c r="X30" i="164" s="1"/>
  <c r="Y30" i="164" s="1"/>
  <c r="Z30" i="164" s="1"/>
  <c r="AA30" i="164" s="1"/>
  <c r="AB30" i="164" s="1"/>
  <c r="AC30" i="164" s="1"/>
  <c r="AD30" i="164" s="1"/>
  <c r="AE30" i="164" s="1"/>
  <c r="AF30" i="164" s="1"/>
  <c r="AG30" i="164" s="1"/>
  <c r="AH30" i="164" s="1"/>
  <c r="AI30" i="164" s="1"/>
  <c r="AJ30" i="164" s="1"/>
  <c r="AK30" i="164" s="1"/>
  <c r="K28" i="164"/>
  <c r="L28" i="164" s="1"/>
  <c r="M28" i="164" s="1"/>
  <c r="N28" i="164" s="1"/>
  <c r="O28" i="164" s="1"/>
  <c r="P28" i="164" s="1"/>
  <c r="Q28" i="164" s="1"/>
  <c r="R28" i="164" s="1"/>
  <c r="S28" i="164" s="1"/>
  <c r="T28" i="164" s="1"/>
  <c r="U28" i="164" s="1"/>
  <c r="V28" i="164" s="1"/>
  <c r="W28" i="164" s="1"/>
  <c r="X28" i="164" s="1"/>
  <c r="Y28" i="164" s="1"/>
  <c r="Z28" i="164" s="1"/>
  <c r="AA28" i="164" s="1"/>
  <c r="AB28" i="164" s="1"/>
  <c r="AC28" i="164" s="1"/>
  <c r="AD28" i="164" s="1"/>
  <c r="AE28" i="164" s="1"/>
  <c r="AF28" i="164" s="1"/>
  <c r="AG28" i="164" s="1"/>
  <c r="AH28" i="164" s="1"/>
  <c r="AI28" i="164" s="1"/>
  <c r="AJ28" i="164" s="1"/>
  <c r="AK28" i="164" s="1"/>
  <c r="K23" i="164"/>
  <c r="L23" i="164" s="1"/>
  <c r="M23" i="164" s="1"/>
  <c r="N23" i="164" s="1"/>
  <c r="O23" i="164" s="1"/>
  <c r="P23" i="164" s="1"/>
  <c r="Q23" i="164" s="1"/>
  <c r="R23" i="164" s="1"/>
  <c r="S23" i="164" s="1"/>
  <c r="T23" i="164" s="1"/>
  <c r="U23" i="164" s="1"/>
  <c r="V23" i="164" s="1"/>
  <c r="W23" i="164" s="1"/>
  <c r="X23" i="164" s="1"/>
  <c r="Y23" i="164" s="1"/>
  <c r="Z23" i="164" s="1"/>
  <c r="AA23" i="164" s="1"/>
  <c r="AB23" i="164" s="1"/>
  <c r="AC23" i="164" s="1"/>
  <c r="AD23" i="164" s="1"/>
  <c r="AE23" i="164" s="1"/>
  <c r="AF23" i="164" s="1"/>
  <c r="AG23" i="164" s="1"/>
  <c r="AH23" i="164" s="1"/>
  <c r="AI23" i="164" s="1"/>
  <c r="AJ23" i="164" s="1"/>
  <c r="AK23" i="164" s="1"/>
  <c r="K22" i="164"/>
  <c r="L22" i="164" s="1"/>
  <c r="M22" i="164" s="1"/>
  <c r="N22" i="164" s="1"/>
  <c r="O22" i="164" s="1"/>
  <c r="P22" i="164" s="1"/>
  <c r="Q22" i="164" s="1"/>
  <c r="R22" i="164" s="1"/>
  <c r="S22" i="164" s="1"/>
  <c r="T22" i="164" s="1"/>
  <c r="U22" i="164" s="1"/>
  <c r="V22" i="164" s="1"/>
  <c r="W22" i="164" s="1"/>
  <c r="X22" i="164" s="1"/>
  <c r="Y22" i="164" s="1"/>
  <c r="Z22" i="164" s="1"/>
  <c r="AA22" i="164" s="1"/>
  <c r="AB22" i="164" s="1"/>
  <c r="AC22" i="164" s="1"/>
  <c r="AD22" i="164" s="1"/>
  <c r="AE22" i="164" s="1"/>
  <c r="AF22" i="164" s="1"/>
  <c r="AG22" i="164" s="1"/>
  <c r="AH22" i="164" s="1"/>
  <c r="AI22" i="164" s="1"/>
  <c r="AJ22" i="164" s="1"/>
  <c r="AK22" i="164" s="1"/>
  <c r="K16" i="164"/>
  <c r="L16" i="164" s="1"/>
  <c r="M16" i="164" s="1"/>
  <c r="N16" i="164" s="1"/>
  <c r="O16" i="164" s="1"/>
  <c r="P16" i="164" s="1"/>
  <c r="Q16" i="164" s="1"/>
  <c r="R16" i="164" s="1"/>
  <c r="S16" i="164" s="1"/>
  <c r="T16" i="164" s="1"/>
  <c r="U16" i="164" s="1"/>
  <c r="V16" i="164" s="1"/>
  <c r="W16" i="164" s="1"/>
  <c r="X16" i="164" s="1"/>
  <c r="Y16" i="164" s="1"/>
  <c r="Z16" i="164" s="1"/>
  <c r="AA16" i="164" s="1"/>
  <c r="AB16" i="164" s="1"/>
  <c r="AC16" i="164" s="1"/>
  <c r="AD16" i="164" s="1"/>
  <c r="AE16" i="164" s="1"/>
  <c r="AF16" i="164" s="1"/>
  <c r="AG16" i="164" s="1"/>
  <c r="AH16" i="164" s="1"/>
  <c r="AI16" i="164" s="1"/>
  <c r="AJ16" i="164" s="1"/>
  <c r="AK16" i="164" s="1"/>
  <c r="K15" i="164"/>
  <c r="L15" i="164" s="1"/>
  <c r="M15" i="164" s="1"/>
  <c r="N15" i="164" s="1"/>
  <c r="O15" i="164" s="1"/>
  <c r="P15" i="164" s="1"/>
  <c r="Q15" i="164" s="1"/>
  <c r="R15" i="164" s="1"/>
  <c r="S15" i="164" s="1"/>
  <c r="T15" i="164" s="1"/>
  <c r="U15" i="164" s="1"/>
  <c r="V15" i="164" s="1"/>
  <c r="W15" i="164" s="1"/>
  <c r="X15" i="164" s="1"/>
  <c r="Y15" i="164" s="1"/>
  <c r="Z15" i="164" s="1"/>
  <c r="AA15" i="164" s="1"/>
  <c r="AB15" i="164" s="1"/>
  <c r="AC15" i="164" s="1"/>
  <c r="AD15" i="164" s="1"/>
  <c r="AE15" i="164" s="1"/>
  <c r="AF15" i="164" s="1"/>
  <c r="AG15" i="164" s="1"/>
  <c r="AH15" i="164" s="1"/>
  <c r="AI15" i="164" s="1"/>
  <c r="AJ15" i="164" s="1"/>
  <c r="AK15" i="164" s="1"/>
  <c r="K9" i="164"/>
  <c r="L9" i="164" s="1"/>
  <c r="M9" i="164" s="1"/>
  <c r="N9" i="164" s="1"/>
  <c r="O9" i="164" s="1"/>
  <c r="P9" i="164" s="1"/>
  <c r="Q9" i="164" s="1"/>
  <c r="R9" i="164" s="1"/>
  <c r="S9" i="164" s="1"/>
  <c r="T9" i="164" s="1"/>
  <c r="U9" i="164" s="1"/>
  <c r="V9" i="164" s="1"/>
  <c r="W9" i="164" s="1"/>
  <c r="X9" i="164" s="1"/>
  <c r="Y9" i="164" s="1"/>
  <c r="Z9" i="164" s="1"/>
  <c r="AA9" i="164" s="1"/>
  <c r="AB9" i="164" s="1"/>
  <c r="AC9" i="164" s="1"/>
  <c r="AD9" i="164" s="1"/>
  <c r="AE9" i="164" s="1"/>
  <c r="AF9" i="164" s="1"/>
  <c r="AG9" i="164" s="1"/>
  <c r="AH9" i="164" s="1"/>
  <c r="AI9" i="164" s="1"/>
  <c r="AJ9" i="164" s="1"/>
  <c r="AK9" i="164" s="1"/>
  <c r="K8" i="164"/>
  <c r="L8" i="164" s="1"/>
  <c r="M8" i="164" s="1"/>
  <c r="N8" i="164" s="1"/>
  <c r="O8" i="164" s="1"/>
  <c r="P8" i="164" s="1"/>
  <c r="Q8" i="164" s="1"/>
  <c r="R8" i="164" s="1"/>
  <c r="S8" i="164" s="1"/>
  <c r="T8" i="164" s="1"/>
  <c r="U8" i="164" s="1"/>
  <c r="V8" i="164" s="1"/>
  <c r="W8" i="164" s="1"/>
  <c r="X8" i="164" s="1"/>
  <c r="Y8" i="164" s="1"/>
  <c r="Z8" i="164" s="1"/>
  <c r="AA8" i="164" s="1"/>
  <c r="AB8" i="164" s="1"/>
  <c r="AC8" i="164" s="1"/>
  <c r="AD8" i="164" s="1"/>
  <c r="AE8" i="164" s="1"/>
  <c r="AF8" i="164" s="1"/>
  <c r="AG8" i="164" s="1"/>
  <c r="AH8" i="164" s="1"/>
  <c r="AI8" i="164" s="1"/>
  <c r="AJ8" i="164" s="1"/>
  <c r="AK8" i="164" s="1"/>
  <c r="B213" i="163"/>
  <c r="B212" i="163"/>
  <c r="B211" i="163"/>
  <c r="B210" i="163"/>
  <c r="B209" i="163"/>
  <c r="B208" i="163"/>
  <c r="B207" i="163"/>
  <c r="B206" i="163"/>
  <c r="B205" i="163"/>
  <c r="B204" i="163"/>
  <c r="B203" i="163"/>
  <c r="B202" i="163"/>
  <c r="B201" i="163"/>
  <c r="B200" i="163"/>
  <c r="B199" i="163"/>
  <c r="B195" i="163"/>
  <c r="B194" i="163"/>
  <c r="B193" i="163"/>
  <c r="B192" i="163"/>
  <c r="B191" i="163"/>
  <c r="B190" i="163"/>
  <c r="B189" i="163"/>
  <c r="B188" i="163"/>
  <c r="B187" i="163"/>
  <c r="B186" i="163"/>
  <c r="B185" i="163"/>
  <c r="B184" i="163"/>
  <c r="B183" i="163"/>
  <c r="B182" i="163"/>
  <c r="B181" i="163"/>
  <c r="B177" i="163"/>
  <c r="B176" i="163"/>
  <c r="B175" i="163"/>
  <c r="B174" i="163"/>
  <c r="B173" i="163"/>
  <c r="B172" i="163"/>
  <c r="B171" i="163"/>
  <c r="B170" i="163"/>
  <c r="B169" i="163"/>
  <c r="B168" i="163"/>
  <c r="B167" i="163"/>
  <c r="B166" i="163"/>
  <c r="B165" i="163"/>
  <c r="B164" i="163"/>
  <c r="B163" i="163"/>
  <c r="AI100" i="163"/>
  <c r="AH100" i="163"/>
  <c r="AG100" i="163"/>
  <c r="AF100" i="163"/>
  <c r="AE100" i="163"/>
  <c r="AD100" i="163"/>
  <c r="AC100" i="163"/>
  <c r="AB100" i="163"/>
  <c r="AA100" i="163"/>
  <c r="Z100" i="163"/>
  <c r="Y100" i="163"/>
  <c r="X100" i="163"/>
  <c r="W100" i="163"/>
  <c r="V100" i="163"/>
  <c r="U100" i="163"/>
  <c r="T100" i="163"/>
  <c r="S100" i="163"/>
  <c r="R100" i="163"/>
  <c r="Q100" i="163"/>
  <c r="P100" i="163"/>
  <c r="O100" i="163"/>
  <c r="N100" i="163"/>
  <c r="M100" i="163"/>
  <c r="L100" i="163"/>
  <c r="K100" i="163"/>
  <c r="J100" i="163"/>
  <c r="I100" i="163"/>
  <c r="H100" i="163"/>
  <c r="AI94" i="163"/>
  <c r="AH94" i="163"/>
  <c r="AG94" i="163"/>
  <c r="AF94" i="163"/>
  <c r="AE94" i="163"/>
  <c r="AD94" i="163"/>
  <c r="AC94" i="163"/>
  <c r="AB94" i="163"/>
  <c r="AA94" i="163"/>
  <c r="Z94" i="163"/>
  <c r="Y94" i="163"/>
  <c r="X94" i="163"/>
  <c r="W94" i="163"/>
  <c r="V94" i="163"/>
  <c r="U94" i="163"/>
  <c r="T94" i="163"/>
  <c r="S94" i="163"/>
  <c r="R94" i="163"/>
  <c r="Q94" i="163"/>
  <c r="P94" i="163"/>
  <c r="O94" i="163"/>
  <c r="N94" i="163"/>
  <c r="M94" i="163"/>
  <c r="L94" i="163"/>
  <c r="K94" i="163"/>
  <c r="J94" i="163"/>
  <c r="I94" i="163"/>
  <c r="H94" i="163"/>
  <c r="AI90" i="163"/>
  <c r="AH90" i="163"/>
  <c r="AG90" i="163"/>
  <c r="AF90" i="163"/>
  <c r="AE90" i="163"/>
  <c r="AD90" i="163"/>
  <c r="AC90" i="163"/>
  <c r="AB90" i="163"/>
  <c r="AA90" i="163"/>
  <c r="Z90" i="163"/>
  <c r="Y90" i="163"/>
  <c r="X90" i="163"/>
  <c r="W90" i="163"/>
  <c r="V90" i="163"/>
  <c r="U90" i="163"/>
  <c r="T90" i="163"/>
  <c r="S90" i="163"/>
  <c r="R90" i="163"/>
  <c r="Q90" i="163"/>
  <c r="P90" i="163"/>
  <c r="O90" i="163"/>
  <c r="N90" i="163"/>
  <c r="M90" i="163"/>
  <c r="L90" i="163"/>
  <c r="K90" i="163"/>
  <c r="J90" i="163"/>
  <c r="I90" i="163"/>
  <c r="H90" i="163"/>
  <c r="AI86" i="163"/>
  <c r="AH86" i="163"/>
  <c r="AG86" i="163"/>
  <c r="AF86" i="163"/>
  <c r="AE86" i="163"/>
  <c r="AD86" i="163"/>
  <c r="AC86" i="163"/>
  <c r="AB86" i="163"/>
  <c r="AA86" i="163"/>
  <c r="Z86" i="163"/>
  <c r="Y86" i="163"/>
  <c r="X86" i="163"/>
  <c r="W86" i="163"/>
  <c r="V86" i="163"/>
  <c r="U86" i="163"/>
  <c r="T86" i="163"/>
  <c r="S86" i="163"/>
  <c r="R86" i="163"/>
  <c r="Q86" i="163"/>
  <c r="P86" i="163"/>
  <c r="O86" i="163"/>
  <c r="N86" i="163"/>
  <c r="M86" i="163"/>
  <c r="L86" i="163"/>
  <c r="K86" i="163"/>
  <c r="J86" i="163"/>
  <c r="I86" i="163"/>
  <c r="H86" i="163"/>
  <c r="AI81" i="163"/>
  <c r="AH81" i="163"/>
  <c r="AG81" i="163"/>
  <c r="AF81" i="163"/>
  <c r="AE81" i="163"/>
  <c r="AD81" i="163"/>
  <c r="AC81" i="163"/>
  <c r="AB81" i="163"/>
  <c r="AA81" i="163"/>
  <c r="Z81" i="163"/>
  <c r="Y81" i="163"/>
  <c r="X81" i="163"/>
  <c r="W81" i="163"/>
  <c r="V81" i="163"/>
  <c r="U81" i="163"/>
  <c r="T81" i="163"/>
  <c r="S81" i="163"/>
  <c r="R81" i="163"/>
  <c r="Q81" i="163"/>
  <c r="P81" i="163"/>
  <c r="O81" i="163"/>
  <c r="N81" i="163"/>
  <c r="M81" i="163"/>
  <c r="L81" i="163"/>
  <c r="K81" i="163"/>
  <c r="J81" i="163"/>
  <c r="I81" i="163"/>
  <c r="H81" i="163"/>
  <c r="AI70" i="163"/>
  <c r="AH70" i="163"/>
  <c r="AG70" i="163"/>
  <c r="AF70" i="163"/>
  <c r="AE70" i="163"/>
  <c r="AD70" i="163"/>
  <c r="AC70" i="163"/>
  <c r="AB70" i="163"/>
  <c r="AA70" i="163"/>
  <c r="Z70" i="163"/>
  <c r="Y70" i="163"/>
  <c r="X70" i="163"/>
  <c r="W70" i="163"/>
  <c r="V70" i="163"/>
  <c r="U70" i="163"/>
  <c r="T70" i="163"/>
  <c r="S70" i="163"/>
  <c r="R70" i="163"/>
  <c r="Q70" i="163"/>
  <c r="P70" i="163"/>
  <c r="O70" i="163"/>
  <c r="N70" i="163"/>
  <c r="M70" i="163"/>
  <c r="L70" i="163"/>
  <c r="K70" i="163"/>
  <c r="J70" i="163"/>
  <c r="I70" i="163"/>
  <c r="H70" i="163"/>
  <c r="AI69" i="163"/>
  <c r="AH69" i="163"/>
  <c r="AG69" i="163"/>
  <c r="AF69" i="163"/>
  <c r="AE69" i="163"/>
  <c r="AD69" i="163"/>
  <c r="AC69" i="163"/>
  <c r="AB69" i="163"/>
  <c r="AA69" i="163"/>
  <c r="Z69" i="163"/>
  <c r="Y69" i="163"/>
  <c r="X69" i="163"/>
  <c r="W69" i="163"/>
  <c r="V69" i="163"/>
  <c r="U69" i="163"/>
  <c r="T69" i="163"/>
  <c r="S69" i="163"/>
  <c r="R69" i="163"/>
  <c r="Q69" i="163"/>
  <c r="P69" i="163"/>
  <c r="O69" i="163"/>
  <c r="N69" i="163"/>
  <c r="M69" i="163"/>
  <c r="L69" i="163"/>
  <c r="K69" i="163"/>
  <c r="J69" i="163"/>
  <c r="I69" i="163"/>
  <c r="H69" i="163"/>
  <c r="AI68" i="163"/>
  <c r="AH68" i="163"/>
  <c r="AG68" i="163"/>
  <c r="AF68" i="163"/>
  <c r="AE68" i="163"/>
  <c r="AD68" i="163"/>
  <c r="AC68" i="163"/>
  <c r="AB68" i="163"/>
  <c r="AA68" i="163"/>
  <c r="Z68" i="163"/>
  <c r="Y68" i="163"/>
  <c r="X68" i="163"/>
  <c r="W68" i="163"/>
  <c r="V68" i="163"/>
  <c r="U68" i="163"/>
  <c r="T68" i="163"/>
  <c r="S68" i="163"/>
  <c r="R68" i="163"/>
  <c r="Q68" i="163"/>
  <c r="P68" i="163"/>
  <c r="O68" i="163"/>
  <c r="N68" i="163"/>
  <c r="M68" i="163"/>
  <c r="L68" i="163"/>
  <c r="K68" i="163"/>
  <c r="J68" i="163"/>
  <c r="I68" i="163"/>
  <c r="H68" i="163"/>
  <c r="AI50" i="163"/>
  <c r="AI66" i="163" s="1"/>
  <c r="AH50" i="163"/>
  <c r="AH66" i="163" s="1"/>
  <c r="AG50" i="163"/>
  <c r="AG66" i="163" s="1"/>
  <c r="AF50" i="163"/>
  <c r="AF66" i="163" s="1"/>
  <c r="AE50" i="163"/>
  <c r="AE66" i="163" s="1"/>
  <c r="AD50" i="163"/>
  <c r="AD66" i="163" s="1"/>
  <c r="AC50" i="163"/>
  <c r="AC66" i="163" s="1"/>
  <c r="AB50" i="163"/>
  <c r="AB66" i="163" s="1"/>
  <c r="AA50" i="163"/>
  <c r="AA66" i="163" s="1"/>
  <c r="Z50" i="163"/>
  <c r="Z66" i="163" s="1"/>
  <c r="Y50" i="163"/>
  <c r="Y66" i="163" s="1"/>
  <c r="X50" i="163"/>
  <c r="X66" i="163" s="1"/>
  <c r="W50" i="163"/>
  <c r="W66" i="163" s="1"/>
  <c r="V50" i="163"/>
  <c r="V66" i="163" s="1"/>
  <c r="U50" i="163"/>
  <c r="U66" i="163" s="1"/>
  <c r="T50" i="163"/>
  <c r="T66" i="163" s="1"/>
  <c r="S50" i="163"/>
  <c r="S66" i="163" s="1"/>
  <c r="R50" i="163"/>
  <c r="R66" i="163" s="1"/>
  <c r="Q50" i="163"/>
  <c r="Q66" i="163" s="1"/>
  <c r="P50" i="163"/>
  <c r="P66" i="163" s="1"/>
  <c r="O50" i="163"/>
  <c r="O66" i="163" s="1"/>
  <c r="N50" i="163"/>
  <c r="N66" i="163" s="1"/>
  <c r="M50" i="163"/>
  <c r="M66" i="163" s="1"/>
  <c r="L50" i="163"/>
  <c r="L66" i="163" s="1"/>
  <c r="K50" i="163"/>
  <c r="K66" i="163" s="1"/>
  <c r="J50" i="163"/>
  <c r="J66" i="163" s="1"/>
  <c r="I50" i="163"/>
  <c r="I66" i="163" s="1"/>
  <c r="H50" i="163"/>
  <c r="H66" i="163" s="1"/>
  <c r="AI49" i="163"/>
  <c r="AI65" i="163" s="1"/>
  <c r="AH49" i="163"/>
  <c r="AH65" i="163" s="1"/>
  <c r="AG49" i="163"/>
  <c r="AG65" i="163" s="1"/>
  <c r="AF49" i="163"/>
  <c r="AF65" i="163" s="1"/>
  <c r="AE49" i="163"/>
  <c r="AE65" i="163" s="1"/>
  <c r="AD49" i="163"/>
  <c r="AD65" i="163" s="1"/>
  <c r="AC49" i="163"/>
  <c r="AC65" i="163" s="1"/>
  <c r="AB49" i="163"/>
  <c r="AB65" i="163" s="1"/>
  <c r="AA49" i="163"/>
  <c r="AA65" i="163" s="1"/>
  <c r="Z49" i="163"/>
  <c r="Z65" i="163" s="1"/>
  <c r="Y49" i="163"/>
  <c r="Y65" i="163" s="1"/>
  <c r="X49" i="163"/>
  <c r="X65" i="163" s="1"/>
  <c r="W49" i="163"/>
  <c r="W65" i="163" s="1"/>
  <c r="V49" i="163"/>
  <c r="V65" i="163" s="1"/>
  <c r="U49" i="163"/>
  <c r="U65" i="163" s="1"/>
  <c r="T49" i="163"/>
  <c r="T65" i="163" s="1"/>
  <c r="S49" i="163"/>
  <c r="S65" i="163" s="1"/>
  <c r="R49" i="163"/>
  <c r="R65" i="163" s="1"/>
  <c r="Q49" i="163"/>
  <c r="Q65" i="163" s="1"/>
  <c r="P49" i="163"/>
  <c r="P65" i="163" s="1"/>
  <c r="O49" i="163"/>
  <c r="O65" i="163" s="1"/>
  <c r="N49" i="163"/>
  <c r="N65" i="163" s="1"/>
  <c r="M49" i="163"/>
  <c r="M65" i="163" s="1"/>
  <c r="L49" i="163"/>
  <c r="L65" i="163" s="1"/>
  <c r="K49" i="163"/>
  <c r="K65" i="163" s="1"/>
  <c r="J49" i="163"/>
  <c r="J65" i="163" s="1"/>
  <c r="I49" i="163"/>
  <c r="I65" i="163" s="1"/>
  <c r="H49" i="163"/>
  <c r="H65" i="163" s="1"/>
  <c r="AI46" i="163"/>
  <c r="AI62" i="163" s="1"/>
  <c r="AH46" i="163"/>
  <c r="AH62" i="163" s="1"/>
  <c r="AG46" i="163"/>
  <c r="AG62" i="163" s="1"/>
  <c r="AF46" i="163"/>
  <c r="AF62" i="163" s="1"/>
  <c r="AE46" i="163"/>
  <c r="AE62" i="163" s="1"/>
  <c r="AD46" i="163"/>
  <c r="AD62" i="163" s="1"/>
  <c r="AC46" i="163"/>
  <c r="AC62" i="163" s="1"/>
  <c r="AB46" i="163"/>
  <c r="AB62" i="163" s="1"/>
  <c r="AA46" i="163"/>
  <c r="AA62" i="163" s="1"/>
  <c r="Z46" i="163"/>
  <c r="Z62" i="163" s="1"/>
  <c r="Y46" i="163"/>
  <c r="Y62" i="163" s="1"/>
  <c r="X46" i="163"/>
  <c r="X62" i="163" s="1"/>
  <c r="W46" i="163"/>
  <c r="W62" i="163" s="1"/>
  <c r="V46" i="163"/>
  <c r="V62" i="163" s="1"/>
  <c r="U46" i="163"/>
  <c r="U62" i="163" s="1"/>
  <c r="T46" i="163"/>
  <c r="T62" i="163" s="1"/>
  <c r="S46" i="163"/>
  <c r="S62" i="163" s="1"/>
  <c r="R46" i="163"/>
  <c r="R62" i="163" s="1"/>
  <c r="Q46" i="163"/>
  <c r="Q62" i="163" s="1"/>
  <c r="P46" i="163"/>
  <c r="P62" i="163" s="1"/>
  <c r="O46" i="163"/>
  <c r="O62" i="163" s="1"/>
  <c r="N46" i="163"/>
  <c r="N62" i="163" s="1"/>
  <c r="M46" i="163"/>
  <c r="M62" i="163" s="1"/>
  <c r="L46" i="163"/>
  <c r="L62" i="163" s="1"/>
  <c r="K46" i="163"/>
  <c r="K62" i="163" s="1"/>
  <c r="J46" i="163"/>
  <c r="J62" i="163" s="1"/>
  <c r="I46" i="163"/>
  <c r="I62" i="163" s="1"/>
  <c r="H46" i="163"/>
  <c r="H62" i="163" s="1"/>
  <c r="AI45" i="163"/>
  <c r="AI61" i="163" s="1"/>
  <c r="AH45" i="163"/>
  <c r="AH61" i="163" s="1"/>
  <c r="AG45" i="163"/>
  <c r="AG61" i="163" s="1"/>
  <c r="AF45" i="163"/>
  <c r="AF61" i="163" s="1"/>
  <c r="AE45" i="163"/>
  <c r="AE61" i="163" s="1"/>
  <c r="AD45" i="163"/>
  <c r="AD61" i="163" s="1"/>
  <c r="AC45" i="163"/>
  <c r="AC61" i="163" s="1"/>
  <c r="AB45" i="163"/>
  <c r="AB61" i="163" s="1"/>
  <c r="AA45" i="163"/>
  <c r="AA61" i="163" s="1"/>
  <c r="Z45" i="163"/>
  <c r="Z61" i="163" s="1"/>
  <c r="Y45" i="163"/>
  <c r="Y61" i="163" s="1"/>
  <c r="X45" i="163"/>
  <c r="X61" i="163" s="1"/>
  <c r="W45" i="163"/>
  <c r="W61" i="163" s="1"/>
  <c r="V45" i="163"/>
  <c r="V61" i="163" s="1"/>
  <c r="U45" i="163"/>
  <c r="U61" i="163" s="1"/>
  <c r="T45" i="163"/>
  <c r="T61" i="163" s="1"/>
  <c r="S45" i="163"/>
  <c r="S61" i="163" s="1"/>
  <c r="R45" i="163"/>
  <c r="R61" i="163" s="1"/>
  <c r="Q45" i="163"/>
  <c r="Q61" i="163" s="1"/>
  <c r="P45" i="163"/>
  <c r="P61" i="163" s="1"/>
  <c r="O45" i="163"/>
  <c r="O61" i="163" s="1"/>
  <c r="N45" i="163"/>
  <c r="N61" i="163" s="1"/>
  <c r="M45" i="163"/>
  <c r="M61" i="163" s="1"/>
  <c r="L45" i="163"/>
  <c r="L61" i="163" s="1"/>
  <c r="K45" i="163"/>
  <c r="K61" i="163" s="1"/>
  <c r="J45" i="163"/>
  <c r="J61" i="163" s="1"/>
  <c r="I45" i="163"/>
  <c r="I61" i="163" s="1"/>
  <c r="H45" i="163"/>
  <c r="H61" i="163" s="1"/>
  <c r="AI43" i="163"/>
  <c r="AI59" i="163" s="1"/>
  <c r="AH43" i="163"/>
  <c r="AH59" i="163" s="1"/>
  <c r="AG43" i="163"/>
  <c r="AG59" i="163" s="1"/>
  <c r="AF43" i="163"/>
  <c r="AF59" i="163" s="1"/>
  <c r="AE43" i="163"/>
  <c r="AE59" i="163" s="1"/>
  <c r="AD43" i="163"/>
  <c r="AD59" i="163" s="1"/>
  <c r="AC43" i="163"/>
  <c r="AC59" i="163" s="1"/>
  <c r="AB43" i="163"/>
  <c r="AB59" i="163" s="1"/>
  <c r="AA43" i="163"/>
  <c r="AA59" i="163" s="1"/>
  <c r="Z43" i="163"/>
  <c r="Z59" i="163" s="1"/>
  <c r="Y43" i="163"/>
  <c r="Y59" i="163" s="1"/>
  <c r="X43" i="163"/>
  <c r="X59" i="163" s="1"/>
  <c r="W43" i="163"/>
  <c r="W59" i="163" s="1"/>
  <c r="V43" i="163"/>
  <c r="V59" i="163" s="1"/>
  <c r="U43" i="163"/>
  <c r="U59" i="163" s="1"/>
  <c r="T43" i="163"/>
  <c r="T59" i="163" s="1"/>
  <c r="S43" i="163"/>
  <c r="S59" i="163" s="1"/>
  <c r="R43" i="163"/>
  <c r="R59" i="163" s="1"/>
  <c r="Q43" i="163"/>
  <c r="Q59" i="163" s="1"/>
  <c r="P43" i="163"/>
  <c r="P59" i="163" s="1"/>
  <c r="O43" i="163"/>
  <c r="O59" i="163" s="1"/>
  <c r="N43" i="163"/>
  <c r="N59" i="163" s="1"/>
  <c r="M43" i="163"/>
  <c r="M59" i="163" s="1"/>
  <c r="L43" i="163"/>
  <c r="L59" i="163" s="1"/>
  <c r="K43" i="163"/>
  <c r="K59" i="163" s="1"/>
  <c r="J43" i="163"/>
  <c r="J59" i="163" s="1"/>
  <c r="I43" i="163"/>
  <c r="I59" i="163" s="1"/>
  <c r="H43" i="163"/>
  <c r="H59" i="163" s="1"/>
  <c r="AI42" i="163"/>
  <c r="AI58" i="163" s="1"/>
  <c r="AH42" i="163"/>
  <c r="AH58" i="163" s="1"/>
  <c r="AG42" i="163"/>
  <c r="AG58" i="163" s="1"/>
  <c r="AF42" i="163"/>
  <c r="AF58" i="163" s="1"/>
  <c r="AE42" i="163"/>
  <c r="AE58" i="163" s="1"/>
  <c r="AD42" i="163"/>
  <c r="AD58" i="163" s="1"/>
  <c r="AC42" i="163"/>
  <c r="AC58" i="163" s="1"/>
  <c r="AB42" i="163"/>
  <c r="AB58" i="163" s="1"/>
  <c r="AA42" i="163"/>
  <c r="AA58" i="163" s="1"/>
  <c r="Z42" i="163"/>
  <c r="Z58" i="163" s="1"/>
  <c r="Y42" i="163"/>
  <c r="Y58" i="163" s="1"/>
  <c r="X42" i="163"/>
  <c r="X58" i="163" s="1"/>
  <c r="W42" i="163"/>
  <c r="W58" i="163" s="1"/>
  <c r="V42" i="163"/>
  <c r="V58" i="163" s="1"/>
  <c r="U42" i="163"/>
  <c r="U58" i="163" s="1"/>
  <c r="T42" i="163"/>
  <c r="T58" i="163" s="1"/>
  <c r="S42" i="163"/>
  <c r="S58" i="163" s="1"/>
  <c r="R42" i="163"/>
  <c r="R58" i="163" s="1"/>
  <c r="Q42" i="163"/>
  <c r="Q58" i="163" s="1"/>
  <c r="P42" i="163"/>
  <c r="P58" i="163" s="1"/>
  <c r="O42" i="163"/>
  <c r="O58" i="163" s="1"/>
  <c r="N42" i="163"/>
  <c r="N58" i="163" s="1"/>
  <c r="M42" i="163"/>
  <c r="M58" i="163" s="1"/>
  <c r="L42" i="163"/>
  <c r="L58" i="163" s="1"/>
  <c r="K42" i="163"/>
  <c r="K58" i="163" s="1"/>
  <c r="J42" i="163"/>
  <c r="J58" i="163" s="1"/>
  <c r="I42" i="163"/>
  <c r="I58" i="163" s="1"/>
  <c r="H42" i="163"/>
  <c r="H58" i="163" s="1"/>
  <c r="AI41" i="163"/>
  <c r="AI57" i="163" s="1"/>
  <c r="AH41" i="163"/>
  <c r="AH57" i="163" s="1"/>
  <c r="AG41" i="163"/>
  <c r="AG57" i="163" s="1"/>
  <c r="AF41" i="163"/>
  <c r="AF57" i="163" s="1"/>
  <c r="AE41" i="163"/>
  <c r="AE57" i="163" s="1"/>
  <c r="AD41" i="163"/>
  <c r="AD57" i="163" s="1"/>
  <c r="AC41" i="163"/>
  <c r="AC57" i="163" s="1"/>
  <c r="AB41" i="163"/>
  <c r="AB57" i="163" s="1"/>
  <c r="AA41" i="163"/>
  <c r="AA57" i="163" s="1"/>
  <c r="Z41" i="163"/>
  <c r="Z57" i="163" s="1"/>
  <c r="Y41" i="163"/>
  <c r="Y57" i="163" s="1"/>
  <c r="X41" i="163"/>
  <c r="X57" i="163" s="1"/>
  <c r="W41" i="163"/>
  <c r="W57" i="163" s="1"/>
  <c r="V41" i="163"/>
  <c r="V57" i="163" s="1"/>
  <c r="U41" i="163"/>
  <c r="U57" i="163" s="1"/>
  <c r="T41" i="163"/>
  <c r="T57" i="163" s="1"/>
  <c r="S41" i="163"/>
  <c r="S57" i="163" s="1"/>
  <c r="R41" i="163"/>
  <c r="R57" i="163" s="1"/>
  <c r="Q41" i="163"/>
  <c r="Q57" i="163" s="1"/>
  <c r="P41" i="163"/>
  <c r="P57" i="163" s="1"/>
  <c r="O41" i="163"/>
  <c r="O57" i="163" s="1"/>
  <c r="N41" i="163"/>
  <c r="N57" i="163" s="1"/>
  <c r="M41" i="163"/>
  <c r="M57" i="163" s="1"/>
  <c r="L41" i="163"/>
  <c r="L57" i="163" s="1"/>
  <c r="K41" i="163"/>
  <c r="K57" i="163" s="1"/>
  <c r="J41" i="163"/>
  <c r="J57" i="163" s="1"/>
  <c r="I41" i="163"/>
  <c r="I57" i="163" s="1"/>
  <c r="H41" i="163"/>
  <c r="H57" i="163" s="1"/>
  <c r="BO40" i="163"/>
  <c r="BN40" i="163"/>
  <c r="BM40" i="163"/>
  <c r="BL40" i="163"/>
  <c r="BK40" i="163"/>
  <c r="BJ40" i="163"/>
  <c r="BI40" i="163"/>
  <c r="BH40" i="163"/>
  <c r="BG40" i="163"/>
  <c r="BF40" i="163"/>
  <c r="BE40" i="163"/>
  <c r="BD40" i="163"/>
  <c r="BC40" i="163"/>
  <c r="BB40" i="163"/>
  <c r="BA40" i="163"/>
  <c r="AZ40" i="163"/>
  <c r="AY40" i="163"/>
  <c r="AX40" i="163"/>
  <c r="AW40" i="163"/>
  <c r="AV40" i="163"/>
  <c r="AU40" i="163"/>
  <c r="AT40" i="163"/>
  <c r="AS40" i="163"/>
  <c r="AR40" i="163"/>
  <c r="AQ40" i="163"/>
  <c r="AP40" i="163"/>
  <c r="AO40" i="163"/>
  <c r="AN40" i="163"/>
  <c r="AI40" i="163"/>
  <c r="AI56" i="163" s="1"/>
  <c r="AH40" i="163"/>
  <c r="AH56" i="163" s="1"/>
  <c r="AG40" i="163"/>
  <c r="AF40" i="163"/>
  <c r="AE40" i="163"/>
  <c r="AE56" i="163" s="1"/>
  <c r="AD40" i="163"/>
  <c r="AD56" i="163" s="1"/>
  <c r="AC40" i="163"/>
  <c r="AB40" i="163"/>
  <c r="AB56" i="163" s="1"/>
  <c r="AA40" i="163"/>
  <c r="AA56" i="163" s="1"/>
  <c r="Z40" i="163"/>
  <c r="Z56" i="163" s="1"/>
  <c r="Y40" i="163"/>
  <c r="X40" i="163"/>
  <c r="W40" i="163"/>
  <c r="V40" i="163"/>
  <c r="U40" i="163"/>
  <c r="T40" i="163"/>
  <c r="S40" i="163"/>
  <c r="R40" i="163"/>
  <c r="Q40" i="163"/>
  <c r="P40" i="163"/>
  <c r="O40" i="163"/>
  <c r="O56" i="163" s="1"/>
  <c r="N40" i="163"/>
  <c r="N56" i="163" s="1"/>
  <c r="M40" i="163"/>
  <c r="L40" i="163"/>
  <c r="K40" i="163"/>
  <c r="J40" i="163"/>
  <c r="I40" i="163"/>
  <c r="H40" i="163"/>
  <c r="BO39" i="163"/>
  <c r="BN39" i="163"/>
  <c r="BM39" i="163"/>
  <c r="BL39" i="163"/>
  <c r="BK39" i="163"/>
  <c r="BJ39" i="163"/>
  <c r="BI39" i="163"/>
  <c r="BH39" i="163"/>
  <c r="BG39" i="163"/>
  <c r="BF39" i="163"/>
  <c r="BE39" i="163"/>
  <c r="BD39" i="163"/>
  <c r="BC39" i="163"/>
  <c r="BB39" i="163"/>
  <c r="BA39" i="163"/>
  <c r="AZ39" i="163"/>
  <c r="AY39" i="163"/>
  <c r="AX39" i="163"/>
  <c r="AW39" i="163"/>
  <c r="AV39" i="163"/>
  <c r="AU39" i="163"/>
  <c r="AT39" i="163"/>
  <c r="AS39" i="163"/>
  <c r="AR39" i="163"/>
  <c r="AQ39" i="163"/>
  <c r="AP39" i="163"/>
  <c r="AO39" i="163"/>
  <c r="AN39" i="163"/>
  <c r="BO38" i="163"/>
  <c r="BN38" i="163"/>
  <c r="BM38" i="163"/>
  <c r="BL38" i="163"/>
  <c r="BK38" i="163"/>
  <c r="BJ38" i="163"/>
  <c r="BI38" i="163"/>
  <c r="BH38" i="163"/>
  <c r="BG38" i="163"/>
  <c r="BF38" i="163"/>
  <c r="BE38" i="163"/>
  <c r="BD38" i="163"/>
  <c r="BC38" i="163"/>
  <c r="BB38" i="163"/>
  <c r="BA38" i="163"/>
  <c r="AZ38" i="163"/>
  <c r="AY38" i="163"/>
  <c r="AX38" i="163"/>
  <c r="AW38" i="163"/>
  <c r="AV38" i="163"/>
  <c r="AU38" i="163"/>
  <c r="AT38" i="163"/>
  <c r="AS38" i="163"/>
  <c r="AR38" i="163"/>
  <c r="AQ38" i="163"/>
  <c r="AP38" i="163"/>
  <c r="AO38" i="163"/>
  <c r="AN38" i="163"/>
  <c r="BO36" i="163"/>
  <c r="BN36" i="163"/>
  <c r="BM36" i="163"/>
  <c r="BL36" i="163"/>
  <c r="BK36" i="163"/>
  <c r="BJ36" i="163"/>
  <c r="BI36" i="163"/>
  <c r="BH36" i="163"/>
  <c r="BG36" i="163"/>
  <c r="BF36" i="163"/>
  <c r="BE36" i="163"/>
  <c r="BD36" i="163"/>
  <c r="BC36" i="163"/>
  <c r="BB36" i="163"/>
  <c r="BA36" i="163"/>
  <c r="AZ36" i="163"/>
  <c r="AY36" i="163"/>
  <c r="AX36" i="163"/>
  <c r="AW36" i="163"/>
  <c r="AV36" i="163"/>
  <c r="AU36" i="163"/>
  <c r="AT36" i="163"/>
  <c r="AS36" i="163"/>
  <c r="AR36" i="163"/>
  <c r="AQ36" i="163"/>
  <c r="AP36" i="163"/>
  <c r="AO36" i="163"/>
  <c r="AN36" i="163"/>
  <c r="BO35" i="163"/>
  <c r="BN35" i="163"/>
  <c r="BM35" i="163"/>
  <c r="BL35" i="163"/>
  <c r="BK35" i="163"/>
  <c r="BJ35" i="163"/>
  <c r="BI35" i="163"/>
  <c r="BH35" i="163"/>
  <c r="BG35" i="163"/>
  <c r="BF35" i="163"/>
  <c r="BE35" i="163"/>
  <c r="BD35" i="163"/>
  <c r="BC35" i="163"/>
  <c r="BB35" i="163"/>
  <c r="BA35" i="163"/>
  <c r="AZ35" i="163"/>
  <c r="AY35" i="163"/>
  <c r="AX35" i="163"/>
  <c r="AW35" i="163"/>
  <c r="AV35" i="163"/>
  <c r="AU35" i="163"/>
  <c r="AT35" i="163"/>
  <c r="AS35" i="163"/>
  <c r="AR35" i="163"/>
  <c r="AQ35" i="163"/>
  <c r="AP35" i="163"/>
  <c r="AO35" i="163"/>
  <c r="AN35" i="163"/>
  <c r="Y35" i="163"/>
  <c r="BO32" i="163"/>
  <c r="BN32" i="163"/>
  <c r="BM32" i="163"/>
  <c r="BL32" i="163"/>
  <c r="BK32" i="163"/>
  <c r="BJ32" i="163"/>
  <c r="BI32" i="163"/>
  <c r="BH32" i="163"/>
  <c r="BG32" i="163"/>
  <c r="BF32" i="163"/>
  <c r="BE32" i="163"/>
  <c r="BD32" i="163"/>
  <c r="BC32" i="163"/>
  <c r="BB32" i="163"/>
  <c r="BA32" i="163"/>
  <c r="AZ32" i="163"/>
  <c r="AY32" i="163"/>
  <c r="AX32" i="163"/>
  <c r="AW32" i="163"/>
  <c r="AV32" i="163"/>
  <c r="AU32" i="163"/>
  <c r="AT32" i="163"/>
  <c r="AS32" i="163"/>
  <c r="AR32" i="163"/>
  <c r="AQ32" i="163"/>
  <c r="AP32" i="163"/>
  <c r="AO32" i="163"/>
  <c r="AN32" i="163"/>
  <c r="BO31" i="163"/>
  <c r="BN31" i="163"/>
  <c r="BM31" i="163"/>
  <c r="BL31" i="163"/>
  <c r="BK31" i="163"/>
  <c r="BJ31" i="163"/>
  <c r="BI31" i="163"/>
  <c r="BH31" i="163"/>
  <c r="BG31" i="163"/>
  <c r="BF31" i="163"/>
  <c r="BE31" i="163"/>
  <c r="BD31" i="163"/>
  <c r="BC31" i="163"/>
  <c r="BB31" i="163"/>
  <c r="BA31" i="163"/>
  <c r="AZ31" i="163"/>
  <c r="AY31" i="163"/>
  <c r="AX31" i="163"/>
  <c r="AW31" i="163"/>
  <c r="AV31" i="163"/>
  <c r="AU31" i="163"/>
  <c r="AT31" i="163"/>
  <c r="AS31" i="163"/>
  <c r="AR31" i="163"/>
  <c r="AQ31" i="163"/>
  <c r="AP31" i="163"/>
  <c r="AO31" i="163"/>
  <c r="AN31" i="163"/>
  <c r="BO29" i="163"/>
  <c r="BN29" i="163"/>
  <c r="BM29" i="163"/>
  <c r="BL29" i="163"/>
  <c r="BK29" i="163"/>
  <c r="BJ29" i="163"/>
  <c r="BI29" i="163"/>
  <c r="BH29" i="163"/>
  <c r="BG29" i="163"/>
  <c r="BF29" i="163"/>
  <c r="BE29" i="163"/>
  <c r="BD29" i="163"/>
  <c r="BC29" i="163"/>
  <c r="BB29" i="163"/>
  <c r="BA29" i="163"/>
  <c r="AZ29" i="163"/>
  <c r="AY29" i="163"/>
  <c r="AX29" i="163"/>
  <c r="AW29" i="163"/>
  <c r="AV29" i="163"/>
  <c r="AU29" i="163"/>
  <c r="AT29" i="163"/>
  <c r="AS29" i="163"/>
  <c r="AR29" i="163"/>
  <c r="AQ29" i="163"/>
  <c r="AP29" i="163"/>
  <c r="AO29" i="163"/>
  <c r="AN29" i="163"/>
  <c r="BO28" i="163"/>
  <c r="BN28" i="163"/>
  <c r="BM28" i="163"/>
  <c r="BL28" i="163"/>
  <c r="BK28" i="163"/>
  <c r="BJ28" i="163"/>
  <c r="BI28" i="163"/>
  <c r="BH28" i="163"/>
  <c r="BG28" i="163"/>
  <c r="BF28" i="163"/>
  <c r="BE28" i="163"/>
  <c r="BD28" i="163"/>
  <c r="BC28" i="163"/>
  <c r="BB28" i="163"/>
  <c r="BA28" i="163"/>
  <c r="AZ28" i="163"/>
  <c r="AY28" i="163"/>
  <c r="AX28" i="163"/>
  <c r="AW28" i="163"/>
  <c r="AV28" i="163"/>
  <c r="AU28" i="163"/>
  <c r="AT28" i="163"/>
  <c r="AS28" i="163"/>
  <c r="AR28" i="163"/>
  <c r="AQ28" i="163"/>
  <c r="AP28" i="163"/>
  <c r="AO28" i="163"/>
  <c r="AN28" i="163"/>
  <c r="BO27" i="163"/>
  <c r="BN27" i="163"/>
  <c r="BM27" i="163"/>
  <c r="BL27" i="163"/>
  <c r="BK27" i="163"/>
  <c r="BJ27" i="163"/>
  <c r="BI27" i="163"/>
  <c r="BH27" i="163"/>
  <c r="BG27" i="163"/>
  <c r="BF27" i="163"/>
  <c r="BE27" i="163"/>
  <c r="BD27" i="163"/>
  <c r="BC27" i="163"/>
  <c r="BB27" i="163"/>
  <c r="BA27" i="163"/>
  <c r="AZ27" i="163"/>
  <c r="AY27" i="163"/>
  <c r="AX27" i="163"/>
  <c r="AW27" i="163"/>
  <c r="AV27" i="163"/>
  <c r="AU27" i="163"/>
  <c r="AT27" i="163"/>
  <c r="AS27" i="163"/>
  <c r="AR27" i="163"/>
  <c r="AQ27" i="163"/>
  <c r="AP27" i="163"/>
  <c r="AO27" i="163"/>
  <c r="AN27" i="163"/>
  <c r="BO26" i="163"/>
  <c r="BN26" i="163"/>
  <c r="BM26" i="163"/>
  <c r="BL26" i="163"/>
  <c r="BK26" i="163"/>
  <c r="BJ26" i="163"/>
  <c r="BI26" i="163"/>
  <c r="BH26" i="163"/>
  <c r="BG26" i="163"/>
  <c r="BF26" i="163"/>
  <c r="BE26" i="163"/>
  <c r="BD26" i="163"/>
  <c r="BC26" i="163"/>
  <c r="BB26" i="163"/>
  <c r="BA26" i="163"/>
  <c r="AZ26" i="163"/>
  <c r="AY26" i="163"/>
  <c r="AX26" i="163"/>
  <c r="AW26" i="163"/>
  <c r="AV26" i="163"/>
  <c r="AU26" i="163"/>
  <c r="AT26" i="163"/>
  <c r="AS26" i="163"/>
  <c r="AR26" i="163"/>
  <c r="AQ26" i="163"/>
  <c r="AP26" i="163"/>
  <c r="AO26" i="163"/>
  <c r="AN26" i="163"/>
  <c r="AI128" i="156"/>
  <c r="AH128" i="156"/>
  <c r="AG128" i="156"/>
  <c r="AF128" i="156"/>
  <c r="AE128" i="156"/>
  <c r="AD128" i="156"/>
  <c r="AC128" i="156"/>
  <c r="AB128" i="156"/>
  <c r="AA128" i="156"/>
  <c r="Z128" i="156"/>
  <c r="Y128" i="156"/>
  <c r="X128" i="156"/>
  <c r="W128" i="156"/>
  <c r="V128" i="156"/>
  <c r="U128" i="156"/>
  <c r="T128" i="156"/>
  <c r="S128" i="156"/>
  <c r="R128" i="156"/>
  <c r="Q128" i="156"/>
  <c r="P128" i="156"/>
  <c r="O128" i="156"/>
  <c r="N128" i="156"/>
  <c r="M128" i="156"/>
  <c r="L128" i="156"/>
  <c r="K128" i="156"/>
  <c r="J128" i="156"/>
  <c r="I128" i="156"/>
  <c r="AI127" i="156"/>
  <c r="AH127" i="156"/>
  <c r="AG127" i="156"/>
  <c r="AF127" i="156"/>
  <c r="AE127" i="156"/>
  <c r="AD127" i="156"/>
  <c r="AC127" i="156"/>
  <c r="AB127" i="156"/>
  <c r="AA127" i="156"/>
  <c r="Z127" i="156"/>
  <c r="Y127" i="156"/>
  <c r="X127" i="156"/>
  <c r="W127" i="156"/>
  <c r="V127" i="156"/>
  <c r="U127" i="156"/>
  <c r="T127" i="156"/>
  <c r="S127" i="156"/>
  <c r="R127" i="156"/>
  <c r="Q127" i="156"/>
  <c r="P127" i="156"/>
  <c r="O127" i="156"/>
  <c r="N127" i="156"/>
  <c r="M127" i="156"/>
  <c r="L127" i="156"/>
  <c r="K127" i="156"/>
  <c r="J127" i="156"/>
  <c r="I127" i="156"/>
  <c r="H127" i="156"/>
  <c r="H128" i="156"/>
  <c r="F130" i="156"/>
  <c r="F131" i="156"/>
  <c r="F132" i="156"/>
  <c r="F133" i="156"/>
  <c r="F134" i="156"/>
  <c r="F135" i="156"/>
  <c r="F136" i="156"/>
  <c r="F129" i="156"/>
  <c r="F120" i="156"/>
  <c r="F121" i="156"/>
  <c r="F122" i="156"/>
  <c r="F123" i="156"/>
  <c r="F125" i="156"/>
  <c r="F127" i="156"/>
  <c r="F128" i="156"/>
  <c r="F119" i="156"/>
  <c r="AI112" i="156"/>
  <c r="AH112" i="156"/>
  <c r="AG112" i="156"/>
  <c r="AF112" i="156"/>
  <c r="AE112" i="156"/>
  <c r="AD112" i="156"/>
  <c r="AC112" i="156"/>
  <c r="AB112" i="156"/>
  <c r="AA112" i="156"/>
  <c r="Z112" i="156"/>
  <c r="Y112" i="156"/>
  <c r="X112" i="156"/>
  <c r="W112" i="156"/>
  <c r="V112" i="156"/>
  <c r="U112" i="156"/>
  <c r="T112" i="156"/>
  <c r="S112" i="156"/>
  <c r="R112" i="156"/>
  <c r="Q112" i="156"/>
  <c r="P112" i="156"/>
  <c r="O112" i="156"/>
  <c r="N112" i="156"/>
  <c r="M112" i="156"/>
  <c r="L112" i="156"/>
  <c r="K112" i="156"/>
  <c r="J112" i="156"/>
  <c r="I112" i="156"/>
  <c r="H112" i="156"/>
  <c r="AL111" i="156"/>
  <c r="AE111" i="156" s="1"/>
  <c r="AL107" i="156"/>
  <c r="AI110" i="156"/>
  <c r="AH110" i="156"/>
  <c r="AG110" i="156"/>
  <c r="AF110" i="156"/>
  <c r="AE110" i="156"/>
  <c r="AD110" i="156"/>
  <c r="AC110" i="156"/>
  <c r="AB110" i="156"/>
  <c r="AA110" i="156"/>
  <c r="Z110" i="156"/>
  <c r="Y110" i="156"/>
  <c r="X110" i="156"/>
  <c r="W110" i="156"/>
  <c r="V110" i="156"/>
  <c r="U110" i="156"/>
  <c r="T110" i="156"/>
  <c r="S110" i="156"/>
  <c r="R110" i="156"/>
  <c r="Q110" i="156"/>
  <c r="P110" i="156"/>
  <c r="O110" i="156"/>
  <c r="N110" i="156"/>
  <c r="M110" i="156"/>
  <c r="L110" i="156"/>
  <c r="K110" i="156"/>
  <c r="J110" i="156"/>
  <c r="I110" i="156"/>
  <c r="H110" i="156"/>
  <c r="G13" i="164" l="1"/>
  <c r="K29" i="164"/>
  <c r="L29" i="164"/>
  <c r="M29" i="164"/>
  <c r="N29" i="164"/>
  <c r="O29" i="164"/>
  <c r="P29" i="164"/>
  <c r="Q29" i="164"/>
  <c r="R29" i="164"/>
  <c r="S29" i="164"/>
  <c r="T29" i="164"/>
  <c r="U29" i="164"/>
  <c r="V29" i="164"/>
  <c r="W29" i="164"/>
  <c r="X29" i="164"/>
  <c r="Y29" i="164"/>
  <c r="Z29" i="164"/>
  <c r="AA29" i="164"/>
  <c r="AB29" i="164"/>
  <c r="AC29" i="164"/>
  <c r="AD29" i="164"/>
  <c r="AE29" i="164"/>
  <c r="AF29" i="164"/>
  <c r="AG29" i="164"/>
  <c r="AH29" i="164"/>
  <c r="AI29" i="164"/>
  <c r="AJ29" i="164"/>
  <c r="AK29" i="164"/>
  <c r="J29" i="164"/>
  <c r="I123" i="163"/>
  <c r="I138" i="163" s="1"/>
  <c r="AI170" i="165"/>
  <c r="H172" i="165"/>
  <c r="J123" i="163"/>
  <c r="J138" i="163" s="1"/>
  <c r="I172" i="165"/>
  <c r="K123" i="163"/>
  <c r="K138" i="163" s="1"/>
  <c r="J172" i="165"/>
  <c r="L123" i="163"/>
  <c r="L138" i="163" s="1"/>
  <c r="K172" i="165"/>
  <c r="M123" i="163"/>
  <c r="M138" i="163" s="1"/>
  <c r="L172" i="165"/>
  <c r="N123" i="163"/>
  <c r="N125" i="163" s="1"/>
  <c r="N112" i="163" s="1"/>
  <c r="M172" i="165"/>
  <c r="O123" i="163"/>
  <c r="O138" i="163" s="1"/>
  <c r="N172" i="165"/>
  <c r="P123" i="163"/>
  <c r="P125" i="163" s="1"/>
  <c r="P112" i="163" s="1"/>
  <c r="O172" i="165"/>
  <c r="Q123" i="163"/>
  <c r="Q138" i="163" s="1"/>
  <c r="P172" i="165"/>
  <c r="R123" i="163"/>
  <c r="Q172" i="165"/>
  <c r="S123" i="163"/>
  <c r="S125" i="163" s="1"/>
  <c r="R172" i="165"/>
  <c r="T123" i="163"/>
  <c r="T138" i="163" s="1"/>
  <c r="S172" i="165"/>
  <c r="U123" i="163"/>
  <c r="U138" i="163" s="1"/>
  <c r="T172" i="165"/>
  <c r="V123" i="163"/>
  <c r="V138" i="163" s="1"/>
  <c r="U172" i="165"/>
  <c r="W123" i="163"/>
  <c r="W138" i="163" s="1"/>
  <c r="V172" i="165"/>
  <c r="X123" i="163"/>
  <c r="X138" i="163" s="1"/>
  <c r="W172" i="165"/>
  <c r="Y123" i="163"/>
  <c r="Y138" i="163" s="1"/>
  <c r="X172" i="165"/>
  <c r="Z123" i="163"/>
  <c r="Z138" i="163" s="1"/>
  <c r="Y172" i="165"/>
  <c r="AA123" i="163"/>
  <c r="AA138" i="163" s="1"/>
  <c r="Z172" i="165"/>
  <c r="AB123" i="163"/>
  <c r="AB138" i="163" s="1"/>
  <c r="AA172" i="165"/>
  <c r="AC123" i="163"/>
  <c r="AC138" i="163" s="1"/>
  <c r="AB172" i="165"/>
  <c r="AD123" i="163"/>
  <c r="AC172" i="165"/>
  <c r="AE123" i="163"/>
  <c r="AE125" i="163" s="1"/>
  <c r="AE112" i="163" s="1"/>
  <c r="AD172" i="165"/>
  <c r="AF123" i="163"/>
  <c r="AF138" i="163" s="1"/>
  <c r="AE172" i="165"/>
  <c r="AG123" i="163"/>
  <c r="AF172" i="165"/>
  <c r="AH123" i="163"/>
  <c r="AH138" i="163" s="1"/>
  <c r="AG172" i="165"/>
  <c r="AI123" i="163"/>
  <c r="AI138" i="163" s="1"/>
  <c r="AH172" i="165"/>
  <c r="S144" i="163"/>
  <c r="AY140" i="163" s="1"/>
  <c r="R230" i="165"/>
  <c r="AD144" i="163"/>
  <c r="BJ140" i="163" s="1"/>
  <c r="AC230" i="165"/>
  <c r="AH144" i="163"/>
  <c r="BN141" i="163" s="1"/>
  <c r="AG230" i="165"/>
  <c r="AI172" i="165"/>
  <c r="AG125" i="163"/>
  <c r="AG128" i="163" s="1"/>
  <c r="R125" i="163"/>
  <c r="R112" i="163" s="1"/>
  <c r="Q144" i="163"/>
  <c r="AW141" i="163" s="1"/>
  <c r="H125" i="163"/>
  <c r="H129" i="163" s="1"/>
  <c r="G32" i="167" s="1"/>
  <c r="G34" i="167" s="1"/>
  <c r="G36" i="167" s="1"/>
  <c r="G38" i="167" s="1"/>
  <c r="AT20" i="163"/>
  <c r="AU20" i="163"/>
  <c r="L27" i="165"/>
  <c r="C434" i="165" a="1"/>
  <c r="E434" i="165" s="1"/>
  <c r="J72" i="164" s="1"/>
  <c r="K72" i="164" s="1"/>
  <c r="L72" i="164" s="1"/>
  <c r="M72" i="164" s="1"/>
  <c r="N72" i="164" s="1"/>
  <c r="O72" i="164" s="1"/>
  <c r="P72" i="164" s="1"/>
  <c r="Q72" i="164" s="1"/>
  <c r="R72" i="164" s="1"/>
  <c r="S72" i="164" s="1"/>
  <c r="T72" i="164" s="1"/>
  <c r="U72" i="164" s="1"/>
  <c r="V72" i="164" s="1"/>
  <c r="W72" i="164" s="1"/>
  <c r="X72" i="164" s="1"/>
  <c r="Y72" i="164" s="1"/>
  <c r="Z72" i="164" s="1"/>
  <c r="AA72" i="164" s="1"/>
  <c r="AB72" i="164" s="1"/>
  <c r="AC72" i="164" s="1"/>
  <c r="AD72" i="164" s="1"/>
  <c r="AE72" i="164" s="1"/>
  <c r="AF72" i="164" s="1"/>
  <c r="AG72" i="164" s="1"/>
  <c r="AH72" i="164" s="1"/>
  <c r="AI72" i="164" s="1"/>
  <c r="AJ72" i="164" s="1"/>
  <c r="AK72" i="164" s="1"/>
  <c r="BQ20" i="163"/>
  <c r="BA20" i="163"/>
  <c r="AQ20" i="163"/>
  <c r="L26" i="165"/>
  <c r="L30" i="165"/>
  <c r="S127" i="165"/>
  <c r="AY127" i="165"/>
  <c r="AP20" i="163"/>
  <c r="H11" i="163" s="1"/>
  <c r="J26" i="165"/>
  <c r="J30" i="165"/>
  <c r="L31" i="165"/>
  <c r="P130" i="165"/>
  <c r="P136" i="165" s="1"/>
  <c r="D151" i="165" s="1"/>
  <c r="D156" i="165" s="1"/>
  <c r="BM20" i="163"/>
  <c r="AW20" i="163"/>
  <c r="O10" i="163" s="1"/>
  <c r="E472" i="165"/>
  <c r="K154" i="164" s="1"/>
  <c r="L154" i="164" s="1"/>
  <c r="M154" i="164" s="1"/>
  <c r="N154" i="164" s="1"/>
  <c r="O154" i="164" s="1"/>
  <c r="P154" i="164" s="1"/>
  <c r="Q154" i="164" s="1"/>
  <c r="R154" i="164" s="1"/>
  <c r="S154" i="164" s="1"/>
  <c r="T154" i="164" s="1"/>
  <c r="U154" i="164" s="1"/>
  <c r="V154" i="164" s="1"/>
  <c r="W154" i="164" s="1"/>
  <c r="X154" i="164" s="1"/>
  <c r="Y154" i="164" s="1"/>
  <c r="Z154" i="164" s="1"/>
  <c r="AA154" i="164" s="1"/>
  <c r="AB154" i="164" s="1"/>
  <c r="AC154" i="164" s="1"/>
  <c r="AD154" i="164" s="1"/>
  <c r="AE154" i="164" s="1"/>
  <c r="AF154" i="164" s="1"/>
  <c r="AG154" i="164" s="1"/>
  <c r="AH154" i="164" s="1"/>
  <c r="AI154" i="164" s="1"/>
  <c r="AJ154" i="164" s="1"/>
  <c r="AK154" i="164" s="1"/>
  <c r="AL154" i="164" s="1"/>
  <c r="AS20" i="163"/>
  <c r="E476" i="165"/>
  <c r="K157" i="164"/>
  <c r="K163" i="164" s="1"/>
  <c r="L163" i="164" s="1"/>
  <c r="M163" i="164" s="1"/>
  <c r="N163" i="164" s="1"/>
  <c r="O163" i="164" s="1"/>
  <c r="P163" i="164" s="1"/>
  <c r="Q163" i="164" s="1"/>
  <c r="R163" i="164" s="1"/>
  <c r="S163" i="164" s="1"/>
  <c r="T163" i="164" s="1"/>
  <c r="U163" i="164" s="1"/>
  <c r="V163" i="164" s="1"/>
  <c r="W163" i="164" s="1"/>
  <c r="X163" i="164" s="1"/>
  <c r="Y163" i="164" s="1"/>
  <c r="Z163" i="164" s="1"/>
  <c r="AA163" i="164" s="1"/>
  <c r="AB163" i="164" s="1"/>
  <c r="AC163" i="164" s="1"/>
  <c r="AD163" i="164" s="1"/>
  <c r="AE163" i="164" s="1"/>
  <c r="AF163" i="164" s="1"/>
  <c r="AG163" i="164" s="1"/>
  <c r="AH163" i="164" s="1"/>
  <c r="AI163" i="164" s="1"/>
  <c r="AJ163" i="164" s="1"/>
  <c r="AK163" i="164" s="1"/>
  <c r="AL163" i="164" s="1"/>
  <c r="K172" i="164"/>
  <c r="L172" i="164" s="1"/>
  <c r="M172" i="164" s="1"/>
  <c r="N172" i="164" s="1"/>
  <c r="O172" i="164" s="1"/>
  <c r="P172" i="164" s="1"/>
  <c r="Q172" i="164" s="1"/>
  <c r="R172" i="164" s="1"/>
  <c r="S172" i="164" s="1"/>
  <c r="T172" i="164" s="1"/>
  <c r="U172" i="164" s="1"/>
  <c r="V172" i="164" s="1"/>
  <c r="W172" i="164" s="1"/>
  <c r="X172" i="164" s="1"/>
  <c r="Y172" i="164" s="1"/>
  <c r="Z172" i="164" s="1"/>
  <c r="AA172" i="164" s="1"/>
  <c r="AB172" i="164" s="1"/>
  <c r="AC172" i="164" s="1"/>
  <c r="AD172" i="164" s="1"/>
  <c r="AE172" i="164" s="1"/>
  <c r="AF172" i="164" s="1"/>
  <c r="AG172" i="164" s="1"/>
  <c r="AH172" i="164" s="1"/>
  <c r="AI172" i="164" s="1"/>
  <c r="AJ172" i="164" s="1"/>
  <c r="AK172" i="164" s="1"/>
  <c r="AL172" i="164" s="1"/>
  <c r="L166" i="164"/>
  <c r="M166" i="164" s="1"/>
  <c r="N166" i="164" s="1"/>
  <c r="O166" i="164" s="1"/>
  <c r="P166" i="164" s="1"/>
  <c r="Q166" i="164" s="1"/>
  <c r="R166" i="164" s="1"/>
  <c r="S166" i="164" s="1"/>
  <c r="T166" i="164" s="1"/>
  <c r="U166" i="164" s="1"/>
  <c r="V166" i="164" s="1"/>
  <c r="W166" i="164" s="1"/>
  <c r="X166" i="164" s="1"/>
  <c r="Y166" i="164" s="1"/>
  <c r="Z166" i="164" s="1"/>
  <c r="AA166" i="164" s="1"/>
  <c r="AB166" i="164" s="1"/>
  <c r="AC166" i="164" s="1"/>
  <c r="AD166" i="164" s="1"/>
  <c r="AE166" i="164" s="1"/>
  <c r="AF166" i="164" s="1"/>
  <c r="AG166" i="164" s="1"/>
  <c r="AH166" i="164" s="1"/>
  <c r="AI166" i="164" s="1"/>
  <c r="AJ166" i="164" s="1"/>
  <c r="AK166" i="164" s="1"/>
  <c r="AL166" i="164" s="1"/>
  <c r="AD138" i="163"/>
  <c r="AD125" i="163"/>
  <c r="AD112" i="163" s="1"/>
  <c r="K176" i="164"/>
  <c r="L176" i="164" s="1"/>
  <c r="M176" i="164" s="1"/>
  <c r="N176" i="164" s="1"/>
  <c r="O176" i="164" s="1"/>
  <c r="P176" i="164" s="1"/>
  <c r="Q176" i="164" s="1"/>
  <c r="R176" i="164" s="1"/>
  <c r="S176" i="164" s="1"/>
  <c r="T176" i="164" s="1"/>
  <c r="U176" i="164" s="1"/>
  <c r="V176" i="164" s="1"/>
  <c r="W176" i="164" s="1"/>
  <c r="X176" i="164" s="1"/>
  <c r="Y176" i="164" s="1"/>
  <c r="Z176" i="164" s="1"/>
  <c r="AA176" i="164" s="1"/>
  <c r="AB176" i="164" s="1"/>
  <c r="AC176" i="164" s="1"/>
  <c r="AD176" i="164" s="1"/>
  <c r="AE176" i="164" s="1"/>
  <c r="AF176" i="164" s="1"/>
  <c r="AG176" i="164" s="1"/>
  <c r="AH176" i="164" s="1"/>
  <c r="AI176" i="164" s="1"/>
  <c r="AJ176" i="164" s="1"/>
  <c r="AK176" i="164" s="1"/>
  <c r="AL176" i="164" s="1"/>
  <c r="L170" i="164"/>
  <c r="M170" i="164" s="1"/>
  <c r="N170" i="164" s="1"/>
  <c r="O170" i="164" s="1"/>
  <c r="P170" i="164" s="1"/>
  <c r="Q170" i="164" s="1"/>
  <c r="R170" i="164" s="1"/>
  <c r="S170" i="164" s="1"/>
  <c r="T170" i="164" s="1"/>
  <c r="U170" i="164" s="1"/>
  <c r="V170" i="164" s="1"/>
  <c r="W170" i="164" s="1"/>
  <c r="X170" i="164" s="1"/>
  <c r="Y170" i="164" s="1"/>
  <c r="Z170" i="164" s="1"/>
  <c r="AA170" i="164" s="1"/>
  <c r="AB170" i="164" s="1"/>
  <c r="AC170" i="164" s="1"/>
  <c r="AD170" i="164" s="1"/>
  <c r="AE170" i="164" s="1"/>
  <c r="AF170" i="164" s="1"/>
  <c r="AG170" i="164" s="1"/>
  <c r="AH170" i="164" s="1"/>
  <c r="AI170" i="164" s="1"/>
  <c r="AJ170" i="164" s="1"/>
  <c r="AK170" i="164" s="1"/>
  <c r="AL170" i="164" s="1"/>
  <c r="AR127" i="165"/>
  <c r="AU127" i="165"/>
  <c r="W127" i="165"/>
  <c r="AV20" i="163"/>
  <c r="BI20" i="163"/>
  <c r="Z120" i="165"/>
  <c r="G115" i="165"/>
  <c r="G122" i="165" s="1"/>
  <c r="Z115" i="165"/>
  <c r="Z122" i="165" s="1"/>
  <c r="K117" i="165"/>
  <c r="K124" i="165" s="1"/>
  <c r="E133" i="163"/>
  <c r="I32" i="165"/>
  <c r="I41" i="165" s="1"/>
  <c r="K156" i="164"/>
  <c r="K162" i="164" s="1"/>
  <c r="L162" i="164" s="1"/>
  <c r="M162" i="164" s="1"/>
  <c r="N162" i="164" s="1"/>
  <c r="O162" i="164" s="1"/>
  <c r="P162" i="164" s="1"/>
  <c r="Q162" i="164" s="1"/>
  <c r="R162" i="164" s="1"/>
  <c r="S162" i="164" s="1"/>
  <c r="T162" i="164" s="1"/>
  <c r="U162" i="164" s="1"/>
  <c r="V162" i="164" s="1"/>
  <c r="W162" i="164" s="1"/>
  <c r="X162" i="164" s="1"/>
  <c r="Y162" i="164" s="1"/>
  <c r="Z162" i="164" s="1"/>
  <c r="AA162" i="164" s="1"/>
  <c r="AB162" i="164" s="1"/>
  <c r="AC162" i="164" s="1"/>
  <c r="AD162" i="164" s="1"/>
  <c r="AE162" i="164" s="1"/>
  <c r="AF162" i="164" s="1"/>
  <c r="AG162" i="164" s="1"/>
  <c r="AH162" i="164" s="1"/>
  <c r="AI162" i="164" s="1"/>
  <c r="AJ162" i="164" s="1"/>
  <c r="AK162" i="164" s="1"/>
  <c r="AL162" i="164" s="1"/>
  <c r="I127" i="165"/>
  <c r="L28" i="165"/>
  <c r="D32" i="165"/>
  <c r="D42" i="165" s="1"/>
  <c r="AU129" i="165"/>
  <c r="T228" i="165"/>
  <c r="F28" i="165"/>
  <c r="Q127" i="165"/>
  <c r="L29" i="165"/>
  <c r="BF20" i="163"/>
  <c r="BE20" i="163"/>
  <c r="BS15" i="163"/>
  <c r="BS14" i="163"/>
  <c r="BD20" i="163"/>
  <c r="BS12" i="163"/>
  <c r="BN20" i="163"/>
  <c r="AF17" i="163" s="1"/>
  <c r="BS11" i="163"/>
  <c r="BC20" i="163"/>
  <c r="BH20" i="163"/>
  <c r="BG20" i="163"/>
  <c r="Y17" i="163" s="1"/>
  <c r="AR20" i="163"/>
  <c r="K32" i="165"/>
  <c r="K40" i="165" s="1"/>
  <c r="B91" i="165"/>
  <c r="C90" i="165" s="1"/>
  <c r="D90" i="165" s="1"/>
  <c r="AI125" i="163"/>
  <c r="AI112" i="163" s="1"/>
  <c r="BS7" i="163"/>
  <c r="BJ20" i="163"/>
  <c r="BS19" i="163"/>
  <c r="BK20" i="163"/>
  <c r="BS17" i="163"/>
  <c r="BS18" i="163"/>
  <c r="BL20" i="163"/>
  <c r="BS6" i="163"/>
  <c r="AX20" i="163"/>
  <c r="BS16" i="163"/>
  <c r="AY20" i="163"/>
  <c r="BO20" i="163"/>
  <c r="BS10" i="163"/>
  <c r="AZ20" i="163"/>
  <c r="R18" i="163" s="1"/>
  <c r="BP20" i="163"/>
  <c r="BB20" i="163"/>
  <c r="BS5" i="163"/>
  <c r="Z28" i="163"/>
  <c r="Z44" i="163" s="1"/>
  <c r="BS9" i="163"/>
  <c r="BS13" i="163"/>
  <c r="BS8" i="163"/>
  <c r="D127" i="165"/>
  <c r="H32" i="165"/>
  <c r="H42" i="165" s="1"/>
  <c r="E127" i="165"/>
  <c r="AX127" i="165"/>
  <c r="U228" i="165"/>
  <c r="Y127" i="165"/>
  <c r="V228" i="165"/>
  <c r="G120" i="165"/>
  <c r="G126" i="165" s="1"/>
  <c r="W228" i="165"/>
  <c r="C32" i="165"/>
  <c r="C42" i="165" s="1"/>
  <c r="H127" i="165"/>
  <c r="AP127" i="165"/>
  <c r="AP129" i="165"/>
  <c r="AP133" i="165" s="1"/>
  <c r="F149" i="165" s="1"/>
  <c r="C129" i="165"/>
  <c r="C127" i="165"/>
  <c r="AQ127" i="165"/>
  <c r="AQ129" i="165"/>
  <c r="AS127" i="165"/>
  <c r="AP136" i="165"/>
  <c r="F151" i="165" s="1"/>
  <c r="AP139" i="165"/>
  <c r="F153" i="165" s="1"/>
  <c r="F27" i="165"/>
  <c r="G116" i="165"/>
  <c r="G123" i="165" s="1"/>
  <c r="J127" i="165"/>
  <c r="AR129" i="165"/>
  <c r="L127" i="165"/>
  <c r="F127" i="165"/>
  <c r="AW127" i="165"/>
  <c r="AW129" i="165"/>
  <c r="J27" i="165"/>
  <c r="K116" i="165"/>
  <c r="K123" i="165" s="1"/>
  <c r="K120" i="165"/>
  <c r="K126" i="165" s="1"/>
  <c r="J31" i="165"/>
  <c r="C136" i="165"/>
  <c r="C151" i="165" s="1"/>
  <c r="C139" i="165"/>
  <c r="C153" i="165" s="1"/>
  <c r="C142" i="165"/>
  <c r="M127" i="165"/>
  <c r="AT129" i="165"/>
  <c r="AT127" i="165"/>
  <c r="P127" i="165"/>
  <c r="P129" i="165" s="1"/>
  <c r="R127" i="165"/>
  <c r="AV129" i="165"/>
  <c r="AV127" i="165"/>
  <c r="E153" i="165"/>
  <c r="AC135" i="165"/>
  <c r="E154" i="165" s="1"/>
  <c r="E156" i="165" s="1"/>
  <c r="E149" i="165"/>
  <c r="E157" i="165" s="1"/>
  <c r="T127" i="165"/>
  <c r="B32" i="165"/>
  <c r="B40" i="165" s="1"/>
  <c r="X127" i="165"/>
  <c r="G32" i="165"/>
  <c r="C97" i="165"/>
  <c r="D97" i="165" s="1"/>
  <c r="C96" i="165"/>
  <c r="D96" i="165" s="1"/>
  <c r="U127" i="165"/>
  <c r="AZ127" i="165"/>
  <c r="AZ129" i="165"/>
  <c r="V127" i="165"/>
  <c r="AS129" i="165"/>
  <c r="S228" i="165"/>
  <c r="Z116" i="165"/>
  <c r="Z123" i="165" s="1"/>
  <c r="Z117" i="165"/>
  <c r="Z124" i="165" s="1"/>
  <c r="G118" i="165"/>
  <c r="G125" i="165" s="1"/>
  <c r="AX129" i="165"/>
  <c r="Z118" i="165"/>
  <c r="Z125" i="165" s="1"/>
  <c r="G119" i="165"/>
  <c r="AY129" i="165"/>
  <c r="Z119" i="165"/>
  <c r="Z126" i="165" s="1"/>
  <c r="K118" i="165"/>
  <c r="K125" i="165" s="1"/>
  <c r="E32" i="165"/>
  <c r="E43" i="165" s="1"/>
  <c r="K161" i="164"/>
  <c r="L161" i="164" s="1"/>
  <c r="M161" i="164" s="1"/>
  <c r="N161" i="164" s="1"/>
  <c r="O161" i="164" s="1"/>
  <c r="P161" i="164" s="1"/>
  <c r="Q161" i="164" s="1"/>
  <c r="R161" i="164" s="1"/>
  <c r="S161" i="164" s="1"/>
  <c r="T161" i="164" s="1"/>
  <c r="U161" i="164" s="1"/>
  <c r="V161" i="164" s="1"/>
  <c r="W161" i="164" s="1"/>
  <c r="X161" i="164" s="1"/>
  <c r="Y161" i="164" s="1"/>
  <c r="Z161" i="164" s="1"/>
  <c r="AA161" i="164" s="1"/>
  <c r="AB161" i="164" s="1"/>
  <c r="AC161" i="164" s="1"/>
  <c r="AD161" i="164" s="1"/>
  <c r="AE161" i="164" s="1"/>
  <c r="AF161" i="164" s="1"/>
  <c r="AG161" i="164" s="1"/>
  <c r="AH161" i="164" s="1"/>
  <c r="AI161" i="164" s="1"/>
  <c r="AJ161" i="164" s="1"/>
  <c r="AK161" i="164" s="1"/>
  <c r="AL161" i="164" s="1"/>
  <c r="K174" i="164"/>
  <c r="L174" i="164" s="1"/>
  <c r="M174" i="164" s="1"/>
  <c r="N174" i="164" s="1"/>
  <c r="O174" i="164" s="1"/>
  <c r="P174" i="164" s="1"/>
  <c r="Q174" i="164" s="1"/>
  <c r="R174" i="164" s="1"/>
  <c r="S174" i="164" s="1"/>
  <c r="T174" i="164" s="1"/>
  <c r="U174" i="164" s="1"/>
  <c r="V174" i="164" s="1"/>
  <c r="W174" i="164" s="1"/>
  <c r="X174" i="164" s="1"/>
  <c r="Y174" i="164" s="1"/>
  <c r="Z174" i="164" s="1"/>
  <c r="AA174" i="164" s="1"/>
  <c r="AB174" i="164" s="1"/>
  <c r="AC174" i="164" s="1"/>
  <c r="AD174" i="164" s="1"/>
  <c r="AE174" i="164" s="1"/>
  <c r="AF174" i="164" s="1"/>
  <c r="AG174" i="164" s="1"/>
  <c r="AH174" i="164" s="1"/>
  <c r="AI174" i="164" s="1"/>
  <c r="AJ174" i="164" s="1"/>
  <c r="AK174" i="164" s="1"/>
  <c r="AL174" i="164" s="1"/>
  <c r="L168" i="164"/>
  <c r="M168" i="164" s="1"/>
  <c r="N168" i="164" s="1"/>
  <c r="O168" i="164" s="1"/>
  <c r="P168" i="164" s="1"/>
  <c r="Q168" i="164" s="1"/>
  <c r="R168" i="164" s="1"/>
  <c r="S168" i="164" s="1"/>
  <c r="T168" i="164" s="1"/>
  <c r="U168" i="164" s="1"/>
  <c r="V168" i="164" s="1"/>
  <c r="W168" i="164" s="1"/>
  <c r="X168" i="164" s="1"/>
  <c r="Y168" i="164" s="1"/>
  <c r="Z168" i="164" s="1"/>
  <c r="AA168" i="164" s="1"/>
  <c r="AB168" i="164" s="1"/>
  <c r="AC168" i="164" s="1"/>
  <c r="AD168" i="164" s="1"/>
  <c r="AE168" i="164" s="1"/>
  <c r="AF168" i="164" s="1"/>
  <c r="AG168" i="164" s="1"/>
  <c r="AH168" i="164" s="1"/>
  <c r="AI168" i="164" s="1"/>
  <c r="AJ168" i="164" s="1"/>
  <c r="AK168" i="164" s="1"/>
  <c r="AL168" i="164" s="1"/>
  <c r="K175" i="164"/>
  <c r="L175" i="164" s="1"/>
  <c r="M175" i="164" s="1"/>
  <c r="N175" i="164" s="1"/>
  <c r="O175" i="164" s="1"/>
  <c r="P175" i="164" s="1"/>
  <c r="Q175" i="164" s="1"/>
  <c r="R175" i="164" s="1"/>
  <c r="S175" i="164" s="1"/>
  <c r="T175" i="164" s="1"/>
  <c r="U175" i="164" s="1"/>
  <c r="V175" i="164" s="1"/>
  <c r="W175" i="164" s="1"/>
  <c r="X175" i="164" s="1"/>
  <c r="Y175" i="164" s="1"/>
  <c r="Z175" i="164" s="1"/>
  <c r="AA175" i="164" s="1"/>
  <c r="AB175" i="164" s="1"/>
  <c r="AC175" i="164" s="1"/>
  <c r="AD175" i="164" s="1"/>
  <c r="AE175" i="164" s="1"/>
  <c r="AF175" i="164" s="1"/>
  <c r="AG175" i="164" s="1"/>
  <c r="AH175" i="164" s="1"/>
  <c r="AI175" i="164" s="1"/>
  <c r="AJ175" i="164" s="1"/>
  <c r="AK175" i="164" s="1"/>
  <c r="AL175" i="164" s="1"/>
  <c r="K179" i="164"/>
  <c r="L167" i="164"/>
  <c r="M167" i="164" s="1"/>
  <c r="N167" i="164" s="1"/>
  <c r="O167" i="164" s="1"/>
  <c r="P167" i="164" s="1"/>
  <c r="Q167" i="164" s="1"/>
  <c r="R167" i="164" s="1"/>
  <c r="S167" i="164" s="1"/>
  <c r="T167" i="164" s="1"/>
  <c r="U167" i="164" s="1"/>
  <c r="V167" i="164" s="1"/>
  <c r="W167" i="164" s="1"/>
  <c r="X167" i="164" s="1"/>
  <c r="Y167" i="164" s="1"/>
  <c r="Z167" i="164" s="1"/>
  <c r="AA167" i="164" s="1"/>
  <c r="AB167" i="164" s="1"/>
  <c r="AC167" i="164" s="1"/>
  <c r="AD167" i="164" s="1"/>
  <c r="AE167" i="164" s="1"/>
  <c r="AF167" i="164" s="1"/>
  <c r="AG167" i="164" s="1"/>
  <c r="AH167" i="164" s="1"/>
  <c r="AI167" i="164" s="1"/>
  <c r="AJ167" i="164" s="1"/>
  <c r="AK167" i="164" s="1"/>
  <c r="AL167" i="164" s="1"/>
  <c r="L171" i="164"/>
  <c r="M171" i="164" s="1"/>
  <c r="N171" i="164" s="1"/>
  <c r="O171" i="164" s="1"/>
  <c r="P171" i="164" s="1"/>
  <c r="Q171" i="164" s="1"/>
  <c r="R171" i="164" s="1"/>
  <c r="S171" i="164" s="1"/>
  <c r="T171" i="164" s="1"/>
  <c r="U171" i="164" s="1"/>
  <c r="V171" i="164" s="1"/>
  <c r="W171" i="164" s="1"/>
  <c r="X171" i="164" s="1"/>
  <c r="Y171" i="164" s="1"/>
  <c r="Z171" i="164" s="1"/>
  <c r="AA171" i="164" s="1"/>
  <c r="AB171" i="164" s="1"/>
  <c r="AC171" i="164" s="1"/>
  <c r="AD171" i="164" s="1"/>
  <c r="AE171" i="164" s="1"/>
  <c r="AF171" i="164" s="1"/>
  <c r="AG171" i="164" s="1"/>
  <c r="AH171" i="164" s="1"/>
  <c r="AI171" i="164" s="1"/>
  <c r="AJ171" i="164" s="1"/>
  <c r="AK171" i="164" s="1"/>
  <c r="AL171" i="164" s="1"/>
  <c r="BM140" i="163"/>
  <c r="BM141" i="163"/>
  <c r="Y48" i="163"/>
  <c r="Y64" i="163" s="1"/>
  <c r="Y51" i="163"/>
  <c r="Y67" i="163" s="1"/>
  <c r="Y44" i="163"/>
  <c r="P56" i="163"/>
  <c r="AF56" i="163"/>
  <c r="H44" i="163"/>
  <c r="Q56" i="163"/>
  <c r="AG56" i="163"/>
  <c r="BL140" i="163"/>
  <c r="BL141" i="163"/>
  <c r="AG48" i="163"/>
  <c r="AG64" i="163" s="1"/>
  <c r="AE44" i="163"/>
  <c r="AE60" i="163" s="1"/>
  <c r="O44" i="163"/>
  <c r="AF44" i="163"/>
  <c r="AF60" i="163" s="1"/>
  <c r="Y63" i="163"/>
  <c r="H48" i="163"/>
  <c r="H64" i="163" s="1"/>
  <c r="AV140" i="163"/>
  <c r="AV141" i="163"/>
  <c r="AG44" i="163"/>
  <c r="AG60" i="163" s="1"/>
  <c r="I48" i="163"/>
  <c r="I64" i="163" s="1"/>
  <c r="AH44" i="163"/>
  <c r="AH60" i="163" s="1"/>
  <c r="AF47" i="163"/>
  <c r="AF63" i="163" s="1"/>
  <c r="R44" i="163"/>
  <c r="R60" i="163" s="1"/>
  <c r="AI44" i="163"/>
  <c r="AI60" i="163" s="1"/>
  <c r="H51" i="163"/>
  <c r="H67" i="163" s="1"/>
  <c r="S44" i="163"/>
  <c r="S60" i="163" s="1"/>
  <c r="BO140" i="163"/>
  <c r="BO141" i="163"/>
  <c r="R56" i="163"/>
  <c r="S56" i="163"/>
  <c r="J48" i="163"/>
  <c r="J64" i="163" s="1"/>
  <c r="Z48" i="163"/>
  <c r="Z64" i="163" s="1"/>
  <c r="T56" i="163"/>
  <c r="O51" i="163"/>
  <c r="O67" i="163" s="1"/>
  <c r="AE51" i="163"/>
  <c r="AE67" i="163" s="1"/>
  <c r="W56" i="163"/>
  <c r="U56" i="163"/>
  <c r="H63" i="163"/>
  <c r="H56" i="163"/>
  <c r="X56" i="163"/>
  <c r="AD51" i="163"/>
  <c r="AD67" i="163" s="1"/>
  <c r="V56" i="163"/>
  <c r="AN140" i="163"/>
  <c r="AN141" i="163"/>
  <c r="I56" i="163"/>
  <c r="Y56" i="163"/>
  <c r="AF51" i="163"/>
  <c r="AF67" i="163" s="1"/>
  <c r="J60" i="163"/>
  <c r="Z63" i="163"/>
  <c r="R47" i="163"/>
  <c r="AD48" i="163"/>
  <c r="AD64" i="163" s="1"/>
  <c r="AG51" i="163"/>
  <c r="AG67" i="163" s="1"/>
  <c r="S47" i="163"/>
  <c r="O48" i="163"/>
  <c r="O64" i="163" s="1"/>
  <c r="AE48" i="163"/>
  <c r="AE64" i="163" s="1"/>
  <c r="AF48" i="163"/>
  <c r="AF64" i="163" s="1"/>
  <c r="M56" i="163"/>
  <c r="AC56" i="163"/>
  <c r="R51" i="163"/>
  <c r="R67" i="163" s="1"/>
  <c r="J56" i="163"/>
  <c r="AS140" i="163"/>
  <c r="AS141" i="163"/>
  <c r="BI140" i="163"/>
  <c r="BI141" i="163"/>
  <c r="AD60" i="163"/>
  <c r="R48" i="163"/>
  <c r="R64" i="163" s="1"/>
  <c r="K56" i="163"/>
  <c r="AT140" i="163"/>
  <c r="AT141" i="163"/>
  <c r="O63" i="163"/>
  <c r="S48" i="163"/>
  <c r="S64" i="163" s="1"/>
  <c r="L56" i="163"/>
  <c r="AU140" i="163"/>
  <c r="AU141" i="163"/>
  <c r="AG138" i="163"/>
  <c r="R138" i="163"/>
  <c r="AP141" i="163"/>
  <c r="BF141" i="163"/>
  <c r="Y144" i="163"/>
  <c r="AA144" i="163"/>
  <c r="I144" i="163"/>
  <c r="AB144" i="163"/>
  <c r="K144" i="163"/>
  <c r="H138" i="163"/>
  <c r="L144" i="163"/>
  <c r="AE144" i="163"/>
  <c r="AX141" i="163"/>
  <c r="H111" i="156"/>
  <c r="V111" i="156"/>
  <c r="X111" i="156"/>
  <c r="AA111" i="156"/>
  <c r="AD111" i="156"/>
  <c r="K111" i="156"/>
  <c r="AF111" i="156"/>
  <c r="N111" i="156"/>
  <c r="AI111" i="156"/>
  <c r="P111" i="156"/>
  <c r="S111" i="156"/>
  <c r="I111" i="156"/>
  <c r="Q111" i="156"/>
  <c r="Y111" i="156"/>
  <c r="AG111" i="156"/>
  <c r="J111" i="156"/>
  <c r="R111" i="156"/>
  <c r="Z111" i="156"/>
  <c r="AH111" i="156"/>
  <c r="L111" i="156"/>
  <c r="T111" i="156"/>
  <c r="AB111" i="156"/>
  <c r="M111" i="156"/>
  <c r="U111" i="156"/>
  <c r="AC111" i="156"/>
  <c r="O111" i="156"/>
  <c r="W111" i="156"/>
  <c r="AC107" i="156"/>
  <c r="H107" i="156"/>
  <c r="I107" i="156"/>
  <c r="Y107" i="156"/>
  <c r="R107" i="156"/>
  <c r="K107" i="156"/>
  <c r="N107" i="156"/>
  <c r="V107" i="156"/>
  <c r="AD107" i="156"/>
  <c r="W107" i="156"/>
  <c r="AE107" i="156"/>
  <c r="AF107" i="156"/>
  <c r="AG107" i="156"/>
  <c r="AH107" i="156"/>
  <c r="AI107" i="156"/>
  <c r="X107" i="156"/>
  <c r="AB107" i="156"/>
  <c r="O107" i="156"/>
  <c r="P107" i="156"/>
  <c r="Q107" i="156"/>
  <c r="J107" i="156"/>
  <c r="Z107" i="156"/>
  <c r="S107" i="156"/>
  <c r="AA107" i="156"/>
  <c r="L107" i="156"/>
  <c r="T107" i="156"/>
  <c r="M107" i="156"/>
  <c r="U107" i="156"/>
  <c r="AL105" i="156"/>
  <c r="AL98" i="156"/>
  <c r="AK76" i="156"/>
  <c r="AK77" i="156"/>
  <c r="AK78" i="156"/>
  <c r="AK79" i="156"/>
  <c r="AK75" i="156"/>
  <c r="A18" i="156"/>
  <c r="B18" i="156"/>
  <c r="AL92" i="156"/>
  <c r="AL86" i="156"/>
  <c r="AL80" i="156"/>
  <c r="AL74" i="156"/>
  <c r="O10" i="160"/>
  <c r="O11" i="160"/>
  <c r="O12" i="160"/>
  <c r="O13" i="160"/>
  <c r="O9" i="160"/>
  <c r="O5" i="160"/>
  <c r="O6" i="160"/>
  <c r="O7" i="160"/>
  <c r="O8" i="160"/>
  <c r="O4" i="160"/>
  <c r="B20" i="155"/>
  <c r="AN69" i="128"/>
  <c r="G37" i="160"/>
  <c r="F37" i="160"/>
  <c r="G31" i="160"/>
  <c r="F31" i="160"/>
  <c r="G26" i="160"/>
  <c r="F26" i="160"/>
  <c r="G21" i="160"/>
  <c r="F21" i="160"/>
  <c r="AK125" i="156" s="1"/>
  <c r="G14" i="160"/>
  <c r="F14" i="160"/>
  <c r="AK123" i="156" s="1"/>
  <c r="G9" i="160"/>
  <c r="F9" i="160"/>
  <c r="G4" i="160"/>
  <c r="F4" i="160"/>
  <c r="AF125" i="163" l="1"/>
  <c r="AF129" i="163" s="1"/>
  <c r="AE32" i="167" s="1"/>
  <c r="AE34" i="167" s="1"/>
  <c r="AE36" i="167" s="1"/>
  <c r="AE38" i="167" s="1"/>
  <c r="AE138" i="163"/>
  <c r="AH125" i="163"/>
  <c r="AH112" i="163" s="1"/>
  <c r="O125" i="163"/>
  <c r="O112" i="163" s="1"/>
  <c r="J125" i="163"/>
  <c r="J112" i="163" s="1"/>
  <c r="S112" i="163"/>
  <c r="S129" i="163"/>
  <c r="R32" i="167" s="1"/>
  <c r="R34" i="167" s="1"/>
  <c r="R36" i="167" s="1"/>
  <c r="R38" i="167" s="1"/>
  <c r="Z125" i="163"/>
  <c r="Z112" i="163" s="1"/>
  <c r="S138" i="163"/>
  <c r="AG129" i="163"/>
  <c r="AF32" i="167" s="1"/>
  <c r="AF34" i="167" s="1"/>
  <c r="AF36" i="167" s="1"/>
  <c r="AF38" i="167" s="1"/>
  <c r="Y125" i="163"/>
  <c r="Y129" i="163" s="1"/>
  <c r="X32" i="167" s="1"/>
  <c r="X34" i="167" s="1"/>
  <c r="X36" i="167" s="1"/>
  <c r="X38" i="167" s="1"/>
  <c r="BN140" i="163"/>
  <c r="P138" i="163"/>
  <c r="M125" i="163"/>
  <c r="M128" i="163" s="1"/>
  <c r="AG112" i="163"/>
  <c r="AB125" i="163"/>
  <c r="AB129" i="163" s="1"/>
  <c r="AA32" i="167" s="1"/>
  <c r="AA34" i="167" s="1"/>
  <c r="AA36" i="167" s="1"/>
  <c r="AA38" i="167" s="1"/>
  <c r="AY141" i="163"/>
  <c r="R128" i="163"/>
  <c r="K125" i="163"/>
  <c r="K112" i="163" s="1"/>
  <c r="L125" i="163"/>
  <c r="L129" i="163" s="1"/>
  <c r="K32" i="167" s="1"/>
  <c r="K34" i="167" s="1"/>
  <c r="K36" i="167" s="1"/>
  <c r="K38" i="167" s="1"/>
  <c r="AA125" i="163"/>
  <c r="AA112" i="163" s="1"/>
  <c r="N138" i="163"/>
  <c r="AC125" i="163"/>
  <c r="AC128" i="163" s="1"/>
  <c r="BJ141" i="163"/>
  <c r="I105" i="156"/>
  <c r="Q105" i="156"/>
  <c r="Y105" i="156"/>
  <c r="AG105" i="156"/>
  <c r="N106" i="156"/>
  <c r="V106" i="156"/>
  <c r="AD106" i="156"/>
  <c r="J105" i="156"/>
  <c r="R105" i="156"/>
  <c r="Z105" i="156"/>
  <c r="AH105" i="156"/>
  <c r="O106" i="156"/>
  <c r="W106" i="156"/>
  <c r="AE106" i="156"/>
  <c r="K105" i="156"/>
  <c r="S105" i="156"/>
  <c r="AA105" i="156"/>
  <c r="AI105" i="156"/>
  <c r="P106" i="156"/>
  <c r="X106" i="156"/>
  <c r="AF106" i="156"/>
  <c r="L105" i="156"/>
  <c r="T105" i="156"/>
  <c r="AB105" i="156"/>
  <c r="I106" i="156"/>
  <c r="Q106" i="156"/>
  <c r="Y106" i="156"/>
  <c r="AG106" i="156"/>
  <c r="M105" i="156"/>
  <c r="U105" i="156"/>
  <c r="AC105" i="156"/>
  <c r="J106" i="156"/>
  <c r="R106" i="156"/>
  <c r="Z106" i="156"/>
  <c r="AH106" i="156"/>
  <c r="N105" i="156"/>
  <c r="V105" i="156"/>
  <c r="AD105" i="156"/>
  <c r="K106" i="156"/>
  <c r="S106" i="156"/>
  <c r="AA106" i="156"/>
  <c r="AI106" i="156"/>
  <c r="O105" i="156"/>
  <c r="W105" i="156"/>
  <c r="AE105" i="156"/>
  <c r="L106" i="156"/>
  <c r="T106" i="156"/>
  <c r="AB106" i="156"/>
  <c r="H106" i="156"/>
  <c r="P105" i="156"/>
  <c r="X105" i="156"/>
  <c r="AF105" i="156"/>
  <c r="M106" i="156"/>
  <c r="U106" i="156"/>
  <c r="AC106" i="156"/>
  <c r="H105" i="156"/>
  <c r="I125" i="163"/>
  <c r="I128" i="163" s="1"/>
  <c r="M74" i="156"/>
  <c r="U74" i="156"/>
  <c r="AC74" i="156"/>
  <c r="N74" i="156"/>
  <c r="V74" i="156"/>
  <c r="AD74" i="156"/>
  <c r="O74" i="156"/>
  <c r="W74" i="156"/>
  <c r="AE74" i="156"/>
  <c r="P74" i="156"/>
  <c r="X74" i="156"/>
  <c r="AF74" i="156"/>
  <c r="I74" i="156"/>
  <c r="Q74" i="156"/>
  <c r="Y74" i="156"/>
  <c r="AG74" i="156"/>
  <c r="J74" i="156"/>
  <c r="R74" i="156"/>
  <c r="Z74" i="156"/>
  <c r="AH74" i="156"/>
  <c r="K74" i="156"/>
  <c r="S74" i="156"/>
  <c r="AA74" i="156"/>
  <c r="AI74" i="156"/>
  <c r="L74" i="156"/>
  <c r="T74" i="156"/>
  <c r="AB74" i="156"/>
  <c r="H74" i="156"/>
  <c r="AI80" i="156"/>
  <c r="P80" i="156"/>
  <c r="X80" i="156"/>
  <c r="AF80" i="156"/>
  <c r="I80" i="156"/>
  <c r="Q80" i="156"/>
  <c r="Y80" i="156"/>
  <c r="AG80" i="156"/>
  <c r="J80" i="156"/>
  <c r="R80" i="156"/>
  <c r="Z80" i="156"/>
  <c r="AH80" i="156"/>
  <c r="K80" i="156"/>
  <c r="S80" i="156"/>
  <c r="AA80" i="156"/>
  <c r="H80" i="156"/>
  <c r="L80" i="156"/>
  <c r="T80" i="156"/>
  <c r="AB80" i="156"/>
  <c r="M80" i="156"/>
  <c r="U80" i="156"/>
  <c r="AC80" i="156"/>
  <c r="N80" i="156"/>
  <c r="V80" i="156"/>
  <c r="AD80" i="156"/>
  <c r="O80" i="156"/>
  <c r="W80" i="156"/>
  <c r="AE80" i="156"/>
  <c r="G20" i="164"/>
  <c r="O37" i="164"/>
  <c r="W37" i="164"/>
  <c r="AE37" i="164"/>
  <c r="Y37" i="164"/>
  <c r="AG37" i="164"/>
  <c r="R37" i="164"/>
  <c r="Z37" i="164"/>
  <c r="AH37" i="164"/>
  <c r="K37" i="164"/>
  <c r="S37" i="164"/>
  <c r="AA37" i="164"/>
  <c r="AI37" i="164"/>
  <c r="T37" i="164"/>
  <c r="AB37" i="164"/>
  <c r="AJ37" i="164"/>
  <c r="P37" i="164"/>
  <c r="X37" i="164"/>
  <c r="AF37" i="164"/>
  <c r="Q37" i="164"/>
  <c r="L37" i="164"/>
  <c r="M37" i="164"/>
  <c r="U37" i="164"/>
  <c r="AC37" i="164"/>
  <c r="AK37" i="164"/>
  <c r="N37" i="164"/>
  <c r="V37" i="164"/>
  <c r="AD37" i="164"/>
  <c r="J37" i="164"/>
  <c r="M86" i="156"/>
  <c r="U86" i="156"/>
  <c r="AC86" i="156"/>
  <c r="N86" i="156"/>
  <c r="V86" i="156"/>
  <c r="AD86" i="156"/>
  <c r="O86" i="156"/>
  <c r="W86" i="156"/>
  <c r="AE86" i="156"/>
  <c r="P86" i="156"/>
  <c r="X86" i="156"/>
  <c r="AF86" i="156"/>
  <c r="I86" i="156"/>
  <c r="Q86" i="156"/>
  <c r="Y86" i="156"/>
  <c r="AG86" i="156"/>
  <c r="J86" i="156"/>
  <c r="R86" i="156"/>
  <c r="Z86" i="156"/>
  <c r="AH86" i="156"/>
  <c r="K86" i="156"/>
  <c r="S86" i="156"/>
  <c r="AA86" i="156"/>
  <c r="AI86" i="156"/>
  <c r="L86" i="156"/>
  <c r="T86" i="156"/>
  <c r="AB86" i="156"/>
  <c r="H86" i="156"/>
  <c r="I92" i="156"/>
  <c r="Q92" i="156"/>
  <c r="Y92" i="156"/>
  <c r="AG92" i="156"/>
  <c r="J92" i="156"/>
  <c r="R92" i="156"/>
  <c r="Z92" i="156"/>
  <c r="AH92" i="156"/>
  <c r="K92" i="156"/>
  <c r="S92" i="156"/>
  <c r="AA92" i="156"/>
  <c r="AI92" i="156"/>
  <c r="L92" i="156"/>
  <c r="T92" i="156"/>
  <c r="AB92" i="156"/>
  <c r="H92" i="156"/>
  <c r="M92" i="156"/>
  <c r="U92" i="156"/>
  <c r="AC92" i="156"/>
  <c r="N92" i="156"/>
  <c r="V92" i="156"/>
  <c r="AD92" i="156"/>
  <c r="O92" i="156"/>
  <c r="W92" i="156"/>
  <c r="AE92" i="156"/>
  <c r="P92" i="156"/>
  <c r="X92" i="156"/>
  <c r="AF92" i="156"/>
  <c r="I99" i="156"/>
  <c r="Q99" i="156"/>
  <c r="Y99" i="156"/>
  <c r="AG99" i="156"/>
  <c r="M98" i="156"/>
  <c r="U98" i="156"/>
  <c r="AC98" i="156"/>
  <c r="J99" i="156"/>
  <c r="R99" i="156"/>
  <c r="Z99" i="156"/>
  <c r="AH99" i="156"/>
  <c r="N98" i="156"/>
  <c r="V98" i="156"/>
  <c r="AD98" i="156"/>
  <c r="K99" i="156"/>
  <c r="S99" i="156"/>
  <c r="AA99" i="156"/>
  <c r="AI99" i="156"/>
  <c r="O98" i="156"/>
  <c r="W98" i="156"/>
  <c r="AE98" i="156"/>
  <c r="L99" i="156"/>
  <c r="T99" i="156"/>
  <c r="AB99" i="156"/>
  <c r="H99" i="156"/>
  <c r="P98" i="156"/>
  <c r="X98" i="156"/>
  <c r="AF98" i="156"/>
  <c r="M99" i="156"/>
  <c r="U99" i="156"/>
  <c r="AC99" i="156"/>
  <c r="I98" i="156"/>
  <c r="Q98" i="156"/>
  <c r="Y98" i="156"/>
  <c r="AG98" i="156"/>
  <c r="N99" i="156"/>
  <c r="V99" i="156"/>
  <c r="AD99" i="156"/>
  <c r="J98" i="156"/>
  <c r="R98" i="156"/>
  <c r="Z98" i="156"/>
  <c r="AH98" i="156"/>
  <c r="O99" i="156"/>
  <c r="W99" i="156"/>
  <c r="AE99" i="156"/>
  <c r="K98" i="156"/>
  <c r="S98" i="156"/>
  <c r="AA98" i="156"/>
  <c r="AI98" i="156"/>
  <c r="P99" i="156"/>
  <c r="X99" i="156"/>
  <c r="AF99" i="156"/>
  <c r="L98" i="156"/>
  <c r="T98" i="156"/>
  <c r="AB98" i="156"/>
  <c r="H98" i="156"/>
  <c r="AF33" i="167"/>
  <c r="AF35" i="167" s="1"/>
  <c r="AF37" i="167" s="1"/>
  <c r="AF39" i="167" s="1"/>
  <c r="AE33" i="167"/>
  <c r="AE35" i="167" s="1"/>
  <c r="AE37" i="167" s="1"/>
  <c r="AE39" i="167" s="1"/>
  <c r="G33" i="167"/>
  <c r="G35" i="167" s="1"/>
  <c r="G37" i="167" s="1"/>
  <c r="G39" i="167" s="1"/>
  <c r="T144" i="163"/>
  <c r="AZ141" i="163" s="1"/>
  <c r="S230" i="165"/>
  <c r="AI228" i="165"/>
  <c r="AI230" i="165" s="1"/>
  <c r="X144" i="163"/>
  <c r="BD140" i="163" s="1"/>
  <c r="W230" i="165"/>
  <c r="W144" i="163"/>
  <c r="BC141" i="163" s="1"/>
  <c r="V230" i="165"/>
  <c r="V144" i="163"/>
  <c r="BB141" i="163" s="1"/>
  <c r="U230" i="165"/>
  <c r="U144" i="163"/>
  <c r="BA141" i="163" s="1"/>
  <c r="T230" i="165"/>
  <c r="R129" i="163"/>
  <c r="Q32" i="167" s="1"/>
  <c r="Q34" i="167" s="1"/>
  <c r="Q36" i="167" s="1"/>
  <c r="Q38" i="167" s="1"/>
  <c r="H6" i="163"/>
  <c r="H17" i="163"/>
  <c r="C434" i="165"/>
  <c r="J61" i="164" s="1"/>
  <c r="K61" i="164" s="1"/>
  <c r="L61" i="164" s="1"/>
  <c r="M61" i="164" s="1"/>
  <c r="N61" i="164" s="1"/>
  <c r="O61" i="164" s="1"/>
  <c r="P61" i="164" s="1"/>
  <c r="Q61" i="164" s="1"/>
  <c r="R61" i="164" s="1"/>
  <c r="S61" i="164" s="1"/>
  <c r="T61" i="164" s="1"/>
  <c r="U61" i="164" s="1"/>
  <c r="V61" i="164" s="1"/>
  <c r="W61" i="164" s="1"/>
  <c r="X61" i="164" s="1"/>
  <c r="Y61" i="164" s="1"/>
  <c r="Z61" i="164" s="1"/>
  <c r="AA61" i="164" s="1"/>
  <c r="AB61" i="164" s="1"/>
  <c r="AC61" i="164" s="1"/>
  <c r="AD61" i="164" s="1"/>
  <c r="AE61" i="164" s="1"/>
  <c r="AF61" i="164" s="1"/>
  <c r="AG61" i="164" s="1"/>
  <c r="AH61" i="164" s="1"/>
  <c r="AI61" i="164" s="1"/>
  <c r="AJ61" i="164" s="1"/>
  <c r="AK61" i="164" s="1"/>
  <c r="H112" i="163"/>
  <c r="O19" i="163"/>
  <c r="H15" i="163"/>
  <c r="AW140" i="163"/>
  <c r="AF128" i="163"/>
  <c r="I39" i="165"/>
  <c r="I42" i="165"/>
  <c r="I38" i="165"/>
  <c r="Q125" i="163"/>
  <c r="Q112" i="163" s="1"/>
  <c r="O8" i="163"/>
  <c r="O7" i="163"/>
  <c r="O15" i="163"/>
  <c r="O11" i="163"/>
  <c r="O9" i="163"/>
  <c r="O13" i="163"/>
  <c r="L157" i="164"/>
  <c r="M157" i="164" s="1"/>
  <c r="N157" i="164" s="1"/>
  <c r="O157" i="164" s="1"/>
  <c r="P157" i="164" s="1"/>
  <c r="Q157" i="164" s="1"/>
  <c r="R157" i="164" s="1"/>
  <c r="S157" i="164" s="1"/>
  <c r="T157" i="164" s="1"/>
  <c r="U157" i="164" s="1"/>
  <c r="V157" i="164" s="1"/>
  <c r="W157" i="164" s="1"/>
  <c r="X157" i="164" s="1"/>
  <c r="Y157" i="164" s="1"/>
  <c r="Z157" i="164" s="1"/>
  <c r="AA157" i="164" s="1"/>
  <c r="AB157" i="164" s="1"/>
  <c r="AC157" i="164" s="1"/>
  <c r="AD157" i="164" s="1"/>
  <c r="AE157" i="164" s="1"/>
  <c r="AF157" i="164" s="1"/>
  <c r="AG157" i="164" s="1"/>
  <c r="AH157" i="164" s="1"/>
  <c r="AI157" i="164" s="1"/>
  <c r="AJ157" i="164" s="1"/>
  <c r="AK157" i="164" s="1"/>
  <c r="AL157" i="164" s="1"/>
  <c r="O14" i="163"/>
  <c r="P129" i="163"/>
  <c r="O32" i="167" s="1"/>
  <c r="O34" i="167" s="1"/>
  <c r="O36" i="167" s="1"/>
  <c r="O38" i="167" s="1"/>
  <c r="P128" i="163"/>
  <c r="H128" i="163"/>
  <c r="S128" i="163"/>
  <c r="D434" i="165"/>
  <c r="J66" i="164" s="1"/>
  <c r="K66" i="164" s="1"/>
  <c r="L66" i="164" s="1"/>
  <c r="M66" i="164" s="1"/>
  <c r="N66" i="164" s="1"/>
  <c r="O66" i="164" s="1"/>
  <c r="P66" i="164" s="1"/>
  <c r="Q66" i="164" s="1"/>
  <c r="R66" i="164" s="1"/>
  <c r="S66" i="164" s="1"/>
  <c r="T66" i="164" s="1"/>
  <c r="U66" i="164" s="1"/>
  <c r="V66" i="164" s="1"/>
  <c r="W66" i="164" s="1"/>
  <c r="X66" i="164" s="1"/>
  <c r="Y66" i="164" s="1"/>
  <c r="Z66" i="164" s="1"/>
  <c r="AA66" i="164" s="1"/>
  <c r="AB66" i="164" s="1"/>
  <c r="AC66" i="164" s="1"/>
  <c r="AD66" i="164" s="1"/>
  <c r="AE66" i="164" s="1"/>
  <c r="AF66" i="164" s="1"/>
  <c r="AG66" i="164" s="1"/>
  <c r="AH66" i="164" s="1"/>
  <c r="AI66" i="164" s="1"/>
  <c r="AJ66" i="164" s="1"/>
  <c r="AK66" i="164" s="1"/>
  <c r="L156" i="164"/>
  <c r="M156" i="164" s="1"/>
  <c r="N156" i="164" s="1"/>
  <c r="O156" i="164" s="1"/>
  <c r="P156" i="164" s="1"/>
  <c r="Q156" i="164" s="1"/>
  <c r="R156" i="164" s="1"/>
  <c r="S156" i="164" s="1"/>
  <c r="T156" i="164" s="1"/>
  <c r="U156" i="164" s="1"/>
  <c r="V156" i="164" s="1"/>
  <c r="W156" i="164" s="1"/>
  <c r="X156" i="164" s="1"/>
  <c r="Y156" i="164" s="1"/>
  <c r="Z156" i="164" s="1"/>
  <c r="AA156" i="164" s="1"/>
  <c r="AB156" i="164" s="1"/>
  <c r="AC156" i="164" s="1"/>
  <c r="AD156" i="164" s="1"/>
  <c r="AE156" i="164" s="1"/>
  <c r="AF156" i="164" s="1"/>
  <c r="AG156" i="164" s="1"/>
  <c r="AH156" i="164" s="1"/>
  <c r="AI156" i="164" s="1"/>
  <c r="AJ156" i="164" s="1"/>
  <c r="AK156" i="164" s="1"/>
  <c r="AL156" i="164" s="1"/>
  <c r="K160" i="164"/>
  <c r="L160" i="164" s="1"/>
  <c r="M160" i="164" s="1"/>
  <c r="N160" i="164" s="1"/>
  <c r="O160" i="164" s="1"/>
  <c r="P160" i="164" s="1"/>
  <c r="Q160" i="164" s="1"/>
  <c r="R160" i="164" s="1"/>
  <c r="S160" i="164" s="1"/>
  <c r="T160" i="164" s="1"/>
  <c r="U160" i="164" s="1"/>
  <c r="V160" i="164" s="1"/>
  <c r="W160" i="164" s="1"/>
  <c r="X160" i="164" s="1"/>
  <c r="Y160" i="164" s="1"/>
  <c r="Z160" i="164" s="1"/>
  <c r="AA160" i="164" s="1"/>
  <c r="AB160" i="164" s="1"/>
  <c r="AC160" i="164" s="1"/>
  <c r="AD160" i="164" s="1"/>
  <c r="AE160" i="164" s="1"/>
  <c r="AF160" i="164" s="1"/>
  <c r="AG160" i="164" s="1"/>
  <c r="AH160" i="164" s="1"/>
  <c r="AI160" i="164" s="1"/>
  <c r="AJ160" i="164" s="1"/>
  <c r="AK160" i="164" s="1"/>
  <c r="AL160" i="164" s="1"/>
  <c r="D39" i="165"/>
  <c r="H16" i="163"/>
  <c r="H10" i="163"/>
  <c r="H14" i="163"/>
  <c r="AF112" i="163"/>
  <c r="H5" i="163"/>
  <c r="H13" i="163"/>
  <c r="H9" i="163"/>
  <c r="H7" i="163"/>
  <c r="H19" i="163"/>
  <c r="AH128" i="163"/>
  <c r="D40" i="165"/>
  <c r="H18" i="163"/>
  <c r="O5" i="163"/>
  <c r="D41" i="165"/>
  <c r="H8" i="163"/>
  <c r="H12" i="163"/>
  <c r="D38" i="165"/>
  <c r="O18" i="163"/>
  <c r="N128" i="163"/>
  <c r="N129" i="163"/>
  <c r="M32" i="167" s="1"/>
  <c r="M34" i="167" s="1"/>
  <c r="M36" i="167" s="1"/>
  <c r="M38" i="167" s="1"/>
  <c r="W125" i="163"/>
  <c r="W112" i="163" s="1"/>
  <c r="AF5" i="163"/>
  <c r="D43" i="165"/>
  <c r="O6" i="163"/>
  <c r="O12" i="163"/>
  <c r="L32" i="165"/>
  <c r="L38" i="165" s="1"/>
  <c r="O17" i="163"/>
  <c r="H38" i="165"/>
  <c r="O16" i="163"/>
  <c r="I40" i="165"/>
  <c r="AD128" i="163"/>
  <c r="AD129" i="163"/>
  <c r="AC32" i="167" s="1"/>
  <c r="AC34" i="167" s="1"/>
  <c r="AC36" i="167" s="1"/>
  <c r="AC38" i="167" s="1"/>
  <c r="Y15" i="163"/>
  <c r="CJ193" i="163" a="1"/>
  <c r="CJ193" i="163" s="1"/>
  <c r="BE193" i="163" s="1"/>
  <c r="Y194" i="163" s="1"/>
  <c r="B42" i="165"/>
  <c r="AF18" i="163"/>
  <c r="AF6" i="163"/>
  <c r="AF13" i="163"/>
  <c r="AF15" i="163"/>
  <c r="Y12" i="163"/>
  <c r="Z60" i="163"/>
  <c r="Y5" i="163"/>
  <c r="Y13" i="163"/>
  <c r="K39" i="165"/>
  <c r="V125" i="163"/>
  <c r="V129" i="163" s="1"/>
  <c r="U32" i="167" s="1"/>
  <c r="U34" i="167" s="1"/>
  <c r="U36" i="167" s="1"/>
  <c r="U38" i="167" s="1"/>
  <c r="CJ217" i="163" a="1"/>
  <c r="CJ217" i="163" s="1"/>
  <c r="BE217" i="163" s="1"/>
  <c r="Y218" i="163" s="1"/>
  <c r="Y18" i="163"/>
  <c r="Y11" i="163"/>
  <c r="Y16" i="163"/>
  <c r="K38" i="165"/>
  <c r="Y8" i="163"/>
  <c r="Y14" i="163"/>
  <c r="AI129" i="163"/>
  <c r="AH32" i="167" s="1"/>
  <c r="AH34" i="167" s="1"/>
  <c r="AH36" i="167" s="1"/>
  <c r="AH38" i="167" s="1"/>
  <c r="AF10" i="163"/>
  <c r="AF11" i="163"/>
  <c r="BZ208" i="163" a="1"/>
  <c r="BZ208" i="163" s="1"/>
  <c r="AU208" i="163" s="1"/>
  <c r="O209" i="163" s="1"/>
  <c r="BZ241" i="163" a="1"/>
  <c r="BZ241" i="163" s="1"/>
  <c r="AU241" i="163" s="1"/>
  <c r="O242" i="163" s="1"/>
  <c r="BZ211" i="163" a="1"/>
  <c r="BZ211" i="163" s="1"/>
  <c r="AU211" i="163" s="1"/>
  <c r="O212" i="163" s="1"/>
  <c r="AE129" i="163"/>
  <c r="AD32" i="167" s="1"/>
  <c r="AD34" i="167" s="1"/>
  <c r="AD36" i="167" s="1"/>
  <c r="AD38" i="167" s="1"/>
  <c r="AF12" i="163"/>
  <c r="K41" i="165"/>
  <c r="AF9" i="163"/>
  <c r="U125" i="163"/>
  <c r="G127" i="165"/>
  <c r="Z127" i="165"/>
  <c r="AF16" i="163"/>
  <c r="K43" i="165"/>
  <c r="AF7" i="163"/>
  <c r="K42" i="165"/>
  <c r="AF8" i="163"/>
  <c r="AE128" i="163"/>
  <c r="AF14" i="163"/>
  <c r="AF19" i="163"/>
  <c r="Y6" i="163"/>
  <c r="CJ190" i="163" a="1"/>
  <c r="CJ190" i="163" s="1"/>
  <c r="Y10" i="163"/>
  <c r="P139" i="165"/>
  <c r="D153" i="165" s="1"/>
  <c r="G153" i="165" s="1"/>
  <c r="J21" i="164" s="1"/>
  <c r="K21" i="164" s="1"/>
  <c r="L21" i="164" s="1"/>
  <c r="M21" i="164" s="1"/>
  <c r="N21" i="164" s="1"/>
  <c r="O21" i="164" s="1"/>
  <c r="P21" i="164" s="1"/>
  <c r="Q21" i="164" s="1"/>
  <c r="R21" i="164" s="1"/>
  <c r="S21" i="164" s="1"/>
  <c r="T21" i="164" s="1"/>
  <c r="U21" i="164" s="1"/>
  <c r="V21" i="164" s="1"/>
  <c r="W21" i="164" s="1"/>
  <c r="X21" i="164" s="1"/>
  <c r="Y21" i="164" s="1"/>
  <c r="Z21" i="164" s="1"/>
  <c r="AA21" i="164" s="1"/>
  <c r="AB21" i="164" s="1"/>
  <c r="AC21" i="164" s="1"/>
  <c r="AD21" i="164" s="1"/>
  <c r="AE21" i="164" s="1"/>
  <c r="AF21" i="164" s="1"/>
  <c r="AG21" i="164" s="1"/>
  <c r="AH21" i="164" s="1"/>
  <c r="AI21" i="164" s="1"/>
  <c r="AJ21" i="164" s="1"/>
  <c r="AK21" i="164" s="1"/>
  <c r="B81" i="165"/>
  <c r="J67" i="164"/>
  <c r="K67" i="164" s="1"/>
  <c r="L67" i="164" s="1"/>
  <c r="M67" i="164" s="1"/>
  <c r="N67" i="164" s="1"/>
  <c r="O67" i="164" s="1"/>
  <c r="P67" i="164" s="1"/>
  <c r="Q67" i="164" s="1"/>
  <c r="R67" i="164" s="1"/>
  <c r="S67" i="164" s="1"/>
  <c r="T67" i="164" s="1"/>
  <c r="U67" i="164" s="1"/>
  <c r="V67" i="164" s="1"/>
  <c r="W67" i="164" s="1"/>
  <c r="X67" i="164" s="1"/>
  <c r="Y67" i="164" s="1"/>
  <c r="Z67" i="164" s="1"/>
  <c r="AA67" i="164" s="1"/>
  <c r="AB67" i="164" s="1"/>
  <c r="AC67" i="164" s="1"/>
  <c r="AD67" i="164" s="1"/>
  <c r="AE67" i="164" s="1"/>
  <c r="AF67" i="164" s="1"/>
  <c r="AG67" i="164" s="1"/>
  <c r="AH67" i="164" s="1"/>
  <c r="AI67" i="164" s="1"/>
  <c r="AJ67" i="164" s="1"/>
  <c r="AK67" i="164" s="1"/>
  <c r="J56" i="164"/>
  <c r="K56" i="164" s="1"/>
  <c r="L56" i="164" s="1"/>
  <c r="M56" i="164" s="1"/>
  <c r="N56" i="164" s="1"/>
  <c r="O56" i="164" s="1"/>
  <c r="P56" i="164" s="1"/>
  <c r="Q56" i="164" s="1"/>
  <c r="R56" i="164" s="1"/>
  <c r="S56" i="164" s="1"/>
  <c r="T56" i="164" s="1"/>
  <c r="U56" i="164" s="1"/>
  <c r="V56" i="164" s="1"/>
  <c r="W56" i="164" s="1"/>
  <c r="X56" i="164" s="1"/>
  <c r="Y56" i="164" s="1"/>
  <c r="Z56" i="164" s="1"/>
  <c r="AA56" i="164" s="1"/>
  <c r="AB56" i="164" s="1"/>
  <c r="AC56" i="164" s="1"/>
  <c r="AD56" i="164" s="1"/>
  <c r="AE56" i="164" s="1"/>
  <c r="AF56" i="164" s="1"/>
  <c r="AG56" i="164" s="1"/>
  <c r="AH56" i="164" s="1"/>
  <c r="AI56" i="164" s="1"/>
  <c r="AJ56" i="164" s="1"/>
  <c r="AK56" i="164" s="1"/>
  <c r="T125" i="163"/>
  <c r="O128" i="163"/>
  <c r="Y9" i="163"/>
  <c r="H43" i="165"/>
  <c r="E39" i="165"/>
  <c r="I43" i="165"/>
  <c r="C89" i="165"/>
  <c r="D89" i="165" s="1"/>
  <c r="CJ202" i="163" a="1"/>
  <c r="CJ202" i="163" s="1"/>
  <c r="BE202" i="163" s="1"/>
  <c r="Y203" i="163" s="1"/>
  <c r="Y19" i="163"/>
  <c r="Y7" i="163"/>
  <c r="E477" i="165"/>
  <c r="K159" i="164" s="1"/>
  <c r="K158" i="164"/>
  <c r="BZ181" i="163" a="1"/>
  <c r="BZ181" i="163" s="1"/>
  <c r="AU181" i="163" s="1"/>
  <c r="O182" i="163" s="1"/>
  <c r="X125" i="163"/>
  <c r="K127" i="165"/>
  <c r="BS20" i="163"/>
  <c r="BT7" i="163" s="1"/>
  <c r="BZ232" i="163" a="1"/>
  <c r="BZ232" i="163" s="1"/>
  <c r="AU232" i="163" s="1"/>
  <c r="O233" i="163" s="1"/>
  <c r="BS193" i="163" a="1"/>
  <c r="BS193" i="163" s="1"/>
  <c r="AN193" i="163" s="1"/>
  <c r="H194" i="163" s="1"/>
  <c r="BZ163" i="163" a="1"/>
  <c r="BZ163" i="163" s="1"/>
  <c r="BS190" i="163" a="1"/>
  <c r="BS190" i="163" s="1"/>
  <c r="BZ175" i="163" a="1"/>
  <c r="BZ175" i="163" s="1"/>
  <c r="AU175" i="163" s="1"/>
  <c r="O176" i="163" s="1"/>
  <c r="CJ166" i="163" a="1"/>
  <c r="CJ166" i="163" s="1"/>
  <c r="BE166" i="163" s="1"/>
  <c r="Y167" i="163" s="1"/>
  <c r="BS202" i="163" a="1"/>
  <c r="BS202" i="163" s="1"/>
  <c r="AN202" i="163" s="1"/>
  <c r="H203" i="163" s="1"/>
  <c r="BZ187" i="163" a="1"/>
  <c r="BZ187" i="163" s="1"/>
  <c r="CJ169" i="163" a="1"/>
  <c r="CJ169" i="163" s="1"/>
  <c r="BE169" i="163" s="1"/>
  <c r="Y170" i="163" s="1"/>
  <c r="AI128" i="163"/>
  <c r="R5" i="163"/>
  <c r="BZ184" i="163" a="1"/>
  <c r="BZ184" i="163" s="1"/>
  <c r="AU184" i="163" s="1"/>
  <c r="O185" i="163" s="1"/>
  <c r="CJ172" i="163" a="1"/>
  <c r="CJ172" i="163" s="1"/>
  <c r="BE172" i="163" s="1"/>
  <c r="Y173" i="163" s="1"/>
  <c r="CJ223" i="163" a="1"/>
  <c r="CJ223" i="163" s="1"/>
  <c r="BE223" i="163" s="1"/>
  <c r="Y224" i="163" s="1"/>
  <c r="O60" i="163"/>
  <c r="Y60" i="163"/>
  <c r="BZ190" i="163" a="1"/>
  <c r="BZ190" i="163" s="1"/>
  <c r="CJ205" i="163" a="1"/>
  <c r="CJ205" i="163" s="1"/>
  <c r="BE205" i="163" s="1"/>
  <c r="Y206" i="163" s="1"/>
  <c r="CJ229" i="163" a="1"/>
  <c r="CJ229" i="163" s="1"/>
  <c r="BE229" i="163" s="1"/>
  <c r="Y230" i="163" s="1"/>
  <c r="BZ217" i="163" a="1"/>
  <c r="BZ217" i="163" s="1"/>
  <c r="AU217" i="163" s="1"/>
  <c r="O218" i="163" s="1"/>
  <c r="CJ181" i="163" a="1"/>
  <c r="CJ181" i="163" s="1"/>
  <c r="BE181" i="163" s="1"/>
  <c r="Y182" i="163" s="1"/>
  <c r="CJ235" i="163" a="1"/>
  <c r="CJ235" i="163" s="1"/>
  <c r="BE56" i="163" s="1"/>
  <c r="CN17" i="163" s="1"/>
  <c r="R11" i="163"/>
  <c r="R7" i="163"/>
  <c r="BZ223" i="163" a="1"/>
  <c r="BZ223" i="163" s="1"/>
  <c r="AU223" i="163" s="1"/>
  <c r="O224" i="163" s="1"/>
  <c r="CJ175" i="163" a="1"/>
  <c r="CJ175" i="163" s="1"/>
  <c r="BE175" i="163" s="1"/>
  <c r="Y176" i="163" s="1"/>
  <c r="CJ241" i="163" a="1"/>
  <c r="CJ241" i="163" s="1"/>
  <c r="BE241" i="163" s="1"/>
  <c r="Y242" i="163" s="1"/>
  <c r="BZ229" i="163" a="1"/>
  <c r="BZ229" i="163" s="1"/>
  <c r="AU229" i="163" s="1"/>
  <c r="O230" i="163" s="1"/>
  <c r="CJ184" i="163" a="1"/>
  <c r="CJ184" i="163" s="1"/>
  <c r="BE184" i="163" s="1"/>
  <c r="Y185" i="163" s="1"/>
  <c r="CJ208" i="163" a="1"/>
  <c r="CJ208" i="163" s="1"/>
  <c r="BE208" i="163" s="1"/>
  <c r="Y209" i="163" s="1"/>
  <c r="R12" i="163"/>
  <c r="BZ235" i="163" a="1"/>
  <c r="BZ235" i="163" s="1"/>
  <c r="AU235" i="163" s="1"/>
  <c r="O236" i="163" s="1"/>
  <c r="CJ187" i="163" a="1"/>
  <c r="CJ187" i="163" s="1"/>
  <c r="BZ202" i="163" a="1"/>
  <c r="BZ202" i="163" s="1"/>
  <c r="AU202" i="163" s="1"/>
  <c r="O203" i="163" s="1"/>
  <c r="CC226" i="163" a="1"/>
  <c r="CC226" i="163" s="1"/>
  <c r="AX226" i="163" s="1"/>
  <c r="R227" i="163" s="1"/>
  <c r="CJ214" i="163" a="1"/>
  <c r="CJ214" i="163" s="1"/>
  <c r="BE214" i="163" s="1"/>
  <c r="Y215" i="163" s="1"/>
  <c r="R19" i="163"/>
  <c r="BZ205" i="163" a="1"/>
  <c r="BZ205" i="163" s="1"/>
  <c r="AU46" i="163" s="1"/>
  <c r="CD7" i="163" s="1"/>
  <c r="CJ220" i="163" a="1"/>
  <c r="CJ220" i="163" s="1"/>
  <c r="BE220" i="163" s="1"/>
  <c r="Y221" i="163" s="1"/>
  <c r="R16" i="163"/>
  <c r="BZ166" i="163" a="1"/>
  <c r="BZ166" i="163" s="1"/>
  <c r="AU166" i="163" s="1"/>
  <c r="O167" i="163" s="1"/>
  <c r="BZ214" i="163" a="1"/>
  <c r="BZ214" i="163" s="1"/>
  <c r="AU214" i="163" s="1"/>
  <c r="O215" i="163" s="1"/>
  <c r="CJ226" i="163" a="1"/>
  <c r="CJ226" i="163" s="1"/>
  <c r="BE226" i="163" s="1"/>
  <c r="Y227" i="163" s="1"/>
  <c r="R8" i="163"/>
  <c r="BZ169" i="163" a="1"/>
  <c r="BZ169" i="163" s="1"/>
  <c r="AU169" i="163" s="1"/>
  <c r="O170" i="163" s="1"/>
  <c r="BZ220" i="163" a="1"/>
  <c r="BZ220" i="163" s="1"/>
  <c r="AU220" i="163" s="1"/>
  <c r="O221" i="163" s="1"/>
  <c r="CJ232" i="163" a="1"/>
  <c r="CJ232" i="163" s="1"/>
  <c r="BE232" i="163" s="1"/>
  <c r="Y233" i="163" s="1"/>
  <c r="CC190" i="163" a="1"/>
  <c r="CC190" i="163" s="1"/>
  <c r="R17" i="163"/>
  <c r="BZ199" i="163" a="1"/>
  <c r="BZ199" i="163" s="1"/>
  <c r="AU44" i="163" s="1"/>
  <c r="CD5" i="163" s="1"/>
  <c r="BZ226" i="163" a="1"/>
  <c r="BZ226" i="163" s="1"/>
  <c r="AU53" i="163" s="1"/>
  <c r="CD14" i="163" s="1"/>
  <c r="CJ238" i="163" a="1"/>
  <c r="CJ238" i="163" s="1"/>
  <c r="BE238" i="163" s="1"/>
  <c r="Y239" i="163" s="1"/>
  <c r="R9" i="163"/>
  <c r="BZ172" i="163" a="1"/>
  <c r="BZ172" i="163" s="1"/>
  <c r="CJ199" i="163" a="1"/>
  <c r="CJ199" i="163" s="1"/>
  <c r="BE199" i="163" s="1"/>
  <c r="R13" i="163"/>
  <c r="R14" i="163"/>
  <c r="BZ193" i="163" a="1"/>
  <c r="BZ193" i="163" s="1"/>
  <c r="AU193" i="163" s="1"/>
  <c r="O194" i="163" s="1"/>
  <c r="BZ238" i="163" a="1"/>
  <c r="BZ238" i="163" s="1"/>
  <c r="AU238" i="163" s="1"/>
  <c r="O239" i="163" s="1"/>
  <c r="CJ163" i="163" a="1"/>
  <c r="CJ163" i="163" s="1"/>
  <c r="BE163" i="163" s="1"/>
  <c r="CJ211" i="163" a="1"/>
  <c r="CJ211" i="163" s="1"/>
  <c r="BE211" i="163" s="1"/>
  <c r="Y212" i="163" s="1"/>
  <c r="R6" i="163"/>
  <c r="R15" i="163"/>
  <c r="R10" i="163"/>
  <c r="CQ220" i="163" a="1"/>
  <c r="CQ220" i="163" s="1"/>
  <c r="BL220" i="163" s="1"/>
  <c r="AF221" i="163" s="1"/>
  <c r="BS208" i="163" a="1"/>
  <c r="BS208" i="163" s="1"/>
  <c r="AN208" i="163" s="1"/>
  <c r="H209" i="163" s="1"/>
  <c r="BS205" i="163" a="1"/>
  <c r="BS205" i="163" s="1"/>
  <c r="AN205" i="163" s="1"/>
  <c r="H206" i="163" s="1"/>
  <c r="H60" i="163"/>
  <c r="BS169" i="163" a="1"/>
  <c r="BS169" i="163" s="1"/>
  <c r="AN169" i="163" s="1"/>
  <c r="H170" i="163" s="1"/>
  <c r="BS217" i="163" a="1"/>
  <c r="BS217" i="163" s="1"/>
  <c r="AN217" i="163" s="1"/>
  <c r="H218" i="163" s="1"/>
  <c r="BS172" i="163" a="1"/>
  <c r="BS172" i="163" s="1"/>
  <c r="AN172" i="163" s="1"/>
  <c r="H173" i="163" s="1"/>
  <c r="BS223" i="163" a="1"/>
  <c r="BS223" i="163" s="1"/>
  <c r="AN223" i="163" s="1"/>
  <c r="H224" i="163" s="1"/>
  <c r="BS181" i="163" a="1"/>
  <c r="BS181" i="163" s="1"/>
  <c r="AN181" i="163" s="1"/>
  <c r="BS229" i="163" a="1"/>
  <c r="BS229" i="163" s="1"/>
  <c r="AN229" i="163" s="1"/>
  <c r="H230" i="163" s="1"/>
  <c r="BS175" i="163" a="1"/>
  <c r="BS175" i="163" s="1"/>
  <c r="AN175" i="163" s="1"/>
  <c r="H176" i="163" s="1"/>
  <c r="BS235" i="163" a="1"/>
  <c r="BS235" i="163" s="1"/>
  <c r="AN235" i="163" s="1"/>
  <c r="H236" i="163" s="1"/>
  <c r="BS184" i="163" a="1"/>
  <c r="BS184" i="163" s="1"/>
  <c r="AN184" i="163" s="1"/>
  <c r="H185" i="163" s="1"/>
  <c r="BS241" i="163" a="1"/>
  <c r="BS241" i="163" s="1"/>
  <c r="AN241" i="163" s="1"/>
  <c r="H242" i="163" s="1"/>
  <c r="BS199" i="163" a="1"/>
  <c r="BS199" i="163" s="1"/>
  <c r="AN44" i="163" s="1"/>
  <c r="BW5" i="163" s="1"/>
  <c r="BS187" i="163" a="1"/>
  <c r="BS187" i="163" s="1"/>
  <c r="BS214" i="163" a="1"/>
  <c r="BS214" i="163" s="1"/>
  <c r="AN49" i="163" s="1"/>
  <c r="BW10" i="163" s="1"/>
  <c r="BS220" i="163" a="1"/>
  <c r="BS220" i="163" s="1"/>
  <c r="AN220" i="163" s="1"/>
  <c r="H221" i="163" s="1"/>
  <c r="BS226" i="163" a="1"/>
  <c r="BS226" i="163" s="1"/>
  <c r="AN226" i="163" s="1"/>
  <c r="H227" i="163" s="1"/>
  <c r="BS232" i="163" a="1"/>
  <c r="BS232" i="163" s="1"/>
  <c r="AN232" i="163" s="1"/>
  <c r="H233" i="163" s="1"/>
  <c r="BS238" i="163" a="1"/>
  <c r="BS238" i="163" s="1"/>
  <c r="AN238" i="163" s="1"/>
  <c r="H239" i="163" s="1"/>
  <c r="BS163" i="163" a="1"/>
  <c r="BS163" i="163" s="1"/>
  <c r="AN163" i="163" s="1"/>
  <c r="BS211" i="163" a="1"/>
  <c r="BS211" i="163" s="1"/>
  <c r="AN211" i="163" s="1"/>
  <c r="H212" i="163" s="1"/>
  <c r="BS166" i="163" a="1"/>
  <c r="BS166" i="163" s="1"/>
  <c r="AN166" i="163" s="1"/>
  <c r="H167" i="163" s="1"/>
  <c r="C156" i="165"/>
  <c r="G151" i="165"/>
  <c r="J14" i="164" s="1"/>
  <c r="K14" i="164" s="1"/>
  <c r="L14" i="164" s="1"/>
  <c r="M14" i="164" s="1"/>
  <c r="N14" i="164" s="1"/>
  <c r="O14" i="164" s="1"/>
  <c r="P14" i="164" s="1"/>
  <c r="Q14" i="164" s="1"/>
  <c r="R14" i="164" s="1"/>
  <c r="S14" i="164" s="1"/>
  <c r="T14" i="164" s="1"/>
  <c r="U14" i="164" s="1"/>
  <c r="V14" i="164" s="1"/>
  <c r="W14" i="164" s="1"/>
  <c r="X14" i="164" s="1"/>
  <c r="Y14" i="164" s="1"/>
  <c r="Z14" i="164" s="1"/>
  <c r="AA14" i="164" s="1"/>
  <c r="AB14" i="164" s="1"/>
  <c r="AC14" i="164" s="1"/>
  <c r="AD14" i="164" s="1"/>
  <c r="AE14" i="164" s="1"/>
  <c r="AF14" i="164" s="1"/>
  <c r="AG14" i="164" s="1"/>
  <c r="AH14" i="164" s="1"/>
  <c r="AI14" i="164" s="1"/>
  <c r="AJ14" i="164" s="1"/>
  <c r="AK14" i="164" s="1"/>
  <c r="C159" i="165"/>
  <c r="C40" i="165"/>
  <c r="C38" i="165"/>
  <c r="G40" i="165"/>
  <c r="G38" i="165"/>
  <c r="G42" i="165"/>
  <c r="G39" i="165"/>
  <c r="G41" i="165"/>
  <c r="C43" i="165"/>
  <c r="C39" i="165"/>
  <c r="F157" i="165"/>
  <c r="F154" i="165"/>
  <c r="F32" i="165"/>
  <c r="B39" i="165"/>
  <c r="B43" i="165"/>
  <c r="B38" i="165"/>
  <c r="B41" i="165"/>
  <c r="F156" i="165"/>
  <c r="F159" i="165"/>
  <c r="P138" i="165"/>
  <c r="D152" i="165" s="1"/>
  <c r="P135" i="165"/>
  <c r="D150" i="165" s="1"/>
  <c r="D155" i="165" s="1"/>
  <c r="J32" i="165"/>
  <c r="J39" i="165" s="1"/>
  <c r="E40" i="165"/>
  <c r="E38" i="165"/>
  <c r="E42" i="165"/>
  <c r="H41" i="165"/>
  <c r="H39" i="165"/>
  <c r="E41" i="165"/>
  <c r="H40" i="165"/>
  <c r="C138" i="165"/>
  <c r="C152" i="165" s="1"/>
  <c r="C135" i="165"/>
  <c r="C150" i="165" s="1"/>
  <c r="C141" i="165"/>
  <c r="P133" i="165"/>
  <c r="D149" i="165" s="1"/>
  <c r="D154" i="165" s="1"/>
  <c r="G43" i="165"/>
  <c r="AP135" i="165"/>
  <c r="F150" i="165" s="1"/>
  <c r="AP138" i="165"/>
  <c r="F152" i="165" s="1"/>
  <c r="C133" i="165"/>
  <c r="C149" i="165" s="1"/>
  <c r="C41" i="165"/>
  <c r="L179" i="164"/>
  <c r="M179" i="164" s="1"/>
  <c r="N179" i="164" s="1"/>
  <c r="O179" i="164" s="1"/>
  <c r="P179" i="164" s="1"/>
  <c r="Q179" i="164" s="1"/>
  <c r="R179" i="164" s="1"/>
  <c r="S179" i="164" s="1"/>
  <c r="T179" i="164" s="1"/>
  <c r="U179" i="164" s="1"/>
  <c r="V179" i="164" s="1"/>
  <c r="W179" i="164" s="1"/>
  <c r="X179" i="164" s="1"/>
  <c r="Y179" i="164" s="1"/>
  <c r="Z179" i="164" s="1"/>
  <c r="AA179" i="164" s="1"/>
  <c r="AB179" i="164" s="1"/>
  <c r="AC179" i="164" s="1"/>
  <c r="AD179" i="164" s="1"/>
  <c r="AE179" i="164" s="1"/>
  <c r="AF179" i="164" s="1"/>
  <c r="AG179" i="164" s="1"/>
  <c r="AH179" i="164" s="1"/>
  <c r="AI179" i="164" s="1"/>
  <c r="AJ179" i="164" s="1"/>
  <c r="AK179" i="164" s="1"/>
  <c r="AL179" i="164" s="1"/>
  <c r="K180" i="164"/>
  <c r="BK140" i="163"/>
  <c r="BK141" i="163"/>
  <c r="AR140" i="163"/>
  <c r="AR141" i="163"/>
  <c r="CC205" i="163" a="1"/>
  <c r="CC205" i="163" s="1"/>
  <c r="CQ181" i="163" a="1"/>
  <c r="CQ181" i="163" s="1"/>
  <c r="BL181" i="163" s="1"/>
  <c r="CQ226" i="163" a="1"/>
  <c r="CQ226" i="163" s="1"/>
  <c r="CC211" i="163" a="1"/>
  <c r="CC211" i="163" s="1"/>
  <c r="AX211" i="163" s="1"/>
  <c r="R212" i="163" s="1"/>
  <c r="CQ175" i="163" a="1"/>
  <c r="CQ175" i="163" s="1"/>
  <c r="CQ232" i="163" a="1"/>
  <c r="CQ232" i="163" s="1"/>
  <c r="BL232" i="163" s="1"/>
  <c r="AF233" i="163" s="1"/>
  <c r="CC217" i="163" a="1"/>
  <c r="CC217" i="163" s="1"/>
  <c r="AX217" i="163" s="1"/>
  <c r="R218" i="163" s="1"/>
  <c r="CQ184" i="163" a="1"/>
  <c r="CQ184" i="163" s="1"/>
  <c r="BL184" i="163" s="1"/>
  <c r="AF185" i="163" s="1"/>
  <c r="CQ238" i="163" a="1"/>
  <c r="CQ238" i="163" s="1"/>
  <c r="CC163" i="163" a="1"/>
  <c r="CC163" i="163" s="1"/>
  <c r="CC223" i="163" a="1"/>
  <c r="CC223" i="163" s="1"/>
  <c r="AX223" i="163" s="1"/>
  <c r="R224" i="163" s="1"/>
  <c r="CQ190" i="163" a="1"/>
  <c r="CQ190" i="163" s="1"/>
  <c r="CQ241" i="163" a="1"/>
  <c r="CQ241" i="163" s="1"/>
  <c r="Y112" i="163"/>
  <c r="Y128" i="163"/>
  <c r="S63" i="163"/>
  <c r="CC184" i="163" a="1"/>
  <c r="CC184" i="163" s="1"/>
  <c r="AX184" i="163" s="1"/>
  <c r="R185" i="163" s="1"/>
  <c r="CC229" i="163" a="1"/>
  <c r="CC229" i="163" s="1"/>
  <c r="CQ211" i="163" a="1"/>
  <c r="CQ211" i="163" s="1"/>
  <c r="BL211" i="163" s="1"/>
  <c r="AF212" i="163" s="1"/>
  <c r="CQ208" i="163" a="1"/>
  <c r="CQ208" i="163" s="1"/>
  <c r="CC214" i="163" a="1"/>
  <c r="CC214" i="163" s="1"/>
  <c r="CC235" i="163" a="1"/>
  <c r="CC235" i="163" s="1"/>
  <c r="CQ187" i="163" a="1"/>
  <c r="CQ187" i="163" s="1"/>
  <c r="AQ140" i="163"/>
  <c r="AQ141" i="163"/>
  <c r="BG140" i="163"/>
  <c r="BG141" i="163"/>
  <c r="CC166" i="163" a="1"/>
  <c r="CC166" i="163" s="1"/>
  <c r="CQ217" i="163" a="1"/>
  <c r="CQ217" i="163" s="1"/>
  <c r="BL217" i="163" s="1"/>
  <c r="AF218" i="163" s="1"/>
  <c r="CC232" i="163" a="1"/>
  <c r="CC232" i="163" s="1"/>
  <c r="AX232" i="163" s="1"/>
  <c r="R233" i="163" s="1"/>
  <c r="CC199" i="163" a="1"/>
  <c r="CC199" i="163" s="1"/>
  <c r="CQ223" i="163" a="1"/>
  <c r="CQ223" i="163" s="1"/>
  <c r="BL223" i="163" s="1"/>
  <c r="AF224" i="163" s="1"/>
  <c r="CC220" i="163" a="1"/>
  <c r="CC220" i="163" s="1"/>
  <c r="AX220" i="163" s="1"/>
  <c r="R221" i="163" s="1"/>
  <c r="CC193" i="163" a="1"/>
  <c r="CC193" i="163" s="1"/>
  <c r="AX193" i="163" s="1"/>
  <c r="R194" i="163" s="1"/>
  <c r="CQ229" i="163" a="1"/>
  <c r="CQ229" i="163" s="1"/>
  <c r="CC169" i="163" a="1"/>
  <c r="CC169" i="163" s="1"/>
  <c r="CC202" i="163" a="1"/>
  <c r="CC202" i="163" s="1"/>
  <c r="CQ235" i="163" a="1"/>
  <c r="CQ235" i="163" s="1"/>
  <c r="J128" i="163"/>
  <c r="CC172" i="163" a="1"/>
  <c r="CC172" i="163" s="1"/>
  <c r="CC241" i="163" a="1"/>
  <c r="CC241" i="163" s="1"/>
  <c r="CQ199" i="163" a="1"/>
  <c r="CQ199" i="163" s="1"/>
  <c r="AB112" i="163"/>
  <c r="AB128" i="163"/>
  <c r="CC238" i="163" a="1"/>
  <c r="CC238" i="163" s="1"/>
  <c r="CC208" i="163" a="1"/>
  <c r="CC208" i="163" s="1"/>
  <c r="CQ193" i="163" a="1"/>
  <c r="CQ193" i="163" s="1"/>
  <c r="BL193" i="163" s="1"/>
  <c r="AF194" i="163" s="1"/>
  <c r="CC181" i="163" a="1"/>
  <c r="CC181" i="163" s="1"/>
  <c r="AX181" i="163" s="1"/>
  <c r="CQ163" i="163" a="1"/>
  <c r="CQ163" i="163" s="1"/>
  <c r="CQ202" i="163" a="1"/>
  <c r="CQ202" i="163" s="1"/>
  <c r="CC187" i="163" a="1"/>
  <c r="CC187" i="163" s="1"/>
  <c r="CQ166" i="163" a="1"/>
  <c r="CQ166" i="163" s="1"/>
  <c r="CQ205" i="163" a="1"/>
  <c r="CQ205" i="163" s="1"/>
  <c r="BH140" i="163"/>
  <c r="BH141" i="163"/>
  <c r="AO140" i="163"/>
  <c r="AO141" i="163"/>
  <c r="BE140" i="163"/>
  <c r="BE141" i="163"/>
  <c r="O129" i="163"/>
  <c r="N32" i="167" s="1"/>
  <c r="N34" i="167" s="1"/>
  <c r="N36" i="167" s="1"/>
  <c r="N38" i="167" s="1"/>
  <c r="CC175" i="163" a="1"/>
  <c r="CC175" i="163" s="1"/>
  <c r="R63" i="163"/>
  <c r="CQ169" i="163" a="1"/>
  <c r="CQ169" i="163" s="1"/>
  <c r="CQ214" i="163" a="1"/>
  <c r="CQ214" i="163" s="1"/>
  <c r="CQ172" i="163" a="1"/>
  <c r="CQ172" i="163" s="1"/>
  <c r="AK122" i="156"/>
  <c r="AK121" i="156"/>
  <c r="AK120" i="156"/>
  <c r="AK119" i="156"/>
  <c r="G5" i="160"/>
  <c r="G10" i="160"/>
  <c r="AI123" i="156"/>
  <c r="AI133" i="156" s="1"/>
  <c r="AH123" i="156"/>
  <c r="AH133" i="156" s="1"/>
  <c r="AG123" i="156"/>
  <c r="AG133" i="156" s="1"/>
  <c r="AF123" i="156"/>
  <c r="AF133" i="156" s="1"/>
  <c r="AE123" i="156"/>
  <c r="AE133" i="156" s="1"/>
  <c r="AD123" i="156"/>
  <c r="AD133" i="156" s="1"/>
  <c r="AC123" i="156"/>
  <c r="AC133" i="156" s="1"/>
  <c r="AB123" i="156"/>
  <c r="AB133" i="156" s="1"/>
  <c r="AA123" i="156"/>
  <c r="AA133" i="156" s="1"/>
  <c r="Z123" i="156"/>
  <c r="Z133" i="156" s="1"/>
  <c r="Y123" i="156"/>
  <c r="Y133" i="156" s="1"/>
  <c r="X123" i="156"/>
  <c r="X133" i="156" s="1"/>
  <c r="W123" i="156"/>
  <c r="W133" i="156" s="1"/>
  <c r="V123" i="156"/>
  <c r="V133" i="156" s="1"/>
  <c r="U123" i="156"/>
  <c r="U133" i="156" s="1"/>
  <c r="T123" i="156"/>
  <c r="T133" i="156" s="1"/>
  <c r="S123" i="156"/>
  <c r="S133" i="156" s="1"/>
  <c r="R123" i="156"/>
  <c r="R133" i="156" s="1"/>
  <c r="Q123" i="156"/>
  <c r="Q133" i="156" s="1"/>
  <c r="P123" i="156"/>
  <c r="P133" i="156" s="1"/>
  <c r="O123" i="156"/>
  <c r="O133" i="156" s="1"/>
  <c r="N123" i="156"/>
  <c r="N133" i="156" s="1"/>
  <c r="M123" i="156"/>
  <c r="M133" i="156" s="1"/>
  <c r="L123" i="156"/>
  <c r="L133" i="156" s="1"/>
  <c r="K123" i="156"/>
  <c r="K133" i="156" s="1"/>
  <c r="J123" i="156"/>
  <c r="J133" i="156" s="1"/>
  <c r="I123" i="156"/>
  <c r="I133" i="156" s="1"/>
  <c r="H123" i="156"/>
  <c r="H133" i="156" s="1"/>
  <c r="AK124" i="156"/>
  <c r="G15" i="160"/>
  <c r="AI125" i="156"/>
  <c r="AI135" i="156" s="1"/>
  <c r="AH125" i="156"/>
  <c r="AH135" i="156" s="1"/>
  <c r="AG125" i="156"/>
  <c r="AG135" i="156" s="1"/>
  <c r="AF125" i="156"/>
  <c r="AF135" i="156" s="1"/>
  <c r="AE125" i="156"/>
  <c r="AE135" i="156" s="1"/>
  <c r="AD125" i="156"/>
  <c r="AD135" i="156" s="1"/>
  <c r="AC125" i="156"/>
  <c r="AC135" i="156" s="1"/>
  <c r="AB125" i="156"/>
  <c r="AB135" i="156" s="1"/>
  <c r="AA125" i="156"/>
  <c r="AA135" i="156" s="1"/>
  <c r="Z125" i="156"/>
  <c r="Z135" i="156" s="1"/>
  <c r="Y125" i="156"/>
  <c r="Y135" i="156" s="1"/>
  <c r="X125" i="156"/>
  <c r="X135" i="156" s="1"/>
  <c r="W125" i="156"/>
  <c r="W135" i="156" s="1"/>
  <c r="V125" i="156"/>
  <c r="V135" i="156" s="1"/>
  <c r="U125" i="156"/>
  <c r="U135" i="156" s="1"/>
  <c r="T125" i="156"/>
  <c r="T135" i="156" s="1"/>
  <c r="S125" i="156"/>
  <c r="S135" i="156" s="1"/>
  <c r="R125" i="156"/>
  <c r="R135" i="156" s="1"/>
  <c r="Q125" i="156"/>
  <c r="Q135" i="156" s="1"/>
  <c r="P125" i="156"/>
  <c r="P135" i="156" s="1"/>
  <c r="O125" i="156"/>
  <c r="O135" i="156" s="1"/>
  <c r="N125" i="156"/>
  <c r="N135" i="156" s="1"/>
  <c r="M125" i="156"/>
  <c r="M135" i="156" s="1"/>
  <c r="L125" i="156"/>
  <c r="L135" i="156" s="1"/>
  <c r="K125" i="156"/>
  <c r="K135" i="156" s="1"/>
  <c r="J125" i="156"/>
  <c r="J135" i="156" s="1"/>
  <c r="I125" i="156"/>
  <c r="I135" i="156" s="1"/>
  <c r="H125" i="156"/>
  <c r="H135" i="156" s="1"/>
  <c r="AK126" i="156"/>
  <c r="G22" i="160"/>
  <c r="G27" i="160"/>
  <c r="B111" i="156"/>
  <c r="B136" i="156"/>
  <c r="B128" i="156"/>
  <c r="A111" i="156"/>
  <c r="A136" i="156"/>
  <c r="A128" i="156"/>
  <c r="AH129" i="163" l="1"/>
  <c r="AG32" i="167" s="1"/>
  <c r="AG34" i="167" s="1"/>
  <c r="AG36" i="167" s="1"/>
  <c r="AG38" i="167" s="1"/>
  <c r="Z128" i="163"/>
  <c r="R33" i="167"/>
  <c r="R35" i="167" s="1"/>
  <c r="R37" i="167" s="1"/>
  <c r="R39" i="167" s="1"/>
  <c r="AA33" i="167"/>
  <c r="AA35" i="167" s="1"/>
  <c r="AA37" i="167" s="1"/>
  <c r="AA39" i="167" s="1"/>
  <c r="J129" i="163"/>
  <c r="I32" i="167" s="1"/>
  <c r="I34" i="167" s="1"/>
  <c r="I36" i="167" s="1"/>
  <c r="I38" i="167" s="1"/>
  <c r="I44" i="165"/>
  <c r="I47" i="165" s="1"/>
  <c r="I129" i="163"/>
  <c r="H32" i="167" s="1"/>
  <c r="H34" i="167" s="1"/>
  <c r="H36" i="167" s="1"/>
  <c r="H38" i="167" s="1"/>
  <c r="BC140" i="163"/>
  <c r="K33" i="167"/>
  <c r="K35" i="167" s="1"/>
  <c r="K37" i="167" s="1"/>
  <c r="K39" i="167" s="1"/>
  <c r="I112" i="163"/>
  <c r="L128" i="163"/>
  <c r="K129" i="163"/>
  <c r="J32" i="167" s="1"/>
  <c r="J34" i="167" s="1"/>
  <c r="J36" i="167" s="1"/>
  <c r="J38" i="167" s="1"/>
  <c r="K128" i="163"/>
  <c r="L112" i="163"/>
  <c r="M112" i="163"/>
  <c r="AA129" i="163"/>
  <c r="Z32" i="167" s="1"/>
  <c r="Z34" i="167" s="1"/>
  <c r="Z36" i="167" s="1"/>
  <c r="Z38" i="167" s="1"/>
  <c r="AA128" i="163"/>
  <c r="BD141" i="163"/>
  <c r="Z129" i="163"/>
  <c r="Y32" i="167" s="1"/>
  <c r="Y34" i="167" s="1"/>
  <c r="Y36" i="167" s="1"/>
  <c r="Y38" i="167" s="1"/>
  <c r="M129" i="163"/>
  <c r="L32" i="167" s="1"/>
  <c r="L34" i="167" s="1"/>
  <c r="L36" i="167" s="1"/>
  <c r="L38" i="167" s="1"/>
  <c r="AU58" i="163"/>
  <c r="CD19" i="163" s="1"/>
  <c r="CD54" i="163" s="1"/>
  <c r="AC129" i="163"/>
  <c r="AB32" i="167" s="1"/>
  <c r="AB34" i="167" s="1"/>
  <c r="AB36" i="167" s="1"/>
  <c r="AB38" i="167" s="1"/>
  <c r="AC112" i="163"/>
  <c r="AZ140" i="163"/>
  <c r="BB140" i="163"/>
  <c r="BE190" i="163"/>
  <c r="Y191" i="163" s="1"/>
  <c r="AU187" i="163"/>
  <c r="O188" i="163" s="1"/>
  <c r="AN190" i="163"/>
  <c r="H191" i="163" s="1"/>
  <c r="AX187" i="163"/>
  <c r="R188" i="163" s="1"/>
  <c r="AU190" i="163"/>
  <c r="O191" i="163" s="1"/>
  <c r="BE187" i="163"/>
  <c r="Y188" i="163" s="1"/>
  <c r="BL187" i="163"/>
  <c r="AF188" i="163" s="1"/>
  <c r="BL190" i="163"/>
  <c r="BA140" i="163"/>
  <c r="AX190" i="163"/>
  <c r="R191" i="163" s="1"/>
  <c r="AN187" i="163"/>
  <c r="H188" i="163" s="1"/>
  <c r="N33" i="167"/>
  <c r="N35" i="167" s="1"/>
  <c r="N37" i="167" s="1"/>
  <c r="N39" i="167" s="1"/>
  <c r="X33" i="167"/>
  <c r="X35" i="167" s="1"/>
  <c r="X37" i="167" s="1"/>
  <c r="X39" i="167" s="1"/>
  <c r="I33" i="167"/>
  <c r="I35" i="167" s="1"/>
  <c r="I37" i="167" s="1"/>
  <c r="I39" i="167" s="1"/>
  <c r="AD33" i="167"/>
  <c r="AD35" i="167" s="1"/>
  <c r="AD37" i="167" s="1"/>
  <c r="AD39" i="167" s="1"/>
  <c r="AH33" i="167"/>
  <c r="AH35" i="167" s="1"/>
  <c r="AH37" i="167" s="1"/>
  <c r="AH39" i="167" s="1"/>
  <c r="U33" i="167"/>
  <c r="U35" i="167" s="1"/>
  <c r="U37" i="167" s="1"/>
  <c r="U39" i="167" s="1"/>
  <c r="AC33" i="167"/>
  <c r="AC35" i="167" s="1"/>
  <c r="AC37" i="167" s="1"/>
  <c r="AC39" i="167" s="1"/>
  <c r="M33" i="167"/>
  <c r="M35" i="167" s="1"/>
  <c r="M37" i="167" s="1"/>
  <c r="M39" i="167" s="1"/>
  <c r="AG33" i="167"/>
  <c r="AG35" i="167" s="1"/>
  <c r="AG37" i="167" s="1"/>
  <c r="AG39" i="167" s="1"/>
  <c r="O33" i="167"/>
  <c r="O35" i="167" s="1"/>
  <c r="O37" i="167" s="1"/>
  <c r="O39" i="167" s="1"/>
  <c r="Q33" i="167"/>
  <c r="Q35" i="167" s="1"/>
  <c r="Q37" i="167" s="1"/>
  <c r="Q39" i="167" s="1"/>
  <c r="L378" i="149"/>
  <c r="CD49" i="163"/>
  <c r="L369" i="149"/>
  <c r="CD40" i="163"/>
  <c r="L371" i="149"/>
  <c r="CD42" i="163"/>
  <c r="V381" i="149"/>
  <c r="CN52" i="163"/>
  <c r="E374" i="149"/>
  <c r="BW45" i="163"/>
  <c r="E369" i="149"/>
  <c r="BW40" i="163"/>
  <c r="BE45" i="163"/>
  <c r="CN6" i="163" s="1"/>
  <c r="AN45" i="163"/>
  <c r="BW6" i="163" s="1"/>
  <c r="V128" i="163"/>
  <c r="V112" i="163"/>
  <c r="AU205" i="163"/>
  <c r="O206" i="163" s="1"/>
  <c r="AN46" i="163"/>
  <c r="BW7" i="163" s="1"/>
  <c r="BT18" i="163"/>
  <c r="Q129" i="163"/>
  <c r="P32" i="167" s="1"/>
  <c r="P34" i="167" s="1"/>
  <c r="P36" i="167" s="1"/>
  <c r="P38" i="167" s="1"/>
  <c r="Q128" i="163"/>
  <c r="BT6" i="163"/>
  <c r="BT12" i="163"/>
  <c r="BT8" i="163"/>
  <c r="BT11" i="163"/>
  <c r="BT5" i="163"/>
  <c r="BT14" i="163"/>
  <c r="BT10" i="163"/>
  <c r="BT17" i="163"/>
  <c r="BT9" i="163"/>
  <c r="BT15" i="163"/>
  <c r="BT19" i="163"/>
  <c r="BT13" i="163"/>
  <c r="BT16" i="163"/>
  <c r="W129" i="163"/>
  <c r="V32" i="167" s="1"/>
  <c r="V34" i="167" s="1"/>
  <c r="V36" i="167" s="1"/>
  <c r="V38" i="167" s="1"/>
  <c r="W128" i="163"/>
  <c r="AU56" i="163"/>
  <c r="CD17" i="163" s="1"/>
  <c r="AN47" i="163"/>
  <c r="BW8" i="163" s="1"/>
  <c r="AU54" i="163"/>
  <c r="CD15" i="163" s="1"/>
  <c r="AN58" i="163"/>
  <c r="BW19" i="163" s="1"/>
  <c r="AU48" i="163"/>
  <c r="D44" i="165"/>
  <c r="D51" i="165" s="1"/>
  <c r="D60" i="165" s="1"/>
  <c r="BE54" i="163"/>
  <c r="CN15" i="163" s="1"/>
  <c r="BE48" i="163"/>
  <c r="L41" i="165"/>
  <c r="L39" i="165"/>
  <c r="AU163" i="163"/>
  <c r="O164" i="163" s="1"/>
  <c r="BE57" i="163"/>
  <c r="CN18" i="163" s="1"/>
  <c r="L40" i="165"/>
  <c r="AU47" i="163"/>
  <c r="CD8" i="163" s="1"/>
  <c r="L43" i="165"/>
  <c r="BE49" i="163"/>
  <c r="CN10" i="163" s="1"/>
  <c r="L42" i="165"/>
  <c r="BE58" i="163"/>
  <c r="CN19" i="163" s="1"/>
  <c r="AU57" i="163"/>
  <c r="CD18" i="163" s="1"/>
  <c r="BE53" i="163"/>
  <c r="CN14" i="163" s="1"/>
  <c r="K44" i="165"/>
  <c r="K47" i="165" s="1"/>
  <c r="BE47" i="163"/>
  <c r="CN8" i="163" s="1"/>
  <c r="AN53" i="163"/>
  <c r="BW14" i="163" s="1"/>
  <c r="AU52" i="163"/>
  <c r="AU51" i="163"/>
  <c r="BE52" i="163"/>
  <c r="AU226" i="163"/>
  <c r="O227" i="163" s="1"/>
  <c r="AN56" i="163"/>
  <c r="BW17" i="163" s="1"/>
  <c r="BE46" i="163"/>
  <c r="CN7" i="163" s="1"/>
  <c r="G152" i="165"/>
  <c r="J20" i="164" s="1"/>
  <c r="K20" i="164" s="1"/>
  <c r="L20" i="164" s="1"/>
  <c r="M20" i="164" s="1"/>
  <c r="N20" i="164" s="1"/>
  <c r="O20" i="164" s="1"/>
  <c r="P20" i="164" s="1"/>
  <c r="Q20" i="164" s="1"/>
  <c r="R20" i="164" s="1"/>
  <c r="S20" i="164" s="1"/>
  <c r="T20" i="164" s="1"/>
  <c r="U20" i="164" s="1"/>
  <c r="V20" i="164" s="1"/>
  <c r="W20" i="164" s="1"/>
  <c r="X20" i="164" s="1"/>
  <c r="Y20" i="164" s="1"/>
  <c r="Z20" i="164" s="1"/>
  <c r="AA20" i="164" s="1"/>
  <c r="AB20" i="164" s="1"/>
  <c r="AC20" i="164" s="1"/>
  <c r="AD20" i="164" s="1"/>
  <c r="AE20" i="164" s="1"/>
  <c r="AF20" i="164" s="1"/>
  <c r="AG20" i="164" s="1"/>
  <c r="AH20" i="164" s="1"/>
  <c r="AI20" i="164" s="1"/>
  <c r="AJ20" i="164" s="1"/>
  <c r="AK20" i="164" s="1"/>
  <c r="AU45" i="163"/>
  <c r="CD6" i="163" s="1"/>
  <c r="U112" i="163"/>
  <c r="U129" i="163"/>
  <c r="T32" i="167" s="1"/>
  <c r="T34" i="167" s="1"/>
  <c r="T36" i="167" s="1"/>
  <c r="T38" i="167" s="1"/>
  <c r="U128" i="163"/>
  <c r="AU199" i="163"/>
  <c r="I51" i="165"/>
  <c r="I60" i="165" s="1"/>
  <c r="L158" i="164"/>
  <c r="M158" i="164" s="1"/>
  <c r="N158" i="164" s="1"/>
  <c r="O158" i="164" s="1"/>
  <c r="P158" i="164" s="1"/>
  <c r="Q158" i="164" s="1"/>
  <c r="R158" i="164" s="1"/>
  <c r="S158" i="164" s="1"/>
  <c r="T158" i="164" s="1"/>
  <c r="U158" i="164" s="1"/>
  <c r="V158" i="164" s="1"/>
  <c r="W158" i="164" s="1"/>
  <c r="X158" i="164" s="1"/>
  <c r="Y158" i="164" s="1"/>
  <c r="Z158" i="164" s="1"/>
  <c r="AA158" i="164" s="1"/>
  <c r="AB158" i="164" s="1"/>
  <c r="AC158" i="164" s="1"/>
  <c r="AD158" i="164" s="1"/>
  <c r="AE158" i="164" s="1"/>
  <c r="AF158" i="164" s="1"/>
  <c r="AG158" i="164" s="1"/>
  <c r="AH158" i="164" s="1"/>
  <c r="AI158" i="164" s="1"/>
  <c r="AJ158" i="164" s="1"/>
  <c r="AK158" i="164" s="1"/>
  <c r="AL158" i="164" s="1"/>
  <c r="K164" i="164"/>
  <c r="L164" i="164" s="1"/>
  <c r="M164" i="164" s="1"/>
  <c r="N164" i="164" s="1"/>
  <c r="O164" i="164" s="1"/>
  <c r="P164" i="164" s="1"/>
  <c r="Q164" i="164" s="1"/>
  <c r="R164" i="164" s="1"/>
  <c r="S164" i="164" s="1"/>
  <c r="T164" i="164" s="1"/>
  <c r="U164" i="164" s="1"/>
  <c r="V164" i="164" s="1"/>
  <c r="W164" i="164" s="1"/>
  <c r="X164" i="164" s="1"/>
  <c r="Y164" i="164" s="1"/>
  <c r="Z164" i="164" s="1"/>
  <c r="AA164" i="164" s="1"/>
  <c r="AB164" i="164" s="1"/>
  <c r="AC164" i="164" s="1"/>
  <c r="AD164" i="164" s="1"/>
  <c r="AE164" i="164" s="1"/>
  <c r="AF164" i="164" s="1"/>
  <c r="AG164" i="164" s="1"/>
  <c r="AH164" i="164" s="1"/>
  <c r="AI164" i="164" s="1"/>
  <c r="AJ164" i="164" s="1"/>
  <c r="AK164" i="164" s="1"/>
  <c r="AL164" i="164" s="1"/>
  <c r="K165" i="164"/>
  <c r="L165" i="164" s="1"/>
  <c r="M165" i="164" s="1"/>
  <c r="N165" i="164" s="1"/>
  <c r="O165" i="164" s="1"/>
  <c r="P165" i="164" s="1"/>
  <c r="Q165" i="164" s="1"/>
  <c r="R165" i="164" s="1"/>
  <c r="S165" i="164" s="1"/>
  <c r="T165" i="164" s="1"/>
  <c r="U165" i="164" s="1"/>
  <c r="V165" i="164" s="1"/>
  <c r="W165" i="164" s="1"/>
  <c r="X165" i="164" s="1"/>
  <c r="Y165" i="164" s="1"/>
  <c r="Z165" i="164" s="1"/>
  <c r="AA165" i="164" s="1"/>
  <c r="AB165" i="164" s="1"/>
  <c r="AC165" i="164" s="1"/>
  <c r="AD165" i="164" s="1"/>
  <c r="AE165" i="164" s="1"/>
  <c r="AF165" i="164" s="1"/>
  <c r="AG165" i="164" s="1"/>
  <c r="AH165" i="164" s="1"/>
  <c r="AI165" i="164" s="1"/>
  <c r="AJ165" i="164" s="1"/>
  <c r="AK165" i="164" s="1"/>
  <c r="AL165" i="164" s="1"/>
  <c r="L159" i="164"/>
  <c r="M159" i="164" s="1"/>
  <c r="N159" i="164" s="1"/>
  <c r="O159" i="164" s="1"/>
  <c r="P159" i="164" s="1"/>
  <c r="Q159" i="164" s="1"/>
  <c r="R159" i="164" s="1"/>
  <c r="S159" i="164" s="1"/>
  <c r="T159" i="164" s="1"/>
  <c r="U159" i="164" s="1"/>
  <c r="V159" i="164" s="1"/>
  <c r="W159" i="164" s="1"/>
  <c r="X159" i="164" s="1"/>
  <c r="Y159" i="164" s="1"/>
  <c r="Z159" i="164" s="1"/>
  <c r="AA159" i="164" s="1"/>
  <c r="AB159" i="164" s="1"/>
  <c r="AC159" i="164" s="1"/>
  <c r="AD159" i="164" s="1"/>
  <c r="AE159" i="164" s="1"/>
  <c r="AF159" i="164" s="1"/>
  <c r="AG159" i="164" s="1"/>
  <c r="AH159" i="164" s="1"/>
  <c r="AI159" i="164" s="1"/>
  <c r="AJ159" i="164" s="1"/>
  <c r="AK159" i="164" s="1"/>
  <c r="AL159" i="164" s="1"/>
  <c r="AU172" i="163"/>
  <c r="O173" i="163" s="1"/>
  <c r="B80" i="165"/>
  <c r="J62" i="164"/>
  <c r="K62" i="164" s="1"/>
  <c r="L62" i="164" s="1"/>
  <c r="M62" i="164" s="1"/>
  <c r="N62" i="164" s="1"/>
  <c r="O62" i="164" s="1"/>
  <c r="P62" i="164" s="1"/>
  <c r="Q62" i="164" s="1"/>
  <c r="R62" i="164" s="1"/>
  <c r="S62" i="164" s="1"/>
  <c r="T62" i="164" s="1"/>
  <c r="U62" i="164" s="1"/>
  <c r="V62" i="164" s="1"/>
  <c r="W62" i="164" s="1"/>
  <c r="X62" i="164" s="1"/>
  <c r="Y62" i="164" s="1"/>
  <c r="Z62" i="164" s="1"/>
  <c r="AA62" i="164" s="1"/>
  <c r="AB62" i="164" s="1"/>
  <c r="AC62" i="164" s="1"/>
  <c r="AD62" i="164" s="1"/>
  <c r="AE62" i="164" s="1"/>
  <c r="AF62" i="164" s="1"/>
  <c r="AG62" i="164" s="1"/>
  <c r="AH62" i="164" s="1"/>
  <c r="AI62" i="164" s="1"/>
  <c r="AJ62" i="164" s="1"/>
  <c r="AK62" i="164" s="1"/>
  <c r="J57" i="164"/>
  <c r="K57" i="164" s="1"/>
  <c r="L57" i="164" s="1"/>
  <c r="M57" i="164" s="1"/>
  <c r="N57" i="164" s="1"/>
  <c r="O57" i="164" s="1"/>
  <c r="P57" i="164" s="1"/>
  <c r="Q57" i="164" s="1"/>
  <c r="R57" i="164" s="1"/>
  <c r="S57" i="164" s="1"/>
  <c r="T57" i="164" s="1"/>
  <c r="U57" i="164" s="1"/>
  <c r="V57" i="164" s="1"/>
  <c r="W57" i="164" s="1"/>
  <c r="X57" i="164" s="1"/>
  <c r="Y57" i="164" s="1"/>
  <c r="Z57" i="164" s="1"/>
  <c r="AA57" i="164" s="1"/>
  <c r="AB57" i="164" s="1"/>
  <c r="AC57" i="164" s="1"/>
  <c r="AD57" i="164" s="1"/>
  <c r="AE57" i="164" s="1"/>
  <c r="AF57" i="164" s="1"/>
  <c r="AG57" i="164" s="1"/>
  <c r="AH57" i="164" s="1"/>
  <c r="AI57" i="164" s="1"/>
  <c r="AJ57" i="164" s="1"/>
  <c r="AK57" i="164" s="1"/>
  <c r="J68" i="164"/>
  <c r="K68" i="164" s="1"/>
  <c r="L68" i="164" s="1"/>
  <c r="M68" i="164" s="1"/>
  <c r="N68" i="164" s="1"/>
  <c r="O68" i="164" s="1"/>
  <c r="P68" i="164" s="1"/>
  <c r="Q68" i="164" s="1"/>
  <c r="R68" i="164" s="1"/>
  <c r="S68" i="164" s="1"/>
  <c r="T68" i="164" s="1"/>
  <c r="U68" i="164" s="1"/>
  <c r="V68" i="164" s="1"/>
  <c r="W68" i="164" s="1"/>
  <c r="X68" i="164" s="1"/>
  <c r="Y68" i="164" s="1"/>
  <c r="Z68" i="164" s="1"/>
  <c r="AA68" i="164" s="1"/>
  <c r="AB68" i="164" s="1"/>
  <c r="AC68" i="164" s="1"/>
  <c r="AD68" i="164" s="1"/>
  <c r="AE68" i="164" s="1"/>
  <c r="AF68" i="164" s="1"/>
  <c r="AG68" i="164" s="1"/>
  <c r="AH68" i="164" s="1"/>
  <c r="AI68" i="164" s="1"/>
  <c r="AJ68" i="164" s="1"/>
  <c r="AK68" i="164" s="1"/>
  <c r="T129" i="163"/>
  <c r="S32" i="167" s="1"/>
  <c r="S34" i="167" s="1"/>
  <c r="S36" i="167" s="1"/>
  <c r="S38" i="167" s="1"/>
  <c r="T128" i="163"/>
  <c r="T112" i="163"/>
  <c r="AN199" i="163"/>
  <c r="H200" i="163" s="1"/>
  <c r="BE51" i="163"/>
  <c r="X129" i="163"/>
  <c r="W32" i="167" s="1"/>
  <c r="W34" i="167" s="1"/>
  <c r="W36" i="167" s="1"/>
  <c r="W38" i="167" s="1"/>
  <c r="X128" i="163"/>
  <c r="X112" i="163"/>
  <c r="BE235" i="163"/>
  <c r="Y236" i="163" s="1"/>
  <c r="BE44" i="163"/>
  <c r="CN5" i="163" s="1"/>
  <c r="AN52" i="163"/>
  <c r="AN55" i="163"/>
  <c r="AX53" i="163"/>
  <c r="CG14" i="163" s="1"/>
  <c r="BE50" i="163"/>
  <c r="CN11" i="163" s="1"/>
  <c r="BE55" i="163"/>
  <c r="AU49" i="163"/>
  <c r="CD10" i="163" s="1"/>
  <c r="AU50" i="163"/>
  <c r="CD11" i="163" s="1"/>
  <c r="AU55" i="163"/>
  <c r="AN51" i="163"/>
  <c r="AN57" i="163"/>
  <c r="BW18" i="163" s="1"/>
  <c r="AN54" i="163"/>
  <c r="BW15" i="163" s="1"/>
  <c r="AN50" i="163"/>
  <c r="BW11" i="163" s="1"/>
  <c r="H182" i="163"/>
  <c r="AN48" i="163"/>
  <c r="AN214" i="163"/>
  <c r="H215" i="163" s="1"/>
  <c r="G44" i="165"/>
  <c r="G49" i="165" s="1"/>
  <c r="G58" i="165" s="1"/>
  <c r="C158" i="165"/>
  <c r="G150" i="165"/>
  <c r="J13" i="164" s="1"/>
  <c r="K13" i="164" s="1"/>
  <c r="L13" i="164" s="1"/>
  <c r="M13" i="164" s="1"/>
  <c r="N13" i="164" s="1"/>
  <c r="O13" i="164" s="1"/>
  <c r="P13" i="164" s="1"/>
  <c r="Q13" i="164" s="1"/>
  <c r="R13" i="164" s="1"/>
  <c r="S13" i="164" s="1"/>
  <c r="T13" i="164" s="1"/>
  <c r="U13" i="164" s="1"/>
  <c r="V13" i="164" s="1"/>
  <c r="W13" i="164" s="1"/>
  <c r="X13" i="164" s="1"/>
  <c r="Y13" i="164" s="1"/>
  <c r="Z13" i="164" s="1"/>
  <c r="AA13" i="164" s="1"/>
  <c r="AB13" i="164" s="1"/>
  <c r="AC13" i="164" s="1"/>
  <c r="AD13" i="164" s="1"/>
  <c r="AE13" i="164" s="1"/>
  <c r="AF13" i="164" s="1"/>
  <c r="AG13" i="164" s="1"/>
  <c r="AH13" i="164" s="1"/>
  <c r="AI13" i="164" s="1"/>
  <c r="AJ13" i="164" s="1"/>
  <c r="AK13" i="164" s="1"/>
  <c r="C155" i="165"/>
  <c r="E44" i="165"/>
  <c r="E48" i="165" s="1"/>
  <c r="C154" i="165"/>
  <c r="G154" i="165" s="1"/>
  <c r="J27" i="164" s="1"/>
  <c r="K27" i="164" s="1"/>
  <c r="L27" i="164" s="1"/>
  <c r="M27" i="164" s="1"/>
  <c r="N27" i="164" s="1"/>
  <c r="O27" i="164" s="1"/>
  <c r="P27" i="164" s="1"/>
  <c r="Q27" i="164" s="1"/>
  <c r="R27" i="164" s="1"/>
  <c r="S27" i="164" s="1"/>
  <c r="T27" i="164" s="1"/>
  <c r="U27" i="164" s="1"/>
  <c r="V27" i="164" s="1"/>
  <c r="W27" i="164" s="1"/>
  <c r="X27" i="164" s="1"/>
  <c r="Y27" i="164" s="1"/>
  <c r="Z27" i="164" s="1"/>
  <c r="AA27" i="164" s="1"/>
  <c r="AB27" i="164" s="1"/>
  <c r="AC27" i="164" s="1"/>
  <c r="AD27" i="164" s="1"/>
  <c r="AE27" i="164" s="1"/>
  <c r="AF27" i="164" s="1"/>
  <c r="AG27" i="164" s="1"/>
  <c r="AH27" i="164" s="1"/>
  <c r="AI27" i="164" s="1"/>
  <c r="AJ27" i="164" s="1"/>
  <c r="AK27" i="164" s="1"/>
  <c r="C157" i="165"/>
  <c r="G157" i="165" s="1"/>
  <c r="J42" i="164" s="1"/>
  <c r="K42" i="164" s="1"/>
  <c r="L42" i="164" s="1"/>
  <c r="M42" i="164" s="1"/>
  <c r="N42" i="164" s="1"/>
  <c r="O42" i="164" s="1"/>
  <c r="P42" i="164" s="1"/>
  <c r="Q42" i="164" s="1"/>
  <c r="R42" i="164" s="1"/>
  <c r="S42" i="164" s="1"/>
  <c r="T42" i="164" s="1"/>
  <c r="U42" i="164" s="1"/>
  <c r="V42" i="164" s="1"/>
  <c r="W42" i="164" s="1"/>
  <c r="X42" i="164" s="1"/>
  <c r="Y42" i="164" s="1"/>
  <c r="Z42" i="164" s="1"/>
  <c r="AA42" i="164" s="1"/>
  <c r="AB42" i="164" s="1"/>
  <c r="AC42" i="164" s="1"/>
  <c r="AD42" i="164" s="1"/>
  <c r="AE42" i="164" s="1"/>
  <c r="AF42" i="164" s="1"/>
  <c r="AG42" i="164" s="1"/>
  <c r="AH42" i="164" s="1"/>
  <c r="AI42" i="164" s="1"/>
  <c r="AJ42" i="164" s="1"/>
  <c r="AK42" i="164" s="1"/>
  <c r="G149" i="165"/>
  <c r="J7" i="164" s="1"/>
  <c r="K7" i="164" s="1"/>
  <c r="L7" i="164" s="1"/>
  <c r="M7" i="164" s="1"/>
  <c r="N7" i="164" s="1"/>
  <c r="O7" i="164" s="1"/>
  <c r="P7" i="164" s="1"/>
  <c r="Q7" i="164" s="1"/>
  <c r="R7" i="164" s="1"/>
  <c r="S7" i="164" s="1"/>
  <c r="T7" i="164" s="1"/>
  <c r="U7" i="164" s="1"/>
  <c r="V7" i="164" s="1"/>
  <c r="W7" i="164" s="1"/>
  <c r="X7" i="164" s="1"/>
  <c r="Y7" i="164" s="1"/>
  <c r="Z7" i="164" s="1"/>
  <c r="AA7" i="164" s="1"/>
  <c r="AB7" i="164" s="1"/>
  <c r="AC7" i="164" s="1"/>
  <c r="AD7" i="164" s="1"/>
  <c r="AE7" i="164" s="1"/>
  <c r="AF7" i="164" s="1"/>
  <c r="AG7" i="164" s="1"/>
  <c r="AH7" i="164" s="1"/>
  <c r="AI7" i="164" s="1"/>
  <c r="AJ7" i="164" s="1"/>
  <c r="AK7" i="164" s="1"/>
  <c r="F42" i="165"/>
  <c r="F40" i="165"/>
  <c r="F38" i="165"/>
  <c r="F41" i="165"/>
  <c r="F43" i="165"/>
  <c r="J41" i="165"/>
  <c r="J38" i="165"/>
  <c r="J40" i="165"/>
  <c r="J42" i="165"/>
  <c r="C44" i="165"/>
  <c r="C51" i="165" s="1"/>
  <c r="C60" i="165" s="1"/>
  <c r="F155" i="165"/>
  <c r="F158" i="165"/>
  <c r="J43" i="165"/>
  <c r="G159" i="165"/>
  <c r="J49" i="164" s="1"/>
  <c r="K49" i="164" s="1"/>
  <c r="L49" i="164" s="1"/>
  <c r="M49" i="164" s="1"/>
  <c r="N49" i="164" s="1"/>
  <c r="O49" i="164" s="1"/>
  <c r="P49" i="164" s="1"/>
  <c r="Q49" i="164" s="1"/>
  <c r="R49" i="164" s="1"/>
  <c r="S49" i="164" s="1"/>
  <c r="T49" i="164" s="1"/>
  <c r="U49" i="164" s="1"/>
  <c r="V49" i="164" s="1"/>
  <c r="W49" i="164" s="1"/>
  <c r="X49" i="164" s="1"/>
  <c r="Y49" i="164" s="1"/>
  <c r="Z49" i="164" s="1"/>
  <c r="AA49" i="164" s="1"/>
  <c r="AB49" i="164" s="1"/>
  <c r="AC49" i="164" s="1"/>
  <c r="AD49" i="164" s="1"/>
  <c r="AE49" i="164" s="1"/>
  <c r="AF49" i="164" s="1"/>
  <c r="AG49" i="164" s="1"/>
  <c r="AH49" i="164" s="1"/>
  <c r="AI49" i="164" s="1"/>
  <c r="AJ49" i="164" s="1"/>
  <c r="AK49" i="164" s="1"/>
  <c r="B44" i="165"/>
  <c r="B48" i="165" s="1"/>
  <c r="G156" i="165"/>
  <c r="J35" i="164" s="1"/>
  <c r="K35" i="164" s="1"/>
  <c r="L35" i="164" s="1"/>
  <c r="M35" i="164" s="1"/>
  <c r="N35" i="164" s="1"/>
  <c r="O35" i="164" s="1"/>
  <c r="P35" i="164" s="1"/>
  <c r="Q35" i="164" s="1"/>
  <c r="R35" i="164" s="1"/>
  <c r="S35" i="164" s="1"/>
  <c r="T35" i="164" s="1"/>
  <c r="U35" i="164" s="1"/>
  <c r="V35" i="164" s="1"/>
  <c r="W35" i="164" s="1"/>
  <c r="X35" i="164" s="1"/>
  <c r="Y35" i="164" s="1"/>
  <c r="Z35" i="164" s="1"/>
  <c r="AA35" i="164" s="1"/>
  <c r="AB35" i="164" s="1"/>
  <c r="AC35" i="164" s="1"/>
  <c r="AD35" i="164" s="1"/>
  <c r="AE35" i="164" s="1"/>
  <c r="AF35" i="164" s="1"/>
  <c r="AG35" i="164" s="1"/>
  <c r="AH35" i="164" s="1"/>
  <c r="AI35" i="164" s="1"/>
  <c r="AJ35" i="164" s="1"/>
  <c r="AK35" i="164" s="1"/>
  <c r="I49" i="165"/>
  <c r="I58" i="165" s="1"/>
  <c r="F39" i="165"/>
  <c r="H44" i="165"/>
  <c r="H48" i="165" s="1"/>
  <c r="K181" i="164"/>
  <c r="L180" i="164"/>
  <c r="M180" i="164" s="1"/>
  <c r="N180" i="164" s="1"/>
  <c r="O180" i="164" s="1"/>
  <c r="P180" i="164" s="1"/>
  <c r="Q180" i="164" s="1"/>
  <c r="R180" i="164" s="1"/>
  <c r="S180" i="164" s="1"/>
  <c r="T180" i="164" s="1"/>
  <c r="U180" i="164" s="1"/>
  <c r="V180" i="164" s="1"/>
  <c r="W180" i="164" s="1"/>
  <c r="X180" i="164" s="1"/>
  <c r="Y180" i="164" s="1"/>
  <c r="Z180" i="164" s="1"/>
  <c r="AA180" i="164" s="1"/>
  <c r="AB180" i="164" s="1"/>
  <c r="AC180" i="164" s="1"/>
  <c r="AD180" i="164" s="1"/>
  <c r="AE180" i="164" s="1"/>
  <c r="AF180" i="164" s="1"/>
  <c r="AG180" i="164" s="1"/>
  <c r="AH180" i="164" s="1"/>
  <c r="AI180" i="164" s="1"/>
  <c r="AJ180" i="164" s="1"/>
  <c r="AK180" i="164" s="1"/>
  <c r="AL180" i="164" s="1"/>
  <c r="BL202" i="163"/>
  <c r="AF203" i="163" s="1"/>
  <c r="BL45" i="163"/>
  <c r="CU6" i="163" s="1"/>
  <c r="AX166" i="163"/>
  <c r="R167" i="163" s="1"/>
  <c r="AX50" i="163"/>
  <c r="CG11" i="163" s="1"/>
  <c r="BL241" i="163"/>
  <c r="AF242" i="163" s="1"/>
  <c r="BL58" i="163"/>
  <c r="CU19" i="163" s="1"/>
  <c r="BL163" i="163"/>
  <c r="BL48" i="163"/>
  <c r="BL235" i="163"/>
  <c r="AF236" i="163" s="1"/>
  <c r="BL56" i="163"/>
  <c r="CU17" i="163" s="1"/>
  <c r="BL172" i="163"/>
  <c r="AF173" i="163" s="1"/>
  <c r="BL52" i="163"/>
  <c r="AX202" i="163"/>
  <c r="R203" i="163" s="1"/>
  <c r="AX45" i="163"/>
  <c r="CG6" i="163" s="1"/>
  <c r="AX235" i="163"/>
  <c r="R236" i="163" s="1"/>
  <c r="AX56" i="163"/>
  <c r="CG17" i="163" s="1"/>
  <c r="AX169" i="163"/>
  <c r="R170" i="163" s="1"/>
  <c r="AX51" i="163"/>
  <c r="AX214" i="163"/>
  <c r="R215" i="163" s="1"/>
  <c r="AX49" i="163"/>
  <c r="CG10" i="163" s="1"/>
  <c r="BL208" i="163"/>
  <c r="AF209" i="163" s="1"/>
  <c r="BL47" i="163"/>
  <c r="CU8" i="163" s="1"/>
  <c r="R182" i="163"/>
  <c r="AX208" i="163"/>
  <c r="R209" i="163" s="1"/>
  <c r="AX47" i="163"/>
  <c r="CG8" i="163" s="1"/>
  <c r="BE177" i="163"/>
  <c r="BE155" i="163" s="1"/>
  <c r="Y155" i="163" s="1"/>
  <c r="Y164" i="163"/>
  <c r="BL214" i="163"/>
  <c r="AF215" i="163" s="1"/>
  <c r="BL49" i="163"/>
  <c r="CU10" i="163" s="1"/>
  <c r="AX238" i="163"/>
  <c r="R239" i="163" s="1"/>
  <c r="AX57" i="163"/>
  <c r="CG18" i="163" s="1"/>
  <c r="BL205" i="163"/>
  <c r="AF206" i="163" s="1"/>
  <c r="BL46" i="163"/>
  <c r="CU7" i="163" s="1"/>
  <c r="BL199" i="163"/>
  <c r="BL44" i="163"/>
  <c r="CU5" i="163" s="1"/>
  <c r="AX199" i="163"/>
  <c r="AX44" i="163"/>
  <c r="CG5" i="163" s="1"/>
  <c r="BL238" i="163"/>
  <c r="AF239" i="163" s="1"/>
  <c r="BL57" i="163"/>
  <c r="CU18" i="163" s="1"/>
  <c r="BL169" i="163"/>
  <c r="AF170" i="163" s="1"/>
  <c r="BL51" i="163"/>
  <c r="BL166" i="163"/>
  <c r="AF167" i="163" s="1"/>
  <c r="BL50" i="163"/>
  <c r="CU11" i="163" s="1"/>
  <c r="Y200" i="163"/>
  <c r="AX229" i="163"/>
  <c r="R230" i="163" s="1"/>
  <c r="AX54" i="163"/>
  <c r="CG15" i="163" s="1"/>
  <c r="AX163" i="163"/>
  <c r="AX48" i="163"/>
  <c r="BL226" i="163"/>
  <c r="AF227" i="163" s="1"/>
  <c r="BL53" i="163"/>
  <c r="CU14" i="163" s="1"/>
  <c r="BL175" i="163"/>
  <c r="AF176" i="163" s="1"/>
  <c r="BL55" i="163"/>
  <c r="AF182" i="163"/>
  <c r="AX205" i="163"/>
  <c r="R206" i="163" s="1"/>
  <c r="AX46" i="163"/>
  <c r="CG7" i="163" s="1"/>
  <c r="AX175" i="163"/>
  <c r="R176" i="163" s="1"/>
  <c r="AX55" i="163"/>
  <c r="AX241" i="163"/>
  <c r="R242" i="163" s="1"/>
  <c r="AX58" i="163"/>
  <c r="CG19" i="163" s="1"/>
  <c r="AN177" i="163"/>
  <c r="AN155" i="163" s="1"/>
  <c r="H155" i="163" s="1"/>
  <c r="H164" i="163"/>
  <c r="AX172" i="163"/>
  <c r="R173" i="163" s="1"/>
  <c r="AX52" i="163"/>
  <c r="BL229" i="163"/>
  <c r="AF230" i="163" s="1"/>
  <c r="BL54" i="163"/>
  <c r="CU15" i="163" s="1"/>
  <c r="AI126" i="156"/>
  <c r="AI136" i="156" s="1"/>
  <c r="AH126" i="156"/>
  <c r="AH136" i="156" s="1"/>
  <c r="AG126" i="156"/>
  <c r="AG136" i="156" s="1"/>
  <c r="AF126" i="156"/>
  <c r="AF136" i="156" s="1"/>
  <c r="AE126" i="156"/>
  <c r="AE136" i="156" s="1"/>
  <c r="AD126" i="156"/>
  <c r="AD136" i="156" s="1"/>
  <c r="AC126" i="156"/>
  <c r="AC136" i="156" s="1"/>
  <c r="AB126" i="156"/>
  <c r="AB136" i="156" s="1"/>
  <c r="AA126" i="156"/>
  <c r="AA136" i="156" s="1"/>
  <c r="Z126" i="156"/>
  <c r="Z136" i="156" s="1"/>
  <c r="Y126" i="156"/>
  <c r="Y136" i="156" s="1"/>
  <c r="X126" i="156"/>
  <c r="X136" i="156" s="1"/>
  <c r="W126" i="156"/>
  <c r="W136" i="156" s="1"/>
  <c r="V126" i="156"/>
  <c r="V136" i="156" s="1"/>
  <c r="U126" i="156"/>
  <c r="U136" i="156" s="1"/>
  <c r="T126" i="156"/>
  <c r="T136" i="156" s="1"/>
  <c r="S126" i="156"/>
  <c r="S136" i="156" s="1"/>
  <c r="R126" i="156"/>
  <c r="R136" i="156" s="1"/>
  <c r="Q126" i="156"/>
  <c r="Q136" i="156" s="1"/>
  <c r="P126" i="156"/>
  <c r="P136" i="156" s="1"/>
  <c r="O126" i="156"/>
  <c r="O136" i="156" s="1"/>
  <c r="N126" i="156"/>
  <c r="N136" i="156" s="1"/>
  <c r="M126" i="156"/>
  <c r="M136" i="156" s="1"/>
  <c r="L126" i="156"/>
  <c r="L136" i="156" s="1"/>
  <c r="K126" i="156"/>
  <c r="K136" i="156" s="1"/>
  <c r="J126" i="156"/>
  <c r="J136" i="156" s="1"/>
  <c r="I126" i="156"/>
  <c r="I136" i="156" s="1"/>
  <c r="H126" i="156"/>
  <c r="H136" i="156" s="1"/>
  <c r="AI124" i="156"/>
  <c r="AI134" i="156" s="1"/>
  <c r="AH124" i="156"/>
  <c r="AH134" i="156" s="1"/>
  <c r="AG124" i="156"/>
  <c r="AG134" i="156" s="1"/>
  <c r="AF124" i="156"/>
  <c r="AF134" i="156" s="1"/>
  <c r="AE124" i="156"/>
  <c r="AE134" i="156" s="1"/>
  <c r="AD124" i="156"/>
  <c r="AD134" i="156" s="1"/>
  <c r="AC124" i="156"/>
  <c r="AC134" i="156" s="1"/>
  <c r="AB124" i="156"/>
  <c r="AB134" i="156" s="1"/>
  <c r="AA124" i="156"/>
  <c r="AA134" i="156" s="1"/>
  <c r="Z124" i="156"/>
  <c r="Z134" i="156" s="1"/>
  <c r="Y124" i="156"/>
  <c r="Y134" i="156" s="1"/>
  <c r="X124" i="156"/>
  <c r="X134" i="156" s="1"/>
  <c r="W124" i="156"/>
  <c r="W134" i="156" s="1"/>
  <c r="V124" i="156"/>
  <c r="V134" i="156" s="1"/>
  <c r="U124" i="156"/>
  <c r="U134" i="156" s="1"/>
  <c r="T124" i="156"/>
  <c r="T134" i="156" s="1"/>
  <c r="S124" i="156"/>
  <c r="S134" i="156" s="1"/>
  <c r="R124" i="156"/>
  <c r="R134" i="156" s="1"/>
  <c r="Q124" i="156"/>
  <c r="Q134" i="156" s="1"/>
  <c r="P124" i="156"/>
  <c r="P134" i="156" s="1"/>
  <c r="O124" i="156"/>
  <c r="O134" i="156" s="1"/>
  <c r="N124" i="156"/>
  <c r="N134" i="156" s="1"/>
  <c r="M124" i="156"/>
  <c r="M134" i="156" s="1"/>
  <c r="L124" i="156"/>
  <c r="L134" i="156" s="1"/>
  <c r="K124" i="156"/>
  <c r="K134" i="156" s="1"/>
  <c r="J124" i="156"/>
  <c r="J134" i="156" s="1"/>
  <c r="I124" i="156"/>
  <c r="I134" i="156" s="1"/>
  <c r="H124" i="156"/>
  <c r="H134" i="156" s="1"/>
  <c r="AI119" i="156"/>
  <c r="AI129" i="156" s="1"/>
  <c r="AH119" i="156"/>
  <c r="AH129" i="156" s="1"/>
  <c r="AG119" i="156"/>
  <c r="AG129" i="156" s="1"/>
  <c r="AF119" i="156"/>
  <c r="AF129" i="156" s="1"/>
  <c r="AE119" i="156"/>
  <c r="AE129" i="156" s="1"/>
  <c r="AD119" i="156"/>
  <c r="AD129" i="156" s="1"/>
  <c r="AC119" i="156"/>
  <c r="AC129" i="156" s="1"/>
  <c r="AB119" i="156"/>
  <c r="AB129" i="156" s="1"/>
  <c r="AA119" i="156"/>
  <c r="AA129" i="156" s="1"/>
  <c r="Z119" i="156"/>
  <c r="Z129" i="156" s="1"/>
  <c r="Y119" i="156"/>
  <c r="Y129" i="156" s="1"/>
  <c r="X119" i="156"/>
  <c r="X129" i="156" s="1"/>
  <c r="W119" i="156"/>
  <c r="W129" i="156" s="1"/>
  <c r="V119" i="156"/>
  <c r="V129" i="156" s="1"/>
  <c r="U119" i="156"/>
  <c r="U129" i="156" s="1"/>
  <c r="T119" i="156"/>
  <c r="T129" i="156" s="1"/>
  <c r="S119" i="156"/>
  <c r="S129" i="156" s="1"/>
  <c r="R119" i="156"/>
  <c r="R129" i="156" s="1"/>
  <c r="Q119" i="156"/>
  <c r="Q129" i="156" s="1"/>
  <c r="P119" i="156"/>
  <c r="P129" i="156" s="1"/>
  <c r="O119" i="156"/>
  <c r="O129" i="156" s="1"/>
  <c r="N119" i="156"/>
  <c r="N129" i="156" s="1"/>
  <c r="M119" i="156"/>
  <c r="M129" i="156" s="1"/>
  <c r="L119" i="156"/>
  <c r="L129" i="156" s="1"/>
  <c r="K119" i="156"/>
  <c r="K129" i="156" s="1"/>
  <c r="J119" i="156"/>
  <c r="J129" i="156" s="1"/>
  <c r="I119" i="156"/>
  <c r="I129" i="156" s="1"/>
  <c r="H119" i="156"/>
  <c r="H129" i="156" s="1"/>
  <c r="AI120" i="156"/>
  <c r="AI130" i="156" s="1"/>
  <c r="AH120" i="156"/>
  <c r="AH130" i="156" s="1"/>
  <c r="AG120" i="156"/>
  <c r="AG130" i="156" s="1"/>
  <c r="AF120" i="156"/>
  <c r="AF130" i="156" s="1"/>
  <c r="AE120" i="156"/>
  <c r="AE130" i="156" s="1"/>
  <c r="AD120" i="156"/>
  <c r="AD130" i="156" s="1"/>
  <c r="AC120" i="156"/>
  <c r="AC130" i="156" s="1"/>
  <c r="AB120" i="156"/>
  <c r="AB130" i="156" s="1"/>
  <c r="AA120" i="156"/>
  <c r="AA130" i="156" s="1"/>
  <c r="Z120" i="156"/>
  <c r="Z130" i="156" s="1"/>
  <c r="Y120" i="156"/>
  <c r="Y130" i="156" s="1"/>
  <c r="X120" i="156"/>
  <c r="X130" i="156" s="1"/>
  <c r="W120" i="156"/>
  <c r="W130" i="156" s="1"/>
  <c r="V120" i="156"/>
  <c r="V130" i="156" s="1"/>
  <c r="U120" i="156"/>
  <c r="U130" i="156" s="1"/>
  <c r="T120" i="156"/>
  <c r="T130" i="156" s="1"/>
  <c r="S120" i="156"/>
  <c r="S130" i="156" s="1"/>
  <c r="R120" i="156"/>
  <c r="R130" i="156" s="1"/>
  <c r="Q120" i="156"/>
  <c r="Q130" i="156" s="1"/>
  <c r="P120" i="156"/>
  <c r="P130" i="156" s="1"/>
  <c r="O120" i="156"/>
  <c r="O130" i="156" s="1"/>
  <c r="N120" i="156"/>
  <c r="N130" i="156" s="1"/>
  <c r="M120" i="156"/>
  <c r="M130" i="156" s="1"/>
  <c r="L120" i="156"/>
  <c r="L130" i="156" s="1"/>
  <c r="K120" i="156"/>
  <c r="K130" i="156" s="1"/>
  <c r="J120" i="156"/>
  <c r="J130" i="156" s="1"/>
  <c r="I120" i="156"/>
  <c r="I130" i="156" s="1"/>
  <c r="H120" i="156"/>
  <c r="H130" i="156" s="1"/>
  <c r="AI121" i="156"/>
  <c r="AI131" i="156" s="1"/>
  <c r="AH121" i="156"/>
  <c r="AH131" i="156" s="1"/>
  <c r="AG121" i="156"/>
  <c r="AG131" i="156" s="1"/>
  <c r="AF121" i="156"/>
  <c r="AF131" i="156" s="1"/>
  <c r="AE121" i="156"/>
  <c r="AE131" i="156" s="1"/>
  <c r="AD121" i="156"/>
  <c r="AD131" i="156" s="1"/>
  <c r="AC121" i="156"/>
  <c r="AC131" i="156" s="1"/>
  <c r="AB121" i="156"/>
  <c r="AB131" i="156" s="1"/>
  <c r="AA121" i="156"/>
  <c r="AA131" i="156" s="1"/>
  <c r="Z121" i="156"/>
  <c r="Z131" i="156" s="1"/>
  <c r="Y121" i="156"/>
  <c r="Y131" i="156" s="1"/>
  <c r="X121" i="156"/>
  <c r="X131" i="156" s="1"/>
  <c r="W121" i="156"/>
  <c r="W131" i="156" s="1"/>
  <c r="V121" i="156"/>
  <c r="V131" i="156" s="1"/>
  <c r="U121" i="156"/>
  <c r="U131" i="156" s="1"/>
  <c r="T121" i="156"/>
  <c r="T131" i="156" s="1"/>
  <c r="S121" i="156"/>
  <c r="S131" i="156" s="1"/>
  <c r="R121" i="156"/>
  <c r="R131" i="156" s="1"/>
  <c r="Q121" i="156"/>
  <c r="Q131" i="156" s="1"/>
  <c r="P121" i="156"/>
  <c r="P131" i="156" s="1"/>
  <c r="O121" i="156"/>
  <c r="O131" i="156" s="1"/>
  <c r="N121" i="156"/>
  <c r="N131" i="156" s="1"/>
  <c r="M121" i="156"/>
  <c r="M131" i="156" s="1"/>
  <c r="L121" i="156"/>
  <c r="L131" i="156" s="1"/>
  <c r="K121" i="156"/>
  <c r="K131" i="156" s="1"/>
  <c r="J121" i="156"/>
  <c r="J131" i="156" s="1"/>
  <c r="I121" i="156"/>
  <c r="I131" i="156" s="1"/>
  <c r="H121" i="156"/>
  <c r="H131" i="156" s="1"/>
  <c r="AI122" i="156"/>
  <c r="AI132" i="156" s="1"/>
  <c r="AH122" i="156"/>
  <c r="AH132" i="156" s="1"/>
  <c r="AG122" i="156"/>
  <c r="AG132" i="156" s="1"/>
  <c r="AF122" i="156"/>
  <c r="AF132" i="156" s="1"/>
  <c r="AE122" i="156"/>
  <c r="AE132" i="156" s="1"/>
  <c r="AD122" i="156"/>
  <c r="AD132" i="156" s="1"/>
  <c r="AC122" i="156"/>
  <c r="AC132" i="156" s="1"/>
  <c r="AB122" i="156"/>
  <c r="AB132" i="156" s="1"/>
  <c r="AA122" i="156"/>
  <c r="AA132" i="156" s="1"/>
  <c r="Z122" i="156"/>
  <c r="Z132" i="156" s="1"/>
  <c r="Y122" i="156"/>
  <c r="Y132" i="156" s="1"/>
  <c r="X122" i="156"/>
  <c r="X132" i="156" s="1"/>
  <c r="W122" i="156"/>
  <c r="W132" i="156" s="1"/>
  <c r="V122" i="156"/>
  <c r="V132" i="156" s="1"/>
  <c r="U122" i="156"/>
  <c r="U132" i="156" s="1"/>
  <c r="T122" i="156"/>
  <c r="T132" i="156" s="1"/>
  <c r="S122" i="156"/>
  <c r="S132" i="156" s="1"/>
  <c r="R122" i="156"/>
  <c r="R132" i="156" s="1"/>
  <c r="Q122" i="156"/>
  <c r="Q132" i="156" s="1"/>
  <c r="P122" i="156"/>
  <c r="P132" i="156" s="1"/>
  <c r="O122" i="156"/>
  <c r="O132" i="156" s="1"/>
  <c r="N122" i="156"/>
  <c r="N132" i="156" s="1"/>
  <c r="M122" i="156"/>
  <c r="M132" i="156" s="1"/>
  <c r="L122" i="156"/>
  <c r="L132" i="156" s="1"/>
  <c r="K122" i="156"/>
  <c r="K132" i="156" s="1"/>
  <c r="J122" i="156"/>
  <c r="J132" i="156" s="1"/>
  <c r="I122" i="156"/>
  <c r="I132" i="156" s="1"/>
  <c r="H122" i="156"/>
  <c r="H132" i="156" s="1"/>
  <c r="A412" i="149"/>
  <c r="A413" i="149"/>
  <c r="A414" i="149"/>
  <c r="A415" i="149"/>
  <c r="A416" i="149"/>
  <c r="A417" i="149"/>
  <c r="A418" i="149"/>
  <c r="A419" i="149"/>
  <c r="A420" i="149"/>
  <c r="A421" i="149"/>
  <c r="A422" i="149"/>
  <c r="A423" i="149"/>
  <c r="A424" i="149"/>
  <c r="A425" i="149"/>
  <c r="A411" i="149"/>
  <c r="C129" i="138"/>
  <c r="A116" i="138"/>
  <c r="A129" i="138" s="1"/>
  <c r="B116" i="138"/>
  <c r="B129" i="138" s="1"/>
  <c r="A21" i="138"/>
  <c r="A96" i="138" s="1"/>
  <c r="B21" i="138"/>
  <c r="B96" i="138" s="1"/>
  <c r="AH619" i="156"/>
  <c r="AG619" i="156"/>
  <c r="AF619" i="156"/>
  <c r="AD619" i="156"/>
  <c r="AC619" i="156"/>
  <c r="AA619" i="156"/>
  <c r="Z619" i="156"/>
  <c r="Y619" i="156"/>
  <c r="X619" i="156"/>
  <c r="W619" i="156"/>
  <c r="U619" i="156"/>
  <c r="T619" i="156"/>
  <c r="S619" i="156"/>
  <c r="R619" i="156"/>
  <c r="Q619" i="156"/>
  <c r="P619" i="156"/>
  <c r="O619" i="156"/>
  <c r="N619" i="156"/>
  <c r="M619" i="156"/>
  <c r="L619" i="156"/>
  <c r="K619" i="156"/>
  <c r="J619" i="156"/>
  <c r="I619" i="156"/>
  <c r="H619" i="156"/>
  <c r="AH617" i="156"/>
  <c r="AG617" i="156"/>
  <c r="AF617" i="156"/>
  <c r="AD617" i="156"/>
  <c r="AC617" i="156"/>
  <c r="AA617" i="156"/>
  <c r="Z617" i="156"/>
  <c r="Y617" i="156"/>
  <c r="X617" i="156"/>
  <c r="W617" i="156"/>
  <c r="U617" i="156"/>
  <c r="T617" i="156"/>
  <c r="S617" i="156"/>
  <c r="R617" i="156"/>
  <c r="Q617" i="156"/>
  <c r="P617" i="156"/>
  <c r="O617" i="156"/>
  <c r="N617" i="156"/>
  <c r="M617" i="156"/>
  <c r="L617" i="156"/>
  <c r="K617" i="156"/>
  <c r="J617" i="156"/>
  <c r="I617" i="156"/>
  <c r="H617" i="156"/>
  <c r="AH616" i="156"/>
  <c r="AG616" i="156"/>
  <c r="AF616" i="156"/>
  <c r="AD616" i="156"/>
  <c r="AC616" i="156"/>
  <c r="AA616" i="156"/>
  <c r="Z616" i="156"/>
  <c r="Y616" i="156"/>
  <c r="X616" i="156"/>
  <c r="W616" i="156"/>
  <c r="U616" i="156"/>
  <c r="T616" i="156"/>
  <c r="S616" i="156"/>
  <c r="R616" i="156"/>
  <c r="Q616" i="156"/>
  <c r="P616" i="156"/>
  <c r="O616" i="156"/>
  <c r="N616" i="156"/>
  <c r="M616" i="156"/>
  <c r="L616" i="156"/>
  <c r="K616" i="156"/>
  <c r="J616" i="156"/>
  <c r="I616" i="156"/>
  <c r="H616" i="156"/>
  <c r="AH613" i="156"/>
  <c r="AG613" i="156"/>
  <c r="AF613" i="156"/>
  <c r="AD613" i="156"/>
  <c r="AC613" i="156"/>
  <c r="AA613" i="156"/>
  <c r="Z613" i="156"/>
  <c r="Y613" i="156"/>
  <c r="X613" i="156"/>
  <c r="W613" i="156"/>
  <c r="U613" i="156"/>
  <c r="T613" i="156"/>
  <c r="S613" i="156"/>
  <c r="R613" i="156"/>
  <c r="Q613" i="156"/>
  <c r="P613" i="156"/>
  <c r="O613" i="156"/>
  <c r="N613" i="156"/>
  <c r="M613" i="156"/>
  <c r="L613" i="156"/>
  <c r="K613" i="156"/>
  <c r="J613" i="156"/>
  <c r="I613" i="156"/>
  <c r="H613" i="156"/>
  <c r="AH612" i="156"/>
  <c r="AG612" i="156"/>
  <c r="AF612" i="156"/>
  <c r="AD612" i="156"/>
  <c r="AC612" i="156"/>
  <c r="AA612" i="156"/>
  <c r="Z612" i="156"/>
  <c r="Y612" i="156"/>
  <c r="X612" i="156"/>
  <c r="W612" i="156"/>
  <c r="U612" i="156"/>
  <c r="T612" i="156"/>
  <c r="S612" i="156"/>
  <c r="R612" i="156"/>
  <c r="Q612" i="156"/>
  <c r="P612" i="156"/>
  <c r="O612" i="156"/>
  <c r="N612" i="156"/>
  <c r="M612" i="156"/>
  <c r="L612" i="156"/>
  <c r="K612" i="156"/>
  <c r="J612" i="156"/>
  <c r="I612" i="156"/>
  <c r="H612" i="156"/>
  <c r="AH610" i="156"/>
  <c r="AG610" i="156"/>
  <c r="AF610" i="156"/>
  <c r="AD610" i="156"/>
  <c r="AC610" i="156"/>
  <c r="AA610" i="156"/>
  <c r="Z610" i="156"/>
  <c r="Y610" i="156"/>
  <c r="X610" i="156"/>
  <c r="W610" i="156"/>
  <c r="U610" i="156"/>
  <c r="T610" i="156"/>
  <c r="S610" i="156"/>
  <c r="R610" i="156"/>
  <c r="Q610" i="156"/>
  <c r="P610" i="156"/>
  <c r="O610" i="156"/>
  <c r="N610" i="156"/>
  <c r="M610" i="156"/>
  <c r="L610" i="156"/>
  <c r="K610" i="156"/>
  <c r="J610" i="156"/>
  <c r="I610" i="156"/>
  <c r="H610" i="156"/>
  <c r="AH609" i="156"/>
  <c r="AG609" i="156"/>
  <c r="AF609" i="156"/>
  <c r="AD609" i="156"/>
  <c r="AC609" i="156"/>
  <c r="AA609" i="156"/>
  <c r="Z609" i="156"/>
  <c r="Y609" i="156"/>
  <c r="X609" i="156"/>
  <c r="W609" i="156"/>
  <c r="U609" i="156"/>
  <c r="T609" i="156"/>
  <c r="S609" i="156"/>
  <c r="R609" i="156"/>
  <c r="Q609" i="156"/>
  <c r="P609" i="156"/>
  <c r="O609" i="156"/>
  <c r="N609" i="156"/>
  <c r="M609" i="156"/>
  <c r="L609" i="156"/>
  <c r="K609" i="156"/>
  <c r="J609" i="156"/>
  <c r="I609" i="156"/>
  <c r="H609" i="156"/>
  <c r="AH607" i="156"/>
  <c r="AG607" i="156"/>
  <c r="AF607" i="156"/>
  <c r="AD607" i="156"/>
  <c r="AC607" i="156"/>
  <c r="AA607" i="156"/>
  <c r="Z607" i="156"/>
  <c r="Y607" i="156"/>
  <c r="X607" i="156"/>
  <c r="W607" i="156"/>
  <c r="U607" i="156"/>
  <c r="T607" i="156"/>
  <c r="S607" i="156"/>
  <c r="R607" i="156"/>
  <c r="Q607" i="156"/>
  <c r="P607" i="156"/>
  <c r="O607" i="156"/>
  <c r="N607" i="156"/>
  <c r="M607" i="156"/>
  <c r="L607" i="156"/>
  <c r="K607" i="156"/>
  <c r="J607" i="156"/>
  <c r="I607" i="156"/>
  <c r="H607" i="156"/>
  <c r="AH605" i="156"/>
  <c r="AG605" i="156"/>
  <c r="AF605" i="156"/>
  <c r="AD605" i="156"/>
  <c r="AC605" i="156"/>
  <c r="AA605" i="156"/>
  <c r="Z605" i="156"/>
  <c r="Y605" i="156"/>
  <c r="X605" i="156"/>
  <c r="W605" i="156"/>
  <c r="U605" i="156"/>
  <c r="T605" i="156"/>
  <c r="S605" i="156"/>
  <c r="R605" i="156"/>
  <c r="Q605" i="156"/>
  <c r="P605" i="156"/>
  <c r="O605" i="156"/>
  <c r="N605" i="156"/>
  <c r="M605" i="156"/>
  <c r="L605" i="156"/>
  <c r="K605" i="156"/>
  <c r="J605" i="156"/>
  <c r="I605" i="156"/>
  <c r="H605" i="156"/>
  <c r="AH604" i="156"/>
  <c r="AG604" i="156"/>
  <c r="AF604" i="156"/>
  <c r="AD604" i="156"/>
  <c r="AC604" i="156"/>
  <c r="AA604" i="156"/>
  <c r="Z604" i="156"/>
  <c r="Y604" i="156"/>
  <c r="X604" i="156"/>
  <c r="W604" i="156"/>
  <c r="U604" i="156"/>
  <c r="T604" i="156"/>
  <c r="S604" i="156"/>
  <c r="R604" i="156"/>
  <c r="Q604" i="156"/>
  <c r="P604" i="156"/>
  <c r="O604" i="156"/>
  <c r="N604" i="156"/>
  <c r="M604" i="156"/>
  <c r="L604" i="156"/>
  <c r="K604" i="156"/>
  <c r="J604" i="156"/>
  <c r="I604" i="156"/>
  <c r="H604" i="156"/>
  <c r="AH601" i="156"/>
  <c r="AG601" i="156"/>
  <c r="AF601" i="156"/>
  <c r="AD601" i="156"/>
  <c r="AC601" i="156"/>
  <c r="AA601" i="156"/>
  <c r="Z601" i="156"/>
  <c r="Y601" i="156"/>
  <c r="X601" i="156"/>
  <c r="W601" i="156"/>
  <c r="U601" i="156"/>
  <c r="T601" i="156"/>
  <c r="S601" i="156"/>
  <c r="R601" i="156"/>
  <c r="Q601" i="156"/>
  <c r="P601" i="156"/>
  <c r="O601" i="156"/>
  <c r="N601" i="156"/>
  <c r="M601" i="156"/>
  <c r="L601" i="156"/>
  <c r="K601" i="156"/>
  <c r="J601" i="156"/>
  <c r="I601" i="156"/>
  <c r="H601" i="156"/>
  <c r="AH600" i="156"/>
  <c r="AG600" i="156"/>
  <c r="AF600" i="156"/>
  <c r="AD600" i="156"/>
  <c r="AC600" i="156"/>
  <c r="AA600" i="156"/>
  <c r="Z600" i="156"/>
  <c r="Y600" i="156"/>
  <c r="X600" i="156"/>
  <c r="W600" i="156"/>
  <c r="U600" i="156"/>
  <c r="T600" i="156"/>
  <c r="S600" i="156"/>
  <c r="R600" i="156"/>
  <c r="Q600" i="156"/>
  <c r="P600" i="156"/>
  <c r="O600" i="156"/>
  <c r="N600" i="156"/>
  <c r="M600" i="156"/>
  <c r="L600" i="156"/>
  <c r="K600" i="156"/>
  <c r="J600" i="156"/>
  <c r="I600" i="156"/>
  <c r="H600" i="156"/>
  <c r="AH598" i="156"/>
  <c r="AG598" i="156"/>
  <c r="AF598" i="156"/>
  <c r="AD598" i="156"/>
  <c r="AC598" i="156"/>
  <c r="AA598" i="156"/>
  <c r="Z598" i="156"/>
  <c r="Y598" i="156"/>
  <c r="X598" i="156"/>
  <c r="W598" i="156"/>
  <c r="U598" i="156"/>
  <c r="T598" i="156"/>
  <c r="S598" i="156"/>
  <c r="R598" i="156"/>
  <c r="Q598" i="156"/>
  <c r="P598" i="156"/>
  <c r="O598" i="156"/>
  <c r="N598" i="156"/>
  <c r="M598" i="156"/>
  <c r="L598" i="156"/>
  <c r="K598" i="156"/>
  <c r="J598" i="156"/>
  <c r="I598" i="156"/>
  <c r="H598" i="156"/>
  <c r="AH597" i="156"/>
  <c r="AG597" i="156"/>
  <c r="AF597" i="156"/>
  <c r="AD597" i="156"/>
  <c r="AC597" i="156"/>
  <c r="AA597" i="156"/>
  <c r="Z597" i="156"/>
  <c r="Y597" i="156"/>
  <c r="X597" i="156"/>
  <c r="W597" i="156"/>
  <c r="U597" i="156"/>
  <c r="T597" i="156"/>
  <c r="S597" i="156"/>
  <c r="R597" i="156"/>
  <c r="Q597" i="156"/>
  <c r="P597" i="156"/>
  <c r="O597" i="156"/>
  <c r="N597" i="156"/>
  <c r="M597" i="156"/>
  <c r="L597" i="156"/>
  <c r="K597" i="156"/>
  <c r="J597" i="156"/>
  <c r="I597" i="156"/>
  <c r="H597" i="156"/>
  <c r="AH595" i="156"/>
  <c r="AG595" i="156"/>
  <c r="AF595" i="156"/>
  <c r="AD595" i="156"/>
  <c r="AC595" i="156"/>
  <c r="AA595" i="156"/>
  <c r="Z595" i="156"/>
  <c r="Y595" i="156"/>
  <c r="X595" i="156"/>
  <c r="W595" i="156"/>
  <c r="U595" i="156"/>
  <c r="T595" i="156"/>
  <c r="S595" i="156"/>
  <c r="R595" i="156"/>
  <c r="Q595" i="156"/>
  <c r="P595" i="156"/>
  <c r="O595" i="156"/>
  <c r="N595" i="156"/>
  <c r="M595" i="156"/>
  <c r="L595" i="156"/>
  <c r="K595" i="156"/>
  <c r="J595" i="156"/>
  <c r="I595" i="156"/>
  <c r="H595" i="156"/>
  <c r="AH593" i="156"/>
  <c r="AG593" i="156"/>
  <c r="AF593" i="156"/>
  <c r="AD593" i="156"/>
  <c r="AC593" i="156"/>
  <c r="AA593" i="156"/>
  <c r="Z593" i="156"/>
  <c r="Y593" i="156"/>
  <c r="X593" i="156"/>
  <c r="W593" i="156"/>
  <c r="U593" i="156"/>
  <c r="T593" i="156"/>
  <c r="S593" i="156"/>
  <c r="R593" i="156"/>
  <c r="Q593" i="156"/>
  <c r="P593" i="156"/>
  <c r="O593" i="156"/>
  <c r="N593" i="156"/>
  <c r="M593" i="156"/>
  <c r="L593" i="156"/>
  <c r="K593" i="156"/>
  <c r="J593" i="156"/>
  <c r="I593" i="156"/>
  <c r="H593" i="156"/>
  <c r="AH592" i="156"/>
  <c r="AG592" i="156"/>
  <c r="AF592" i="156"/>
  <c r="AD592" i="156"/>
  <c r="AC592" i="156"/>
  <c r="AA592" i="156"/>
  <c r="Z592" i="156"/>
  <c r="Y592" i="156"/>
  <c r="X592" i="156"/>
  <c r="W592" i="156"/>
  <c r="U592" i="156"/>
  <c r="T592" i="156"/>
  <c r="S592" i="156"/>
  <c r="R592" i="156"/>
  <c r="Q592" i="156"/>
  <c r="P592" i="156"/>
  <c r="O592" i="156"/>
  <c r="N592" i="156"/>
  <c r="M592" i="156"/>
  <c r="L592" i="156"/>
  <c r="K592" i="156"/>
  <c r="J592" i="156"/>
  <c r="I592" i="156"/>
  <c r="H592" i="156"/>
  <c r="AH589" i="156"/>
  <c r="AG589" i="156"/>
  <c r="AF589" i="156"/>
  <c r="AD589" i="156"/>
  <c r="AC589" i="156"/>
  <c r="AA589" i="156"/>
  <c r="Z589" i="156"/>
  <c r="Y589" i="156"/>
  <c r="X589" i="156"/>
  <c r="W589" i="156"/>
  <c r="U589" i="156"/>
  <c r="T589" i="156"/>
  <c r="S589" i="156"/>
  <c r="R589" i="156"/>
  <c r="Q589" i="156"/>
  <c r="P589" i="156"/>
  <c r="O589" i="156"/>
  <c r="N589" i="156"/>
  <c r="M589" i="156"/>
  <c r="L589" i="156"/>
  <c r="K589" i="156"/>
  <c r="J589" i="156"/>
  <c r="I589" i="156"/>
  <c r="H589" i="156"/>
  <c r="AH588" i="156"/>
  <c r="AG588" i="156"/>
  <c r="AF588" i="156"/>
  <c r="AD588" i="156"/>
  <c r="AC588" i="156"/>
  <c r="AA588" i="156"/>
  <c r="Z588" i="156"/>
  <c r="Y588" i="156"/>
  <c r="X588" i="156"/>
  <c r="W588" i="156"/>
  <c r="U588" i="156"/>
  <c r="T588" i="156"/>
  <c r="S588" i="156"/>
  <c r="R588" i="156"/>
  <c r="Q588" i="156"/>
  <c r="P588" i="156"/>
  <c r="O588" i="156"/>
  <c r="N588" i="156"/>
  <c r="M588" i="156"/>
  <c r="L588" i="156"/>
  <c r="K588" i="156"/>
  <c r="J588" i="156"/>
  <c r="I588" i="156"/>
  <c r="H588" i="156"/>
  <c r="AH586" i="156"/>
  <c r="AG586" i="156"/>
  <c r="AF586" i="156"/>
  <c r="AD586" i="156"/>
  <c r="AC586" i="156"/>
  <c r="AA586" i="156"/>
  <c r="Z586" i="156"/>
  <c r="Y586" i="156"/>
  <c r="X586" i="156"/>
  <c r="W586" i="156"/>
  <c r="U586" i="156"/>
  <c r="T586" i="156"/>
  <c r="S586" i="156"/>
  <c r="R586" i="156"/>
  <c r="Q586" i="156"/>
  <c r="P586" i="156"/>
  <c r="O586" i="156"/>
  <c r="N586" i="156"/>
  <c r="M586" i="156"/>
  <c r="L586" i="156"/>
  <c r="K586" i="156"/>
  <c r="J586" i="156"/>
  <c r="I586" i="156"/>
  <c r="H586" i="156"/>
  <c r="AH585" i="156"/>
  <c r="AG585" i="156"/>
  <c r="AF585" i="156"/>
  <c r="AD585" i="156"/>
  <c r="AC585" i="156"/>
  <c r="AA585" i="156"/>
  <c r="Z585" i="156"/>
  <c r="Y585" i="156"/>
  <c r="X585" i="156"/>
  <c r="W585" i="156"/>
  <c r="U585" i="156"/>
  <c r="T585" i="156"/>
  <c r="S585" i="156"/>
  <c r="R585" i="156"/>
  <c r="Q585" i="156"/>
  <c r="P585" i="156"/>
  <c r="O585" i="156"/>
  <c r="N585" i="156"/>
  <c r="M585" i="156"/>
  <c r="L585" i="156"/>
  <c r="K585" i="156"/>
  <c r="J585" i="156"/>
  <c r="I585" i="156"/>
  <c r="H585" i="156"/>
  <c r="AH583" i="156"/>
  <c r="AG583" i="156"/>
  <c r="AF583" i="156"/>
  <c r="AD583" i="156"/>
  <c r="AC583" i="156"/>
  <c r="AA583" i="156"/>
  <c r="Z583" i="156"/>
  <c r="Y583" i="156"/>
  <c r="X583" i="156"/>
  <c r="W583" i="156"/>
  <c r="U583" i="156"/>
  <c r="T583" i="156"/>
  <c r="S583" i="156"/>
  <c r="R583" i="156"/>
  <c r="Q583" i="156"/>
  <c r="P583" i="156"/>
  <c r="O583" i="156"/>
  <c r="N583" i="156"/>
  <c r="M583" i="156"/>
  <c r="L583" i="156"/>
  <c r="K583" i="156"/>
  <c r="J583" i="156"/>
  <c r="I583" i="156"/>
  <c r="H583" i="156"/>
  <c r="AH582" i="156"/>
  <c r="AG582" i="156"/>
  <c r="AF582" i="156"/>
  <c r="AD582" i="156"/>
  <c r="AC582" i="156"/>
  <c r="AA582" i="156"/>
  <c r="Z582" i="156"/>
  <c r="Y582" i="156"/>
  <c r="X582" i="156"/>
  <c r="W582" i="156"/>
  <c r="U582" i="156"/>
  <c r="T582" i="156"/>
  <c r="S582" i="156"/>
  <c r="R582" i="156"/>
  <c r="Q582" i="156"/>
  <c r="P582" i="156"/>
  <c r="O582" i="156"/>
  <c r="N582" i="156"/>
  <c r="M582" i="156"/>
  <c r="L582" i="156"/>
  <c r="K582" i="156"/>
  <c r="J582" i="156"/>
  <c r="I582" i="156"/>
  <c r="H582" i="156"/>
  <c r="AH581" i="156"/>
  <c r="AG581" i="156"/>
  <c r="AF581" i="156"/>
  <c r="AD581" i="156"/>
  <c r="AC581" i="156"/>
  <c r="AA581" i="156"/>
  <c r="Z581" i="156"/>
  <c r="Y581" i="156"/>
  <c r="X581" i="156"/>
  <c r="W581" i="156"/>
  <c r="U581" i="156"/>
  <c r="T581" i="156"/>
  <c r="S581" i="156"/>
  <c r="R581" i="156"/>
  <c r="Q581" i="156"/>
  <c r="P581" i="156"/>
  <c r="O581" i="156"/>
  <c r="N581" i="156"/>
  <c r="M581" i="156"/>
  <c r="L581" i="156"/>
  <c r="K581" i="156"/>
  <c r="J581" i="156"/>
  <c r="I581" i="156"/>
  <c r="H581" i="156"/>
  <c r="AH580" i="156"/>
  <c r="AG580" i="156"/>
  <c r="AF580" i="156"/>
  <c r="AD580" i="156"/>
  <c r="AC580" i="156"/>
  <c r="AA580" i="156"/>
  <c r="Z580" i="156"/>
  <c r="Y580" i="156"/>
  <c r="X580" i="156"/>
  <c r="W580" i="156"/>
  <c r="U580" i="156"/>
  <c r="T580" i="156"/>
  <c r="S580" i="156"/>
  <c r="R580" i="156"/>
  <c r="Q580" i="156"/>
  <c r="P580" i="156"/>
  <c r="O580" i="156"/>
  <c r="N580" i="156"/>
  <c r="M580" i="156"/>
  <c r="L580" i="156"/>
  <c r="K580" i="156"/>
  <c r="J580" i="156"/>
  <c r="I580" i="156"/>
  <c r="H580" i="156"/>
  <c r="AH579" i="156"/>
  <c r="AG579" i="156"/>
  <c r="AF579" i="156"/>
  <c r="AD579" i="156"/>
  <c r="AC579" i="156"/>
  <c r="AA579" i="156"/>
  <c r="Z579" i="156"/>
  <c r="Y579" i="156"/>
  <c r="X579" i="156"/>
  <c r="W579" i="156"/>
  <c r="U579" i="156"/>
  <c r="T579" i="156"/>
  <c r="S579" i="156"/>
  <c r="R579" i="156"/>
  <c r="Q579" i="156"/>
  <c r="P579" i="156"/>
  <c r="O579" i="156"/>
  <c r="N579" i="156"/>
  <c r="M579" i="156"/>
  <c r="L579" i="156"/>
  <c r="K579" i="156"/>
  <c r="J579" i="156"/>
  <c r="I579" i="156"/>
  <c r="H579" i="156"/>
  <c r="AH577" i="156"/>
  <c r="AG577" i="156"/>
  <c r="AF577" i="156"/>
  <c r="AD577" i="156"/>
  <c r="AC577" i="156"/>
  <c r="AA577" i="156"/>
  <c r="Z577" i="156"/>
  <c r="Y577" i="156"/>
  <c r="X577" i="156"/>
  <c r="W577" i="156"/>
  <c r="U577" i="156"/>
  <c r="T577" i="156"/>
  <c r="S577" i="156"/>
  <c r="R577" i="156"/>
  <c r="Q577" i="156"/>
  <c r="P577" i="156"/>
  <c r="O577" i="156"/>
  <c r="N577" i="156"/>
  <c r="M577" i="156"/>
  <c r="L577" i="156"/>
  <c r="K577" i="156"/>
  <c r="J577" i="156"/>
  <c r="I577" i="156"/>
  <c r="H577" i="156"/>
  <c r="AH576" i="156"/>
  <c r="AG576" i="156"/>
  <c r="AF576" i="156"/>
  <c r="AD576" i="156"/>
  <c r="AC576" i="156"/>
  <c r="AA576" i="156"/>
  <c r="Z576" i="156"/>
  <c r="Y576" i="156"/>
  <c r="X576" i="156"/>
  <c r="W576" i="156"/>
  <c r="U576" i="156"/>
  <c r="T576" i="156"/>
  <c r="S576" i="156"/>
  <c r="R576" i="156"/>
  <c r="Q576" i="156"/>
  <c r="P576" i="156"/>
  <c r="O576" i="156"/>
  <c r="N576" i="156"/>
  <c r="M576" i="156"/>
  <c r="L576" i="156"/>
  <c r="K576" i="156"/>
  <c r="J576" i="156"/>
  <c r="I576" i="156"/>
  <c r="H576" i="156"/>
  <c r="AH573" i="156"/>
  <c r="AG573" i="156"/>
  <c r="AF573" i="156"/>
  <c r="AD573" i="156"/>
  <c r="AC573" i="156"/>
  <c r="AA573" i="156"/>
  <c r="Z573" i="156"/>
  <c r="Y573" i="156"/>
  <c r="X573" i="156"/>
  <c r="W573" i="156"/>
  <c r="U573" i="156"/>
  <c r="T573" i="156"/>
  <c r="S573" i="156"/>
  <c r="R573" i="156"/>
  <c r="Q573" i="156"/>
  <c r="P573" i="156"/>
  <c r="O573" i="156"/>
  <c r="N573" i="156"/>
  <c r="M573" i="156"/>
  <c r="L573" i="156"/>
  <c r="K573" i="156"/>
  <c r="J573" i="156"/>
  <c r="I573" i="156"/>
  <c r="H573" i="156"/>
  <c r="AH572" i="156"/>
  <c r="AG572" i="156"/>
  <c r="AF572" i="156"/>
  <c r="AD572" i="156"/>
  <c r="AC572" i="156"/>
  <c r="AA572" i="156"/>
  <c r="Z572" i="156"/>
  <c r="Y572" i="156"/>
  <c r="X572" i="156"/>
  <c r="W572" i="156"/>
  <c r="U572" i="156"/>
  <c r="T572" i="156"/>
  <c r="S572" i="156"/>
  <c r="R572" i="156"/>
  <c r="Q572" i="156"/>
  <c r="P572" i="156"/>
  <c r="O572" i="156"/>
  <c r="N572" i="156"/>
  <c r="M572" i="156"/>
  <c r="L572" i="156"/>
  <c r="K572" i="156"/>
  <c r="J572" i="156"/>
  <c r="I572" i="156"/>
  <c r="H572" i="156"/>
  <c r="AH570" i="156"/>
  <c r="AG570" i="156"/>
  <c r="AF570" i="156"/>
  <c r="AD570" i="156"/>
  <c r="AC570" i="156"/>
  <c r="AA570" i="156"/>
  <c r="Z570" i="156"/>
  <c r="Y570" i="156"/>
  <c r="X570" i="156"/>
  <c r="W570" i="156"/>
  <c r="U570" i="156"/>
  <c r="T570" i="156"/>
  <c r="S570" i="156"/>
  <c r="R570" i="156"/>
  <c r="Q570" i="156"/>
  <c r="P570" i="156"/>
  <c r="O570" i="156"/>
  <c r="N570" i="156"/>
  <c r="M570" i="156"/>
  <c r="L570" i="156"/>
  <c r="K570" i="156"/>
  <c r="J570" i="156"/>
  <c r="I570" i="156"/>
  <c r="H570" i="156"/>
  <c r="AH569" i="156"/>
  <c r="AG569" i="156"/>
  <c r="AF569" i="156"/>
  <c r="AD569" i="156"/>
  <c r="AC569" i="156"/>
  <c r="AA569" i="156"/>
  <c r="Z569" i="156"/>
  <c r="Y569" i="156"/>
  <c r="X569" i="156"/>
  <c r="W569" i="156"/>
  <c r="U569" i="156"/>
  <c r="T569" i="156"/>
  <c r="S569" i="156"/>
  <c r="R569" i="156"/>
  <c r="Q569" i="156"/>
  <c r="P569" i="156"/>
  <c r="O569" i="156"/>
  <c r="N569" i="156"/>
  <c r="M569" i="156"/>
  <c r="L569" i="156"/>
  <c r="K569" i="156"/>
  <c r="J569" i="156"/>
  <c r="I569" i="156"/>
  <c r="H569" i="156"/>
  <c r="AH568" i="156"/>
  <c r="AG568" i="156"/>
  <c r="AF568" i="156"/>
  <c r="AD568" i="156"/>
  <c r="AC568" i="156"/>
  <c r="AA568" i="156"/>
  <c r="Z568" i="156"/>
  <c r="Y568" i="156"/>
  <c r="X568" i="156"/>
  <c r="W568" i="156"/>
  <c r="U568" i="156"/>
  <c r="T568" i="156"/>
  <c r="S568" i="156"/>
  <c r="R568" i="156"/>
  <c r="Q568" i="156"/>
  <c r="P568" i="156"/>
  <c r="O568" i="156"/>
  <c r="N568" i="156"/>
  <c r="M568" i="156"/>
  <c r="L568" i="156"/>
  <c r="K568" i="156"/>
  <c r="J568" i="156"/>
  <c r="I568" i="156"/>
  <c r="H568" i="156"/>
  <c r="AH567" i="156"/>
  <c r="AG567" i="156"/>
  <c r="AF567" i="156"/>
  <c r="AD567" i="156"/>
  <c r="AC567" i="156"/>
  <c r="AA567" i="156"/>
  <c r="Z567" i="156"/>
  <c r="Y567" i="156"/>
  <c r="X567" i="156"/>
  <c r="W567" i="156"/>
  <c r="U567" i="156"/>
  <c r="T567" i="156"/>
  <c r="S567" i="156"/>
  <c r="R567" i="156"/>
  <c r="Q567" i="156"/>
  <c r="P567" i="156"/>
  <c r="O567" i="156"/>
  <c r="N567" i="156"/>
  <c r="M567" i="156"/>
  <c r="L567" i="156"/>
  <c r="K567" i="156"/>
  <c r="J567" i="156"/>
  <c r="I567" i="156"/>
  <c r="H567" i="156"/>
  <c r="AH565" i="156"/>
  <c r="AG565" i="156"/>
  <c r="AF565" i="156"/>
  <c r="AD565" i="156"/>
  <c r="AC565" i="156"/>
  <c r="AA565" i="156"/>
  <c r="Z565" i="156"/>
  <c r="Y565" i="156"/>
  <c r="X565" i="156"/>
  <c r="W565" i="156"/>
  <c r="U565" i="156"/>
  <c r="T565" i="156"/>
  <c r="S565" i="156"/>
  <c r="R565" i="156"/>
  <c r="Q565" i="156"/>
  <c r="P565" i="156"/>
  <c r="O565" i="156"/>
  <c r="N565" i="156"/>
  <c r="M565" i="156"/>
  <c r="L565" i="156"/>
  <c r="K565" i="156"/>
  <c r="J565" i="156"/>
  <c r="I565" i="156"/>
  <c r="H565" i="156"/>
  <c r="AH564" i="156"/>
  <c r="AG564" i="156"/>
  <c r="AF564" i="156"/>
  <c r="AD564" i="156"/>
  <c r="AC564" i="156"/>
  <c r="AA564" i="156"/>
  <c r="Z564" i="156"/>
  <c r="Y564" i="156"/>
  <c r="X564" i="156"/>
  <c r="W564" i="156"/>
  <c r="U564" i="156"/>
  <c r="T564" i="156"/>
  <c r="S564" i="156"/>
  <c r="R564" i="156"/>
  <c r="Q564" i="156"/>
  <c r="P564" i="156"/>
  <c r="O564" i="156"/>
  <c r="N564" i="156"/>
  <c r="M564" i="156"/>
  <c r="L564" i="156"/>
  <c r="K564" i="156"/>
  <c r="J564" i="156"/>
  <c r="I564" i="156"/>
  <c r="H564" i="156"/>
  <c r="AH561" i="156"/>
  <c r="AG561" i="156"/>
  <c r="AF561" i="156"/>
  <c r="AD561" i="156"/>
  <c r="AC561" i="156"/>
  <c r="AA561" i="156"/>
  <c r="Z561" i="156"/>
  <c r="Y561" i="156"/>
  <c r="X561" i="156"/>
  <c r="W561" i="156"/>
  <c r="U561" i="156"/>
  <c r="T561" i="156"/>
  <c r="S561" i="156"/>
  <c r="R561" i="156"/>
  <c r="Q561" i="156"/>
  <c r="P561" i="156"/>
  <c r="O561" i="156"/>
  <c r="N561" i="156"/>
  <c r="M561" i="156"/>
  <c r="L561" i="156"/>
  <c r="K561" i="156"/>
  <c r="J561" i="156"/>
  <c r="I561" i="156"/>
  <c r="H561" i="156"/>
  <c r="AH560" i="156"/>
  <c r="AG560" i="156"/>
  <c r="AF560" i="156"/>
  <c r="AD560" i="156"/>
  <c r="AC560" i="156"/>
  <c r="AA560" i="156"/>
  <c r="Z560" i="156"/>
  <c r="Y560" i="156"/>
  <c r="X560" i="156"/>
  <c r="W560" i="156"/>
  <c r="U560" i="156"/>
  <c r="T560" i="156"/>
  <c r="S560" i="156"/>
  <c r="R560" i="156"/>
  <c r="Q560" i="156"/>
  <c r="P560" i="156"/>
  <c r="O560" i="156"/>
  <c r="N560" i="156"/>
  <c r="M560" i="156"/>
  <c r="L560" i="156"/>
  <c r="K560" i="156"/>
  <c r="J560" i="156"/>
  <c r="I560" i="156"/>
  <c r="H560" i="156"/>
  <c r="AH558" i="156"/>
  <c r="AG558" i="156"/>
  <c r="AF558" i="156"/>
  <c r="AD558" i="156"/>
  <c r="AC558" i="156"/>
  <c r="AA558" i="156"/>
  <c r="Z558" i="156"/>
  <c r="Y558" i="156"/>
  <c r="X558" i="156"/>
  <c r="W558" i="156"/>
  <c r="U558" i="156"/>
  <c r="T558" i="156"/>
  <c r="S558" i="156"/>
  <c r="R558" i="156"/>
  <c r="Q558" i="156"/>
  <c r="P558" i="156"/>
  <c r="O558" i="156"/>
  <c r="N558" i="156"/>
  <c r="M558" i="156"/>
  <c r="L558" i="156"/>
  <c r="K558" i="156"/>
  <c r="J558" i="156"/>
  <c r="I558" i="156"/>
  <c r="H558" i="156"/>
  <c r="AH557" i="156"/>
  <c r="AG557" i="156"/>
  <c r="AF557" i="156"/>
  <c r="AD557" i="156"/>
  <c r="AC557" i="156"/>
  <c r="AA557" i="156"/>
  <c r="Z557" i="156"/>
  <c r="Y557" i="156"/>
  <c r="X557" i="156"/>
  <c r="W557" i="156"/>
  <c r="U557" i="156"/>
  <c r="T557" i="156"/>
  <c r="S557" i="156"/>
  <c r="R557" i="156"/>
  <c r="Q557" i="156"/>
  <c r="P557" i="156"/>
  <c r="O557" i="156"/>
  <c r="N557" i="156"/>
  <c r="M557" i="156"/>
  <c r="L557" i="156"/>
  <c r="K557" i="156"/>
  <c r="J557" i="156"/>
  <c r="I557" i="156"/>
  <c r="H557" i="156"/>
  <c r="AH556" i="156"/>
  <c r="AG556" i="156"/>
  <c r="AF556" i="156"/>
  <c r="AD556" i="156"/>
  <c r="AC556" i="156"/>
  <c r="AA556" i="156"/>
  <c r="Z556" i="156"/>
  <c r="Y556" i="156"/>
  <c r="X556" i="156"/>
  <c r="W556" i="156"/>
  <c r="U556" i="156"/>
  <c r="T556" i="156"/>
  <c r="S556" i="156"/>
  <c r="R556" i="156"/>
  <c r="Q556" i="156"/>
  <c r="P556" i="156"/>
  <c r="O556" i="156"/>
  <c r="N556" i="156"/>
  <c r="M556" i="156"/>
  <c r="L556" i="156"/>
  <c r="K556" i="156"/>
  <c r="J556" i="156"/>
  <c r="I556" i="156"/>
  <c r="H556" i="156"/>
  <c r="AH555" i="156"/>
  <c r="AG555" i="156"/>
  <c r="AF555" i="156"/>
  <c r="AD555" i="156"/>
  <c r="AC555" i="156"/>
  <c r="AA555" i="156"/>
  <c r="Z555" i="156"/>
  <c r="Y555" i="156"/>
  <c r="X555" i="156"/>
  <c r="W555" i="156"/>
  <c r="U555" i="156"/>
  <c r="T555" i="156"/>
  <c r="S555" i="156"/>
  <c r="R555" i="156"/>
  <c r="Q555" i="156"/>
  <c r="P555" i="156"/>
  <c r="O555" i="156"/>
  <c r="N555" i="156"/>
  <c r="M555" i="156"/>
  <c r="L555" i="156"/>
  <c r="K555" i="156"/>
  <c r="J555" i="156"/>
  <c r="I555" i="156"/>
  <c r="H555" i="156"/>
  <c r="AH553" i="156"/>
  <c r="AG553" i="156"/>
  <c r="AF553" i="156"/>
  <c r="AD553" i="156"/>
  <c r="AC553" i="156"/>
  <c r="AA553" i="156"/>
  <c r="Z553" i="156"/>
  <c r="Y553" i="156"/>
  <c r="X553" i="156"/>
  <c r="W553" i="156"/>
  <c r="U553" i="156"/>
  <c r="T553" i="156"/>
  <c r="S553" i="156"/>
  <c r="R553" i="156"/>
  <c r="Q553" i="156"/>
  <c r="P553" i="156"/>
  <c r="O553" i="156"/>
  <c r="N553" i="156"/>
  <c r="M553" i="156"/>
  <c r="L553" i="156"/>
  <c r="K553" i="156"/>
  <c r="J553" i="156"/>
  <c r="I553" i="156"/>
  <c r="H553" i="156"/>
  <c r="AH552" i="156"/>
  <c r="AG552" i="156"/>
  <c r="AF552" i="156"/>
  <c r="AD552" i="156"/>
  <c r="AC552" i="156"/>
  <c r="AA552" i="156"/>
  <c r="Z552" i="156"/>
  <c r="Y552" i="156"/>
  <c r="X552" i="156"/>
  <c r="W552" i="156"/>
  <c r="U552" i="156"/>
  <c r="T552" i="156"/>
  <c r="S552" i="156"/>
  <c r="R552" i="156"/>
  <c r="Q552" i="156"/>
  <c r="P552" i="156"/>
  <c r="O552" i="156"/>
  <c r="N552" i="156"/>
  <c r="M552" i="156"/>
  <c r="L552" i="156"/>
  <c r="K552" i="156"/>
  <c r="J552" i="156"/>
  <c r="I552" i="156"/>
  <c r="H552" i="156"/>
  <c r="AH549" i="156"/>
  <c r="AG549" i="156"/>
  <c r="AF549" i="156"/>
  <c r="AD549" i="156"/>
  <c r="AC549" i="156"/>
  <c r="AA549" i="156"/>
  <c r="Z549" i="156"/>
  <c r="Y549" i="156"/>
  <c r="X549" i="156"/>
  <c r="W549" i="156"/>
  <c r="U549" i="156"/>
  <c r="T549" i="156"/>
  <c r="S549" i="156"/>
  <c r="R549" i="156"/>
  <c r="Q549" i="156"/>
  <c r="P549" i="156"/>
  <c r="O549" i="156"/>
  <c r="N549" i="156"/>
  <c r="M549" i="156"/>
  <c r="L549" i="156"/>
  <c r="K549" i="156"/>
  <c r="J549" i="156"/>
  <c r="I549" i="156"/>
  <c r="H549" i="156"/>
  <c r="AH548" i="156"/>
  <c r="AG548" i="156"/>
  <c r="AF548" i="156"/>
  <c r="AD548" i="156"/>
  <c r="AC548" i="156"/>
  <c r="AA548" i="156"/>
  <c r="Z548" i="156"/>
  <c r="Y548" i="156"/>
  <c r="X548" i="156"/>
  <c r="W548" i="156"/>
  <c r="U548" i="156"/>
  <c r="T548" i="156"/>
  <c r="S548" i="156"/>
  <c r="R548" i="156"/>
  <c r="Q548" i="156"/>
  <c r="P548" i="156"/>
  <c r="O548" i="156"/>
  <c r="N548" i="156"/>
  <c r="M548" i="156"/>
  <c r="L548" i="156"/>
  <c r="K548" i="156"/>
  <c r="J548" i="156"/>
  <c r="I548" i="156"/>
  <c r="H548" i="156"/>
  <c r="AH546" i="156"/>
  <c r="AG546" i="156"/>
  <c r="AF546" i="156"/>
  <c r="AD546" i="156"/>
  <c r="AC546" i="156"/>
  <c r="AA546" i="156"/>
  <c r="Z546" i="156"/>
  <c r="Y546" i="156"/>
  <c r="X546" i="156"/>
  <c r="W546" i="156"/>
  <c r="U546" i="156"/>
  <c r="T546" i="156"/>
  <c r="S546" i="156"/>
  <c r="R546" i="156"/>
  <c r="Q546" i="156"/>
  <c r="P546" i="156"/>
  <c r="O546" i="156"/>
  <c r="N546" i="156"/>
  <c r="M546" i="156"/>
  <c r="L546" i="156"/>
  <c r="K546" i="156"/>
  <c r="J546" i="156"/>
  <c r="I546" i="156"/>
  <c r="H546" i="156"/>
  <c r="AH545" i="156"/>
  <c r="AG545" i="156"/>
  <c r="AF545" i="156"/>
  <c r="AD545" i="156"/>
  <c r="AC545" i="156"/>
  <c r="AA545" i="156"/>
  <c r="Z545" i="156"/>
  <c r="Y545" i="156"/>
  <c r="X545" i="156"/>
  <c r="W545" i="156"/>
  <c r="U545" i="156"/>
  <c r="T545" i="156"/>
  <c r="S545" i="156"/>
  <c r="R545" i="156"/>
  <c r="Q545" i="156"/>
  <c r="P545" i="156"/>
  <c r="O545" i="156"/>
  <c r="N545" i="156"/>
  <c r="M545" i="156"/>
  <c r="L545" i="156"/>
  <c r="K545" i="156"/>
  <c r="J545" i="156"/>
  <c r="I545" i="156"/>
  <c r="H545" i="156"/>
  <c r="AH544" i="156"/>
  <c r="AG544" i="156"/>
  <c r="AF544" i="156"/>
  <c r="AD544" i="156"/>
  <c r="AC544" i="156"/>
  <c r="AA544" i="156"/>
  <c r="Z544" i="156"/>
  <c r="Y544" i="156"/>
  <c r="X544" i="156"/>
  <c r="W544" i="156"/>
  <c r="U544" i="156"/>
  <c r="T544" i="156"/>
  <c r="S544" i="156"/>
  <c r="R544" i="156"/>
  <c r="Q544" i="156"/>
  <c r="P544" i="156"/>
  <c r="O544" i="156"/>
  <c r="N544" i="156"/>
  <c r="M544" i="156"/>
  <c r="L544" i="156"/>
  <c r="K544" i="156"/>
  <c r="J544" i="156"/>
  <c r="I544" i="156"/>
  <c r="H544" i="156"/>
  <c r="AH543" i="156"/>
  <c r="AG543" i="156"/>
  <c r="AF543" i="156"/>
  <c r="AD543" i="156"/>
  <c r="AC543" i="156"/>
  <c r="AA543" i="156"/>
  <c r="Z543" i="156"/>
  <c r="Y543" i="156"/>
  <c r="X543" i="156"/>
  <c r="W543" i="156"/>
  <c r="U543" i="156"/>
  <c r="T543" i="156"/>
  <c r="S543" i="156"/>
  <c r="R543" i="156"/>
  <c r="Q543" i="156"/>
  <c r="P543" i="156"/>
  <c r="O543" i="156"/>
  <c r="N543" i="156"/>
  <c r="M543" i="156"/>
  <c r="L543" i="156"/>
  <c r="K543" i="156"/>
  <c r="J543" i="156"/>
  <c r="I543" i="156"/>
  <c r="H543" i="156"/>
  <c r="AH542" i="156"/>
  <c r="AG542" i="156"/>
  <c r="AF542" i="156"/>
  <c r="AD542" i="156"/>
  <c r="AC542" i="156"/>
  <c r="AA542" i="156"/>
  <c r="Z542" i="156"/>
  <c r="Y542" i="156"/>
  <c r="X542" i="156"/>
  <c r="W542" i="156"/>
  <c r="U542" i="156"/>
  <c r="T542" i="156"/>
  <c r="S542" i="156"/>
  <c r="R542" i="156"/>
  <c r="Q542" i="156"/>
  <c r="P542" i="156"/>
  <c r="O542" i="156"/>
  <c r="N542" i="156"/>
  <c r="M542" i="156"/>
  <c r="L542" i="156"/>
  <c r="K542" i="156"/>
  <c r="J542" i="156"/>
  <c r="I542" i="156"/>
  <c r="H542" i="156"/>
  <c r="AH541" i="156"/>
  <c r="AG541" i="156"/>
  <c r="AF541" i="156"/>
  <c r="AD541" i="156"/>
  <c r="AC541" i="156"/>
  <c r="AA541" i="156"/>
  <c r="Z541" i="156"/>
  <c r="Y541" i="156"/>
  <c r="X541" i="156"/>
  <c r="W541" i="156"/>
  <c r="U541" i="156"/>
  <c r="T541" i="156"/>
  <c r="S541" i="156"/>
  <c r="R541" i="156"/>
  <c r="Q541" i="156"/>
  <c r="P541" i="156"/>
  <c r="O541" i="156"/>
  <c r="N541" i="156"/>
  <c r="M541" i="156"/>
  <c r="L541" i="156"/>
  <c r="K541" i="156"/>
  <c r="J541" i="156"/>
  <c r="I541" i="156"/>
  <c r="H541" i="156"/>
  <c r="AH538" i="156"/>
  <c r="AG538" i="156"/>
  <c r="AF538" i="156"/>
  <c r="AD538" i="156"/>
  <c r="AC538" i="156"/>
  <c r="AA538" i="156"/>
  <c r="Z538" i="156"/>
  <c r="Y538" i="156"/>
  <c r="X538" i="156"/>
  <c r="W538" i="156"/>
  <c r="U538" i="156"/>
  <c r="T538" i="156"/>
  <c r="S538" i="156"/>
  <c r="R538" i="156"/>
  <c r="Q538" i="156"/>
  <c r="P538" i="156"/>
  <c r="O538" i="156"/>
  <c r="N538" i="156"/>
  <c r="M538" i="156"/>
  <c r="L538" i="156"/>
  <c r="K538" i="156"/>
  <c r="J538" i="156"/>
  <c r="I538" i="156"/>
  <c r="H538" i="156"/>
  <c r="AH537" i="156"/>
  <c r="AG537" i="156"/>
  <c r="AF537" i="156"/>
  <c r="AD537" i="156"/>
  <c r="AC537" i="156"/>
  <c r="AA537" i="156"/>
  <c r="Z537" i="156"/>
  <c r="Y537" i="156"/>
  <c r="X537" i="156"/>
  <c r="W537" i="156"/>
  <c r="U537" i="156"/>
  <c r="T537" i="156"/>
  <c r="S537" i="156"/>
  <c r="R537" i="156"/>
  <c r="Q537" i="156"/>
  <c r="P537" i="156"/>
  <c r="O537" i="156"/>
  <c r="N537" i="156"/>
  <c r="M537" i="156"/>
  <c r="L537" i="156"/>
  <c r="K537" i="156"/>
  <c r="J537" i="156"/>
  <c r="I537" i="156"/>
  <c r="H537" i="156"/>
  <c r="AH536" i="156"/>
  <c r="AG536" i="156"/>
  <c r="AF536" i="156"/>
  <c r="AD536" i="156"/>
  <c r="AC536" i="156"/>
  <c r="AA536" i="156"/>
  <c r="Z536" i="156"/>
  <c r="Y536" i="156"/>
  <c r="X536" i="156"/>
  <c r="W536" i="156"/>
  <c r="U536" i="156"/>
  <c r="T536" i="156"/>
  <c r="S536" i="156"/>
  <c r="R536" i="156"/>
  <c r="Q536" i="156"/>
  <c r="P536" i="156"/>
  <c r="O536" i="156"/>
  <c r="N536" i="156"/>
  <c r="M536" i="156"/>
  <c r="L536" i="156"/>
  <c r="K536" i="156"/>
  <c r="J536" i="156"/>
  <c r="I536" i="156"/>
  <c r="H536" i="156"/>
  <c r="AH535" i="156"/>
  <c r="AG535" i="156"/>
  <c r="AF535" i="156"/>
  <c r="AD535" i="156"/>
  <c r="AC535" i="156"/>
  <c r="AA535" i="156"/>
  <c r="Z535" i="156"/>
  <c r="Y535" i="156"/>
  <c r="X535" i="156"/>
  <c r="W535" i="156"/>
  <c r="U535" i="156"/>
  <c r="T535" i="156"/>
  <c r="S535" i="156"/>
  <c r="R535" i="156"/>
  <c r="Q535" i="156"/>
  <c r="P535" i="156"/>
  <c r="O535" i="156"/>
  <c r="N535" i="156"/>
  <c r="M535" i="156"/>
  <c r="L535" i="156"/>
  <c r="K535" i="156"/>
  <c r="J535" i="156"/>
  <c r="I535" i="156"/>
  <c r="H535" i="156"/>
  <c r="AH534" i="156"/>
  <c r="AG534" i="156"/>
  <c r="AF534" i="156"/>
  <c r="AD534" i="156"/>
  <c r="AC534" i="156"/>
  <c r="AA534" i="156"/>
  <c r="Z534" i="156"/>
  <c r="Y534" i="156"/>
  <c r="X534" i="156"/>
  <c r="W534" i="156"/>
  <c r="U534" i="156"/>
  <c r="T534" i="156"/>
  <c r="S534" i="156"/>
  <c r="R534" i="156"/>
  <c r="Q534" i="156"/>
  <c r="P534" i="156"/>
  <c r="O534" i="156"/>
  <c r="N534" i="156"/>
  <c r="M534" i="156"/>
  <c r="L534" i="156"/>
  <c r="K534" i="156"/>
  <c r="J534" i="156"/>
  <c r="I534" i="156"/>
  <c r="H534" i="156"/>
  <c r="AH533" i="156"/>
  <c r="AG533" i="156"/>
  <c r="AF533" i="156"/>
  <c r="AD533" i="156"/>
  <c r="AC533" i="156"/>
  <c r="AA533" i="156"/>
  <c r="Z533" i="156"/>
  <c r="Y533" i="156"/>
  <c r="X533" i="156"/>
  <c r="W533" i="156"/>
  <c r="U533" i="156"/>
  <c r="T533" i="156"/>
  <c r="S533" i="156"/>
  <c r="R533" i="156"/>
  <c r="Q533" i="156"/>
  <c r="P533" i="156"/>
  <c r="O533" i="156"/>
  <c r="N533" i="156"/>
  <c r="M533" i="156"/>
  <c r="L533" i="156"/>
  <c r="K533" i="156"/>
  <c r="J533" i="156"/>
  <c r="I533" i="156"/>
  <c r="H533" i="156"/>
  <c r="AH532" i="156"/>
  <c r="AG532" i="156"/>
  <c r="AF532" i="156"/>
  <c r="AD532" i="156"/>
  <c r="AC532" i="156"/>
  <c r="AA532" i="156"/>
  <c r="Z532" i="156"/>
  <c r="Y532" i="156"/>
  <c r="X532" i="156"/>
  <c r="W532" i="156"/>
  <c r="U532" i="156"/>
  <c r="T532" i="156"/>
  <c r="S532" i="156"/>
  <c r="R532" i="156"/>
  <c r="Q532" i="156"/>
  <c r="P532" i="156"/>
  <c r="O532" i="156"/>
  <c r="N532" i="156"/>
  <c r="M532" i="156"/>
  <c r="L532" i="156"/>
  <c r="K532" i="156"/>
  <c r="J532" i="156"/>
  <c r="I532" i="156"/>
  <c r="H532" i="156"/>
  <c r="AH530" i="156"/>
  <c r="AG530" i="156"/>
  <c r="AF530" i="156"/>
  <c r="AD530" i="156"/>
  <c r="AC530" i="156"/>
  <c r="AA530" i="156"/>
  <c r="Z530" i="156"/>
  <c r="Y530" i="156"/>
  <c r="X530" i="156"/>
  <c r="W530" i="156"/>
  <c r="U530" i="156"/>
  <c r="T530" i="156"/>
  <c r="S530" i="156"/>
  <c r="R530" i="156"/>
  <c r="Q530" i="156"/>
  <c r="P530" i="156"/>
  <c r="O530" i="156"/>
  <c r="N530" i="156"/>
  <c r="M530" i="156"/>
  <c r="L530" i="156"/>
  <c r="K530" i="156"/>
  <c r="J530" i="156"/>
  <c r="I530" i="156"/>
  <c r="H530" i="156"/>
  <c r="AH529" i="156"/>
  <c r="AG529" i="156"/>
  <c r="AF529" i="156"/>
  <c r="AD529" i="156"/>
  <c r="AC529" i="156"/>
  <c r="AA529" i="156"/>
  <c r="Z529" i="156"/>
  <c r="Y529" i="156"/>
  <c r="X529" i="156"/>
  <c r="W529" i="156"/>
  <c r="U529" i="156"/>
  <c r="T529" i="156"/>
  <c r="S529" i="156"/>
  <c r="R529" i="156"/>
  <c r="Q529" i="156"/>
  <c r="P529" i="156"/>
  <c r="O529" i="156"/>
  <c r="N529" i="156"/>
  <c r="M529" i="156"/>
  <c r="L529" i="156"/>
  <c r="K529" i="156"/>
  <c r="J529" i="156"/>
  <c r="I529" i="156"/>
  <c r="H529" i="156"/>
  <c r="AH526" i="156"/>
  <c r="AG526" i="156"/>
  <c r="AF526" i="156"/>
  <c r="AD526" i="156"/>
  <c r="AC526" i="156"/>
  <c r="AA526" i="156"/>
  <c r="Z526" i="156"/>
  <c r="Y526" i="156"/>
  <c r="X526" i="156"/>
  <c r="W526" i="156"/>
  <c r="U526" i="156"/>
  <c r="T526" i="156"/>
  <c r="S526" i="156"/>
  <c r="R526" i="156"/>
  <c r="Q526" i="156"/>
  <c r="P526" i="156"/>
  <c r="O526" i="156"/>
  <c r="N526" i="156"/>
  <c r="M526" i="156"/>
  <c r="L526" i="156"/>
  <c r="K526" i="156"/>
  <c r="J526" i="156"/>
  <c r="I526" i="156"/>
  <c r="H526" i="156"/>
  <c r="AH525" i="156"/>
  <c r="AG525" i="156"/>
  <c r="AF525" i="156"/>
  <c r="AD525" i="156"/>
  <c r="AC525" i="156"/>
  <c r="AA525" i="156"/>
  <c r="Z525" i="156"/>
  <c r="Y525" i="156"/>
  <c r="X525" i="156"/>
  <c r="W525" i="156"/>
  <c r="U525" i="156"/>
  <c r="T525" i="156"/>
  <c r="S525" i="156"/>
  <c r="R525" i="156"/>
  <c r="Q525" i="156"/>
  <c r="P525" i="156"/>
  <c r="O525" i="156"/>
  <c r="N525" i="156"/>
  <c r="M525" i="156"/>
  <c r="L525" i="156"/>
  <c r="K525" i="156"/>
  <c r="J525" i="156"/>
  <c r="I525" i="156"/>
  <c r="H525" i="156"/>
  <c r="AH524" i="156"/>
  <c r="AG524" i="156"/>
  <c r="AF524" i="156"/>
  <c r="AD524" i="156"/>
  <c r="AC524" i="156"/>
  <c r="AA524" i="156"/>
  <c r="Z524" i="156"/>
  <c r="Y524" i="156"/>
  <c r="X524" i="156"/>
  <c r="W524" i="156"/>
  <c r="U524" i="156"/>
  <c r="T524" i="156"/>
  <c r="S524" i="156"/>
  <c r="R524" i="156"/>
  <c r="Q524" i="156"/>
  <c r="P524" i="156"/>
  <c r="O524" i="156"/>
  <c r="N524" i="156"/>
  <c r="M524" i="156"/>
  <c r="L524" i="156"/>
  <c r="K524" i="156"/>
  <c r="J524" i="156"/>
  <c r="I524" i="156"/>
  <c r="H524" i="156"/>
  <c r="AH523" i="156"/>
  <c r="AG523" i="156"/>
  <c r="AF523" i="156"/>
  <c r="AD523" i="156"/>
  <c r="AC523" i="156"/>
  <c r="AA523" i="156"/>
  <c r="Z523" i="156"/>
  <c r="Y523" i="156"/>
  <c r="X523" i="156"/>
  <c r="W523" i="156"/>
  <c r="U523" i="156"/>
  <c r="T523" i="156"/>
  <c r="S523" i="156"/>
  <c r="R523" i="156"/>
  <c r="Q523" i="156"/>
  <c r="P523" i="156"/>
  <c r="O523" i="156"/>
  <c r="N523" i="156"/>
  <c r="M523" i="156"/>
  <c r="L523" i="156"/>
  <c r="K523" i="156"/>
  <c r="J523" i="156"/>
  <c r="I523" i="156"/>
  <c r="H523" i="156"/>
  <c r="AH522" i="156"/>
  <c r="AG522" i="156"/>
  <c r="AF522" i="156"/>
  <c r="AD522" i="156"/>
  <c r="AC522" i="156"/>
  <c r="AA522" i="156"/>
  <c r="Z522" i="156"/>
  <c r="Y522" i="156"/>
  <c r="X522" i="156"/>
  <c r="W522" i="156"/>
  <c r="U522" i="156"/>
  <c r="T522" i="156"/>
  <c r="S522" i="156"/>
  <c r="R522" i="156"/>
  <c r="Q522" i="156"/>
  <c r="P522" i="156"/>
  <c r="O522" i="156"/>
  <c r="N522" i="156"/>
  <c r="M522" i="156"/>
  <c r="L522" i="156"/>
  <c r="K522" i="156"/>
  <c r="J522" i="156"/>
  <c r="I522" i="156"/>
  <c r="H522" i="156"/>
  <c r="AH521" i="156"/>
  <c r="AG521" i="156"/>
  <c r="AF521" i="156"/>
  <c r="AD521" i="156"/>
  <c r="AC521" i="156"/>
  <c r="AA521" i="156"/>
  <c r="Z521" i="156"/>
  <c r="Y521" i="156"/>
  <c r="X521" i="156"/>
  <c r="W521" i="156"/>
  <c r="U521" i="156"/>
  <c r="T521" i="156"/>
  <c r="S521" i="156"/>
  <c r="R521" i="156"/>
  <c r="Q521" i="156"/>
  <c r="P521" i="156"/>
  <c r="O521" i="156"/>
  <c r="N521" i="156"/>
  <c r="M521" i="156"/>
  <c r="L521" i="156"/>
  <c r="K521" i="156"/>
  <c r="J521" i="156"/>
  <c r="I521" i="156"/>
  <c r="H521" i="156"/>
  <c r="AH520" i="156"/>
  <c r="AG520" i="156"/>
  <c r="AF520" i="156"/>
  <c r="AD520" i="156"/>
  <c r="AC520" i="156"/>
  <c r="AA520" i="156"/>
  <c r="Z520" i="156"/>
  <c r="Y520" i="156"/>
  <c r="X520" i="156"/>
  <c r="W520" i="156"/>
  <c r="U520" i="156"/>
  <c r="T520" i="156"/>
  <c r="S520" i="156"/>
  <c r="R520" i="156"/>
  <c r="Q520" i="156"/>
  <c r="P520" i="156"/>
  <c r="O520" i="156"/>
  <c r="N520" i="156"/>
  <c r="M520" i="156"/>
  <c r="L520" i="156"/>
  <c r="K520" i="156"/>
  <c r="J520" i="156"/>
  <c r="I520" i="156"/>
  <c r="H520" i="156"/>
  <c r="AH518" i="156"/>
  <c r="AG518" i="156"/>
  <c r="AF518" i="156"/>
  <c r="AD518" i="156"/>
  <c r="AC518" i="156"/>
  <c r="AA518" i="156"/>
  <c r="Z518" i="156"/>
  <c r="Y518" i="156"/>
  <c r="X518" i="156"/>
  <c r="W518" i="156"/>
  <c r="U518" i="156"/>
  <c r="T518" i="156"/>
  <c r="S518" i="156"/>
  <c r="R518" i="156"/>
  <c r="Q518" i="156"/>
  <c r="P518" i="156"/>
  <c r="O518" i="156"/>
  <c r="N518" i="156"/>
  <c r="M518" i="156"/>
  <c r="L518" i="156"/>
  <c r="K518" i="156"/>
  <c r="J518" i="156"/>
  <c r="I518" i="156"/>
  <c r="H518" i="156"/>
  <c r="AH517" i="156"/>
  <c r="AG517" i="156"/>
  <c r="AF517" i="156"/>
  <c r="AD517" i="156"/>
  <c r="AC517" i="156"/>
  <c r="AA517" i="156"/>
  <c r="Z517" i="156"/>
  <c r="Y517" i="156"/>
  <c r="X517" i="156"/>
  <c r="W517" i="156"/>
  <c r="U517" i="156"/>
  <c r="T517" i="156"/>
  <c r="S517" i="156"/>
  <c r="R517" i="156"/>
  <c r="Q517" i="156"/>
  <c r="P517" i="156"/>
  <c r="O517" i="156"/>
  <c r="N517" i="156"/>
  <c r="M517" i="156"/>
  <c r="L517" i="156"/>
  <c r="K517" i="156"/>
  <c r="J517" i="156"/>
  <c r="I517" i="156"/>
  <c r="H517" i="156"/>
  <c r="AH514" i="156"/>
  <c r="AG514" i="156"/>
  <c r="AF514" i="156"/>
  <c r="AD514" i="156"/>
  <c r="AC514" i="156"/>
  <c r="AA514" i="156"/>
  <c r="Z514" i="156"/>
  <c r="Y514" i="156"/>
  <c r="X514" i="156"/>
  <c r="W514" i="156"/>
  <c r="U514" i="156"/>
  <c r="T514" i="156"/>
  <c r="S514" i="156"/>
  <c r="R514" i="156"/>
  <c r="Q514" i="156"/>
  <c r="P514" i="156"/>
  <c r="O514" i="156"/>
  <c r="N514" i="156"/>
  <c r="M514" i="156"/>
  <c r="L514" i="156"/>
  <c r="K514" i="156"/>
  <c r="J514" i="156"/>
  <c r="I514" i="156"/>
  <c r="H514" i="156"/>
  <c r="AH513" i="156"/>
  <c r="AG513" i="156"/>
  <c r="AF513" i="156"/>
  <c r="AD513" i="156"/>
  <c r="AC513" i="156"/>
  <c r="AA513" i="156"/>
  <c r="Z513" i="156"/>
  <c r="Y513" i="156"/>
  <c r="X513" i="156"/>
  <c r="W513" i="156"/>
  <c r="U513" i="156"/>
  <c r="T513" i="156"/>
  <c r="S513" i="156"/>
  <c r="R513" i="156"/>
  <c r="Q513" i="156"/>
  <c r="P513" i="156"/>
  <c r="O513" i="156"/>
  <c r="N513" i="156"/>
  <c r="M513" i="156"/>
  <c r="L513" i="156"/>
  <c r="K513" i="156"/>
  <c r="J513" i="156"/>
  <c r="I513" i="156"/>
  <c r="H513" i="156"/>
  <c r="AH512" i="156"/>
  <c r="AG512" i="156"/>
  <c r="AF512" i="156"/>
  <c r="AD512" i="156"/>
  <c r="AC512" i="156"/>
  <c r="AA512" i="156"/>
  <c r="Z512" i="156"/>
  <c r="Y512" i="156"/>
  <c r="X512" i="156"/>
  <c r="W512" i="156"/>
  <c r="U512" i="156"/>
  <c r="T512" i="156"/>
  <c r="S512" i="156"/>
  <c r="R512" i="156"/>
  <c r="Q512" i="156"/>
  <c r="P512" i="156"/>
  <c r="O512" i="156"/>
  <c r="N512" i="156"/>
  <c r="M512" i="156"/>
  <c r="L512" i="156"/>
  <c r="K512" i="156"/>
  <c r="J512" i="156"/>
  <c r="I512" i="156"/>
  <c r="H512" i="156"/>
  <c r="AH511" i="156"/>
  <c r="AG511" i="156"/>
  <c r="AF511" i="156"/>
  <c r="AD511" i="156"/>
  <c r="AC511" i="156"/>
  <c r="AA511" i="156"/>
  <c r="Z511" i="156"/>
  <c r="Y511" i="156"/>
  <c r="X511" i="156"/>
  <c r="W511" i="156"/>
  <c r="U511" i="156"/>
  <c r="T511" i="156"/>
  <c r="S511" i="156"/>
  <c r="R511" i="156"/>
  <c r="Q511" i="156"/>
  <c r="P511" i="156"/>
  <c r="O511" i="156"/>
  <c r="N511" i="156"/>
  <c r="M511" i="156"/>
  <c r="L511" i="156"/>
  <c r="K511" i="156"/>
  <c r="J511" i="156"/>
  <c r="I511" i="156"/>
  <c r="H511" i="156"/>
  <c r="AH510" i="156"/>
  <c r="AG510" i="156"/>
  <c r="AF510" i="156"/>
  <c r="AD510" i="156"/>
  <c r="AC510" i="156"/>
  <c r="AA510" i="156"/>
  <c r="Z510" i="156"/>
  <c r="Y510" i="156"/>
  <c r="X510" i="156"/>
  <c r="W510" i="156"/>
  <c r="U510" i="156"/>
  <c r="T510" i="156"/>
  <c r="S510" i="156"/>
  <c r="R510" i="156"/>
  <c r="Q510" i="156"/>
  <c r="P510" i="156"/>
  <c r="O510" i="156"/>
  <c r="N510" i="156"/>
  <c r="M510" i="156"/>
  <c r="L510" i="156"/>
  <c r="K510" i="156"/>
  <c r="J510" i="156"/>
  <c r="I510" i="156"/>
  <c r="H510" i="156"/>
  <c r="AH509" i="156"/>
  <c r="AG509" i="156"/>
  <c r="AF509" i="156"/>
  <c r="AD509" i="156"/>
  <c r="AC509" i="156"/>
  <c r="AA509" i="156"/>
  <c r="Z509" i="156"/>
  <c r="Y509" i="156"/>
  <c r="X509" i="156"/>
  <c r="W509" i="156"/>
  <c r="U509" i="156"/>
  <c r="T509" i="156"/>
  <c r="S509" i="156"/>
  <c r="R509" i="156"/>
  <c r="Q509" i="156"/>
  <c r="P509" i="156"/>
  <c r="O509" i="156"/>
  <c r="N509" i="156"/>
  <c r="M509" i="156"/>
  <c r="L509" i="156"/>
  <c r="K509" i="156"/>
  <c r="J509" i="156"/>
  <c r="I509" i="156"/>
  <c r="H509" i="156"/>
  <c r="AH508" i="156"/>
  <c r="AG508" i="156"/>
  <c r="AF508" i="156"/>
  <c r="AD508" i="156"/>
  <c r="AC508" i="156"/>
  <c r="AA508" i="156"/>
  <c r="Z508" i="156"/>
  <c r="Y508" i="156"/>
  <c r="X508" i="156"/>
  <c r="W508" i="156"/>
  <c r="U508" i="156"/>
  <c r="T508" i="156"/>
  <c r="S508" i="156"/>
  <c r="R508" i="156"/>
  <c r="Q508" i="156"/>
  <c r="P508" i="156"/>
  <c r="O508" i="156"/>
  <c r="N508" i="156"/>
  <c r="M508" i="156"/>
  <c r="L508" i="156"/>
  <c r="K508" i="156"/>
  <c r="J508" i="156"/>
  <c r="I508" i="156"/>
  <c r="H508" i="156"/>
  <c r="G509" i="156"/>
  <c r="G510" i="156"/>
  <c r="G511" i="156"/>
  <c r="G512" i="156"/>
  <c r="G513" i="156"/>
  <c r="G514" i="156"/>
  <c r="G517" i="156"/>
  <c r="G518" i="156"/>
  <c r="G520" i="156"/>
  <c r="G521" i="156"/>
  <c r="G522" i="156"/>
  <c r="G523" i="156"/>
  <c r="G524" i="156"/>
  <c r="G525" i="156"/>
  <c r="G526" i="156"/>
  <c r="G529" i="156"/>
  <c r="G530" i="156"/>
  <c r="G532" i="156"/>
  <c r="G533" i="156"/>
  <c r="G534" i="156"/>
  <c r="G535" i="156"/>
  <c r="G536" i="156"/>
  <c r="G537" i="156"/>
  <c r="G538" i="156"/>
  <c r="G541" i="156"/>
  <c r="G542" i="156"/>
  <c r="G543" i="156"/>
  <c r="G544" i="156"/>
  <c r="G545" i="156"/>
  <c r="G546" i="156"/>
  <c r="G548" i="156"/>
  <c r="G549" i="156"/>
  <c r="G552" i="156"/>
  <c r="G553" i="156"/>
  <c r="G555" i="156"/>
  <c r="G556" i="156"/>
  <c r="G557" i="156"/>
  <c r="G558" i="156"/>
  <c r="G560" i="156"/>
  <c r="G561" i="156"/>
  <c r="G564" i="156"/>
  <c r="G565" i="156"/>
  <c r="G567" i="156"/>
  <c r="G568" i="156"/>
  <c r="G569" i="156"/>
  <c r="G570" i="156"/>
  <c r="G572" i="156"/>
  <c r="G573" i="156"/>
  <c r="G576" i="156"/>
  <c r="G577" i="156"/>
  <c r="G579" i="156"/>
  <c r="G580" i="156"/>
  <c r="G581" i="156"/>
  <c r="G582" i="156"/>
  <c r="G583" i="156"/>
  <c r="G585" i="156"/>
  <c r="G586" i="156"/>
  <c r="G588" i="156"/>
  <c r="G589" i="156"/>
  <c r="G592" i="156"/>
  <c r="G593" i="156"/>
  <c r="G595" i="156"/>
  <c r="G597" i="156"/>
  <c r="G598" i="156"/>
  <c r="G600" i="156"/>
  <c r="G601" i="156"/>
  <c r="G604" i="156"/>
  <c r="G605" i="156"/>
  <c r="G607" i="156"/>
  <c r="G609" i="156"/>
  <c r="G610" i="156"/>
  <c r="G612" i="156"/>
  <c r="G613" i="156"/>
  <c r="G616" i="156"/>
  <c r="G617" i="156"/>
  <c r="G619" i="156"/>
  <c r="G508" i="156"/>
  <c r="AK387" i="159"/>
  <c r="AE508" i="156" s="1"/>
  <c r="AK388" i="159"/>
  <c r="AE509" i="156" s="1"/>
  <c r="AK389" i="159"/>
  <c r="AE510" i="156" s="1"/>
  <c r="AK390" i="159"/>
  <c r="AE511" i="156" s="1"/>
  <c r="AK391" i="159"/>
  <c r="AE512" i="156" s="1"/>
  <c r="AK392" i="159"/>
  <c r="AE513" i="156" s="1"/>
  <c r="AK393" i="159"/>
  <c r="AE514" i="156" s="1"/>
  <c r="AK394" i="159"/>
  <c r="AK395" i="159"/>
  <c r="AK396" i="159"/>
  <c r="AE517" i="156" s="1"/>
  <c r="AK397" i="159"/>
  <c r="AE518" i="156" s="1"/>
  <c r="AK398" i="159"/>
  <c r="AK399" i="159"/>
  <c r="AE520" i="156" s="1"/>
  <c r="AK400" i="159"/>
  <c r="AE521" i="156" s="1"/>
  <c r="AK401" i="159"/>
  <c r="AE522" i="156" s="1"/>
  <c r="AK402" i="159"/>
  <c r="AE523" i="156" s="1"/>
  <c r="AK403" i="159"/>
  <c r="AE524" i="156" s="1"/>
  <c r="AK404" i="159"/>
  <c r="AE525" i="156" s="1"/>
  <c r="AK405" i="159"/>
  <c r="AE526" i="156" s="1"/>
  <c r="AK406" i="159"/>
  <c r="AK407" i="159"/>
  <c r="AK408" i="159"/>
  <c r="AE529" i="156" s="1"/>
  <c r="AK409" i="159"/>
  <c r="AE530" i="156" s="1"/>
  <c r="AK410" i="159"/>
  <c r="AK411" i="159"/>
  <c r="AE532" i="156" s="1"/>
  <c r="AK412" i="159"/>
  <c r="AE533" i="156" s="1"/>
  <c r="AK413" i="159"/>
  <c r="AE534" i="156" s="1"/>
  <c r="AK414" i="159"/>
  <c r="AE535" i="156" s="1"/>
  <c r="AK415" i="159"/>
  <c r="AE536" i="156" s="1"/>
  <c r="AK416" i="159"/>
  <c r="AE537" i="156" s="1"/>
  <c r="AK417" i="159"/>
  <c r="AE538" i="156" s="1"/>
  <c r="AK418" i="159"/>
  <c r="AK419" i="159"/>
  <c r="AK420" i="159"/>
  <c r="AE541" i="156" s="1"/>
  <c r="AK421" i="159"/>
  <c r="AE542" i="156" s="1"/>
  <c r="AK422" i="159"/>
  <c r="AE543" i="156" s="1"/>
  <c r="AK423" i="159"/>
  <c r="AE544" i="156" s="1"/>
  <c r="AK424" i="159"/>
  <c r="AE545" i="156" s="1"/>
  <c r="AK425" i="159"/>
  <c r="AE546" i="156" s="1"/>
  <c r="AK426" i="159"/>
  <c r="AK427" i="159"/>
  <c r="AE548" i="156" s="1"/>
  <c r="AK428" i="159"/>
  <c r="AE549" i="156" s="1"/>
  <c r="AK429" i="159"/>
  <c r="AK430" i="159"/>
  <c r="AK431" i="159"/>
  <c r="AE552" i="156" s="1"/>
  <c r="AK432" i="159"/>
  <c r="AE553" i="156" s="1"/>
  <c r="AK433" i="159"/>
  <c r="AK434" i="159"/>
  <c r="AE555" i="156" s="1"/>
  <c r="AK435" i="159"/>
  <c r="AE556" i="156" s="1"/>
  <c r="AK436" i="159"/>
  <c r="AE557" i="156" s="1"/>
  <c r="AK437" i="159"/>
  <c r="AE558" i="156" s="1"/>
  <c r="AK438" i="159"/>
  <c r="AK439" i="159"/>
  <c r="AE560" i="156" s="1"/>
  <c r="AK440" i="159"/>
  <c r="AE561" i="156" s="1"/>
  <c r="AK441" i="159"/>
  <c r="AK442" i="159"/>
  <c r="AK443" i="159"/>
  <c r="AE564" i="156" s="1"/>
  <c r="AK444" i="159"/>
  <c r="AE565" i="156" s="1"/>
  <c r="AK445" i="159"/>
  <c r="AK446" i="159"/>
  <c r="AE567" i="156" s="1"/>
  <c r="AK447" i="159"/>
  <c r="AE568" i="156" s="1"/>
  <c r="AK448" i="159"/>
  <c r="AE569" i="156" s="1"/>
  <c r="AK449" i="159"/>
  <c r="AE570" i="156" s="1"/>
  <c r="AK450" i="159"/>
  <c r="AK451" i="159"/>
  <c r="AE572" i="156" s="1"/>
  <c r="AK452" i="159"/>
  <c r="AE573" i="156" s="1"/>
  <c r="AK453" i="159"/>
  <c r="AK454" i="159"/>
  <c r="AK455" i="159"/>
  <c r="AE576" i="156" s="1"/>
  <c r="AK456" i="159"/>
  <c r="AE577" i="156" s="1"/>
  <c r="AK457" i="159"/>
  <c r="AK458" i="159"/>
  <c r="AE579" i="156" s="1"/>
  <c r="AK459" i="159"/>
  <c r="AE580" i="156" s="1"/>
  <c r="AK460" i="159"/>
  <c r="AE581" i="156" s="1"/>
  <c r="AK461" i="159"/>
  <c r="AE582" i="156" s="1"/>
  <c r="AK462" i="159"/>
  <c r="AE583" i="156" s="1"/>
  <c r="AK463" i="159"/>
  <c r="AK464" i="159"/>
  <c r="AE585" i="156" s="1"/>
  <c r="AK465" i="159"/>
  <c r="AE586" i="156" s="1"/>
  <c r="AK466" i="159"/>
  <c r="AK467" i="159"/>
  <c r="AE588" i="156" s="1"/>
  <c r="AK468" i="159"/>
  <c r="AE589" i="156" s="1"/>
  <c r="AK469" i="159"/>
  <c r="AK470" i="159"/>
  <c r="AK471" i="159"/>
  <c r="AE592" i="156" s="1"/>
  <c r="AK472" i="159"/>
  <c r="AE593" i="156" s="1"/>
  <c r="AK473" i="159"/>
  <c r="AK474" i="159"/>
  <c r="AE595" i="156" s="1"/>
  <c r="AK475" i="159"/>
  <c r="AK476" i="159"/>
  <c r="AE597" i="156" s="1"/>
  <c r="AK477" i="159"/>
  <c r="AE598" i="156" s="1"/>
  <c r="AK478" i="159"/>
  <c r="AK479" i="159"/>
  <c r="AE600" i="156" s="1"/>
  <c r="AK480" i="159"/>
  <c r="AE601" i="156" s="1"/>
  <c r="AK481" i="159"/>
  <c r="AK482" i="159"/>
  <c r="AK483" i="159"/>
  <c r="AE604" i="156" s="1"/>
  <c r="AK484" i="159"/>
  <c r="AE605" i="156" s="1"/>
  <c r="AK485" i="159"/>
  <c r="AK486" i="159"/>
  <c r="AE607" i="156" s="1"/>
  <c r="AK487" i="159"/>
  <c r="AK488" i="159"/>
  <c r="AE609" i="156" s="1"/>
  <c r="AK489" i="159"/>
  <c r="AE610" i="156" s="1"/>
  <c r="AK490" i="159"/>
  <c r="AK491" i="159"/>
  <c r="AE612" i="156" s="1"/>
  <c r="AK492" i="159"/>
  <c r="AE613" i="156" s="1"/>
  <c r="AK493" i="159"/>
  <c r="AK494" i="159"/>
  <c r="AK495" i="159"/>
  <c r="AE616" i="156" s="1"/>
  <c r="AK496" i="159"/>
  <c r="AE617" i="156" s="1"/>
  <c r="AK497" i="159"/>
  <c r="AK498" i="159"/>
  <c r="AE619" i="156" s="1"/>
  <c r="AK386" i="159"/>
  <c r="AH387" i="159"/>
  <c r="AB508" i="156" s="1"/>
  <c r="AH388" i="159"/>
  <c r="AB509" i="156" s="1"/>
  <c r="AH389" i="159"/>
  <c r="AB510" i="156" s="1"/>
  <c r="AH390" i="159"/>
  <c r="AB511" i="156" s="1"/>
  <c r="AH391" i="159"/>
  <c r="AB512" i="156" s="1"/>
  <c r="AH392" i="159"/>
  <c r="AB513" i="156" s="1"/>
  <c r="AH393" i="159"/>
  <c r="AB514" i="156" s="1"/>
  <c r="AH394" i="159"/>
  <c r="AH395" i="159"/>
  <c r="AH396" i="159"/>
  <c r="AB517" i="156" s="1"/>
  <c r="AH397" i="159"/>
  <c r="AB518" i="156" s="1"/>
  <c r="AH398" i="159"/>
  <c r="AH399" i="159"/>
  <c r="AB520" i="156" s="1"/>
  <c r="AH400" i="159"/>
  <c r="AB521" i="156" s="1"/>
  <c r="AH401" i="159"/>
  <c r="AB522" i="156" s="1"/>
  <c r="AH402" i="159"/>
  <c r="AB523" i="156" s="1"/>
  <c r="AH403" i="159"/>
  <c r="AB524" i="156" s="1"/>
  <c r="AH404" i="159"/>
  <c r="AB525" i="156" s="1"/>
  <c r="AH405" i="159"/>
  <c r="AB526" i="156" s="1"/>
  <c r="AH406" i="159"/>
  <c r="AH407" i="159"/>
  <c r="AH408" i="159"/>
  <c r="AB529" i="156" s="1"/>
  <c r="AH409" i="159"/>
  <c r="AB530" i="156" s="1"/>
  <c r="AH410" i="159"/>
  <c r="AH411" i="159"/>
  <c r="AB532" i="156" s="1"/>
  <c r="AH412" i="159"/>
  <c r="AB533" i="156" s="1"/>
  <c r="AH413" i="159"/>
  <c r="AB534" i="156" s="1"/>
  <c r="AH414" i="159"/>
  <c r="AB535" i="156" s="1"/>
  <c r="AH415" i="159"/>
  <c r="AB536" i="156" s="1"/>
  <c r="AH416" i="159"/>
  <c r="AB537" i="156" s="1"/>
  <c r="AH417" i="159"/>
  <c r="AB538" i="156" s="1"/>
  <c r="AH418" i="159"/>
  <c r="AH419" i="159"/>
  <c r="AH420" i="159"/>
  <c r="AB541" i="156" s="1"/>
  <c r="AH421" i="159"/>
  <c r="AB542" i="156" s="1"/>
  <c r="AH422" i="159"/>
  <c r="AB543" i="156" s="1"/>
  <c r="AH423" i="159"/>
  <c r="AB544" i="156" s="1"/>
  <c r="AH424" i="159"/>
  <c r="AB545" i="156" s="1"/>
  <c r="AH425" i="159"/>
  <c r="AB546" i="156" s="1"/>
  <c r="AH426" i="159"/>
  <c r="AH427" i="159"/>
  <c r="AB548" i="156" s="1"/>
  <c r="AH428" i="159"/>
  <c r="AB549" i="156" s="1"/>
  <c r="AH429" i="159"/>
  <c r="AH430" i="159"/>
  <c r="AH431" i="159"/>
  <c r="AB552" i="156" s="1"/>
  <c r="AH432" i="159"/>
  <c r="AB553" i="156" s="1"/>
  <c r="AH433" i="159"/>
  <c r="AH434" i="159"/>
  <c r="AB555" i="156" s="1"/>
  <c r="AH435" i="159"/>
  <c r="AB556" i="156" s="1"/>
  <c r="AH436" i="159"/>
  <c r="AB557" i="156" s="1"/>
  <c r="AH437" i="159"/>
  <c r="AB558" i="156" s="1"/>
  <c r="AH438" i="159"/>
  <c r="AH439" i="159"/>
  <c r="AB560" i="156" s="1"/>
  <c r="AH440" i="159"/>
  <c r="AB561" i="156" s="1"/>
  <c r="AH441" i="159"/>
  <c r="AH442" i="159"/>
  <c r="AH443" i="159"/>
  <c r="AB564" i="156" s="1"/>
  <c r="AH444" i="159"/>
  <c r="AB565" i="156" s="1"/>
  <c r="AH445" i="159"/>
  <c r="AH446" i="159"/>
  <c r="AB567" i="156" s="1"/>
  <c r="AH447" i="159"/>
  <c r="AB568" i="156" s="1"/>
  <c r="AH448" i="159"/>
  <c r="AB569" i="156" s="1"/>
  <c r="AH449" i="159"/>
  <c r="AB570" i="156" s="1"/>
  <c r="AH450" i="159"/>
  <c r="AH451" i="159"/>
  <c r="AB572" i="156" s="1"/>
  <c r="AH452" i="159"/>
  <c r="AB573" i="156" s="1"/>
  <c r="AH453" i="159"/>
  <c r="AH454" i="159"/>
  <c r="AH455" i="159"/>
  <c r="AB576" i="156" s="1"/>
  <c r="AH456" i="159"/>
  <c r="AB577" i="156" s="1"/>
  <c r="AH457" i="159"/>
  <c r="AH458" i="159"/>
  <c r="AB579" i="156" s="1"/>
  <c r="AH459" i="159"/>
  <c r="AB580" i="156" s="1"/>
  <c r="AH460" i="159"/>
  <c r="AB581" i="156" s="1"/>
  <c r="AH461" i="159"/>
  <c r="AB582" i="156" s="1"/>
  <c r="AH462" i="159"/>
  <c r="AB583" i="156" s="1"/>
  <c r="AH463" i="159"/>
  <c r="AH464" i="159"/>
  <c r="AB585" i="156" s="1"/>
  <c r="AH465" i="159"/>
  <c r="AB586" i="156" s="1"/>
  <c r="AH466" i="159"/>
  <c r="AH467" i="159"/>
  <c r="AB588" i="156" s="1"/>
  <c r="AH468" i="159"/>
  <c r="AB589" i="156" s="1"/>
  <c r="AH469" i="159"/>
  <c r="AH470" i="159"/>
  <c r="AH471" i="159"/>
  <c r="AB592" i="156" s="1"/>
  <c r="AH472" i="159"/>
  <c r="AB593" i="156" s="1"/>
  <c r="AH473" i="159"/>
  <c r="AH474" i="159"/>
  <c r="AB595" i="156" s="1"/>
  <c r="AH475" i="159"/>
  <c r="AH476" i="159"/>
  <c r="AB597" i="156" s="1"/>
  <c r="AH477" i="159"/>
  <c r="AB598" i="156" s="1"/>
  <c r="AH478" i="159"/>
  <c r="AH479" i="159"/>
  <c r="AB600" i="156" s="1"/>
  <c r="AH480" i="159"/>
  <c r="AB601" i="156" s="1"/>
  <c r="AH481" i="159"/>
  <c r="AH482" i="159"/>
  <c r="AH483" i="159"/>
  <c r="AB604" i="156" s="1"/>
  <c r="AH484" i="159"/>
  <c r="AB605" i="156" s="1"/>
  <c r="AH485" i="159"/>
  <c r="AH486" i="159"/>
  <c r="AB607" i="156" s="1"/>
  <c r="AH487" i="159"/>
  <c r="AH488" i="159"/>
  <c r="AB609" i="156" s="1"/>
  <c r="AH489" i="159"/>
  <c r="AB610" i="156" s="1"/>
  <c r="AH490" i="159"/>
  <c r="AH491" i="159"/>
  <c r="AB612" i="156" s="1"/>
  <c r="AH492" i="159"/>
  <c r="AB613" i="156" s="1"/>
  <c r="AH493" i="159"/>
  <c r="AH494" i="159"/>
  <c r="AH495" i="159"/>
  <c r="AB616" i="156" s="1"/>
  <c r="AH496" i="159"/>
  <c r="AB617" i="156" s="1"/>
  <c r="AH497" i="159"/>
  <c r="AH498" i="159"/>
  <c r="AB619" i="156" s="1"/>
  <c r="AH386" i="159"/>
  <c r="AB387" i="159"/>
  <c r="AB388" i="159"/>
  <c r="AB389" i="159"/>
  <c r="AB390" i="159"/>
  <c r="AB391" i="159"/>
  <c r="AB392" i="159"/>
  <c r="AB393" i="159"/>
  <c r="AB394" i="159"/>
  <c r="AB395" i="159"/>
  <c r="AB396" i="159"/>
  <c r="AB397" i="159"/>
  <c r="AB398" i="159"/>
  <c r="AB399" i="159"/>
  <c r="AB400" i="159"/>
  <c r="AB401" i="159"/>
  <c r="AB402" i="159"/>
  <c r="AB403" i="159"/>
  <c r="AB404" i="159"/>
  <c r="AB405" i="159"/>
  <c r="AB406" i="159"/>
  <c r="AB407" i="159"/>
  <c r="AB408" i="159"/>
  <c r="AB409" i="159"/>
  <c r="AB410" i="159"/>
  <c r="AB411" i="159"/>
  <c r="AB412" i="159"/>
  <c r="AB413" i="159"/>
  <c r="AB414" i="159"/>
  <c r="AB415" i="159"/>
  <c r="AB416" i="159"/>
  <c r="AB417" i="159"/>
  <c r="AB418" i="159"/>
  <c r="AB419" i="159"/>
  <c r="AB420" i="159"/>
  <c r="AB421" i="159"/>
  <c r="AB422" i="159"/>
  <c r="AB423" i="159"/>
  <c r="AB424" i="159"/>
  <c r="AB425" i="159"/>
  <c r="AB426" i="159"/>
  <c r="AB427" i="159"/>
  <c r="AB428" i="159"/>
  <c r="AB429" i="159"/>
  <c r="AB430" i="159"/>
  <c r="AB431" i="159"/>
  <c r="AB432" i="159"/>
  <c r="AB433" i="159"/>
  <c r="AB434" i="159"/>
  <c r="AB435" i="159"/>
  <c r="AB436" i="159"/>
  <c r="AB437" i="159"/>
  <c r="AB438" i="159"/>
  <c r="AB439" i="159"/>
  <c r="AB440" i="159"/>
  <c r="AB441" i="159"/>
  <c r="AB442" i="159"/>
  <c r="AB443" i="159"/>
  <c r="AB444" i="159"/>
  <c r="AB445" i="159"/>
  <c r="AB446" i="159"/>
  <c r="AB447" i="159"/>
  <c r="AB448" i="159"/>
  <c r="AB449" i="159"/>
  <c r="AB450" i="159"/>
  <c r="AB451" i="159"/>
  <c r="AB452" i="159"/>
  <c r="AB453" i="159"/>
  <c r="AB454" i="159"/>
  <c r="AB455" i="159"/>
  <c r="AB456" i="159"/>
  <c r="AB457" i="159"/>
  <c r="AB458" i="159"/>
  <c r="AB459" i="159"/>
  <c r="AB460" i="159"/>
  <c r="AB461" i="159"/>
  <c r="AB462" i="159"/>
  <c r="AB463" i="159"/>
  <c r="AB464" i="159"/>
  <c r="AB465" i="159"/>
  <c r="AB466" i="159"/>
  <c r="AB467" i="159"/>
  <c r="AB468" i="159"/>
  <c r="AB469" i="159"/>
  <c r="AB470" i="159"/>
  <c r="AB471" i="159"/>
  <c r="AB472" i="159"/>
  <c r="AB473" i="159"/>
  <c r="AB474" i="159"/>
  <c r="AB475" i="159"/>
  <c r="AB476" i="159"/>
  <c r="AB477" i="159"/>
  <c r="AB478" i="159"/>
  <c r="AB479" i="159"/>
  <c r="AB480" i="159"/>
  <c r="AB481" i="159"/>
  <c r="AB482" i="159"/>
  <c r="AB483" i="159"/>
  <c r="AB484" i="159"/>
  <c r="AB485" i="159"/>
  <c r="AB486" i="159"/>
  <c r="AB487" i="159"/>
  <c r="AB488" i="159"/>
  <c r="AB489" i="159"/>
  <c r="AB490" i="159"/>
  <c r="AB491" i="159"/>
  <c r="AB492" i="159"/>
  <c r="AB493" i="159"/>
  <c r="AB494" i="159"/>
  <c r="AB495" i="159"/>
  <c r="AB496" i="159"/>
  <c r="AB497" i="159"/>
  <c r="AB498" i="159"/>
  <c r="AB386" i="159"/>
  <c r="AN255" i="159"/>
  <c r="AM255" i="159"/>
  <c r="AL255" i="159"/>
  <c r="AK255" i="159"/>
  <c r="AJ255" i="159"/>
  <c r="AI255" i="159"/>
  <c r="AH255" i="159"/>
  <c r="AG255" i="159"/>
  <c r="AF255" i="159"/>
  <c r="AE255" i="159"/>
  <c r="AD255" i="159"/>
  <c r="AC255" i="159"/>
  <c r="AB255" i="159"/>
  <c r="AA255" i="159"/>
  <c r="Z255" i="159"/>
  <c r="Y255" i="159"/>
  <c r="X255" i="159"/>
  <c r="W255" i="159"/>
  <c r="V255" i="159"/>
  <c r="U255" i="159"/>
  <c r="T255" i="159"/>
  <c r="S255" i="159"/>
  <c r="R255" i="159"/>
  <c r="Q255" i="159"/>
  <c r="P255" i="159"/>
  <c r="O255" i="159"/>
  <c r="O379" i="159" s="1"/>
  <c r="H382" i="156" s="1"/>
  <c r="N255" i="159"/>
  <c r="AN254" i="159"/>
  <c r="AM254" i="159"/>
  <c r="AL254" i="159"/>
  <c r="AK254" i="159"/>
  <c r="AJ254" i="159"/>
  <c r="AI254" i="159"/>
  <c r="AH254" i="159"/>
  <c r="AG254" i="159"/>
  <c r="AF254" i="159"/>
  <c r="AE254" i="159"/>
  <c r="AD254" i="159"/>
  <c r="AC254" i="159"/>
  <c r="AB254" i="159"/>
  <c r="AA254" i="159"/>
  <c r="Z254" i="159"/>
  <c r="Y254" i="159"/>
  <c r="X254" i="159"/>
  <c r="W254" i="159"/>
  <c r="V254" i="159"/>
  <c r="U254" i="159"/>
  <c r="T254" i="159"/>
  <c r="S254" i="159"/>
  <c r="R254" i="159"/>
  <c r="Q254" i="159"/>
  <c r="P254" i="159"/>
  <c r="O254" i="159"/>
  <c r="O371" i="159" s="1"/>
  <c r="H374" i="156" s="1"/>
  <c r="N254" i="159"/>
  <c r="AN253" i="159"/>
  <c r="AM253" i="159"/>
  <c r="AL253" i="159"/>
  <c r="AK253" i="159"/>
  <c r="AJ253" i="159"/>
  <c r="AI253" i="159"/>
  <c r="AH253" i="159"/>
  <c r="AG253" i="159"/>
  <c r="AF253" i="159"/>
  <c r="AE253" i="159"/>
  <c r="AD253" i="159"/>
  <c r="AC253" i="159"/>
  <c r="AB253" i="159"/>
  <c r="AA253" i="159"/>
  <c r="Z253" i="159"/>
  <c r="Y253" i="159"/>
  <c r="X253" i="159"/>
  <c r="W253" i="159"/>
  <c r="V253" i="159"/>
  <c r="U253" i="159"/>
  <c r="T253" i="159"/>
  <c r="S253" i="159"/>
  <c r="R253" i="159"/>
  <c r="Q253" i="159"/>
  <c r="P253" i="159"/>
  <c r="P362" i="159" s="1"/>
  <c r="I365" i="156" s="1"/>
  <c r="I484" i="156" s="1"/>
  <c r="O253" i="159"/>
  <c r="N253" i="159"/>
  <c r="AN252" i="159"/>
  <c r="AM252" i="159"/>
  <c r="AL252" i="159"/>
  <c r="AK252" i="159"/>
  <c r="AJ252" i="159"/>
  <c r="AI252" i="159"/>
  <c r="AH252" i="159"/>
  <c r="AG252" i="159"/>
  <c r="AF252" i="159"/>
  <c r="AE252" i="159"/>
  <c r="AD252" i="159"/>
  <c r="AC252" i="159"/>
  <c r="AB252" i="159"/>
  <c r="AA252" i="159"/>
  <c r="Z252" i="159"/>
  <c r="Y252" i="159"/>
  <c r="X252" i="159"/>
  <c r="W252" i="159"/>
  <c r="V252" i="159"/>
  <c r="U252" i="159"/>
  <c r="T252" i="159"/>
  <c r="S252" i="159"/>
  <c r="R252" i="159"/>
  <c r="Q252" i="159"/>
  <c r="P252" i="159"/>
  <c r="O252" i="159"/>
  <c r="O358" i="159" s="1"/>
  <c r="H361" i="156" s="1"/>
  <c r="N252" i="159"/>
  <c r="AN251" i="159"/>
  <c r="AM251" i="159"/>
  <c r="AL251" i="159"/>
  <c r="AK251" i="159"/>
  <c r="AJ251" i="159"/>
  <c r="AI251" i="159"/>
  <c r="AH251" i="159"/>
  <c r="AG251" i="159"/>
  <c r="AF251" i="159"/>
  <c r="AE251" i="159"/>
  <c r="AD251" i="159"/>
  <c r="AC251" i="159"/>
  <c r="AB251" i="159"/>
  <c r="AA251" i="159"/>
  <c r="Z251" i="159"/>
  <c r="Y251" i="159"/>
  <c r="X251" i="159"/>
  <c r="W251" i="159"/>
  <c r="V251" i="159"/>
  <c r="U251" i="159"/>
  <c r="T251" i="159"/>
  <c r="S251" i="159"/>
  <c r="R251" i="159"/>
  <c r="Q251" i="159"/>
  <c r="P251" i="159"/>
  <c r="O251" i="159"/>
  <c r="N251" i="159"/>
  <c r="AN250" i="159"/>
  <c r="AM250" i="159"/>
  <c r="AL250" i="159"/>
  <c r="AK250" i="159"/>
  <c r="AJ250" i="159"/>
  <c r="AI250" i="159"/>
  <c r="AH250" i="159"/>
  <c r="AG250" i="159"/>
  <c r="AF250" i="159"/>
  <c r="AE250" i="159"/>
  <c r="AD250" i="159"/>
  <c r="AC250" i="159"/>
  <c r="AB250" i="159"/>
  <c r="AA250" i="159"/>
  <c r="Z250" i="159"/>
  <c r="Y250" i="159"/>
  <c r="X250" i="159"/>
  <c r="W250" i="159"/>
  <c r="V250" i="159"/>
  <c r="U250" i="159"/>
  <c r="T250" i="159"/>
  <c r="S250" i="159"/>
  <c r="R250" i="159"/>
  <c r="Q250" i="159"/>
  <c r="P250" i="159"/>
  <c r="O250" i="159"/>
  <c r="N250" i="159"/>
  <c r="AN249" i="159"/>
  <c r="AM249" i="159"/>
  <c r="AL249" i="159"/>
  <c r="AK249" i="159"/>
  <c r="AJ249" i="159"/>
  <c r="AI249" i="159"/>
  <c r="AH249" i="159"/>
  <c r="AG249" i="159"/>
  <c r="AF249" i="159"/>
  <c r="AE249" i="159"/>
  <c r="AD249" i="159"/>
  <c r="AC249" i="159"/>
  <c r="AB249" i="159"/>
  <c r="AA249" i="159"/>
  <c r="Z249" i="159"/>
  <c r="Y249" i="159"/>
  <c r="X249" i="159"/>
  <c r="W249" i="159"/>
  <c r="V249" i="159"/>
  <c r="U249" i="159"/>
  <c r="T249" i="159"/>
  <c r="S249" i="159"/>
  <c r="R249" i="159"/>
  <c r="Q249" i="159"/>
  <c r="P249" i="159"/>
  <c r="O249" i="159"/>
  <c r="N249" i="159"/>
  <c r="AN248" i="159"/>
  <c r="AM248" i="159"/>
  <c r="AL248" i="159"/>
  <c r="AK248" i="159"/>
  <c r="AJ248" i="159"/>
  <c r="AI248" i="159"/>
  <c r="AH248" i="159"/>
  <c r="AG248" i="159"/>
  <c r="AF248" i="159"/>
  <c r="AE248" i="159"/>
  <c r="AD248" i="159"/>
  <c r="AC248" i="159"/>
  <c r="AB248" i="159"/>
  <c r="AA248" i="159"/>
  <c r="Z248" i="159"/>
  <c r="Y248" i="159"/>
  <c r="X248" i="159"/>
  <c r="W248" i="159"/>
  <c r="V248" i="159"/>
  <c r="U248" i="159"/>
  <c r="T248" i="159"/>
  <c r="S248" i="159"/>
  <c r="R248" i="159"/>
  <c r="Q248" i="159"/>
  <c r="P248" i="159"/>
  <c r="O248" i="159"/>
  <c r="N248" i="159"/>
  <c r="AN247" i="159"/>
  <c r="AM247" i="159"/>
  <c r="AL247" i="159"/>
  <c r="AK247" i="159"/>
  <c r="AJ247" i="159"/>
  <c r="AI247" i="159"/>
  <c r="AH247" i="159"/>
  <c r="AG247" i="159"/>
  <c r="AF247" i="159"/>
  <c r="AE247" i="159"/>
  <c r="AD247" i="159"/>
  <c r="AC247" i="159"/>
  <c r="AB247" i="159"/>
  <c r="AA247" i="159"/>
  <c r="Z247" i="159"/>
  <c r="Y247" i="159"/>
  <c r="X247" i="159"/>
  <c r="W247" i="159"/>
  <c r="V247" i="159"/>
  <c r="U247" i="159"/>
  <c r="T247" i="159"/>
  <c r="S247" i="159"/>
  <c r="R247" i="159"/>
  <c r="Q247" i="159"/>
  <c r="P247" i="159"/>
  <c r="O247" i="159"/>
  <c r="N247" i="159"/>
  <c r="AN246" i="159"/>
  <c r="AM246" i="159"/>
  <c r="AL246" i="159"/>
  <c r="AK246" i="159"/>
  <c r="AJ246" i="159"/>
  <c r="AI246" i="159"/>
  <c r="AH246" i="159"/>
  <c r="AG246" i="159"/>
  <c r="AF246" i="159"/>
  <c r="AE246" i="159"/>
  <c r="AD246" i="159"/>
  <c r="AC246" i="159"/>
  <c r="AB246" i="159"/>
  <c r="AA246" i="159"/>
  <c r="Z246" i="159"/>
  <c r="Y246" i="159"/>
  <c r="X246" i="159"/>
  <c r="W246" i="159"/>
  <c r="V246" i="159"/>
  <c r="U246" i="159"/>
  <c r="T246" i="159"/>
  <c r="S246" i="159"/>
  <c r="R246" i="159"/>
  <c r="Q246" i="159"/>
  <c r="P246" i="159"/>
  <c r="O246" i="159"/>
  <c r="N246" i="159"/>
  <c r="AN245" i="159"/>
  <c r="AM245" i="159"/>
  <c r="AL245" i="159"/>
  <c r="AK245" i="159"/>
  <c r="AJ245" i="159"/>
  <c r="AI245" i="159"/>
  <c r="AH245" i="159"/>
  <c r="AG245" i="159"/>
  <c r="AF245" i="159"/>
  <c r="AE245" i="159"/>
  <c r="AD245" i="159"/>
  <c r="AC245" i="159"/>
  <c r="AB245" i="159"/>
  <c r="AA245" i="159"/>
  <c r="Z245" i="159"/>
  <c r="Y245" i="159"/>
  <c r="X245" i="159"/>
  <c r="W245" i="159"/>
  <c r="V245" i="159"/>
  <c r="U245" i="159"/>
  <c r="T245" i="159"/>
  <c r="S245" i="159"/>
  <c r="R245" i="159"/>
  <c r="Q245" i="159"/>
  <c r="P245" i="159"/>
  <c r="O245" i="159"/>
  <c r="N245" i="159"/>
  <c r="AN244" i="159"/>
  <c r="AM244" i="159"/>
  <c r="AL244" i="159"/>
  <c r="AK244" i="159"/>
  <c r="AJ244" i="159"/>
  <c r="AI244" i="159"/>
  <c r="AH244" i="159"/>
  <c r="AG244" i="159"/>
  <c r="AF244" i="159"/>
  <c r="AE244" i="159"/>
  <c r="AD244" i="159"/>
  <c r="AC244" i="159"/>
  <c r="AB244" i="159"/>
  <c r="AA244" i="159"/>
  <c r="Z244" i="159"/>
  <c r="Y244" i="159"/>
  <c r="X244" i="159"/>
  <c r="W244" i="159"/>
  <c r="V244" i="159"/>
  <c r="U244" i="159"/>
  <c r="T244" i="159"/>
  <c r="S244" i="159"/>
  <c r="R244" i="159"/>
  <c r="Q244" i="159"/>
  <c r="P244" i="159"/>
  <c r="O244" i="159"/>
  <c r="N244" i="159"/>
  <c r="AN243" i="159"/>
  <c r="AM243" i="159"/>
  <c r="AL243" i="159"/>
  <c r="AK243" i="159"/>
  <c r="AJ243" i="159"/>
  <c r="AI243" i="159"/>
  <c r="AH243" i="159"/>
  <c r="AG243" i="159"/>
  <c r="AF243" i="159"/>
  <c r="AE243" i="159"/>
  <c r="AD243" i="159"/>
  <c r="AC243" i="159"/>
  <c r="AB243" i="159"/>
  <c r="AA243" i="159"/>
  <c r="Z243" i="159"/>
  <c r="Y243" i="159"/>
  <c r="X243" i="159"/>
  <c r="W243" i="159"/>
  <c r="V243" i="159"/>
  <c r="U243" i="159"/>
  <c r="T243" i="159"/>
  <c r="S243" i="159"/>
  <c r="R243" i="159"/>
  <c r="Q243" i="159"/>
  <c r="P243" i="159"/>
  <c r="O243" i="159"/>
  <c r="N243" i="159"/>
  <c r="AN242" i="159"/>
  <c r="AM242" i="159"/>
  <c r="AL242" i="159"/>
  <c r="AK242" i="159"/>
  <c r="AJ242" i="159"/>
  <c r="AI242" i="159"/>
  <c r="AH242" i="159"/>
  <c r="AG242" i="159"/>
  <c r="AF242" i="159"/>
  <c r="AE242" i="159"/>
  <c r="AD242" i="159"/>
  <c r="AC242" i="159"/>
  <c r="AB242" i="159"/>
  <c r="AA242" i="159"/>
  <c r="Z242" i="159"/>
  <c r="Y242" i="159"/>
  <c r="X242" i="159"/>
  <c r="W242" i="159"/>
  <c r="V242" i="159"/>
  <c r="U242" i="159"/>
  <c r="T242" i="159"/>
  <c r="S242" i="159"/>
  <c r="R242" i="159"/>
  <c r="Q242" i="159"/>
  <c r="P242" i="159"/>
  <c r="O242" i="159"/>
  <c r="N242" i="159"/>
  <c r="AN241" i="159"/>
  <c r="AM241" i="159"/>
  <c r="AL241" i="159"/>
  <c r="AK241" i="159"/>
  <c r="AJ241" i="159"/>
  <c r="AI241" i="159"/>
  <c r="AH241" i="159"/>
  <c r="AG241" i="159"/>
  <c r="AF241" i="159"/>
  <c r="AE241" i="159"/>
  <c r="AD241" i="159"/>
  <c r="AC241" i="159"/>
  <c r="AB241" i="159"/>
  <c r="AA241" i="159"/>
  <c r="Z241" i="159"/>
  <c r="Y241" i="159"/>
  <c r="X241" i="159"/>
  <c r="W241" i="159"/>
  <c r="V241" i="159"/>
  <c r="U241" i="159"/>
  <c r="T241" i="159"/>
  <c r="S241" i="159"/>
  <c r="R241" i="159"/>
  <c r="Q241" i="159"/>
  <c r="P241" i="159"/>
  <c r="O241" i="159"/>
  <c r="N241" i="159"/>
  <c r="AN240" i="159"/>
  <c r="AM240" i="159"/>
  <c r="AL240" i="159"/>
  <c r="AK240" i="159"/>
  <c r="AJ240" i="159"/>
  <c r="AI240" i="159"/>
  <c r="AH240" i="159"/>
  <c r="AG240" i="159"/>
  <c r="AF240" i="159"/>
  <c r="AE240" i="159"/>
  <c r="AD240" i="159"/>
  <c r="AC240" i="159"/>
  <c r="AB240" i="159"/>
  <c r="AA240" i="159"/>
  <c r="Z240" i="159"/>
  <c r="Y240" i="159"/>
  <c r="X240" i="159"/>
  <c r="W240" i="159"/>
  <c r="V240" i="159"/>
  <c r="U240" i="159"/>
  <c r="T240" i="159"/>
  <c r="S240" i="159"/>
  <c r="R240" i="159"/>
  <c r="Q240" i="159"/>
  <c r="P240" i="159"/>
  <c r="O240" i="159"/>
  <c r="N240" i="159"/>
  <c r="AN239" i="159"/>
  <c r="AM239" i="159"/>
  <c r="AL239" i="159"/>
  <c r="AK239" i="159"/>
  <c r="AJ239" i="159"/>
  <c r="AI239" i="159"/>
  <c r="AH239" i="159"/>
  <c r="AG239" i="159"/>
  <c r="AF239" i="159"/>
  <c r="AE239" i="159"/>
  <c r="AD239" i="159"/>
  <c r="AC239" i="159"/>
  <c r="AB239" i="159"/>
  <c r="AA239" i="159"/>
  <c r="Z239" i="159"/>
  <c r="Y239" i="159"/>
  <c r="X239" i="159"/>
  <c r="W239" i="159"/>
  <c r="V239" i="159"/>
  <c r="U239" i="159"/>
  <c r="T239" i="159"/>
  <c r="S239" i="159"/>
  <c r="R239" i="159"/>
  <c r="Q239" i="159"/>
  <c r="P239" i="159"/>
  <c r="O239" i="159"/>
  <c r="N239" i="159"/>
  <c r="AN238" i="159"/>
  <c r="AM238" i="159"/>
  <c r="AL238" i="159"/>
  <c r="AK238" i="159"/>
  <c r="AJ238" i="159"/>
  <c r="AI238" i="159"/>
  <c r="AH238" i="159"/>
  <c r="AG238" i="159"/>
  <c r="AF238" i="159"/>
  <c r="AE238" i="159"/>
  <c r="AD238" i="159"/>
  <c r="AC238" i="159"/>
  <c r="AB238" i="159"/>
  <c r="AA238" i="159"/>
  <c r="Z238" i="159"/>
  <c r="Y238" i="159"/>
  <c r="X238" i="159"/>
  <c r="W238" i="159"/>
  <c r="V238" i="159"/>
  <c r="U238" i="159"/>
  <c r="T238" i="159"/>
  <c r="S238" i="159"/>
  <c r="R238" i="159"/>
  <c r="Q238" i="159"/>
  <c r="P238" i="159"/>
  <c r="O238" i="159"/>
  <c r="O302" i="159" s="1"/>
  <c r="H305" i="156" s="1"/>
  <c r="H424" i="156" s="1"/>
  <c r="N238" i="159"/>
  <c r="AN237" i="159"/>
  <c r="AM237" i="159"/>
  <c r="AL237" i="159"/>
  <c r="AK237" i="159"/>
  <c r="AJ237" i="159"/>
  <c r="AI237" i="159"/>
  <c r="AH237" i="159"/>
  <c r="AG237" i="159"/>
  <c r="AF237" i="159"/>
  <c r="AE237" i="159"/>
  <c r="AD237" i="159"/>
  <c r="AC237" i="159"/>
  <c r="AB237" i="159"/>
  <c r="AA237" i="159"/>
  <c r="Z237" i="159"/>
  <c r="Y237" i="159"/>
  <c r="X237" i="159"/>
  <c r="W237" i="159"/>
  <c r="V237" i="159"/>
  <c r="U237" i="159"/>
  <c r="T237" i="159"/>
  <c r="S237" i="159"/>
  <c r="R237" i="159"/>
  <c r="Q237" i="159"/>
  <c r="P237" i="159"/>
  <c r="P294" i="159" s="1"/>
  <c r="I297" i="156" s="1"/>
  <c r="I416" i="156" s="1"/>
  <c r="O237" i="159"/>
  <c r="O297" i="159" s="1"/>
  <c r="H300" i="156" s="1"/>
  <c r="H419" i="156" s="1"/>
  <c r="N237" i="159"/>
  <c r="AN236" i="159"/>
  <c r="AM236" i="159"/>
  <c r="AL236" i="159"/>
  <c r="AK236" i="159"/>
  <c r="AJ236" i="159"/>
  <c r="AI236" i="159"/>
  <c r="AH236" i="159"/>
  <c r="AG236" i="159"/>
  <c r="AF236" i="159"/>
  <c r="AE236" i="159"/>
  <c r="AD236" i="159"/>
  <c r="AC236" i="159"/>
  <c r="AB236" i="159"/>
  <c r="AA236" i="159"/>
  <c r="Z236" i="159"/>
  <c r="Y236" i="159"/>
  <c r="X236" i="159"/>
  <c r="W236" i="159"/>
  <c r="V236" i="159"/>
  <c r="U236" i="159"/>
  <c r="T236" i="159"/>
  <c r="S236" i="159"/>
  <c r="R236" i="159"/>
  <c r="Q236" i="159"/>
  <c r="P236" i="159"/>
  <c r="O236" i="159"/>
  <c r="O289" i="159" s="1"/>
  <c r="H292" i="156" s="1"/>
  <c r="H411" i="156" s="1"/>
  <c r="N236" i="159"/>
  <c r="AN235" i="159"/>
  <c r="AM235" i="159"/>
  <c r="AL235" i="159"/>
  <c r="AK235" i="159"/>
  <c r="AJ235" i="159"/>
  <c r="AI235" i="159"/>
  <c r="AH235" i="159"/>
  <c r="AG235" i="159"/>
  <c r="AF235" i="159"/>
  <c r="AE235" i="159"/>
  <c r="AD235" i="159"/>
  <c r="AC235" i="159"/>
  <c r="AB235" i="159"/>
  <c r="AA235" i="159"/>
  <c r="Z235" i="159"/>
  <c r="Y235" i="159"/>
  <c r="X235" i="159"/>
  <c r="W235" i="159"/>
  <c r="V235" i="159"/>
  <c r="U235" i="159"/>
  <c r="T235" i="159"/>
  <c r="S235" i="159"/>
  <c r="R235" i="159"/>
  <c r="Q235" i="159"/>
  <c r="P235" i="159"/>
  <c r="O235" i="159"/>
  <c r="N235" i="159"/>
  <c r="AN234" i="159"/>
  <c r="AM234" i="159"/>
  <c r="AL234" i="159"/>
  <c r="AK234" i="159"/>
  <c r="AJ234" i="159"/>
  <c r="AI234" i="159"/>
  <c r="AH234" i="159"/>
  <c r="AG234" i="159"/>
  <c r="AF234" i="159"/>
  <c r="AE234" i="159"/>
  <c r="AD234" i="159"/>
  <c r="AC234" i="159"/>
  <c r="AB234" i="159"/>
  <c r="AA234" i="159"/>
  <c r="Z234" i="159"/>
  <c r="Y234" i="159"/>
  <c r="X234" i="159"/>
  <c r="W234" i="159"/>
  <c r="V234" i="159"/>
  <c r="U234" i="159"/>
  <c r="T234" i="159"/>
  <c r="S234" i="159"/>
  <c r="R234" i="159"/>
  <c r="Q234" i="159"/>
  <c r="P234" i="159"/>
  <c r="O234" i="159"/>
  <c r="N234" i="159"/>
  <c r="AN233" i="159"/>
  <c r="AM233" i="159"/>
  <c r="AL233" i="159"/>
  <c r="AK233" i="159"/>
  <c r="AJ233" i="159"/>
  <c r="AI233" i="159"/>
  <c r="AH233" i="159"/>
  <c r="AG233" i="159"/>
  <c r="AF233" i="159"/>
  <c r="AE233" i="159"/>
  <c r="AD233" i="159"/>
  <c r="AC233" i="159"/>
  <c r="AB233" i="159"/>
  <c r="AA233" i="159"/>
  <c r="Z233" i="159"/>
  <c r="Y233" i="159"/>
  <c r="X233" i="159"/>
  <c r="W233" i="159"/>
  <c r="V233" i="159"/>
  <c r="U233" i="159"/>
  <c r="T233" i="159"/>
  <c r="S233" i="159"/>
  <c r="R233" i="159"/>
  <c r="Q233" i="159"/>
  <c r="P233" i="159"/>
  <c r="O233" i="159"/>
  <c r="N233" i="159"/>
  <c r="AN232" i="159"/>
  <c r="AM232" i="159"/>
  <c r="AL232" i="159"/>
  <c r="AK232" i="159"/>
  <c r="AJ232" i="159"/>
  <c r="AI232" i="159"/>
  <c r="AH232" i="159"/>
  <c r="AG232" i="159"/>
  <c r="AF232" i="159"/>
  <c r="AE232" i="159"/>
  <c r="AD232" i="159"/>
  <c r="AC232" i="159"/>
  <c r="AB232" i="159"/>
  <c r="AA232" i="159"/>
  <c r="Z232" i="159"/>
  <c r="Y232" i="159"/>
  <c r="X232" i="159"/>
  <c r="W232" i="159"/>
  <c r="V232" i="159"/>
  <c r="U232" i="159"/>
  <c r="T232" i="159"/>
  <c r="S232" i="159"/>
  <c r="R232" i="159"/>
  <c r="Q232" i="159"/>
  <c r="P232" i="159"/>
  <c r="O232" i="159"/>
  <c r="O266" i="159" s="1"/>
  <c r="H269" i="156" s="1"/>
  <c r="H388" i="156" s="1"/>
  <c r="N232" i="159"/>
  <c r="M233" i="159"/>
  <c r="M234" i="159"/>
  <c r="M235" i="159"/>
  <c r="M236" i="159"/>
  <c r="M237" i="159"/>
  <c r="M238" i="159"/>
  <c r="M239" i="159"/>
  <c r="M240" i="159"/>
  <c r="M241" i="159"/>
  <c r="M242" i="159"/>
  <c r="M243" i="159"/>
  <c r="M244" i="159"/>
  <c r="M245" i="159"/>
  <c r="M246" i="159"/>
  <c r="M247" i="159"/>
  <c r="M248" i="159"/>
  <c r="M249" i="159"/>
  <c r="M250" i="159"/>
  <c r="M251" i="159"/>
  <c r="M252" i="159"/>
  <c r="M253" i="159"/>
  <c r="M254" i="159"/>
  <c r="M255" i="159"/>
  <c r="M232" i="159"/>
  <c r="AG258" i="156"/>
  <c r="AF258" i="156"/>
  <c r="AE258" i="156"/>
  <c r="AD258" i="156"/>
  <c r="AC258" i="156"/>
  <c r="AB258" i="156"/>
  <c r="AA258" i="156"/>
  <c r="Z258" i="156"/>
  <c r="Y258" i="156"/>
  <c r="X258" i="156"/>
  <c r="W258" i="156"/>
  <c r="V258" i="156"/>
  <c r="U258" i="156"/>
  <c r="T258" i="156"/>
  <c r="S258" i="156"/>
  <c r="R258" i="156"/>
  <c r="Q258" i="156"/>
  <c r="P258" i="156"/>
  <c r="O258" i="156"/>
  <c r="N258" i="156"/>
  <c r="M258" i="156"/>
  <c r="L258" i="156"/>
  <c r="K258" i="156"/>
  <c r="J258" i="156"/>
  <c r="I258" i="156"/>
  <c r="H258" i="156"/>
  <c r="G258" i="156"/>
  <c r="AG252" i="156"/>
  <c r="AF252" i="156"/>
  <c r="AE252" i="156"/>
  <c r="AD252" i="156"/>
  <c r="AC252" i="156"/>
  <c r="AB252" i="156"/>
  <c r="AA252" i="156"/>
  <c r="Z252" i="156"/>
  <c r="Y252" i="156"/>
  <c r="X252" i="156"/>
  <c r="W252" i="156"/>
  <c r="V252" i="156"/>
  <c r="U252" i="156"/>
  <c r="T252" i="156"/>
  <c r="S252" i="156"/>
  <c r="R252" i="156"/>
  <c r="Q252" i="156"/>
  <c r="P252" i="156"/>
  <c r="O252" i="156"/>
  <c r="N252" i="156"/>
  <c r="M252" i="156"/>
  <c r="L252" i="156"/>
  <c r="K252" i="156"/>
  <c r="J252" i="156"/>
  <c r="I252" i="156"/>
  <c r="H252" i="156"/>
  <c r="G252" i="156"/>
  <c r="AG246" i="156"/>
  <c r="AF246" i="156"/>
  <c r="AE246" i="156"/>
  <c r="AD246" i="156"/>
  <c r="AC246" i="156"/>
  <c r="AB246" i="156"/>
  <c r="AA246" i="156"/>
  <c r="Z246" i="156"/>
  <c r="Y246" i="156"/>
  <c r="X246" i="156"/>
  <c r="W246" i="156"/>
  <c r="V246" i="156"/>
  <c r="U246" i="156"/>
  <c r="T246" i="156"/>
  <c r="S246" i="156"/>
  <c r="R246" i="156"/>
  <c r="Q246" i="156"/>
  <c r="P246" i="156"/>
  <c r="O246" i="156"/>
  <c r="N246" i="156"/>
  <c r="M246" i="156"/>
  <c r="L246" i="156"/>
  <c r="K246" i="156"/>
  <c r="J246" i="156"/>
  <c r="I246" i="156"/>
  <c r="H246" i="156"/>
  <c r="G246" i="156"/>
  <c r="AG240" i="156"/>
  <c r="AF240" i="156"/>
  <c r="AE240" i="156"/>
  <c r="AD240" i="156"/>
  <c r="AC240" i="156"/>
  <c r="AB240" i="156"/>
  <c r="AA240" i="156"/>
  <c r="Z240" i="156"/>
  <c r="Y240" i="156"/>
  <c r="X240" i="156"/>
  <c r="W240" i="156"/>
  <c r="V240" i="156"/>
  <c r="U240" i="156"/>
  <c r="T240" i="156"/>
  <c r="S240" i="156"/>
  <c r="R240" i="156"/>
  <c r="Q240" i="156"/>
  <c r="P240" i="156"/>
  <c r="O240" i="156"/>
  <c r="N240" i="156"/>
  <c r="M240" i="156"/>
  <c r="L240" i="156"/>
  <c r="K240" i="156"/>
  <c r="J240" i="156"/>
  <c r="I240" i="156"/>
  <c r="H240" i="156"/>
  <c r="G240" i="156"/>
  <c r="AG234" i="156"/>
  <c r="AF234" i="156"/>
  <c r="AE234" i="156"/>
  <c r="AD234" i="156"/>
  <c r="AC234" i="156"/>
  <c r="AB234" i="156"/>
  <c r="AA234" i="156"/>
  <c r="Z234" i="156"/>
  <c r="Y234" i="156"/>
  <c r="X234" i="156"/>
  <c r="W234" i="156"/>
  <c r="V234" i="156"/>
  <c r="U234" i="156"/>
  <c r="T234" i="156"/>
  <c r="S234" i="156"/>
  <c r="R234" i="156"/>
  <c r="Q234" i="156"/>
  <c r="P234" i="156"/>
  <c r="O234" i="156"/>
  <c r="N234" i="156"/>
  <c r="M234" i="156"/>
  <c r="L234" i="156"/>
  <c r="K234" i="156"/>
  <c r="J234" i="156"/>
  <c r="I234" i="156"/>
  <c r="H234" i="156"/>
  <c r="G234" i="156"/>
  <c r="AG228" i="156"/>
  <c r="AF228" i="156"/>
  <c r="AE228" i="156"/>
  <c r="AD228" i="156"/>
  <c r="AC228" i="156"/>
  <c r="AB228" i="156"/>
  <c r="AA228" i="156"/>
  <c r="Z228" i="156"/>
  <c r="Y228" i="156"/>
  <c r="X228" i="156"/>
  <c r="W228" i="156"/>
  <c r="V228" i="156"/>
  <c r="U228" i="156"/>
  <c r="T228" i="156"/>
  <c r="S228" i="156"/>
  <c r="R228" i="156"/>
  <c r="Q228" i="156"/>
  <c r="P228" i="156"/>
  <c r="O228" i="156"/>
  <c r="N228" i="156"/>
  <c r="M228" i="156"/>
  <c r="L228" i="156"/>
  <c r="K228" i="156"/>
  <c r="J228" i="156"/>
  <c r="I228" i="156"/>
  <c r="H228" i="156"/>
  <c r="G228" i="156"/>
  <c r="AG227" i="156"/>
  <c r="AF227" i="156"/>
  <c r="AE227" i="156"/>
  <c r="AD227" i="156"/>
  <c r="AC227" i="156"/>
  <c r="AB227" i="156"/>
  <c r="AA227" i="156"/>
  <c r="Z227" i="156"/>
  <c r="Y227" i="156"/>
  <c r="X227" i="156"/>
  <c r="W227" i="156"/>
  <c r="V227" i="156"/>
  <c r="U227" i="156"/>
  <c r="T227" i="156"/>
  <c r="S227" i="156"/>
  <c r="R227" i="156"/>
  <c r="Q227" i="156"/>
  <c r="P227" i="156"/>
  <c r="O227" i="156"/>
  <c r="N227" i="156"/>
  <c r="M227" i="156"/>
  <c r="L227" i="156"/>
  <c r="K227" i="156"/>
  <c r="J227" i="156"/>
  <c r="I227" i="156"/>
  <c r="H227" i="156"/>
  <c r="G227" i="156"/>
  <c r="AG226" i="156"/>
  <c r="AF226" i="156"/>
  <c r="AE226" i="156"/>
  <c r="AD226" i="156"/>
  <c r="AC226" i="156"/>
  <c r="AB226" i="156"/>
  <c r="AA226" i="156"/>
  <c r="Z226" i="156"/>
  <c r="Y226" i="156"/>
  <c r="X226" i="156"/>
  <c r="W226" i="156"/>
  <c r="V226" i="156"/>
  <c r="U226" i="156"/>
  <c r="T226" i="156"/>
  <c r="S226" i="156"/>
  <c r="R226" i="156"/>
  <c r="Q226" i="156"/>
  <c r="P226" i="156"/>
  <c r="O226" i="156"/>
  <c r="N226" i="156"/>
  <c r="M226" i="156"/>
  <c r="L226" i="156"/>
  <c r="K226" i="156"/>
  <c r="J226" i="156"/>
  <c r="I226" i="156"/>
  <c r="H226" i="156"/>
  <c r="G226" i="156"/>
  <c r="AG225" i="156"/>
  <c r="AF225" i="156"/>
  <c r="AE225" i="156"/>
  <c r="AD225" i="156"/>
  <c r="AC225" i="156"/>
  <c r="AB225" i="156"/>
  <c r="AA225" i="156"/>
  <c r="Z225" i="156"/>
  <c r="Y225" i="156"/>
  <c r="X225" i="156"/>
  <c r="W225" i="156"/>
  <c r="V225" i="156"/>
  <c r="U225" i="156"/>
  <c r="T225" i="156"/>
  <c r="S225" i="156"/>
  <c r="R225" i="156"/>
  <c r="Q225" i="156"/>
  <c r="P225" i="156"/>
  <c r="O225" i="156"/>
  <c r="N225" i="156"/>
  <c r="M225" i="156"/>
  <c r="L225" i="156"/>
  <c r="K225" i="156"/>
  <c r="J225" i="156"/>
  <c r="I225" i="156"/>
  <c r="H225" i="156"/>
  <c r="G225" i="156"/>
  <c r="AG224" i="156"/>
  <c r="AF224" i="156"/>
  <c r="AE224" i="156"/>
  <c r="AD224" i="156"/>
  <c r="AC224" i="156"/>
  <c r="AB224" i="156"/>
  <c r="AA224" i="156"/>
  <c r="Z224" i="156"/>
  <c r="Y224" i="156"/>
  <c r="X224" i="156"/>
  <c r="W224" i="156"/>
  <c r="V224" i="156"/>
  <c r="U224" i="156"/>
  <c r="T224" i="156"/>
  <c r="S224" i="156"/>
  <c r="R224" i="156"/>
  <c r="Q224" i="156"/>
  <c r="P224" i="156"/>
  <c r="O224" i="156"/>
  <c r="N224" i="156"/>
  <c r="M224" i="156"/>
  <c r="L224" i="156"/>
  <c r="K224" i="156"/>
  <c r="J224" i="156"/>
  <c r="I224" i="156"/>
  <c r="H224" i="156"/>
  <c r="G224" i="156"/>
  <c r="AG223" i="156"/>
  <c r="AF223" i="156"/>
  <c r="AE223" i="156"/>
  <c r="AD223" i="156"/>
  <c r="AC223" i="156"/>
  <c r="AB223" i="156"/>
  <c r="AA223" i="156"/>
  <c r="Z223" i="156"/>
  <c r="Y223" i="156"/>
  <c r="X223" i="156"/>
  <c r="W223" i="156"/>
  <c r="V223" i="156"/>
  <c r="U223" i="156"/>
  <c r="T223" i="156"/>
  <c r="S223" i="156"/>
  <c r="R223" i="156"/>
  <c r="Q223" i="156"/>
  <c r="P223" i="156"/>
  <c r="O223" i="156"/>
  <c r="N223" i="156"/>
  <c r="M223" i="156"/>
  <c r="L223" i="156"/>
  <c r="K223" i="156"/>
  <c r="J223" i="156"/>
  <c r="I223" i="156"/>
  <c r="H223" i="156"/>
  <c r="G223" i="156"/>
  <c r="AG222" i="156"/>
  <c r="AF222" i="156"/>
  <c r="AE222" i="156"/>
  <c r="AD222" i="156"/>
  <c r="AC222" i="156"/>
  <c r="AB222" i="156"/>
  <c r="AA222" i="156"/>
  <c r="Z222" i="156"/>
  <c r="Y222" i="156"/>
  <c r="X222" i="156"/>
  <c r="W222" i="156"/>
  <c r="V222" i="156"/>
  <c r="U222" i="156"/>
  <c r="T222" i="156"/>
  <c r="S222" i="156"/>
  <c r="R222" i="156"/>
  <c r="Q222" i="156"/>
  <c r="P222" i="156"/>
  <c r="O222" i="156"/>
  <c r="N222" i="156"/>
  <c r="M222" i="156"/>
  <c r="L222" i="156"/>
  <c r="K222" i="156"/>
  <c r="J222" i="156"/>
  <c r="I222" i="156"/>
  <c r="H222" i="156"/>
  <c r="G222" i="156"/>
  <c r="AG221" i="156"/>
  <c r="AF221" i="156"/>
  <c r="AE221" i="156"/>
  <c r="AD221" i="156"/>
  <c r="AC221" i="156"/>
  <c r="AB221" i="156"/>
  <c r="AA221" i="156"/>
  <c r="Z221" i="156"/>
  <c r="Y221" i="156"/>
  <c r="X221" i="156"/>
  <c r="W221" i="156"/>
  <c r="V221" i="156"/>
  <c r="U221" i="156"/>
  <c r="T221" i="156"/>
  <c r="S221" i="156"/>
  <c r="R221" i="156"/>
  <c r="Q221" i="156"/>
  <c r="P221" i="156"/>
  <c r="O221" i="156"/>
  <c r="N221" i="156"/>
  <c r="M221" i="156"/>
  <c r="L221" i="156"/>
  <c r="K221" i="156"/>
  <c r="J221" i="156"/>
  <c r="I221" i="156"/>
  <c r="H221" i="156"/>
  <c r="G221" i="156"/>
  <c r="AG220" i="156"/>
  <c r="AF220" i="156"/>
  <c r="AE220" i="156"/>
  <c r="AD220" i="156"/>
  <c r="AC220" i="156"/>
  <c r="AB220" i="156"/>
  <c r="AA220" i="156"/>
  <c r="Z220" i="156"/>
  <c r="Y220" i="156"/>
  <c r="X220" i="156"/>
  <c r="W220" i="156"/>
  <c r="V220" i="156"/>
  <c r="U220" i="156"/>
  <c r="T220" i="156"/>
  <c r="S220" i="156"/>
  <c r="R220" i="156"/>
  <c r="Q220" i="156"/>
  <c r="P220" i="156"/>
  <c r="O220" i="156"/>
  <c r="N220" i="156"/>
  <c r="M220" i="156"/>
  <c r="L220" i="156"/>
  <c r="K220" i="156"/>
  <c r="J220" i="156"/>
  <c r="I220" i="156"/>
  <c r="H220" i="156"/>
  <c r="G220" i="156"/>
  <c r="AG219" i="156"/>
  <c r="AF219" i="156"/>
  <c r="AE219" i="156"/>
  <c r="AD219" i="156"/>
  <c r="AC219" i="156"/>
  <c r="AB219" i="156"/>
  <c r="AA219" i="156"/>
  <c r="Z219" i="156"/>
  <c r="Y219" i="156"/>
  <c r="X219" i="156"/>
  <c r="W219" i="156"/>
  <c r="V219" i="156"/>
  <c r="U219" i="156"/>
  <c r="T219" i="156"/>
  <c r="S219" i="156"/>
  <c r="R219" i="156"/>
  <c r="Q219" i="156"/>
  <c r="P219" i="156"/>
  <c r="O219" i="156"/>
  <c r="N219" i="156"/>
  <c r="M219" i="156"/>
  <c r="L219" i="156"/>
  <c r="K219" i="156"/>
  <c r="J219" i="156"/>
  <c r="I219" i="156"/>
  <c r="H219" i="156"/>
  <c r="G219" i="156"/>
  <c r="AG218" i="156"/>
  <c r="AF218" i="156"/>
  <c r="AE218" i="156"/>
  <c r="AD218" i="156"/>
  <c r="AC218" i="156"/>
  <c r="AB218" i="156"/>
  <c r="AA218" i="156"/>
  <c r="Z218" i="156"/>
  <c r="Y218" i="156"/>
  <c r="X218" i="156"/>
  <c r="W218" i="156"/>
  <c r="V218" i="156"/>
  <c r="U218" i="156"/>
  <c r="T218" i="156"/>
  <c r="S218" i="156"/>
  <c r="R218" i="156"/>
  <c r="Q218" i="156"/>
  <c r="P218" i="156"/>
  <c r="O218" i="156"/>
  <c r="N218" i="156"/>
  <c r="M218" i="156"/>
  <c r="L218" i="156"/>
  <c r="K218" i="156"/>
  <c r="J218" i="156"/>
  <c r="I218" i="156"/>
  <c r="H218" i="156"/>
  <c r="G218" i="156"/>
  <c r="AG217" i="156"/>
  <c r="AF217" i="156"/>
  <c r="AE217" i="156"/>
  <c r="AD217" i="156"/>
  <c r="AC217" i="156"/>
  <c r="AB217" i="156"/>
  <c r="AA217" i="156"/>
  <c r="Z217" i="156"/>
  <c r="Y217" i="156"/>
  <c r="X217" i="156"/>
  <c r="W217" i="156"/>
  <c r="V217" i="156"/>
  <c r="U217" i="156"/>
  <c r="T217" i="156"/>
  <c r="S217" i="156"/>
  <c r="R217" i="156"/>
  <c r="Q217" i="156"/>
  <c r="P217" i="156"/>
  <c r="O217" i="156"/>
  <c r="N217" i="156"/>
  <c r="M217" i="156"/>
  <c r="L217" i="156"/>
  <c r="K217" i="156"/>
  <c r="J217" i="156"/>
  <c r="I217" i="156"/>
  <c r="H217" i="156"/>
  <c r="G217" i="156"/>
  <c r="AG216" i="156"/>
  <c r="AF216" i="156"/>
  <c r="AE216" i="156"/>
  <c r="AD216" i="156"/>
  <c r="AC216" i="156"/>
  <c r="AB216" i="156"/>
  <c r="AA216" i="156"/>
  <c r="Z216" i="156"/>
  <c r="Y216" i="156"/>
  <c r="X216" i="156"/>
  <c r="W216" i="156"/>
  <c r="V216" i="156"/>
  <c r="U216" i="156"/>
  <c r="T216" i="156"/>
  <c r="S216" i="156"/>
  <c r="R216" i="156"/>
  <c r="Q216" i="156"/>
  <c r="P216" i="156"/>
  <c r="O216" i="156"/>
  <c r="N216" i="156"/>
  <c r="M216" i="156"/>
  <c r="L216" i="156"/>
  <c r="K216" i="156"/>
  <c r="J216" i="156"/>
  <c r="I216" i="156"/>
  <c r="H216" i="156"/>
  <c r="G216" i="156"/>
  <c r="AG215" i="156"/>
  <c r="AF215" i="156"/>
  <c r="AE215" i="156"/>
  <c r="AD215" i="156"/>
  <c r="AC215" i="156"/>
  <c r="AB215" i="156"/>
  <c r="AA215" i="156"/>
  <c r="Z215" i="156"/>
  <c r="Y215" i="156"/>
  <c r="X215" i="156"/>
  <c r="W215" i="156"/>
  <c r="V215" i="156"/>
  <c r="U215" i="156"/>
  <c r="T215" i="156"/>
  <c r="S215" i="156"/>
  <c r="R215" i="156"/>
  <c r="Q215" i="156"/>
  <c r="P215" i="156"/>
  <c r="O215" i="156"/>
  <c r="N215" i="156"/>
  <c r="M215" i="156"/>
  <c r="L215" i="156"/>
  <c r="K215" i="156"/>
  <c r="J215" i="156"/>
  <c r="I215" i="156"/>
  <c r="H215" i="156"/>
  <c r="G215" i="156"/>
  <c r="AG214" i="156"/>
  <c r="AF214" i="156"/>
  <c r="AE214" i="156"/>
  <c r="AD214" i="156"/>
  <c r="AC214" i="156"/>
  <c r="AB214" i="156"/>
  <c r="AA214" i="156"/>
  <c r="Z214" i="156"/>
  <c r="Y214" i="156"/>
  <c r="X214" i="156"/>
  <c r="W214" i="156"/>
  <c r="V214" i="156"/>
  <c r="U214" i="156"/>
  <c r="T214" i="156"/>
  <c r="S214" i="156"/>
  <c r="R214" i="156"/>
  <c r="Q214" i="156"/>
  <c r="P214" i="156"/>
  <c r="O214" i="156"/>
  <c r="N214" i="156"/>
  <c r="M214" i="156"/>
  <c r="L214" i="156"/>
  <c r="K214" i="156"/>
  <c r="J214" i="156"/>
  <c r="I214" i="156"/>
  <c r="H214" i="156"/>
  <c r="G214" i="156"/>
  <c r="AG213" i="156"/>
  <c r="AF213" i="156"/>
  <c r="AE213" i="156"/>
  <c r="AD213" i="156"/>
  <c r="AC213" i="156"/>
  <c r="AB213" i="156"/>
  <c r="AA213" i="156"/>
  <c r="Z213" i="156"/>
  <c r="Y213" i="156"/>
  <c r="X213" i="156"/>
  <c r="W213" i="156"/>
  <c r="V213" i="156"/>
  <c r="U213" i="156"/>
  <c r="T213" i="156"/>
  <c r="S213" i="156"/>
  <c r="R213" i="156"/>
  <c r="Q213" i="156"/>
  <c r="P213" i="156"/>
  <c r="O213" i="156"/>
  <c r="N213" i="156"/>
  <c r="M213" i="156"/>
  <c r="L213" i="156"/>
  <c r="K213" i="156"/>
  <c r="J213" i="156"/>
  <c r="I213" i="156"/>
  <c r="H213" i="156"/>
  <c r="G213" i="156"/>
  <c r="AG212" i="156"/>
  <c r="AF212" i="156"/>
  <c r="AE212" i="156"/>
  <c r="AD212" i="156"/>
  <c r="AC212" i="156"/>
  <c r="AB212" i="156"/>
  <c r="AA212" i="156"/>
  <c r="Z212" i="156"/>
  <c r="Y212" i="156"/>
  <c r="X212" i="156"/>
  <c r="W212" i="156"/>
  <c r="V212" i="156"/>
  <c r="U212" i="156"/>
  <c r="T212" i="156"/>
  <c r="S212" i="156"/>
  <c r="R212" i="156"/>
  <c r="Q212" i="156"/>
  <c r="P212" i="156"/>
  <c r="O212" i="156"/>
  <c r="N212" i="156"/>
  <c r="M212" i="156"/>
  <c r="L212" i="156"/>
  <c r="K212" i="156"/>
  <c r="J212" i="156"/>
  <c r="I212" i="156"/>
  <c r="H212" i="156"/>
  <c r="G212" i="156"/>
  <c r="AG211" i="156"/>
  <c r="AF211" i="156"/>
  <c r="AE211" i="156"/>
  <c r="AD211" i="156"/>
  <c r="AC211" i="156"/>
  <c r="AB211" i="156"/>
  <c r="AA211" i="156"/>
  <c r="Z211" i="156"/>
  <c r="Y211" i="156"/>
  <c r="X211" i="156"/>
  <c r="W211" i="156"/>
  <c r="V211" i="156"/>
  <c r="U211" i="156"/>
  <c r="T211" i="156"/>
  <c r="S211" i="156"/>
  <c r="R211" i="156"/>
  <c r="Q211" i="156"/>
  <c r="P211" i="156"/>
  <c r="O211" i="156"/>
  <c r="N211" i="156"/>
  <c r="M211" i="156"/>
  <c r="L211" i="156"/>
  <c r="K211" i="156"/>
  <c r="J211" i="156"/>
  <c r="I211" i="156"/>
  <c r="H211" i="156"/>
  <c r="G211" i="156"/>
  <c r="AG210" i="156"/>
  <c r="AF210" i="156"/>
  <c r="AE210" i="156"/>
  <c r="AD210" i="156"/>
  <c r="AC210" i="156"/>
  <c r="AB210" i="156"/>
  <c r="AA210" i="156"/>
  <c r="Z210" i="156"/>
  <c r="Y210" i="156"/>
  <c r="X210" i="156"/>
  <c r="W210" i="156"/>
  <c r="V210" i="156"/>
  <c r="U210" i="156"/>
  <c r="T210" i="156"/>
  <c r="S210" i="156"/>
  <c r="R210" i="156"/>
  <c r="Q210" i="156"/>
  <c r="P210" i="156"/>
  <c r="O210" i="156"/>
  <c r="N210" i="156"/>
  <c r="M210" i="156"/>
  <c r="L210" i="156"/>
  <c r="K210" i="156"/>
  <c r="J210" i="156"/>
  <c r="I210" i="156"/>
  <c r="H210" i="156"/>
  <c r="G210" i="156"/>
  <c r="AG209" i="156"/>
  <c r="AF209" i="156"/>
  <c r="AE209" i="156"/>
  <c r="AD209" i="156"/>
  <c r="AC209" i="156"/>
  <c r="AB209" i="156"/>
  <c r="AA209" i="156"/>
  <c r="Z209" i="156"/>
  <c r="Y209" i="156"/>
  <c r="X209" i="156"/>
  <c r="W209" i="156"/>
  <c r="V209" i="156"/>
  <c r="U209" i="156"/>
  <c r="T209" i="156"/>
  <c r="S209" i="156"/>
  <c r="R209" i="156"/>
  <c r="Q209" i="156"/>
  <c r="P209" i="156"/>
  <c r="O209" i="156"/>
  <c r="N209" i="156"/>
  <c r="M209" i="156"/>
  <c r="L209" i="156"/>
  <c r="K209" i="156"/>
  <c r="J209" i="156"/>
  <c r="I209" i="156"/>
  <c r="H209" i="156"/>
  <c r="G209" i="156"/>
  <c r="AG208" i="156"/>
  <c r="AF208" i="156"/>
  <c r="AE208" i="156"/>
  <c r="AD208" i="156"/>
  <c r="AC208" i="156"/>
  <c r="AB208" i="156"/>
  <c r="AA208" i="156"/>
  <c r="Z208" i="156"/>
  <c r="Y208" i="156"/>
  <c r="X208" i="156"/>
  <c r="W208" i="156"/>
  <c r="V208" i="156"/>
  <c r="U208" i="156"/>
  <c r="T208" i="156"/>
  <c r="S208" i="156"/>
  <c r="R208" i="156"/>
  <c r="Q208" i="156"/>
  <c r="P208" i="156"/>
  <c r="O208" i="156"/>
  <c r="N208" i="156"/>
  <c r="M208" i="156"/>
  <c r="L208" i="156"/>
  <c r="K208" i="156"/>
  <c r="J208" i="156"/>
  <c r="I208" i="156"/>
  <c r="H208" i="156"/>
  <c r="G208" i="156"/>
  <c r="AG207" i="156"/>
  <c r="AF207" i="156"/>
  <c r="AE207" i="156"/>
  <c r="AD207" i="156"/>
  <c r="AC207" i="156"/>
  <c r="AB207" i="156"/>
  <c r="AA207" i="156"/>
  <c r="Z207" i="156"/>
  <c r="Y207" i="156"/>
  <c r="X207" i="156"/>
  <c r="W207" i="156"/>
  <c r="V207" i="156"/>
  <c r="U207" i="156"/>
  <c r="T207" i="156"/>
  <c r="S207" i="156"/>
  <c r="R207" i="156"/>
  <c r="Q207" i="156"/>
  <c r="P207" i="156"/>
  <c r="O207" i="156"/>
  <c r="N207" i="156"/>
  <c r="M207" i="156"/>
  <c r="L207" i="156"/>
  <c r="K207" i="156"/>
  <c r="J207" i="156"/>
  <c r="I207" i="156"/>
  <c r="H207" i="156"/>
  <c r="G207" i="156"/>
  <c r="AG206" i="156"/>
  <c r="AF206" i="156"/>
  <c r="AE206" i="156"/>
  <c r="AD206" i="156"/>
  <c r="AC206" i="156"/>
  <c r="AB206" i="156"/>
  <c r="AA206" i="156"/>
  <c r="Z206" i="156"/>
  <c r="Y206" i="156"/>
  <c r="X206" i="156"/>
  <c r="W206" i="156"/>
  <c r="V206" i="156"/>
  <c r="U206" i="156"/>
  <c r="T206" i="156"/>
  <c r="S206" i="156"/>
  <c r="R206" i="156"/>
  <c r="Q206" i="156"/>
  <c r="P206" i="156"/>
  <c r="O206" i="156"/>
  <c r="N206" i="156"/>
  <c r="M206" i="156"/>
  <c r="L206" i="156"/>
  <c r="K206" i="156"/>
  <c r="J206" i="156"/>
  <c r="I206" i="156"/>
  <c r="H206" i="156"/>
  <c r="G206" i="156"/>
  <c r="AG205" i="156"/>
  <c r="AF205" i="156"/>
  <c r="AE205" i="156"/>
  <c r="AD205" i="156"/>
  <c r="AC205" i="156"/>
  <c r="AB205" i="156"/>
  <c r="AA205" i="156"/>
  <c r="Z205" i="156"/>
  <c r="Y205" i="156"/>
  <c r="X205" i="156"/>
  <c r="W205" i="156"/>
  <c r="V205" i="156"/>
  <c r="U205" i="156"/>
  <c r="T205" i="156"/>
  <c r="S205" i="156"/>
  <c r="R205" i="156"/>
  <c r="Q205" i="156"/>
  <c r="P205" i="156"/>
  <c r="O205" i="156"/>
  <c r="N205" i="156"/>
  <c r="M205" i="156"/>
  <c r="L205" i="156"/>
  <c r="K205" i="156"/>
  <c r="J205" i="156"/>
  <c r="I205" i="156"/>
  <c r="H205" i="156"/>
  <c r="G205" i="156"/>
  <c r="AG204" i="156"/>
  <c r="AF204" i="156"/>
  <c r="AE204" i="156"/>
  <c r="AD204" i="156"/>
  <c r="AC204" i="156"/>
  <c r="AB204" i="156"/>
  <c r="AA204" i="156"/>
  <c r="Z204" i="156"/>
  <c r="Y204" i="156"/>
  <c r="X204" i="156"/>
  <c r="W204" i="156"/>
  <c r="V204" i="156"/>
  <c r="U204" i="156"/>
  <c r="T204" i="156"/>
  <c r="S204" i="156"/>
  <c r="R204" i="156"/>
  <c r="Q204" i="156"/>
  <c r="P204" i="156"/>
  <c r="O204" i="156"/>
  <c r="N204" i="156"/>
  <c r="M204" i="156"/>
  <c r="L204" i="156"/>
  <c r="K204" i="156"/>
  <c r="J204" i="156"/>
  <c r="I204" i="156"/>
  <c r="H204" i="156"/>
  <c r="G204" i="156"/>
  <c r="AG203" i="156"/>
  <c r="AF203" i="156"/>
  <c r="AE203" i="156"/>
  <c r="AD203" i="156"/>
  <c r="AC203" i="156"/>
  <c r="AB203" i="156"/>
  <c r="AA203" i="156"/>
  <c r="Z203" i="156"/>
  <c r="Y203" i="156"/>
  <c r="X203" i="156"/>
  <c r="W203" i="156"/>
  <c r="V203" i="156"/>
  <c r="U203" i="156"/>
  <c r="T203" i="156"/>
  <c r="S203" i="156"/>
  <c r="R203" i="156"/>
  <c r="Q203" i="156"/>
  <c r="P203" i="156"/>
  <c r="O203" i="156"/>
  <c r="N203" i="156"/>
  <c r="M203" i="156"/>
  <c r="L203" i="156"/>
  <c r="K203" i="156"/>
  <c r="J203" i="156"/>
  <c r="I203" i="156"/>
  <c r="H203" i="156"/>
  <c r="G203" i="156"/>
  <c r="AG202" i="156"/>
  <c r="AF202" i="156"/>
  <c r="AE202" i="156"/>
  <c r="AD202" i="156"/>
  <c r="AC202" i="156"/>
  <c r="AB202" i="156"/>
  <c r="AA202" i="156"/>
  <c r="Z202" i="156"/>
  <c r="Y202" i="156"/>
  <c r="X202" i="156"/>
  <c r="W202" i="156"/>
  <c r="V202" i="156"/>
  <c r="U202" i="156"/>
  <c r="T202" i="156"/>
  <c r="S202" i="156"/>
  <c r="R202" i="156"/>
  <c r="Q202" i="156"/>
  <c r="P202" i="156"/>
  <c r="O202" i="156"/>
  <c r="N202" i="156"/>
  <c r="M202" i="156"/>
  <c r="L202" i="156"/>
  <c r="K202" i="156"/>
  <c r="J202" i="156"/>
  <c r="I202" i="156"/>
  <c r="H202" i="156"/>
  <c r="G202" i="156"/>
  <c r="AG201" i="156"/>
  <c r="AF201" i="156"/>
  <c r="AE201" i="156"/>
  <c r="AD201" i="156"/>
  <c r="AC201" i="156"/>
  <c r="AB201" i="156"/>
  <c r="AA201" i="156"/>
  <c r="Z201" i="156"/>
  <c r="Y201" i="156"/>
  <c r="X201" i="156"/>
  <c r="W201" i="156"/>
  <c r="V201" i="156"/>
  <c r="U201" i="156"/>
  <c r="T201" i="156"/>
  <c r="S201" i="156"/>
  <c r="R201" i="156"/>
  <c r="Q201" i="156"/>
  <c r="P201" i="156"/>
  <c r="O201" i="156"/>
  <c r="N201" i="156"/>
  <c r="M201" i="156"/>
  <c r="L201" i="156"/>
  <c r="K201" i="156"/>
  <c r="J201" i="156"/>
  <c r="I201" i="156"/>
  <c r="H201" i="156"/>
  <c r="G201" i="156"/>
  <c r="AG200" i="156"/>
  <c r="AF200" i="156"/>
  <c r="AE200" i="156"/>
  <c r="AD200" i="156"/>
  <c r="AC200" i="156"/>
  <c r="AB200" i="156"/>
  <c r="AA200" i="156"/>
  <c r="Z200" i="156"/>
  <c r="Y200" i="156"/>
  <c r="X200" i="156"/>
  <c r="W200" i="156"/>
  <c r="V200" i="156"/>
  <c r="U200" i="156"/>
  <c r="T200" i="156"/>
  <c r="S200" i="156"/>
  <c r="R200" i="156"/>
  <c r="Q200" i="156"/>
  <c r="P200" i="156"/>
  <c r="O200" i="156"/>
  <c r="N200" i="156"/>
  <c r="M200" i="156"/>
  <c r="L200" i="156"/>
  <c r="K200" i="156"/>
  <c r="J200" i="156"/>
  <c r="I200" i="156"/>
  <c r="H200" i="156"/>
  <c r="G200" i="156"/>
  <c r="AG199" i="156"/>
  <c r="AF199" i="156"/>
  <c r="AE199" i="156"/>
  <c r="AD199" i="156"/>
  <c r="AC199" i="156"/>
  <c r="AB199" i="156"/>
  <c r="AA199" i="156"/>
  <c r="Z199" i="156"/>
  <c r="Y199" i="156"/>
  <c r="X199" i="156"/>
  <c r="W199" i="156"/>
  <c r="V199" i="156"/>
  <c r="U199" i="156"/>
  <c r="T199" i="156"/>
  <c r="S199" i="156"/>
  <c r="R199" i="156"/>
  <c r="Q199" i="156"/>
  <c r="P199" i="156"/>
  <c r="O199" i="156"/>
  <c r="N199" i="156"/>
  <c r="M199" i="156"/>
  <c r="L199" i="156"/>
  <c r="K199" i="156"/>
  <c r="J199" i="156"/>
  <c r="I199" i="156"/>
  <c r="H199" i="156"/>
  <c r="G199" i="156"/>
  <c r="AG198" i="156"/>
  <c r="AF198" i="156"/>
  <c r="AE198" i="156"/>
  <c r="AD198" i="156"/>
  <c r="AC198" i="156"/>
  <c r="AB198" i="156"/>
  <c r="AA198" i="156"/>
  <c r="Z198" i="156"/>
  <c r="Y198" i="156"/>
  <c r="X198" i="156"/>
  <c r="W198" i="156"/>
  <c r="V198" i="156"/>
  <c r="U198" i="156"/>
  <c r="T198" i="156"/>
  <c r="S198" i="156"/>
  <c r="R198" i="156"/>
  <c r="Q198" i="156"/>
  <c r="P198" i="156"/>
  <c r="O198" i="156"/>
  <c r="N198" i="156"/>
  <c r="M198" i="156"/>
  <c r="L198" i="156"/>
  <c r="K198" i="156"/>
  <c r="J198" i="156"/>
  <c r="I198" i="156"/>
  <c r="H198" i="156"/>
  <c r="G198" i="156"/>
  <c r="AG197" i="156"/>
  <c r="AF197" i="156"/>
  <c r="AE197" i="156"/>
  <c r="AD197" i="156"/>
  <c r="AC197" i="156"/>
  <c r="AB197" i="156"/>
  <c r="AA197" i="156"/>
  <c r="Z197" i="156"/>
  <c r="Y197" i="156"/>
  <c r="X197" i="156"/>
  <c r="W197" i="156"/>
  <c r="V197" i="156"/>
  <c r="U197" i="156"/>
  <c r="T197" i="156"/>
  <c r="S197" i="156"/>
  <c r="R197" i="156"/>
  <c r="Q197" i="156"/>
  <c r="P197" i="156"/>
  <c r="O197" i="156"/>
  <c r="N197" i="156"/>
  <c r="M197" i="156"/>
  <c r="L197" i="156"/>
  <c r="K197" i="156"/>
  <c r="J197" i="156"/>
  <c r="I197" i="156"/>
  <c r="H197" i="156"/>
  <c r="G197" i="156"/>
  <c r="AG196" i="156"/>
  <c r="AF196" i="156"/>
  <c r="AE196" i="156"/>
  <c r="AD196" i="156"/>
  <c r="AC196" i="156"/>
  <c r="AB196" i="156"/>
  <c r="AA196" i="156"/>
  <c r="Z196" i="156"/>
  <c r="Y196" i="156"/>
  <c r="X196" i="156"/>
  <c r="W196" i="156"/>
  <c r="V196" i="156"/>
  <c r="U196" i="156"/>
  <c r="T196" i="156"/>
  <c r="S196" i="156"/>
  <c r="R196" i="156"/>
  <c r="Q196" i="156"/>
  <c r="P196" i="156"/>
  <c r="O196" i="156"/>
  <c r="N196" i="156"/>
  <c r="M196" i="156"/>
  <c r="L196" i="156"/>
  <c r="K196" i="156"/>
  <c r="J196" i="156"/>
  <c r="I196" i="156"/>
  <c r="H196" i="156"/>
  <c r="G196" i="156"/>
  <c r="AG195" i="156"/>
  <c r="AF195" i="156"/>
  <c r="AE195" i="156"/>
  <c r="AD195" i="156"/>
  <c r="AC195" i="156"/>
  <c r="AB195" i="156"/>
  <c r="AA195" i="156"/>
  <c r="Z195" i="156"/>
  <c r="Y195" i="156"/>
  <c r="X195" i="156"/>
  <c r="W195" i="156"/>
  <c r="V195" i="156"/>
  <c r="U195" i="156"/>
  <c r="T195" i="156"/>
  <c r="S195" i="156"/>
  <c r="R195" i="156"/>
  <c r="Q195" i="156"/>
  <c r="P195" i="156"/>
  <c r="O195" i="156"/>
  <c r="N195" i="156"/>
  <c r="M195" i="156"/>
  <c r="L195" i="156"/>
  <c r="K195" i="156"/>
  <c r="J195" i="156"/>
  <c r="I195" i="156"/>
  <c r="H195" i="156"/>
  <c r="G195" i="156"/>
  <c r="AG194" i="156"/>
  <c r="AF194" i="156"/>
  <c r="AE194" i="156"/>
  <c r="AD194" i="156"/>
  <c r="AC194" i="156"/>
  <c r="AB194" i="156"/>
  <c r="AA194" i="156"/>
  <c r="Z194" i="156"/>
  <c r="Y194" i="156"/>
  <c r="X194" i="156"/>
  <c r="W194" i="156"/>
  <c r="V194" i="156"/>
  <c r="U194" i="156"/>
  <c r="T194" i="156"/>
  <c r="S194" i="156"/>
  <c r="R194" i="156"/>
  <c r="Q194" i="156"/>
  <c r="P194" i="156"/>
  <c r="O194" i="156"/>
  <c r="N194" i="156"/>
  <c r="M194" i="156"/>
  <c r="L194" i="156"/>
  <c r="K194" i="156"/>
  <c r="J194" i="156"/>
  <c r="I194" i="156"/>
  <c r="H194" i="156"/>
  <c r="G194" i="156"/>
  <c r="AG193" i="156"/>
  <c r="AF193" i="156"/>
  <c r="AE193" i="156"/>
  <c r="AD193" i="156"/>
  <c r="AC193" i="156"/>
  <c r="AB193" i="156"/>
  <c r="AA193" i="156"/>
  <c r="Z193" i="156"/>
  <c r="Y193" i="156"/>
  <c r="X193" i="156"/>
  <c r="W193" i="156"/>
  <c r="V193" i="156"/>
  <c r="U193" i="156"/>
  <c r="T193" i="156"/>
  <c r="S193" i="156"/>
  <c r="R193" i="156"/>
  <c r="Q193" i="156"/>
  <c r="P193" i="156"/>
  <c r="O193" i="156"/>
  <c r="N193" i="156"/>
  <c r="M193" i="156"/>
  <c r="L193" i="156"/>
  <c r="K193" i="156"/>
  <c r="J193" i="156"/>
  <c r="I193" i="156"/>
  <c r="H193" i="156"/>
  <c r="G193" i="156"/>
  <c r="AG192" i="156"/>
  <c r="AF192" i="156"/>
  <c r="AE192" i="156"/>
  <c r="AD192" i="156"/>
  <c r="AC192" i="156"/>
  <c r="AB192" i="156"/>
  <c r="AA192" i="156"/>
  <c r="Z192" i="156"/>
  <c r="Y192" i="156"/>
  <c r="X192" i="156"/>
  <c r="W192" i="156"/>
  <c r="V192" i="156"/>
  <c r="U192" i="156"/>
  <c r="T192" i="156"/>
  <c r="S192" i="156"/>
  <c r="R192" i="156"/>
  <c r="Q192" i="156"/>
  <c r="P192" i="156"/>
  <c r="O192" i="156"/>
  <c r="N192" i="156"/>
  <c r="M192" i="156"/>
  <c r="L192" i="156"/>
  <c r="K192" i="156"/>
  <c r="J192" i="156"/>
  <c r="I192" i="156"/>
  <c r="H192" i="156"/>
  <c r="G192" i="156"/>
  <c r="AG191" i="156"/>
  <c r="AF191" i="156"/>
  <c r="AE191" i="156"/>
  <c r="AD191" i="156"/>
  <c r="AC191" i="156"/>
  <c r="AB191" i="156"/>
  <c r="AA191" i="156"/>
  <c r="Z191" i="156"/>
  <c r="Y191" i="156"/>
  <c r="X191" i="156"/>
  <c r="W191" i="156"/>
  <c r="V191" i="156"/>
  <c r="U191" i="156"/>
  <c r="T191" i="156"/>
  <c r="S191" i="156"/>
  <c r="R191" i="156"/>
  <c r="Q191" i="156"/>
  <c r="P191" i="156"/>
  <c r="O191" i="156"/>
  <c r="N191" i="156"/>
  <c r="M191" i="156"/>
  <c r="L191" i="156"/>
  <c r="K191" i="156"/>
  <c r="J191" i="156"/>
  <c r="I191" i="156"/>
  <c r="H191" i="156"/>
  <c r="G191" i="156"/>
  <c r="AG190" i="156"/>
  <c r="AF190" i="156"/>
  <c r="AE190" i="156"/>
  <c r="AD190" i="156"/>
  <c r="AC190" i="156"/>
  <c r="AB190" i="156"/>
  <c r="AA190" i="156"/>
  <c r="Z190" i="156"/>
  <c r="Y190" i="156"/>
  <c r="X190" i="156"/>
  <c r="W190" i="156"/>
  <c r="V190" i="156"/>
  <c r="U190" i="156"/>
  <c r="T190" i="156"/>
  <c r="S190" i="156"/>
  <c r="R190" i="156"/>
  <c r="Q190" i="156"/>
  <c r="P190" i="156"/>
  <c r="O190" i="156"/>
  <c r="N190" i="156"/>
  <c r="M190" i="156"/>
  <c r="L190" i="156"/>
  <c r="K190" i="156"/>
  <c r="J190" i="156"/>
  <c r="I190" i="156"/>
  <c r="H190" i="156"/>
  <c r="G190" i="156"/>
  <c r="AG189" i="156"/>
  <c r="AF189" i="156"/>
  <c r="AE189" i="156"/>
  <c r="AD189" i="156"/>
  <c r="AC189" i="156"/>
  <c r="AB189" i="156"/>
  <c r="AA189" i="156"/>
  <c r="Z189" i="156"/>
  <c r="Y189" i="156"/>
  <c r="X189" i="156"/>
  <c r="W189" i="156"/>
  <c r="V189" i="156"/>
  <c r="U189" i="156"/>
  <c r="T189" i="156"/>
  <c r="S189" i="156"/>
  <c r="R189" i="156"/>
  <c r="Q189" i="156"/>
  <c r="P189" i="156"/>
  <c r="O189" i="156"/>
  <c r="N189" i="156"/>
  <c r="M189" i="156"/>
  <c r="L189" i="156"/>
  <c r="K189" i="156"/>
  <c r="J189" i="156"/>
  <c r="I189" i="156"/>
  <c r="H189" i="156"/>
  <c r="G189" i="156"/>
  <c r="AG188" i="156"/>
  <c r="AF188" i="156"/>
  <c r="AE188" i="156"/>
  <c r="AD188" i="156"/>
  <c r="AC188" i="156"/>
  <c r="AB188" i="156"/>
  <c r="AA188" i="156"/>
  <c r="Z188" i="156"/>
  <c r="Y188" i="156"/>
  <c r="X188" i="156"/>
  <c r="W188" i="156"/>
  <c r="V188" i="156"/>
  <c r="U188" i="156"/>
  <c r="T188" i="156"/>
  <c r="S188" i="156"/>
  <c r="R188" i="156"/>
  <c r="Q188" i="156"/>
  <c r="P188" i="156"/>
  <c r="O188" i="156"/>
  <c r="N188" i="156"/>
  <c r="M188" i="156"/>
  <c r="L188" i="156"/>
  <c r="K188" i="156"/>
  <c r="J188" i="156"/>
  <c r="I188" i="156"/>
  <c r="H188" i="156"/>
  <c r="G188" i="156"/>
  <c r="AG187" i="156"/>
  <c r="AF187" i="156"/>
  <c r="AE187" i="156"/>
  <c r="AD187" i="156"/>
  <c r="AC187" i="156"/>
  <c r="AB187" i="156"/>
  <c r="AA187" i="156"/>
  <c r="Z187" i="156"/>
  <c r="Y187" i="156"/>
  <c r="X187" i="156"/>
  <c r="W187" i="156"/>
  <c r="V187" i="156"/>
  <c r="U187" i="156"/>
  <c r="T187" i="156"/>
  <c r="S187" i="156"/>
  <c r="R187" i="156"/>
  <c r="Q187" i="156"/>
  <c r="P187" i="156"/>
  <c r="O187" i="156"/>
  <c r="N187" i="156"/>
  <c r="M187" i="156"/>
  <c r="L187" i="156"/>
  <c r="K187" i="156"/>
  <c r="J187" i="156"/>
  <c r="I187" i="156"/>
  <c r="H187" i="156"/>
  <c r="G187" i="156"/>
  <c r="AG186" i="156"/>
  <c r="AF186" i="156"/>
  <c r="AE186" i="156"/>
  <c r="AD186" i="156"/>
  <c r="AC186" i="156"/>
  <c r="AB186" i="156"/>
  <c r="AA186" i="156"/>
  <c r="Z186" i="156"/>
  <c r="Y186" i="156"/>
  <c r="X186" i="156"/>
  <c r="W186" i="156"/>
  <c r="V186" i="156"/>
  <c r="U186" i="156"/>
  <c r="T186" i="156"/>
  <c r="S186" i="156"/>
  <c r="R186" i="156"/>
  <c r="Q186" i="156"/>
  <c r="P186" i="156"/>
  <c r="O186" i="156"/>
  <c r="N186" i="156"/>
  <c r="M186" i="156"/>
  <c r="L186" i="156"/>
  <c r="K186" i="156"/>
  <c r="J186" i="156"/>
  <c r="I186" i="156"/>
  <c r="H186" i="156"/>
  <c r="G186" i="156"/>
  <c r="AG185" i="156"/>
  <c r="AF185" i="156"/>
  <c r="AE185" i="156"/>
  <c r="AD185" i="156"/>
  <c r="AC185" i="156"/>
  <c r="AB185" i="156"/>
  <c r="AA185" i="156"/>
  <c r="Z185" i="156"/>
  <c r="Y185" i="156"/>
  <c r="X185" i="156"/>
  <c r="W185" i="156"/>
  <c r="V185" i="156"/>
  <c r="U185" i="156"/>
  <c r="T185" i="156"/>
  <c r="S185" i="156"/>
  <c r="R185" i="156"/>
  <c r="Q185" i="156"/>
  <c r="P185" i="156"/>
  <c r="O185" i="156"/>
  <c r="N185" i="156"/>
  <c r="M185" i="156"/>
  <c r="L185" i="156"/>
  <c r="K185" i="156"/>
  <c r="J185" i="156"/>
  <c r="I185" i="156"/>
  <c r="H185" i="156"/>
  <c r="G185" i="156"/>
  <c r="AG184" i="156"/>
  <c r="AF184" i="156"/>
  <c r="AE184" i="156"/>
  <c r="AD184" i="156"/>
  <c r="AC184" i="156"/>
  <c r="AB184" i="156"/>
  <c r="AA184" i="156"/>
  <c r="Z184" i="156"/>
  <c r="Y184" i="156"/>
  <c r="X184" i="156"/>
  <c r="W184" i="156"/>
  <c r="V184" i="156"/>
  <c r="U184" i="156"/>
  <c r="T184" i="156"/>
  <c r="S184" i="156"/>
  <c r="R184" i="156"/>
  <c r="Q184" i="156"/>
  <c r="P184" i="156"/>
  <c r="O184" i="156"/>
  <c r="N184" i="156"/>
  <c r="M184" i="156"/>
  <c r="L184" i="156"/>
  <c r="K184" i="156"/>
  <c r="J184" i="156"/>
  <c r="I184" i="156"/>
  <c r="H184" i="156"/>
  <c r="G184" i="156"/>
  <c r="AG183" i="156"/>
  <c r="AF183" i="156"/>
  <c r="AE183" i="156"/>
  <c r="AD183" i="156"/>
  <c r="AC183" i="156"/>
  <c r="AB183" i="156"/>
  <c r="AA183" i="156"/>
  <c r="Z183" i="156"/>
  <c r="Y183" i="156"/>
  <c r="X183" i="156"/>
  <c r="W183" i="156"/>
  <c r="V183" i="156"/>
  <c r="U183" i="156"/>
  <c r="T183" i="156"/>
  <c r="S183" i="156"/>
  <c r="R183" i="156"/>
  <c r="Q183" i="156"/>
  <c r="P183" i="156"/>
  <c r="O183" i="156"/>
  <c r="N183" i="156"/>
  <c r="M183" i="156"/>
  <c r="L183" i="156"/>
  <c r="K183" i="156"/>
  <c r="J183" i="156"/>
  <c r="I183" i="156"/>
  <c r="H183" i="156"/>
  <c r="G183" i="156"/>
  <c r="AG182" i="156"/>
  <c r="AF182" i="156"/>
  <c r="AE182" i="156"/>
  <c r="AD182" i="156"/>
  <c r="AC182" i="156"/>
  <c r="AB182" i="156"/>
  <c r="AA182" i="156"/>
  <c r="Z182" i="156"/>
  <c r="Y182" i="156"/>
  <c r="X182" i="156"/>
  <c r="W182" i="156"/>
  <c r="V182" i="156"/>
  <c r="U182" i="156"/>
  <c r="T182" i="156"/>
  <c r="S182" i="156"/>
  <c r="R182" i="156"/>
  <c r="Q182" i="156"/>
  <c r="P182" i="156"/>
  <c r="O182" i="156"/>
  <c r="N182" i="156"/>
  <c r="M182" i="156"/>
  <c r="L182" i="156"/>
  <c r="K182" i="156"/>
  <c r="J182" i="156"/>
  <c r="I182" i="156"/>
  <c r="H182" i="156"/>
  <c r="G182" i="156"/>
  <c r="AG181" i="156"/>
  <c r="AF181" i="156"/>
  <c r="AE181" i="156"/>
  <c r="AD181" i="156"/>
  <c r="AC181" i="156"/>
  <c r="AB181" i="156"/>
  <c r="AA181" i="156"/>
  <c r="Z181" i="156"/>
  <c r="Y181" i="156"/>
  <c r="X181" i="156"/>
  <c r="W181" i="156"/>
  <c r="V181" i="156"/>
  <c r="U181" i="156"/>
  <c r="T181" i="156"/>
  <c r="S181" i="156"/>
  <c r="R181" i="156"/>
  <c r="Q181" i="156"/>
  <c r="P181" i="156"/>
  <c r="O181" i="156"/>
  <c r="N181" i="156"/>
  <c r="M181" i="156"/>
  <c r="L181" i="156"/>
  <c r="K181" i="156"/>
  <c r="J181" i="156"/>
  <c r="I181" i="156"/>
  <c r="H181" i="156"/>
  <c r="G181" i="156"/>
  <c r="AG180" i="156"/>
  <c r="AF180" i="156"/>
  <c r="AE180" i="156"/>
  <c r="AD180" i="156"/>
  <c r="AC180" i="156"/>
  <c r="AB180" i="156"/>
  <c r="AA180" i="156"/>
  <c r="Z180" i="156"/>
  <c r="Y180" i="156"/>
  <c r="X180" i="156"/>
  <c r="W180" i="156"/>
  <c r="V180" i="156"/>
  <c r="U180" i="156"/>
  <c r="T180" i="156"/>
  <c r="S180" i="156"/>
  <c r="R180" i="156"/>
  <c r="Q180" i="156"/>
  <c r="P180" i="156"/>
  <c r="O180" i="156"/>
  <c r="N180" i="156"/>
  <c r="M180" i="156"/>
  <c r="L180" i="156"/>
  <c r="K180" i="156"/>
  <c r="J180" i="156"/>
  <c r="I180" i="156"/>
  <c r="H180" i="156"/>
  <c r="G180" i="156"/>
  <c r="AG179" i="156"/>
  <c r="AF179" i="156"/>
  <c r="AE179" i="156"/>
  <c r="AD179" i="156"/>
  <c r="AC179" i="156"/>
  <c r="AB179" i="156"/>
  <c r="AA179" i="156"/>
  <c r="Z179" i="156"/>
  <c r="Y179" i="156"/>
  <c r="X179" i="156"/>
  <c r="W179" i="156"/>
  <c r="V179" i="156"/>
  <c r="U179" i="156"/>
  <c r="T179" i="156"/>
  <c r="S179" i="156"/>
  <c r="R179" i="156"/>
  <c r="Q179" i="156"/>
  <c r="P179" i="156"/>
  <c r="O179" i="156"/>
  <c r="N179" i="156"/>
  <c r="M179" i="156"/>
  <c r="L179" i="156"/>
  <c r="K179" i="156"/>
  <c r="J179" i="156"/>
  <c r="I179" i="156"/>
  <c r="H179" i="156"/>
  <c r="G179" i="156"/>
  <c r="AG178" i="156"/>
  <c r="AF178" i="156"/>
  <c r="AE178" i="156"/>
  <c r="AD178" i="156"/>
  <c r="AC178" i="156"/>
  <c r="AB178" i="156"/>
  <c r="AA178" i="156"/>
  <c r="Z178" i="156"/>
  <c r="Y178" i="156"/>
  <c r="X178" i="156"/>
  <c r="W178" i="156"/>
  <c r="V178" i="156"/>
  <c r="U178" i="156"/>
  <c r="T178" i="156"/>
  <c r="S178" i="156"/>
  <c r="R178" i="156"/>
  <c r="Q178" i="156"/>
  <c r="P178" i="156"/>
  <c r="O178" i="156"/>
  <c r="N178" i="156"/>
  <c r="M178" i="156"/>
  <c r="L178" i="156"/>
  <c r="K178" i="156"/>
  <c r="J178" i="156"/>
  <c r="I178" i="156"/>
  <c r="H178" i="156"/>
  <c r="G178" i="156"/>
  <c r="AG177" i="156"/>
  <c r="AF177" i="156"/>
  <c r="AE177" i="156"/>
  <c r="AD177" i="156"/>
  <c r="AC177" i="156"/>
  <c r="AB177" i="156"/>
  <c r="AA177" i="156"/>
  <c r="Z177" i="156"/>
  <c r="Y177" i="156"/>
  <c r="X177" i="156"/>
  <c r="W177" i="156"/>
  <c r="V177" i="156"/>
  <c r="U177" i="156"/>
  <c r="T177" i="156"/>
  <c r="S177" i="156"/>
  <c r="R177" i="156"/>
  <c r="Q177" i="156"/>
  <c r="P177" i="156"/>
  <c r="O177" i="156"/>
  <c r="N177" i="156"/>
  <c r="M177" i="156"/>
  <c r="L177" i="156"/>
  <c r="K177" i="156"/>
  <c r="J177" i="156"/>
  <c r="I177" i="156"/>
  <c r="H177" i="156"/>
  <c r="G177" i="156"/>
  <c r="AG176" i="156"/>
  <c r="AF176" i="156"/>
  <c r="AE176" i="156"/>
  <c r="AD176" i="156"/>
  <c r="AC176" i="156"/>
  <c r="AB176" i="156"/>
  <c r="AA176" i="156"/>
  <c r="Z176" i="156"/>
  <c r="Y176" i="156"/>
  <c r="X176" i="156"/>
  <c r="W176" i="156"/>
  <c r="V176" i="156"/>
  <c r="U176" i="156"/>
  <c r="T176" i="156"/>
  <c r="S176" i="156"/>
  <c r="R176" i="156"/>
  <c r="Q176" i="156"/>
  <c r="P176" i="156"/>
  <c r="O176" i="156"/>
  <c r="N176" i="156"/>
  <c r="M176" i="156"/>
  <c r="L176" i="156"/>
  <c r="K176" i="156"/>
  <c r="J176" i="156"/>
  <c r="I176" i="156"/>
  <c r="H176" i="156"/>
  <c r="G176" i="156"/>
  <c r="AG175" i="156"/>
  <c r="AF175" i="156"/>
  <c r="AE175" i="156"/>
  <c r="AD175" i="156"/>
  <c r="AC175" i="156"/>
  <c r="AB175" i="156"/>
  <c r="AA175" i="156"/>
  <c r="Z175" i="156"/>
  <c r="Y175" i="156"/>
  <c r="X175" i="156"/>
  <c r="W175" i="156"/>
  <c r="V175" i="156"/>
  <c r="U175" i="156"/>
  <c r="T175" i="156"/>
  <c r="S175" i="156"/>
  <c r="R175" i="156"/>
  <c r="Q175" i="156"/>
  <c r="P175" i="156"/>
  <c r="O175" i="156"/>
  <c r="N175" i="156"/>
  <c r="M175" i="156"/>
  <c r="L175" i="156"/>
  <c r="K175" i="156"/>
  <c r="J175" i="156"/>
  <c r="I175" i="156"/>
  <c r="H175" i="156"/>
  <c r="G175" i="156"/>
  <c r="AG174" i="156"/>
  <c r="AF174" i="156"/>
  <c r="AE174" i="156"/>
  <c r="AD174" i="156"/>
  <c r="AC174" i="156"/>
  <c r="AB174" i="156"/>
  <c r="AA174" i="156"/>
  <c r="Z174" i="156"/>
  <c r="Y174" i="156"/>
  <c r="X174" i="156"/>
  <c r="W174" i="156"/>
  <c r="V174" i="156"/>
  <c r="U174" i="156"/>
  <c r="T174" i="156"/>
  <c r="S174" i="156"/>
  <c r="R174" i="156"/>
  <c r="Q174" i="156"/>
  <c r="P174" i="156"/>
  <c r="O174" i="156"/>
  <c r="N174" i="156"/>
  <c r="M174" i="156"/>
  <c r="L174" i="156"/>
  <c r="K174" i="156"/>
  <c r="J174" i="156"/>
  <c r="I174" i="156"/>
  <c r="H174" i="156"/>
  <c r="G174" i="156"/>
  <c r="AG173" i="156"/>
  <c r="AF173" i="156"/>
  <c r="AE173" i="156"/>
  <c r="AD173" i="156"/>
  <c r="AC173" i="156"/>
  <c r="AB173" i="156"/>
  <c r="AA173" i="156"/>
  <c r="Z173" i="156"/>
  <c r="Y173" i="156"/>
  <c r="X173" i="156"/>
  <c r="W173" i="156"/>
  <c r="V173" i="156"/>
  <c r="U173" i="156"/>
  <c r="T173" i="156"/>
  <c r="S173" i="156"/>
  <c r="R173" i="156"/>
  <c r="Q173" i="156"/>
  <c r="P173" i="156"/>
  <c r="O173" i="156"/>
  <c r="N173" i="156"/>
  <c r="M173" i="156"/>
  <c r="L173" i="156"/>
  <c r="K173" i="156"/>
  <c r="J173" i="156"/>
  <c r="I173" i="156"/>
  <c r="H173" i="156"/>
  <c r="G173" i="156"/>
  <c r="AG172" i="156"/>
  <c r="AF172" i="156"/>
  <c r="AE172" i="156"/>
  <c r="AD172" i="156"/>
  <c r="AC172" i="156"/>
  <c r="AB172" i="156"/>
  <c r="AA172" i="156"/>
  <c r="Z172" i="156"/>
  <c r="Y172" i="156"/>
  <c r="X172" i="156"/>
  <c r="W172" i="156"/>
  <c r="V172" i="156"/>
  <c r="U172" i="156"/>
  <c r="T172" i="156"/>
  <c r="S172" i="156"/>
  <c r="R172" i="156"/>
  <c r="Q172" i="156"/>
  <c r="P172" i="156"/>
  <c r="O172" i="156"/>
  <c r="N172" i="156"/>
  <c r="M172" i="156"/>
  <c r="L172" i="156"/>
  <c r="K172" i="156"/>
  <c r="J172" i="156"/>
  <c r="I172" i="156"/>
  <c r="H172" i="156"/>
  <c r="G172" i="156"/>
  <c r="AG171" i="156"/>
  <c r="AF171" i="156"/>
  <c r="AE171" i="156"/>
  <c r="AD171" i="156"/>
  <c r="AC171" i="156"/>
  <c r="AB171" i="156"/>
  <c r="AA171" i="156"/>
  <c r="Z171" i="156"/>
  <c r="Y171" i="156"/>
  <c r="X171" i="156"/>
  <c r="W171" i="156"/>
  <c r="V171" i="156"/>
  <c r="U171" i="156"/>
  <c r="T171" i="156"/>
  <c r="S171" i="156"/>
  <c r="R171" i="156"/>
  <c r="Q171" i="156"/>
  <c r="P171" i="156"/>
  <c r="O171" i="156"/>
  <c r="N171" i="156"/>
  <c r="M171" i="156"/>
  <c r="L171" i="156"/>
  <c r="K171" i="156"/>
  <c r="J171" i="156"/>
  <c r="I171" i="156"/>
  <c r="H171" i="156"/>
  <c r="G171" i="156"/>
  <c r="AG170" i="156"/>
  <c r="AF170" i="156"/>
  <c r="AE170" i="156"/>
  <c r="AD170" i="156"/>
  <c r="AC170" i="156"/>
  <c r="AB170" i="156"/>
  <c r="AA170" i="156"/>
  <c r="Z170" i="156"/>
  <c r="Y170" i="156"/>
  <c r="X170" i="156"/>
  <c r="W170" i="156"/>
  <c r="V170" i="156"/>
  <c r="U170" i="156"/>
  <c r="T170" i="156"/>
  <c r="S170" i="156"/>
  <c r="R170" i="156"/>
  <c r="Q170" i="156"/>
  <c r="P170" i="156"/>
  <c r="O170" i="156"/>
  <c r="N170" i="156"/>
  <c r="M170" i="156"/>
  <c r="L170" i="156"/>
  <c r="K170" i="156"/>
  <c r="J170" i="156"/>
  <c r="I170" i="156"/>
  <c r="H170" i="156"/>
  <c r="G170" i="156"/>
  <c r="AG168" i="156"/>
  <c r="AF168" i="156"/>
  <c r="AE168" i="156"/>
  <c r="AD168" i="156"/>
  <c r="AC168" i="156"/>
  <c r="AB168" i="156"/>
  <c r="AA168" i="156"/>
  <c r="Z168" i="156"/>
  <c r="Y168" i="156"/>
  <c r="X168" i="156"/>
  <c r="W168" i="156"/>
  <c r="V168" i="156"/>
  <c r="U168" i="156"/>
  <c r="T168" i="156"/>
  <c r="S168" i="156"/>
  <c r="R168" i="156"/>
  <c r="Q168" i="156"/>
  <c r="P168" i="156"/>
  <c r="O168" i="156"/>
  <c r="N168" i="156"/>
  <c r="M168" i="156"/>
  <c r="L168" i="156"/>
  <c r="K168" i="156"/>
  <c r="J168" i="156"/>
  <c r="I168" i="156"/>
  <c r="H168" i="156"/>
  <c r="G168" i="156"/>
  <c r="AG167" i="156"/>
  <c r="AF167" i="156"/>
  <c r="AE167" i="156"/>
  <c r="AD167" i="156"/>
  <c r="AC167" i="156"/>
  <c r="AB167" i="156"/>
  <c r="AA167" i="156"/>
  <c r="Z167" i="156"/>
  <c r="Y167" i="156"/>
  <c r="X167" i="156"/>
  <c r="W167" i="156"/>
  <c r="V167" i="156"/>
  <c r="U167" i="156"/>
  <c r="T167" i="156"/>
  <c r="S167" i="156"/>
  <c r="R167" i="156"/>
  <c r="Q167" i="156"/>
  <c r="P167" i="156"/>
  <c r="O167" i="156"/>
  <c r="N167" i="156"/>
  <c r="M167" i="156"/>
  <c r="L167" i="156"/>
  <c r="K167" i="156"/>
  <c r="J167" i="156"/>
  <c r="I167" i="156"/>
  <c r="H167" i="156"/>
  <c r="G167" i="156"/>
  <c r="AG166" i="156"/>
  <c r="AF166" i="156"/>
  <c r="AE166" i="156"/>
  <c r="AD166" i="156"/>
  <c r="AC166" i="156"/>
  <c r="AB166" i="156"/>
  <c r="AA166" i="156"/>
  <c r="Z166" i="156"/>
  <c r="Y166" i="156"/>
  <c r="X166" i="156"/>
  <c r="W166" i="156"/>
  <c r="V166" i="156"/>
  <c r="U166" i="156"/>
  <c r="T166" i="156"/>
  <c r="S166" i="156"/>
  <c r="R166" i="156"/>
  <c r="Q166" i="156"/>
  <c r="P166" i="156"/>
  <c r="O166" i="156"/>
  <c r="N166" i="156"/>
  <c r="M166" i="156"/>
  <c r="L166" i="156"/>
  <c r="K166" i="156"/>
  <c r="J166" i="156"/>
  <c r="I166" i="156"/>
  <c r="H166" i="156"/>
  <c r="G166" i="156"/>
  <c r="AG165" i="156"/>
  <c r="AF165" i="156"/>
  <c r="AE165" i="156"/>
  <c r="AD165" i="156"/>
  <c r="AC165" i="156"/>
  <c r="AB165" i="156"/>
  <c r="AA165" i="156"/>
  <c r="Z165" i="156"/>
  <c r="Y165" i="156"/>
  <c r="X165" i="156"/>
  <c r="W165" i="156"/>
  <c r="V165" i="156"/>
  <c r="U165" i="156"/>
  <c r="T165" i="156"/>
  <c r="S165" i="156"/>
  <c r="R165" i="156"/>
  <c r="Q165" i="156"/>
  <c r="P165" i="156"/>
  <c r="O165" i="156"/>
  <c r="N165" i="156"/>
  <c r="M165" i="156"/>
  <c r="L165" i="156"/>
  <c r="K165" i="156"/>
  <c r="J165" i="156"/>
  <c r="I165" i="156"/>
  <c r="H165" i="156"/>
  <c r="G165" i="156"/>
  <c r="AG162" i="156"/>
  <c r="AF162" i="156"/>
  <c r="AE162" i="156"/>
  <c r="AD162" i="156"/>
  <c r="AC162" i="156"/>
  <c r="AB162" i="156"/>
  <c r="AA162" i="156"/>
  <c r="Z162" i="156"/>
  <c r="Y162" i="156"/>
  <c r="X162" i="156"/>
  <c r="W162" i="156"/>
  <c r="V162" i="156"/>
  <c r="U162" i="156"/>
  <c r="T162" i="156"/>
  <c r="S162" i="156"/>
  <c r="R162" i="156"/>
  <c r="Q162" i="156"/>
  <c r="P162" i="156"/>
  <c r="O162" i="156"/>
  <c r="N162" i="156"/>
  <c r="M162" i="156"/>
  <c r="L162" i="156"/>
  <c r="K162" i="156"/>
  <c r="J162" i="156"/>
  <c r="I162" i="156"/>
  <c r="H162" i="156"/>
  <c r="G162" i="156"/>
  <c r="AG161" i="156"/>
  <c r="AF161" i="156"/>
  <c r="AE161" i="156"/>
  <c r="AD161" i="156"/>
  <c r="AC161" i="156"/>
  <c r="AB161" i="156"/>
  <c r="AA161" i="156"/>
  <c r="Z161" i="156"/>
  <c r="Y161" i="156"/>
  <c r="X161" i="156"/>
  <c r="W161" i="156"/>
  <c r="V161" i="156"/>
  <c r="U161" i="156"/>
  <c r="T161" i="156"/>
  <c r="S161" i="156"/>
  <c r="R161" i="156"/>
  <c r="Q161" i="156"/>
  <c r="P161" i="156"/>
  <c r="O161" i="156"/>
  <c r="N161" i="156"/>
  <c r="M161" i="156"/>
  <c r="L161" i="156"/>
  <c r="K161" i="156"/>
  <c r="J161" i="156"/>
  <c r="I161" i="156"/>
  <c r="H161" i="156"/>
  <c r="G161" i="156"/>
  <c r="AG160" i="156"/>
  <c r="AF160" i="156"/>
  <c r="AE160" i="156"/>
  <c r="AD160" i="156"/>
  <c r="AC160" i="156"/>
  <c r="AB160" i="156"/>
  <c r="AA160" i="156"/>
  <c r="Z160" i="156"/>
  <c r="Y160" i="156"/>
  <c r="X160" i="156"/>
  <c r="W160" i="156"/>
  <c r="V160" i="156"/>
  <c r="U160" i="156"/>
  <c r="T160" i="156"/>
  <c r="S160" i="156"/>
  <c r="R160" i="156"/>
  <c r="Q160" i="156"/>
  <c r="P160" i="156"/>
  <c r="O160" i="156"/>
  <c r="N160" i="156"/>
  <c r="M160" i="156"/>
  <c r="L160" i="156"/>
  <c r="K160" i="156"/>
  <c r="J160" i="156"/>
  <c r="I160" i="156"/>
  <c r="H160" i="156"/>
  <c r="G160" i="156"/>
  <c r="AG159" i="156"/>
  <c r="AF159" i="156"/>
  <c r="AE159" i="156"/>
  <c r="AD159" i="156"/>
  <c r="AC159" i="156"/>
  <c r="AB159" i="156"/>
  <c r="AA159" i="156"/>
  <c r="Z159" i="156"/>
  <c r="Y159" i="156"/>
  <c r="X159" i="156"/>
  <c r="W159" i="156"/>
  <c r="V159" i="156"/>
  <c r="U159" i="156"/>
  <c r="T159" i="156"/>
  <c r="S159" i="156"/>
  <c r="R159" i="156"/>
  <c r="Q159" i="156"/>
  <c r="P159" i="156"/>
  <c r="O159" i="156"/>
  <c r="N159" i="156"/>
  <c r="M159" i="156"/>
  <c r="L159" i="156"/>
  <c r="K159" i="156"/>
  <c r="J159" i="156"/>
  <c r="I159" i="156"/>
  <c r="H159" i="156"/>
  <c r="G159" i="156"/>
  <c r="AG156" i="156"/>
  <c r="AF156" i="156"/>
  <c r="AE156" i="156"/>
  <c r="AD156" i="156"/>
  <c r="AC156" i="156"/>
  <c r="AB156" i="156"/>
  <c r="AA156" i="156"/>
  <c r="Z156" i="156"/>
  <c r="Y156" i="156"/>
  <c r="X156" i="156"/>
  <c r="W156" i="156"/>
  <c r="V156" i="156"/>
  <c r="U156" i="156"/>
  <c r="T156" i="156"/>
  <c r="S156" i="156"/>
  <c r="R156" i="156"/>
  <c r="Q156" i="156"/>
  <c r="P156" i="156"/>
  <c r="O156" i="156"/>
  <c r="N156" i="156"/>
  <c r="M156" i="156"/>
  <c r="L156" i="156"/>
  <c r="K156" i="156"/>
  <c r="J156" i="156"/>
  <c r="I156" i="156"/>
  <c r="H156" i="156"/>
  <c r="G156" i="156"/>
  <c r="AG155" i="156"/>
  <c r="AF155" i="156"/>
  <c r="AE155" i="156"/>
  <c r="AD155" i="156"/>
  <c r="AC155" i="156"/>
  <c r="AB155" i="156"/>
  <c r="AA155" i="156"/>
  <c r="Z155" i="156"/>
  <c r="Y155" i="156"/>
  <c r="X155" i="156"/>
  <c r="W155" i="156"/>
  <c r="V155" i="156"/>
  <c r="U155" i="156"/>
  <c r="T155" i="156"/>
  <c r="S155" i="156"/>
  <c r="R155" i="156"/>
  <c r="Q155" i="156"/>
  <c r="P155" i="156"/>
  <c r="O155" i="156"/>
  <c r="N155" i="156"/>
  <c r="M155" i="156"/>
  <c r="L155" i="156"/>
  <c r="K155" i="156"/>
  <c r="J155" i="156"/>
  <c r="I155" i="156"/>
  <c r="H155" i="156"/>
  <c r="G155" i="156"/>
  <c r="AG154" i="156"/>
  <c r="AF154" i="156"/>
  <c r="AE154" i="156"/>
  <c r="AD154" i="156"/>
  <c r="AC154" i="156"/>
  <c r="AB154" i="156"/>
  <c r="AA154" i="156"/>
  <c r="Z154" i="156"/>
  <c r="Y154" i="156"/>
  <c r="X154" i="156"/>
  <c r="W154" i="156"/>
  <c r="V154" i="156"/>
  <c r="U154" i="156"/>
  <c r="T154" i="156"/>
  <c r="S154" i="156"/>
  <c r="R154" i="156"/>
  <c r="Q154" i="156"/>
  <c r="P154" i="156"/>
  <c r="O154" i="156"/>
  <c r="N154" i="156"/>
  <c r="M154" i="156"/>
  <c r="L154" i="156"/>
  <c r="K154" i="156"/>
  <c r="J154" i="156"/>
  <c r="I154" i="156"/>
  <c r="H154" i="156"/>
  <c r="G154" i="156"/>
  <c r="AG153" i="156"/>
  <c r="AF153" i="156"/>
  <c r="AE153" i="156"/>
  <c r="AD153" i="156"/>
  <c r="AC153" i="156"/>
  <c r="AB153" i="156"/>
  <c r="AA153" i="156"/>
  <c r="Z153" i="156"/>
  <c r="Y153" i="156"/>
  <c r="X153" i="156"/>
  <c r="W153" i="156"/>
  <c r="V153" i="156"/>
  <c r="U153" i="156"/>
  <c r="T153" i="156"/>
  <c r="S153" i="156"/>
  <c r="R153" i="156"/>
  <c r="Q153" i="156"/>
  <c r="P153" i="156"/>
  <c r="O153" i="156"/>
  <c r="N153" i="156"/>
  <c r="M153" i="156"/>
  <c r="L153" i="156"/>
  <c r="K153" i="156"/>
  <c r="J153" i="156"/>
  <c r="I153" i="156"/>
  <c r="H153" i="156"/>
  <c r="G153" i="156"/>
  <c r="AG150" i="156"/>
  <c r="AF150" i="156"/>
  <c r="AE150" i="156"/>
  <c r="AD150" i="156"/>
  <c r="AC150" i="156"/>
  <c r="AB150" i="156"/>
  <c r="AA150" i="156"/>
  <c r="Z150" i="156"/>
  <c r="Y150" i="156"/>
  <c r="X150" i="156"/>
  <c r="W150" i="156"/>
  <c r="V150" i="156"/>
  <c r="U150" i="156"/>
  <c r="T150" i="156"/>
  <c r="S150" i="156"/>
  <c r="R150" i="156"/>
  <c r="Q150" i="156"/>
  <c r="P150" i="156"/>
  <c r="O150" i="156"/>
  <c r="N150" i="156"/>
  <c r="M150" i="156"/>
  <c r="L150" i="156"/>
  <c r="K150" i="156"/>
  <c r="J150" i="156"/>
  <c r="I150" i="156"/>
  <c r="H150" i="156"/>
  <c r="G150" i="156"/>
  <c r="AG149" i="156"/>
  <c r="AF149" i="156"/>
  <c r="AE149" i="156"/>
  <c r="AD149" i="156"/>
  <c r="AC149" i="156"/>
  <c r="AB149" i="156"/>
  <c r="AA149" i="156"/>
  <c r="Z149" i="156"/>
  <c r="Y149" i="156"/>
  <c r="X149" i="156"/>
  <c r="W149" i="156"/>
  <c r="V149" i="156"/>
  <c r="U149" i="156"/>
  <c r="T149" i="156"/>
  <c r="S149" i="156"/>
  <c r="R149" i="156"/>
  <c r="Q149" i="156"/>
  <c r="P149" i="156"/>
  <c r="O149" i="156"/>
  <c r="N149" i="156"/>
  <c r="M149" i="156"/>
  <c r="L149" i="156"/>
  <c r="K149" i="156"/>
  <c r="J149" i="156"/>
  <c r="I149" i="156"/>
  <c r="H149" i="156"/>
  <c r="G149" i="156"/>
  <c r="AG148" i="156"/>
  <c r="AF148" i="156"/>
  <c r="AE148" i="156"/>
  <c r="AD148" i="156"/>
  <c r="AC148" i="156"/>
  <c r="AB148" i="156"/>
  <c r="AA148" i="156"/>
  <c r="Z148" i="156"/>
  <c r="Y148" i="156"/>
  <c r="X148" i="156"/>
  <c r="W148" i="156"/>
  <c r="V148" i="156"/>
  <c r="U148" i="156"/>
  <c r="T148" i="156"/>
  <c r="S148" i="156"/>
  <c r="R148" i="156"/>
  <c r="Q148" i="156"/>
  <c r="P148" i="156"/>
  <c r="O148" i="156"/>
  <c r="N148" i="156"/>
  <c r="M148" i="156"/>
  <c r="L148" i="156"/>
  <c r="K148" i="156"/>
  <c r="J148" i="156"/>
  <c r="I148" i="156"/>
  <c r="H148" i="156"/>
  <c r="G148" i="156"/>
  <c r="AG147" i="156"/>
  <c r="AF147" i="156"/>
  <c r="AE147" i="156"/>
  <c r="AD147" i="156"/>
  <c r="AC147" i="156"/>
  <c r="AB147" i="156"/>
  <c r="AA147" i="156"/>
  <c r="Z147" i="156"/>
  <c r="Y147" i="156"/>
  <c r="X147" i="156"/>
  <c r="W147" i="156"/>
  <c r="V147" i="156"/>
  <c r="U147" i="156"/>
  <c r="T147" i="156"/>
  <c r="S147" i="156"/>
  <c r="R147" i="156"/>
  <c r="Q147" i="156"/>
  <c r="P147" i="156"/>
  <c r="O147" i="156"/>
  <c r="N147" i="156"/>
  <c r="M147" i="156"/>
  <c r="L147" i="156"/>
  <c r="K147" i="156"/>
  <c r="J147" i="156"/>
  <c r="I147" i="156"/>
  <c r="H147" i="156"/>
  <c r="G147" i="156"/>
  <c r="F148" i="156"/>
  <c r="F149" i="156"/>
  <c r="F150" i="156"/>
  <c r="F153" i="156"/>
  <c r="F154" i="156"/>
  <c r="F155" i="156"/>
  <c r="F156" i="156"/>
  <c r="F159" i="156"/>
  <c r="F160" i="156"/>
  <c r="F161" i="156"/>
  <c r="F162" i="156"/>
  <c r="F165" i="156"/>
  <c r="F166" i="156"/>
  <c r="F167" i="156"/>
  <c r="F168" i="156"/>
  <c r="F170" i="156"/>
  <c r="F171" i="156"/>
  <c r="F172" i="156"/>
  <c r="F173" i="156"/>
  <c r="F174" i="156"/>
  <c r="F175" i="156"/>
  <c r="F176" i="156"/>
  <c r="F177" i="156"/>
  <c r="F178" i="156"/>
  <c r="F179" i="156"/>
  <c r="F180" i="156"/>
  <c r="F181" i="156"/>
  <c r="F182" i="156"/>
  <c r="F183" i="156"/>
  <c r="F184" i="156"/>
  <c r="F185" i="156"/>
  <c r="F186" i="156"/>
  <c r="F187" i="156"/>
  <c r="F188" i="156"/>
  <c r="F189" i="156"/>
  <c r="F190" i="156"/>
  <c r="F191" i="156"/>
  <c r="F192" i="156"/>
  <c r="F193" i="156"/>
  <c r="F194" i="156"/>
  <c r="F195" i="156"/>
  <c r="F196" i="156"/>
  <c r="F197" i="156"/>
  <c r="F198" i="156"/>
  <c r="F199" i="156"/>
  <c r="F200" i="156"/>
  <c r="F201" i="156"/>
  <c r="F202" i="156"/>
  <c r="F203" i="156"/>
  <c r="F204" i="156"/>
  <c r="F205" i="156"/>
  <c r="F206" i="156"/>
  <c r="F207" i="156"/>
  <c r="F208" i="156"/>
  <c r="F209" i="156"/>
  <c r="F210" i="156"/>
  <c r="F211" i="156"/>
  <c r="F212" i="156"/>
  <c r="F213" i="156"/>
  <c r="F214" i="156"/>
  <c r="F215" i="156"/>
  <c r="F216" i="156"/>
  <c r="F217" i="156"/>
  <c r="F218" i="156"/>
  <c r="F219" i="156"/>
  <c r="F220" i="156"/>
  <c r="F221" i="156"/>
  <c r="F222" i="156"/>
  <c r="F223" i="156"/>
  <c r="F224" i="156"/>
  <c r="F225" i="156"/>
  <c r="F226" i="156"/>
  <c r="F227" i="156"/>
  <c r="F228" i="156"/>
  <c r="F234" i="156"/>
  <c r="F240" i="156"/>
  <c r="F246" i="156"/>
  <c r="F252" i="156"/>
  <c r="F258" i="156"/>
  <c r="F147" i="156"/>
  <c r="D148" i="156"/>
  <c r="D149" i="156"/>
  <c r="D150" i="156"/>
  <c r="D153" i="156"/>
  <c r="D154" i="156"/>
  <c r="D155" i="156"/>
  <c r="D156" i="156"/>
  <c r="D159" i="156"/>
  <c r="D160" i="156"/>
  <c r="D161" i="156"/>
  <c r="D162" i="156"/>
  <c r="D165" i="156"/>
  <c r="D166" i="156"/>
  <c r="D167" i="156"/>
  <c r="D168" i="156"/>
  <c r="D170" i="156"/>
  <c r="D171" i="156"/>
  <c r="D172" i="156"/>
  <c r="D173" i="156"/>
  <c r="D174" i="156"/>
  <c r="D175" i="156"/>
  <c r="D176" i="156"/>
  <c r="D177" i="156"/>
  <c r="D178" i="156"/>
  <c r="D179" i="156"/>
  <c r="D180" i="156"/>
  <c r="D181" i="156"/>
  <c r="D182" i="156"/>
  <c r="D183" i="156"/>
  <c r="D184" i="156"/>
  <c r="D185" i="156"/>
  <c r="D186" i="156"/>
  <c r="D187" i="156"/>
  <c r="D188" i="156"/>
  <c r="D189" i="156"/>
  <c r="D190" i="156"/>
  <c r="D191" i="156"/>
  <c r="D192" i="156"/>
  <c r="D193" i="156"/>
  <c r="D194" i="156"/>
  <c r="D195" i="156"/>
  <c r="D196" i="156"/>
  <c r="D197" i="156"/>
  <c r="D198" i="156"/>
  <c r="D199" i="156"/>
  <c r="D200" i="156"/>
  <c r="D201" i="156"/>
  <c r="D202" i="156"/>
  <c r="D203" i="156"/>
  <c r="D204" i="156"/>
  <c r="D205" i="156"/>
  <c r="D206" i="156"/>
  <c r="D207" i="156"/>
  <c r="D208" i="156"/>
  <c r="D209" i="156"/>
  <c r="D210" i="156"/>
  <c r="D211" i="156"/>
  <c r="D212" i="156"/>
  <c r="D213" i="156"/>
  <c r="D214" i="156"/>
  <c r="D215" i="156"/>
  <c r="D216" i="156"/>
  <c r="D217" i="156"/>
  <c r="D218" i="156"/>
  <c r="D219" i="156"/>
  <c r="D220" i="156"/>
  <c r="D221" i="156"/>
  <c r="D222" i="156"/>
  <c r="D223" i="156"/>
  <c r="D224" i="156"/>
  <c r="D225" i="156"/>
  <c r="D226" i="156"/>
  <c r="D227" i="156"/>
  <c r="D228" i="156"/>
  <c r="D234" i="156"/>
  <c r="D240" i="156"/>
  <c r="D246" i="156"/>
  <c r="D252" i="156"/>
  <c r="D258" i="156"/>
  <c r="D147" i="156"/>
  <c r="H33" i="167" l="1"/>
  <c r="H35" i="167" s="1"/>
  <c r="H37" i="167" s="1"/>
  <c r="H39" i="167" s="1"/>
  <c r="V512" i="156"/>
  <c r="V607" i="156"/>
  <c r="V534" i="156"/>
  <c r="V610" i="156"/>
  <c r="V586" i="156"/>
  <c r="V538" i="156"/>
  <c r="V514" i="156"/>
  <c r="V609" i="156"/>
  <c r="V585" i="156"/>
  <c r="V561" i="156"/>
  <c r="V537" i="156"/>
  <c r="V513" i="156"/>
  <c r="V605" i="156"/>
  <c r="V581" i="156"/>
  <c r="V557" i="156"/>
  <c r="V533" i="156"/>
  <c r="V509" i="156"/>
  <c r="V604" i="156"/>
  <c r="V580" i="156"/>
  <c r="V556" i="156"/>
  <c r="V532" i="156"/>
  <c r="V508" i="156"/>
  <c r="V601" i="156"/>
  <c r="V577" i="156"/>
  <c r="V553" i="156"/>
  <c r="V529" i="156"/>
  <c r="V600" i="156"/>
  <c r="V576" i="156"/>
  <c r="V552" i="156"/>
  <c r="V579" i="156"/>
  <c r="V555" i="156"/>
  <c r="V530" i="156"/>
  <c r="V598" i="156"/>
  <c r="V526" i="156"/>
  <c r="V597" i="156"/>
  <c r="V573" i="156"/>
  <c r="V549" i="156"/>
  <c r="V525" i="156"/>
  <c r="V572" i="156"/>
  <c r="V548" i="156"/>
  <c r="V524" i="156"/>
  <c r="V560" i="156"/>
  <c r="V536" i="156"/>
  <c r="V617" i="156"/>
  <c r="V593" i="156"/>
  <c r="V569" i="156"/>
  <c r="V545" i="156"/>
  <c r="V521" i="156"/>
  <c r="V616" i="156"/>
  <c r="V592" i="156"/>
  <c r="V568" i="156"/>
  <c r="V544" i="156"/>
  <c r="V520" i="156"/>
  <c r="V567" i="156"/>
  <c r="V543" i="156"/>
  <c r="V558" i="156"/>
  <c r="V595" i="156"/>
  <c r="V542" i="156"/>
  <c r="V582" i="156"/>
  <c r="V619" i="156"/>
  <c r="V518" i="156"/>
  <c r="V613" i="156"/>
  <c r="V589" i="156"/>
  <c r="V565" i="156"/>
  <c r="V541" i="156"/>
  <c r="V517" i="156"/>
  <c r="V510" i="156"/>
  <c r="V612" i="156"/>
  <c r="V588" i="156"/>
  <c r="V564" i="156"/>
  <c r="V583" i="156"/>
  <c r="V535" i="156"/>
  <c r="V511" i="156"/>
  <c r="V523" i="156"/>
  <c r="V570" i="156"/>
  <c r="V546" i="156"/>
  <c r="V522" i="156"/>
  <c r="L33" i="167"/>
  <c r="L35" i="167" s="1"/>
  <c r="L37" i="167" s="1"/>
  <c r="L39" i="167" s="1"/>
  <c r="Z33" i="167"/>
  <c r="Z35" i="167" s="1"/>
  <c r="Z37" i="167" s="1"/>
  <c r="Z39" i="167" s="1"/>
  <c r="J33" i="167"/>
  <c r="J35" i="167" s="1"/>
  <c r="J37" i="167" s="1"/>
  <c r="J39" i="167" s="1"/>
  <c r="I50" i="165"/>
  <c r="I59" i="165" s="1"/>
  <c r="AB33" i="167"/>
  <c r="AB35" i="167" s="1"/>
  <c r="AB37" i="167" s="1"/>
  <c r="AB39" i="167" s="1"/>
  <c r="L383" i="149"/>
  <c r="I48" i="165"/>
  <c r="I57" i="165" s="1"/>
  <c r="Y33" i="167"/>
  <c r="Y35" i="167" s="1"/>
  <c r="Y37" i="167" s="1"/>
  <c r="Y39" i="167" s="1"/>
  <c r="BL195" i="163"/>
  <c r="BL156" i="163" s="1"/>
  <c r="AF156" i="163" s="1"/>
  <c r="AU195" i="163"/>
  <c r="AU156" i="163" s="1"/>
  <c r="O156" i="163" s="1"/>
  <c r="BE195" i="163"/>
  <c r="BE156" i="163" s="1"/>
  <c r="Y156" i="163" s="1"/>
  <c r="AN195" i="163"/>
  <c r="AN156" i="163" s="1"/>
  <c r="H156" i="163" s="1"/>
  <c r="AF191" i="163"/>
  <c r="AX195" i="163"/>
  <c r="AX156" i="163" s="1"/>
  <c r="R156" i="163" s="1"/>
  <c r="W33" i="167"/>
  <c r="W35" i="167" s="1"/>
  <c r="W37" i="167" s="1"/>
  <c r="W39" i="167" s="1"/>
  <c r="S33" i="167"/>
  <c r="S35" i="167" s="1"/>
  <c r="S37" i="167" s="1"/>
  <c r="S39" i="167" s="1"/>
  <c r="T33" i="167"/>
  <c r="T35" i="167" s="1"/>
  <c r="T37" i="167" s="1"/>
  <c r="T39" i="167" s="1"/>
  <c r="V33" i="167"/>
  <c r="V35" i="167" s="1"/>
  <c r="V37" i="167" s="1"/>
  <c r="V39" i="167" s="1"/>
  <c r="P33" i="167"/>
  <c r="P35" i="167" s="1"/>
  <c r="P37" i="167" s="1"/>
  <c r="P39" i="167" s="1"/>
  <c r="AC379" i="149"/>
  <c r="CU50" i="163"/>
  <c r="O383" i="149"/>
  <c r="CG54" i="163"/>
  <c r="O371" i="149"/>
  <c r="CG42" i="163"/>
  <c r="AC378" i="149"/>
  <c r="CU49" i="163"/>
  <c r="O379" i="149"/>
  <c r="CG50" i="163"/>
  <c r="AC375" i="149"/>
  <c r="CU46" i="163"/>
  <c r="AC382" i="149"/>
  <c r="CU53" i="163"/>
  <c r="O369" i="149"/>
  <c r="CG40" i="163"/>
  <c r="AC369" i="149"/>
  <c r="CU40" i="163"/>
  <c r="AC371" i="149"/>
  <c r="CU42" i="163"/>
  <c r="O382" i="149"/>
  <c r="CG53" i="163"/>
  <c r="AC374" i="149"/>
  <c r="CU45" i="163"/>
  <c r="O372" i="149"/>
  <c r="CG43" i="163"/>
  <c r="AC372" i="149"/>
  <c r="CU43" i="163"/>
  <c r="O374" i="149"/>
  <c r="CG45" i="163"/>
  <c r="O381" i="149"/>
  <c r="CG52" i="163"/>
  <c r="O370" i="149"/>
  <c r="CG41" i="163"/>
  <c r="AC381" i="149"/>
  <c r="CU52" i="163"/>
  <c r="AC383" i="149"/>
  <c r="CU54" i="163"/>
  <c r="O375" i="149"/>
  <c r="CG46" i="163"/>
  <c r="AC370" i="149"/>
  <c r="CU41" i="163"/>
  <c r="L375" i="149"/>
  <c r="CD46" i="163"/>
  <c r="L374" i="149"/>
  <c r="CD45" i="163"/>
  <c r="V375" i="149"/>
  <c r="CN46" i="163"/>
  <c r="O378" i="149"/>
  <c r="CG49" i="163"/>
  <c r="V369" i="149"/>
  <c r="CN40" i="163"/>
  <c r="L370" i="149"/>
  <c r="CD41" i="163"/>
  <c r="V371" i="149"/>
  <c r="CN42" i="163"/>
  <c r="V372" i="149"/>
  <c r="CN43" i="163"/>
  <c r="V378" i="149"/>
  <c r="CN49" i="163"/>
  <c r="L382" i="149"/>
  <c r="CD53" i="163"/>
  <c r="V383" i="149"/>
  <c r="CN54" i="163"/>
  <c r="V374" i="149"/>
  <c r="CN45" i="163"/>
  <c r="L372" i="149"/>
  <c r="CD43" i="163"/>
  <c r="V382" i="149"/>
  <c r="CN53" i="163"/>
  <c r="V379" i="149"/>
  <c r="CN50" i="163"/>
  <c r="L379" i="149"/>
  <c r="CD50" i="163"/>
  <c r="L381" i="149"/>
  <c r="CD52" i="163"/>
  <c r="V370" i="149"/>
  <c r="CN41" i="163"/>
  <c r="E372" i="149"/>
  <c r="BW43" i="163"/>
  <c r="E370" i="149"/>
  <c r="BW41" i="163"/>
  <c r="E382" i="149"/>
  <c r="BW53" i="163"/>
  <c r="E378" i="149"/>
  <c r="BW49" i="163"/>
  <c r="E383" i="149"/>
  <c r="BW54" i="163"/>
  <c r="E375" i="149"/>
  <c r="BW46" i="163"/>
  <c r="E379" i="149"/>
  <c r="BW50" i="163"/>
  <c r="E371" i="149"/>
  <c r="BW42" i="163"/>
  <c r="E381" i="149"/>
  <c r="BW52" i="163"/>
  <c r="AU177" i="163"/>
  <c r="AU155" i="163" s="1"/>
  <c r="O155" i="163" s="1"/>
  <c r="D49" i="165"/>
  <c r="D58" i="165" s="1"/>
  <c r="D48" i="165"/>
  <c r="D47" i="165"/>
  <c r="D50" i="165"/>
  <c r="D59" i="165" s="1"/>
  <c r="AU243" i="163"/>
  <c r="AU157" i="163" s="1"/>
  <c r="O157" i="163" s="1"/>
  <c r="L44" i="165"/>
  <c r="L49" i="165" s="1"/>
  <c r="L58" i="165" s="1"/>
  <c r="AN243" i="163"/>
  <c r="AN157" i="163" s="1"/>
  <c r="H157" i="163" s="1"/>
  <c r="K48" i="165"/>
  <c r="K57" i="165" s="1"/>
  <c r="K49" i="165"/>
  <c r="K58" i="165" s="1"/>
  <c r="K50" i="165"/>
  <c r="K59" i="165" s="1"/>
  <c r="K51" i="165"/>
  <c r="K60" i="165" s="1"/>
  <c r="AK112" i="163"/>
  <c r="C49" i="165"/>
  <c r="C58" i="165" s="1"/>
  <c r="BE243" i="163"/>
  <c r="BE157" i="163" s="1"/>
  <c r="Y157" i="163" s="1"/>
  <c r="O200" i="163"/>
  <c r="G48" i="165"/>
  <c r="E47" i="165"/>
  <c r="E57" i="165" s="1"/>
  <c r="C48" i="165"/>
  <c r="G155" i="165"/>
  <c r="J34" i="164" s="1"/>
  <c r="K34" i="164" s="1"/>
  <c r="L34" i="164" s="1"/>
  <c r="M34" i="164" s="1"/>
  <c r="N34" i="164" s="1"/>
  <c r="O34" i="164" s="1"/>
  <c r="P34" i="164" s="1"/>
  <c r="Q34" i="164" s="1"/>
  <c r="R34" i="164" s="1"/>
  <c r="S34" i="164" s="1"/>
  <c r="T34" i="164" s="1"/>
  <c r="U34" i="164" s="1"/>
  <c r="V34" i="164" s="1"/>
  <c r="W34" i="164" s="1"/>
  <c r="X34" i="164" s="1"/>
  <c r="Y34" i="164" s="1"/>
  <c r="Z34" i="164" s="1"/>
  <c r="AA34" i="164" s="1"/>
  <c r="AB34" i="164" s="1"/>
  <c r="AC34" i="164" s="1"/>
  <c r="AD34" i="164" s="1"/>
  <c r="AE34" i="164" s="1"/>
  <c r="AF34" i="164" s="1"/>
  <c r="AG34" i="164" s="1"/>
  <c r="AH34" i="164" s="1"/>
  <c r="AI34" i="164" s="1"/>
  <c r="AJ34" i="164" s="1"/>
  <c r="AK34" i="164" s="1"/>
  <c r="B47" i="165"/>
  <c r="B57" i="165" s="1"/>
  <c r="G158" i="165"/>
  <c r="J48" i="164" s="1"/>
  <c r="K48" i="164" s="1"/>
  <c r="L48" i="164" s="1"/>
  <c r="M48" i="164" s="1"/>
  <c r="N48" i="164" s="1"/>
  <c r="O48" i="164" s="1"/>
  <c r="P48" i="164" s="1"/>
  <c r="Q48" i="164" s="1"/>
  <c r="R48" i="164" s="1"/>
  <c r="S48" i="164" s="1"/>
  <c r="T48" i="164" s="1"/>
  <c r="U48" i="164" s="1"/>
  <c r="V48" i="164" s="1"/>
  <c r="W48" i="164" s="1"/>
  <c r="X48" i="164" s="1"/>
  <c r="Y48" i="164" s="1"/>
  <c r="Z48" i="164" s="1"/>
  <c r="AA48" i="164" s="1"/>
  <c r="AB48" i="164" s="1"/>
  <c r="AC48" i="164" s="1"/>
  <c r="AD48" i="164" s="1"/>
  <c r="AE48" i="164" s="1"/>
  <c r="AF48" i="164" s="1"/>
  <c r="AG48" i="164" s="1"/>
  <c r="AH48" i="164" s="1"/>
  <c r="AI48" i="164" s="1"/>
  <c r="AJ48" i="164" s="1"/>
  <c r="AK48" i="164" s="1"/>
  <c r="C50" i="165"/>
  <c r="C59" i="165" s="1"/>
  <c r="F44" i="165"/>
  <c r="F48" i="165" s="1"/>
  <c r="G50" i="165"/>
  <c r="G59" i="165" s="1"/>
  <c r="I53" i="165"/>
  <c r="C47" i="165"/>
  <c r="G47" i="165"/>
  <c r="E50" i="165"/>
  <c r="E59" i="165" s="1"/>
  <c r="B49" i="165"/>
  <c r="B58" i="165" s="1"/>
  <c r="B51" i="165"/>
  <c r="B60" i="165" s="1"/>
  <c r="E49" i="165"/>
  <c r="E58" i="165" s="1"/>
  <c r="E51" i="165"/>
  <c r="E60" i="165" s="1"/>
  <c r="J44" i="165"/>
  <c r="J48" i="165" s="1"/>
  <c r="G51" i="165"/>
  <c r="G60" i="165" s="1"/>
  <c r="H47" i="165"/>
  <c r="H51" i="165"/>
  <c r="H60" i="165" s="1"/>
  <c r="H49" i="165"/>
  <c r="H58" i="165" s="1"/>
  <c r="B50" i="165"/>
  <c r="B59" i="165" s="1"/>
  <c r="H50" i="165"/>
  <c r="H59" i="165" s="1"/>
  <c r="L181" i="164"/>
  <c r="M181" i="164" s="1"/>
  <c r="N181" i="164" s="1"/>
  <c r="O181" i="164" s="1"/>
  <c r="P181" i="164" s="1"/>
  <c r="Q181" i="164" s="1"/>
  <c r="R181" i="164" s="1"/>
  <c r="S181" i="164" s="1"/>
  <c r="T181" i="164" s="1"/>
  <c r="U181" i="164" s="1"/>
  <c r="V181" i="164" s="1"/>
  <c r="W181" i="164" s="1"/>
  <c r="X181" i="164" s="1"/>
  <c r="Y181" i="164" s="1"/>
  <c r="Z181" i="164" s="1"/>
  <c r="AA181" i="164" s="1"/>
  <c r="AB181" i="164" s="1"/>
  <c r="AC181" i="164" s="1"/>
  <c r="AD181" i="164" s="1"/>
  <c r="AE181" i="164" s="1"/>
  <c r="AF181" i="164" s="1"/>
  <c r="AG181" i="164" s="1"/>
  <c r="AH181" i="164" s="1"/>
  <c r="AI181" i="164" s="1"/>
  <c r="AJ181" i="164" s="1"/>
  <c r="AK181" i="164" s="1"/>
  <c r="AL181" i="164" s="1"/>
  <c r="K182" i="164"/>
  <c r="AX177" i="163"/>
  <c r="AX155" i="163" s="1"/>
  <c r="R155" i="163" s="1"/>
  <c r="R164" i="163"/>
  <c r="BL177" i="163"/>
  <c r="BL155" i="163" s="1"/>
  <c r="AF155" i="163" s="1"/>
  <c r="AF164" i="163"/>
  <c r="BL243" i="163"/>
  <c r="BL157" i="163" s="1"/>
  <c r="AF157" i="163" s="1"/>
  <c r="AF200" i="163"/>
  <c r="AX243" i="163"/>
  <c r="AX157" i="163" s="1"/>
  <c r="R157" i="163" s="1"/>
  <c r="R200" i="163"/>
  <c r="M263" i="159"/>
  <c r="F266" i="156" s="1"/>
  <c r="F385" i="156" s="1"/>
  <c r="M264" i="159"/>
  <c r="F267" i="156" s="1"/>
  <c r="F386" i="156" s="1"/>
  <c r="M265" i="159"/>
  <c r="F268" i="156" s="1"/>
  <c r="F387" i="156" s="1"/>
  <c r="M266" i="159"/>
  <c r="F269" i="156" s="1"/>
  <c r="F388" i="156" s="1"/>
  <c r="M267" i="159"/>
  <c r="F270" i="156" s="1"/>
  <c r="M262" i="159"/>
  <c r="M375" i="159"/>
  <c r="F378" i="156" s="1"/>
  <c r="M376" i="159"/>
  <c r="F379" i="156" s="1"/>
  <c r="M377" i="159"/>
  <c r="F380" i="156" s="1"/>
  <c r="M378" i="159"/>
  <c r="F381" i="156" s="1"/>
  <c r="M379" i="159"/>
  <c r="F382" i="156" s="1"/>
  <c r="M374" i="159"/>
  <c r="F377" i="156" s="1"/>
  <c r="F496" i="156" s="1"/>
  <c r="M369" i="159"/>
  <c r="F372" i="156" s="1"/>
  <c r="M370" i="159"/>
  <c r="F373" i="156" s="1"/>
  <c r="M371" i="159"/>
  <c r="F374" i="156" s="1"/>
  <c r="M372" i="159"/>
  <c r="F375" i="156" s="1"/>
  <c r="M373" i="159"/>
  <c r="F376" i="156" s="1"/>
  <c r="M368" i="159"/>
  <c r="F371" i="156" s="1"/>
  <c r="F490" i="156" s="1"/>
  <c r="M363" i="159"/>
  <c r="F366" i="156" s="1"/>
  <c r="M364" i="159"/>
  <c r="F367" i="156" s="1"/>
  <c r="M365" i="159"/>
  <c r="F368" i="156" s="1"/>
  <c r="M366" i="159"/>
  <c r="F369" i="156" s="1"/>
  <c r="M367" i="159"/>
  <c r="F370" i="156" s="1"/>
  <c r="M362" i="159"/>
  <c r="F365" i="156" s="1"/>
  <c r="F484" i="156" s="1"/>
  <c r="M357" i="159"/>
  <c r="F360" i="156" s="1"/>
  <c r="M358" i="159"/>
  <c r="F361" i="156" s="1"/>
  <c r="M359" i="159"/>
  <c r="F362" i="156" s="1"/>
  <c r="M360" i="159"/>
  <c r="F363" i="156" s="1"/>
  <c r="M361" i="159"/>
  <c r="F364" i="156" s="1"/>
  <c r="M356" i="159"/>
  <c r="F359" i="156" s="1"/>
  <c r="F478" i="156" s="1"/>
  <c r="M351" i="159"/>
  <c r="F354" i="156" s="1"/>
  <c r="M352" i="159"/>
  <c r="F355" i="156" s="1"/>
  <c r="M353" i="159"/>
  <c r="F356" i="156" s="1"/>
  <c r="M354" i="159"/>
  <c r="F357" i="156" s="1"/>
  <c r="M355" i="159"/>
  <c r="F358" i="156" s="1"/>
  <c r="M350" i="159"/>
  <c r="F353" i="156" s="1"/>
  <c r="F472" i="156" s="1"/>
  <c r="M345" i="159"/>
  <c r="F348" i="156" s="1"/>
  <c r="M346" i="159"/>
  <c r="F349" i="156" s="1"/>
  <c r="M347" i="159"/>
  <c r="F350" i="156" s="1"/>
  <c r="M348" i="159"/>
  <c r="F351" i="156" s="1"/>
  <c r="M349" i="159"/>
  <c r="F352" i="156" s="1"/>
  <c r="M344" i="159"/>
  <c r="F347" i="156" s="1"/>
  <c r="F466" i="156" s="1"/>
  <c r="AN343" i="159"/>
  <c r="AG346" i="156" s="1"/>
  <c r="AG465" i="156" s="1"/>
  <c r="AM343" i="159"/>
  <c r="AF346" i="156" s="1"/>
  <c r="AF465" i="156" s="1"/>
  <c r="AL343" i="159"/>
  <c r="AE346" i="156" s="1"/>
  <c r="AE465" i="156" s="1"/>
  <c r="AK343" i="159"/>
  <c r="AD346" i="156" s="1"/>
  <c r="AD465" i="156" s="1"/>
  <c r="AJ343" i="159"/>
  <c r="AC346" i="156" s="1"/>
  <c r="AC465" i="156" s="1"/>
  <c r="AI343" i="159"/>
  <c r="AB346" i="156" s="1"/>
  <c r="AB465" i="156" s="1"/>
  <c r="AH343" i="159"/>
  <c r="AA346" i="156" s="1"/>
  <c r="AA465" i="156" s="1"/>
  <c r="AG343" i="159"/>
  <c r="Z346" i="156" s="1"/>
  <c r="Z465" i="156" s="1"/>
  <c r="AF343" i="159"/>
  <c r="Y346" i="156" s="1"/>
  <c r="Y465" i="156" s="1"/>
  <c r="AE343" i="159"/>
  <c r="X346" i="156" s="1"/>
  <c r="X465" i="156" s="1"/>
  <c r="AD343" i="159"/>
  <c r="W346" i="156" s="1"/>
  <c r="W465" i="156" s="1"/>
  <c r="AC343" i="159"/>
  <c r="V346" i="156" s="1"/>
  <c r="V465" i="156" s="1"/>
  <c r="AB343" i="159"/>
  <c r="U346" i="156" s="1"/>
  <c r="U465" i="156" s="1"/>
  <c r="AA343" i="159"/>
  <c r="T346" i="156" s="1"/>
  <c r="T465" i="156" s="1"/>
  <c r="Z343" i="159"/>
  <c r="S346" i="156" s="1"/>
  <c r="S465" i="156" s="1"/>
  <c r="Y343" i="159"/>
  <c r="R346" i="156" s="1"/>
  <c r="R465" i="156" s="1"/>
  <c r="X343" i="159"/>
  <c r="Q346" i="156" s="1"/>
  <c r="Q465" i="156" s="1"/>
  <c r="W343" i="159"/>
  <c r="P346" i="156" s="1"/>
  <c r="P465" i="156" s="1"/>
  <c r="V343" i="159"/>
  <c r="O346" i="156" s="1"/>
  <c r="O465" i="156" s="1"/>
  <c r="U343" i="159"/>
  <c r="N346" i="156" s="1"/>
  <c r="N465" i="156" s="1"/>
  <c r="T343" i="159"/>
  <c r="M346" i="156" s="1"/>
  <c r="M465" i="156" s="1"/>
  <c r="S343" i="159"/>
  <c r="L346" i="156" s="1"/>
  <c r="L465" i="156" s="1"/>
  <c r="R343" i="159"/>
  <c r="K346" i="156" s="1"/>
  <c r="K465" i="156" s="1"/>
  <c r="Q343" i="159"/>
  <c r="J346" i="156" s="1"/>
  <c r="J465" i="156" s="1"/>
  <c r="P343" i="159"/>
  <c r="I346" i="156" s="1"/>
  <c r="I465" i="156" s="1"/>
  <c r="O343" i="159"/>
  <c r="H346" i="156" s="1"/>
  <c r="H465" i="156" s="1"/>
  <c r="N343" i="159"/>
  <c r="G346" i="156" s="1"/>
  <c r="G465" i="156" s="1"/>
  <c r="M343" i="159"/>
  <c r="F346" i="156" s="1"/>
  <c r="F465" i="156" s="1"/>
  <c r="AN342" i="159"/>
  <c r="AG345" i="156" s="1"/>
  <c r="AG464" i="156" s="1"/>
  <c r="AM342" i="159"/>
  <c r="AF345" i="156" s="1"/>
  <c r="AF464" i="156" s="1"/>
  <c r="AL342" i="159"/>
  <c r="AE345" i="156" s="1"/>
  <c r="AE464" i="156" s="1"/>
  <c r="AK342" i="159"/>
  <c r="AD345" i="156" s="1"/>
  <c r="AD464" i="156" s="1"/>
  <c r="AJ342" i="159"/>
  <c r="AC345" i="156" s="1"/>
  <c r="AC464" i="156" s="1"/>
  <c r="AI342" i="159"/>
  <c r="AB345" i="156" s="1"/>
  <c r="AB464" i="156" s="1"/>
  <c r="AH342" i="159"/>
  <c r="AA345" i="156" s="1"/>
  <c r="AA464" i="156" s="1"/>
  <c r="AG342" i="159"/>
  <c r="Z345" i="156" s="1"/>
  <c r="Z464" i="156" s="1"/>
  <c r="AF342" i="159"/>
  <c r="Y345" i="156" s="1"/>
  <c r="Y464" i="156" s="1"/>
  <c r="AE342" i="159"/>
  <c r="X345" i="156" s="1"/>
  <c r="X464" i="156" s="1"/>
  <c r="AD342" i="159"/>
  <c r="W345" i="156" s="1"/>
  <c r="W464" i="156" s="1"/>
  <c r="AC342" i="159"/>
  <c r="V345" i="156" s="1"/>
  <c r="V464" i="156" s="1"/>
  <c r="AB342" i="159"/>
  <c r="U345" i="156" s="1"/>
  <c r="U464" i="156" s="1"/>
  <c r="AA342" i="159"/>
  <c r="T345" i="156" s="1"/>
  <c r="T464" i="156" s="1"/>
  <c r="Z342" i="159"/>
  <c r="S345" i="156" s="1"/>
  <c r="S464" i="156" s="1"/>
  <c r="Y342" i="159"/>
  <c r="R345" i="156" s="1"/>
  <c r="R464" i="156" s="1"/>
  <c r="X342" i="159"/>
  <c r="Q345" i="156" s="1"/>
  <c r="Q464" i="156" s="1"/>
  <c r="W342" i="159"/>
  <c r="P345" i="156" s="1"/>
  <c r="P464" i="156" s="1"/>
  <c r="V342" i="159"/>
  <c r="O345" i="156" s="1"/>
  <c r="O464" i="156" s="1"/>
  <c r="U342" i="159"/>
  <c r="N345" i="156" s="1"/>
  <c r="N464" i="156" s="1"/>
  <c r="T342" i="159"/>
  <c r="M345" i="156" s="1"/>
  <c r="M464" i="156" s="1"/>
  <c r="S342" i="159"/>
  <c r="L345" i="156" s="1"/>
  <c r="L464" i="156" s="1"/>
  <c r="R342" i="159"/>
  <c r="K345" i="156" s="1"/>
  <c r="K464" i="156" s="1"/>
  <c r="Q342" i="159"/>
  <c r="J345" i="156" s="1"/>
  <c r="J464" i="156" s="1"/>
  <c r="P342" i="159"/>
  <c r="I345" i="156" s="1"/>
  <c r="I464" i="156" s="1"/>
  <c r="O342" i="159"/>
  <c r="H345" i="156" s="1"/>
  <c r="H464" i="156" s="1"/>
  <c r="N342" i="159"/>
  <c r="G345" i="156" s="1"/>
  <c r="G464" i="156" s="1"/>
  <c r="M342" i="159"/>
  <c r="F345" i="156" s="1"/>
  <c r="F464" i="156" s="1"/>
  <c r="AN341" i="159"/>
  <c r="AG344" i="156" s="1"/>
  <c r="AG463" i="156" s="1"/>
  <c r="AM341" i="159"/>
  <c r="AF344" i="156" s="1"/>
  <c r="AF463" i="156" s="1"/>
  <c r="AL341" i="159"/>
  <c r="AE344" i="156" s="1"/>
  <c r="AE463" i="156" s="1"/>
  <c r="AK341" i="159"/>
  <c r="AD344" i="156" s="1"/>
  <c r="AD463" i="156" s="1"/>
  <c r="AJ341" i="159"/>
  <c r="AC344" i="156" s="1"/>
  <c r="AC463" i="156" s="1"/>
  <c r="AI341" i="159"/>
  <c r="AB344" i="156" s="1"/>
  <c r="AB463" i="156" s="1"/>
  <c r="AH341" i="159"/>
  <c r="AA344" i="156" s="1"/>
  <c r="AA463" i="156" s="1"/>
  <c r="AG341" i="159"/>
  <c r="Z344" i="156" s="1"/>
  <c r="Z463" i="156" s="1"/>
  <c r="AF341" i="159"/>
  <c r="Y344" i="156" s="1"/>
  <c r="Y463" i="156" s="1"/>
  <c r="AE341" i="159"/>
  <c r="X344" i="156" s="1"/>
  <c r="X463" i="156" s="1"/>
  <c r="AD341" i="159"/>
  <c r="W344" i="156" s="1"/>
  <c r="W463" i="156" s="1"/>
  <c r="AC341" i="159"/>
  <c r="V344" i="156" s="1"/>
  <c r="V463" i="156" s="1"/>
  <c r="AB341" i="159"/>
  <c r="U344" i="156" s="1"/>
  <c r="U463" i="156" s="1"/>
  <c r="AA341" i="159"/>
  <c r="T344" i="156" s="1"/>
  <c r="T463" i="156" s="1"/>
  <c r="Z341" i="159"/>
  <c r="S344" i="156" s="1"/>
  <c r="S463" i="156" s="1"/>
  <c r="Y341" i="159"/>
  <c r="R344" i="156" s="1"/>
  <c r="R463" i="156" s="1"/>
  <c r="X341" i="159"/>
  <c r="Q344" i="156" s="1"/>
  <c r="Q463" i="156" s="1"/>
  <c r="W341" i="159"/>
  <c r="P344" i="156" s="1"/>
  <c r="P463" i="156" s="1"/>
  <c r="V341" i="159"/>
  <c r="O344" i="156" s="1"/>
  <c r="O463" i="156" s="1"/>
  <c r="U341" i="159"/>
  <c r="N344" i="156" s="1"/>
  <c r="N463" i="156" s="1"/>
  <c r="T341" i="159"/>
  <c r="M344" i="156" s="1"/>
  <c r="M463" i="156" s="1"/>
  <c r="S341" i="159"/>
  <c r="L344" i="156" s="1"/>
  <c r="L463" i="156" s="1"/>
  <c r="R341" i="159"/>
  <c r="K344" i="156" s="1"/>
  <c r="K463" i="156" s="1"/>
  <c r="Q341" i="159"/>
  <c r="J344" i="156" s="1"/>
  <c r="J463" i="156" s="1"/>
  <c r="P341" i="159"/>
  <c r="I344" i="156" s="1"/>
  <c r="I463" i="156" s="1"/>
  <c r="O341" i="159"/>
  <c r="H344" i="156" s="1"/>
  <c r="H463" i="156" s="1"/>
  <c r="N341" i="159"/>
  <c r="G344" i="156" s="1"/>
  <c r="G463" i="156" s="1"/>
  <c r="M341" i="159"/>
  <c r="F344" i="156" s="1"/>
  <c r="F463" i="156" s="1"/>
  <c r="AN340" i="159"/>
  <c r="AG343" i="156" s="1"/>
  <c r="AG462" i="156" s="1"/>
  <c r="AM340" i="159"/>
  <c r="AF343" i="156" s="1"/>
  <c r="AF462" i="156" s="1"/>
  <c r="AL340" i="159"/>
  <c r="AE343" i="156" s="1"/>
  <c r="AE462" i="156" s="1"/>
  <c r="AK340" i="159"/>
  <c r="AD343" i="156" s="1"/>
  <c r="AD462" i="156" s="1"/>
  <c r="AJ340" i="159"/>
  <c r="AC343" i="156" s="1"/>
  <c r="AC462" i="156" s="1"/>
  <c r="AI340" i="159"/>
  <c r="AB343" i="156" s="1"/>
  <c r="AB462" i="156" s="1"/>
  <c r="AH340" i="159"/>
  <c r="AA343" i="156" s="1"/>
  <c r="AA462" i="156" s="1"/>
  <c r="AG340" i="159"/>
  <c r="Z343" i="156" s="1"/>
  <c r="Z462" i="156" s="1"/>
  <c r="AF340" i="159"/>
  <c r="Y343" i="156" s="1"/>
  <c r="Y462" i="156" s="1"/>
  <c r="AE340" i="159"/>
  <c r="X343" i="156" s="1"/>
  <c r="X462" i="156" s="1"/>
  <c r="AD340" i="159"/>
  <c r="W343" i="156" s="1"/>
  <c r="W462" i="156" s="1"/>
  <c r="AC340" i="159"/>
  <c r="V343" i="156" s="1"/>
  <c r="V462" i="156" s="1"/>
  <c r="AB340" i="159"/>
  <c r="U343" i="156" s="1"/>
  <c r="U462" i="156" s="1"/>
  <c r="AA340" i="159"/>
  <c r="T343" i="156" s="1"/>
  <c r="T462" i="156" s="1"/>
  <c r="Z340" i="159"/>
  <c r="S343" i="156" s="1"/>
  <c r="S462" i="156" s="1"/>
  <c r="Y340" i="159"/>
  <c r="R343" i="156" s="1"/>
  <c r="R462" i="156" s="1"/>
  <c r="X340" i="159"/>
  <c r="Q343" i="156" s="1"/>
  <c r="Q462" i="156" s="1"/>
  <c r="W340" i="159"/>
  <c r="P343" i="156" s="1"/>
  <c r="P462" i="156" s="1"/>
  <c r="V340" i="159"/>
  <c r="O343" i="156" s="1"/>
  <c r="O462" i="156" s="1"/>
  <c r="U340" i="159"/>
  <c r="N343" i="156" s="1"/>
  <c r="N462" i="156" s="1"/>
  <c r="T340" i="159"/>
  <c r="M343" i="156" s="1"/>
  <c r="M462" i="156" s="1"/>
  <c r="S340" i="159"/>
  <c r="L343" i="156" s="1"/>
  <c r="L462" i="156" s="1"/>
  <c r="R340" i="159"/>
  <c r="K343" i="156" s="1"/>
  <c r="K462" i="156" s="1"/>
  <c r="Q340" i="159"/>
  <c r="J343" i="156" s="1"/>
  <c r="J462" i="156" s="1"/>
  <c r="P340" i="159"/>
  <c r="I343" i="156" s="1"/>
  <c r="I462" i="156" s="1"/>
  <c r="O340" i="159"/>
  <c r="H343" i="156" s="1"/>
  <c r="H462" i="156" s="1"/>
  <c r="N340" i="159"/>
  <c r="G343" i="156" s="1"/>
  <c r="G462" i="156" s="1"/>
  <c r="M340" i="159"/>
  <c r="F343" i="156" s="1"/>
  <c r="F462" i="156" s="1"/>
  <c r="AN339" i="159"/>
  <c r="AG342" i="156" s="1"/>
  <c r="AG461" i="156" s="1"/>
  <c r="AM339" i="159"/>
  <c r="AF342" i="156" s="1"/>
  <c r="AF461" i="156" s="1"/>
  <c r="AL339" i="159"/>
  <c r="AE342" i="156" s="1"/>
  <c r="AE461" i="156" s="1"/>
  <c r="AK339" i="159"/>
  <c r="AD342" i="156" s="1"/>
  <c r="AD461" i="156" s="1"/>
  <c r="AJ339" i="159"/>
  <c r="AC342" i="156" s="1"/>
  <c r="AC461" i="156" s="1"/>
  <c r="AI339" i="159"/>
  <c r="AB342" i="156" s="1"/>
  <c r="AB461" i="156" s="1"/>
  <c r="AH339" i="159"/>
  <c r="AA342" i="156" s="1"/>
  <c r="AA461" i="156" s="1"/>
  <c r="AG339" i="159"/>
  <c r="Z342" i="156" s="1"/>
  <c r="Z461" i="156" s="1"/>
  <c r="AF339" i="159"/>
  <c r="Y342" i="156" s="1"/>
  <c r="Y461" i="156" s="1"/>
  <c r="AE339" i="159"/>
  <c r="X342" i="156" s="1"/>
  <c r="X461" i="156" s="1"/>
  <c r="AD339" i="159"/>
  <c r="W342" i="156" s="1"/>
  <c r="W461" i="156" s="1"/>
  <c r="AC339" i="159"/>
  <c r="V342" i="156" s="1"/>
  <c r="V461" i="156" s="1"/>
  <c r="AB339" i="159"/>
  <c r="U342" i="156" s="1"/>
  <c r="U461" i="156" s="1"/>
  <c r="AA339" i="159"/>
  <c r="T342" i="156" s="1"/>
  <c r="T461" i="156" s="1"/>
  <c r="Z339" i="159"/>
  <c r="S342" i="156" s="1"/>
  <c r="S461" i="156" s="1"/>
  <c r="Y339" i="159"/>
  <c r="R342" i="156" s="1"/>
  <c r="R461" i="156" s="1"/>
  <c r="X339" i="159"/>
  <c r="Q342" i="156" s="1"/>
  <c r="Q461" i="156" s="1"/>
  <c r="W339" i="159"/>
  <c r="P342" i="156" s="1"/>
  <c r="P461" i="156" s="1"/>
  <c r="V339" i="159"/>
  <c r="O342" i="156" s="1"/>
  <c r="O461" i="156" s="1"/>
  <c r="U339" i="159"/>
  <c r="N342" i="156" s="1"/>
  <c r="N461" i="156" s="1"/>
  <c r="T339" i="159"/>
  <c r="M342" i="156" s="1"/>
  <c r="M461" i="156" s="1"/>
  <c r="S339" i="159"/>
  <c r="L342" i="156" s="1"/>
  <c r="L461" i="156" s="1"/>
  <c r="R339" i="159"/>
  <c r="K342" i="156" s="1"/>
  <c r="K461" i="156" s="1"/>
  <c r="Q339" i="159"/>
  <c r="J342" i="156" s="1"/>
  <c r="J461" i="156" s="1"/>
  <c r="P339" i="159"/>
  <c r="I342" i="156" s="1"/>
  <c r="I461" i="156" s="1"/>
  <c r="O339" i="159"/>
  <c r="H342" i="156" s="1"/>
  <c r="H461" i="156" s="1"/>
  <c r="N339" i="159"/>
  <c r="G342" i="156" s="1"/>
  <c r="G461" i="156" s="1"/>
  <c r="M339" i="159"/>
  <c r="F342" i="156" s="1"/>
  <c r="F461" i="156" s="1"/>
  <c r="AN338" i="159"/>
  <c r="AG341" i="156" s="1"/>
  <c r="AG460" i="156" s="1"/>
  <c r="AM338" i="159"/>
  <c r="AF341" i="156" s="1"/>
  <c r="AF460" i="156" s="1"/>
  <c r="AL338" i="159"/>
  <c r="AE341" i="156" s="1"/>
  <c r="AE460" i="156" s="1"/>
  <c r="AK338" i="159"/>
  <c r="AD341" i="156" s="1"/>
  <c r="AD460" i="156" s="1"/>
  <c r="AJ338" i="159"/>
  <c r="AC341" i="156" s="1"/>
  <c r="AC460" i="156" s="1"/>
  <c r="AI338" i="159"/>
  <c r="AB341" i="156" s="1"/>
  <c r="AB460" i="156" s="1"/>
  <c r="AH338" i="159"/>
  <c r="AA341" i="156" s="1"/>
  <c r="AA460" i="156" s="1"/>
  <c r="AG338" i="159"/>
  <c r="Z341" i="156" s="1"/>
  <c r="Z460" i="156" s="1"/>
  <c r="AF338" i="159"/>
  <c r="Y341" i="156" s="1"/>
  <c r="Y460" i="156" s="1"/>
  <c r="AE338" i="159"/>
  <c r="X341" i="156" s="1"/>
  <c r="X460" i="156" s="1"/>
  <c r="AD338" i="159"/>
  <c r="W341" i="156" s="1"/>
  <c r="W460" i="156" s="1"/>
  <c r="AC338" i="159"/>
  <c r="V341" i="156" s="1"/>
  <c r="V460" i="156" s="1"/>
  <c r="AB338" i="159"/>
  <c r="U341" i="156" s="1"/>
  <c r="U460" i="156" s="1"/>
  <c r="AA338" i="159"/>
  <c r="T341" i="156" s="1"/>
  <c r="T460" i="156" s="1"/>
  <c r="Z338" i="159"/>
  <c r="S341" i="156" s="1"/>
  <c r="S460" i="156" s="1"/>
  <c r="Y338" i="159"/>
  <c r="R341" i="156" s="1"/>
  <c r="R460" i="156" s="1"/>
  <c r="X338" i="159"/>
  <c r="Q341" i="156" s="1"/>
  <c r="Q460" i="156" s="1"/>
  <c r="W338" i="159"/>
  <c r="P341" i="156" s="1"/>
  <c r="P460" i="156" s="1"/>
  <c r="V338" i="159"/>
  <c r="O341" i="156" s="1"/>
  <c r="O460" i="156" s="1"/>
  <c r="U338" i="159"/>
  <c r="N341" i="156" s="1"/>
  <c r="N460" i="156" s="1"/>
  <c r="T338" i="159"/>
  <c r="M341" i="156" s="1"/>
  <c r="M460" i="156" s="1"/>
  <c r="S338" i="159"/>
  <c r="L341" i="156" s="1"/>
  <c r="L460" i="156" s="1"/>
  <c r="R338" i="159"/>
  <c r="K341" i="156" s="1"/>
  <c r="K460" i="156" s="1"/>
  <c r="Q338" i="159"/>
  <c r="J341" i="156" s="1"/>
  <c r="J460" i="156" s="1"/>
  <c r="P338" i="159"/>
  <c r="I341" i="156" s="1"/>
  <c r="I460" i="156" s="1"/>
  <c r="O338" i="159"/>
  <c r="H341" i="156" s="1"/>
  <c r="H460" i="156" s="1"/>
  <c r="N338" i="159"/>
  <c r="G341" i="156" s="1"/>
  <c r="G460" i="156" s="1"/>
  <c r="M338" i="159"/>
  <c r="F341" i="156" s="1"/>
  <c r="F460" i="156" s="1"/>
  <c r="M332" i="159"/>
  <c r="F335" i="156" s="1"/>
  <c r="F454" i="156" s="1"/>
  <c r="M333" i="159"/>
  <c r="F336" i="156" s="1"/>
  <c r="F455" i="156" s="1"/>
  <c r="M334" i="159"/>
  <c r="F337" i="156" s="1"/>
  <c r="F456" i="156" s="1"/>
  <c r="M335" i="159"/>
  <c r="F338" i="156" s="1"/>
  <c r="F457" i="156" s="1"/>
  <c r="M336" i="159"/>
  <c r="F339" i="156" s="1"/>
  <c r="F458" i="156" s="1"/>
  <c r="M337" i="159"/>
  <c r="F340" i="156" s="1"/>
  <c r="F459" i="156" s="1"/>
  <c r="M331" i="159"/>
  <c r="F334" i="156" s="1"/>
  <c r="F453" i="156" s="1"/>
  <c r="M325" i="159"/>
  <c r="F328" i="156" s="1"/>
  <c r="F447" i="156" s="1"/>
  <c r="M326" i="159"/>
  <c r="F329" i="156" s="1"/>
  <c r="F448" i="156" s="1"/>
  <c r="M327" i="159"/>
  <c r="F330" i="156" s="1"/>
  <c r="F449" i="156" s="1"/>
  <c r="M328" i="159"/>
  <c r="F331" i="156" s="1"/>
  <c r="F450" i="156" s="1"/>
  <c r="M329" i="159"/>
  <c r="F332" i="156" s="1"/>
  <c r="F451" i="156" s="1"/>
  <c r="M330" i="159"/>
  <c r="F333" i="156" s="1"/>
  <c r="F452" i="156" s="1"/>
  <c r="M324" i="159"/>
  <c r="F327" i="156" s="1"/>
  <c r="F446" i="156" s="1"/>
  <c r="M319" i="159"/>
  <c r="F322" i="156" s="1"/>
  <c r="F441" i="156" s="1"/>
  <c r="M320" i="159"/>
  <c r="F323" i="156" s="1"/>
  <c r="F442" i="156" s="1"/>
  <c r="M321" i="159"/>
  <c r="F324" i="156" s="1"/>
  <c r="F443" i="156" s="1"/>
  <c r="M322" i="159"/>
  <c r="F325" i="156" s="1"/>
  <c r="F444" i="156" s="1"/>
  <c r="M323" i="159"/>
  <c r="F326" i="156" s="1"/>
  <c r="F445" i="156" s="1"/>
  <c r="M318" i="159"/>
  <c r="F321" i="156" s="1"/>
  <c r="F440" i="156" s="1"/>
  <c r="M313" i="159"/>
  <c r="F316" i="156" s="1"/>
  <c r="F435" i="156" s="1"/>
  <c r="M314" i="159"/>
  <c r="F317" i="156" s="1"/>
  <c r="F436" i="156" s="1"/>
  <c r="M315" i="159"/>
  <c r="F318" i="156" s="1"/>
  <c r="F437" i="156" s="1"/>
  <c r="M316" i="159"/>
  <c r="F319" i="156" s="1"/>
  <c r="F438" i="156" s="1"/>
  <c r="M317" i="159"/>
  <c r="F320" i="156" s="1"/>
  <c r="F439" i="156" s="1"/>
  <c r="M312" i="159"/>
  <c r="F315" i="156" s="1"/>
  <c r="F434" i="156" s="1"/>
  <c r="M307" i="159"/>
  <c r="F310" i="156" s="1"/>
  <c r="F429" i="156" s="1"/>
  <c r="M308" i="159"/>
  <c r="F311" i="156" s="1"/>
  <c r="F430" i="156" s="1"/>
  <c r="M309" i="159"/>
  <c r="F312" i="156" s="1"/>
  <c r="F431" i="156" s="1"/>
  <c r="M310" i="159"/>
  <c r="F313" i="156" s="1"/>
  <c r="F432" i="156" s="1"/>
  <c r="M311" i="159"/>
  <c r="F314" i="156" s="1"/>
  <c r="F433" i="156" s="1"/>
  <c r="M306" i="159"/>
  <c r="F309" i="156" s="1"/>
  <c r="F428" i="156" s="1"/>
  <c r="M301" i="159"/>
  <c r="F304" i="156" s="1"/>
  <c r="F423" i="156" s="1"/>
  <c r="M302" i="159"/>
  <c r="F305" i="156" s="1"/>
  <c r="F424" i="156" s="1"/>
  <c r="M303" i="159"/>
  <c r="F306" i="156" s="1"/>
  <c r="F425" i="156" s="1"/>
  <c r="M304" i="159"/>
  <c r="F307" i="156" s="1"/>
  <c r="F426" i="156" s="1"/>
  <c r="M305" i="159"/>
  <c r="F308" i="156" s="1"/>
  <c r="F427" i="156" s="1"/>
  <c r="M300" i="159"/>
  <c r="F303" i="156" s="1"/>
  <c r="F422" i="156" s="1"/>
  <c r="M294" i="159"/>
  <c r="F297" i="156" s="1"/>
  <c r="F416" i="156" s="1"/>
  <c r="M295" i="159"/>
  <c r="F298" i="156" s="1"/>
  <c r="F417" i="156" s="1"/>
  <c r="M296" i="159"/>
  <c r="F299" i="156" s="1"/>
  <c r="F418" i="156" s="1"/>
  <c r="M297" i="159"/>
  <c r="F300" i="156" s="1"/>
  <c r="F419" i="156" s="1"/>
  <c r="M298" i="159"/>
  <c r="F301" i="156" s="1"/>
  <c r="F420" i="156" s="1"/>
  <c r="M299" i="159"/>
  <c r="F302" i="156" s="1"/>
  <c r="F421" i="156" s="1"/>
  <c r="M293" i="159"/>
  <c r="F296" i="156" s="1"/>
  <c r="F415" i="156" s="1"/>
  <c r="M287" i="159"/>
  <c r="F290" i="156" s="1"/>
  <c r="F409" i="156" s="1"/>
  <c r="M288" i="159"/>
  <c r="F291" i="156" s="1"/>
  <c r="F410" i="156" s="1"/>
  <c r="M289" i="159"/>
  <c r="F292" i="156" s="1"/>
  <c r="F411" i="156" s="1"/>
  <c r="M290" i="159"/>
  <c r="F293" i="156" s="1"/>
  <c r="F412" i="156" s="1"/>
  <c r="M291" i="159"/>
  <c r="F294" i="156" s="1"/>
  <c r="F413" i="156" s="1"/>
  <c r="M292" i="159"/>
  <c r="F295" i="156" s="1"/>
  <c r="F414" i="156" s="1"/>
  <c r="M286" i="159"/>
  <c r="F289" i="156" s="1"/>
  <c r="F408" i="156" s="1"/>
  <c r="M281" i="159"/>
  <c r="F284" i="156" s="1"/>
  <c r="F403" i="156" s="1"/>
  <c r="M282" i="159"/>
  <c r="F285" i="156" s="1"/>
  <c r="F404" i="156" s="1"/>
  <c r="M283" i="159"/>
  <c r="F286" i="156" s="1"/>
  <c r="F405" i="156" s="1"/>
  <c r="M284" i="159"/>
  <c r="F287" i="156" s="1"/>
  <c r="F406" i="156" s="1"/>
  <c r="M285" i="159"/>
  <c r="F288" i="156" s="1"/>
  <c r="M280" i="159"/>
  <c r="F283" i="156" s="1"/>
  <c r="M275" i="159"/>
  <c r="F278" i="156" s="1"/>
  <c r="F397" i="156" s="1"/>
  <c r="M276" i="159"/>
  <c r="F279" i="156" s="1"/>
  <c r="F398" i="156" s="1"/>
  <c r="M277" i="159"/>
  <c r="F280" i="156" s="1"/>
  <c r="F399" i="156" s="1"/>
  <c r="M278" i="159"/>
  <c r="F281" i="156" s="1"/>
  <c r="F400" i="156" s="1"/>
  <c r="M279" i="159"/>
  <c r="F282" i="156" s="1"/>
  <c r="M274" i="159"/>
  <c r="F277" i="156" s="1"/>
  <c r="M269" i="159"/>
  <c r="F272" i="156" s="1"/>
  <c r="F391" i="156" s="1"/>
  <c r="M270" i="159"/>
  <c r="F273" i="156" s="1"/>
  <c r="F392" i="156" s="1"/>
  <c r="M271" i="159"/>
  <c r="F274" i="156" s="1"/>
  <c r="F393" i="156" s="1"/>
  <c r="M272" i="159"/>
  <c r="F275" i="156" s="1"/>
  <c r="F394" i="156" s="1"/>
  <c r="M273" i="159"/>
  <c r="F276" i="156" s="1"/>
  <c r="M268" i="159"/>
  <c r="F271" i="156" s="1"/>
  <c r="N267" i="159"/>
  <c r="G270" i="156" s="1"/>
  <c r="N266" i="159"/>
  <c r="G269" i="156" s="1"/>
  <c r="G388" i="156" s="1"/>
  <c r="N265" i="159"/>
  <c r="G268" i="156" s="1"/>
  <c r="G387" i="156" s="1"/>
  <c r="N264" i="159"/>
  <c r="G267" i="156" s="1"/>
  <c r="G386" i="156" s="1"/>
  <c r="N263" i="159"/>
  <c r="G266" i="156" s="1"/>
  <c r="G385" i="156" s="1"/>
  <c r="N262" i="159"/>
  <c r="P262" i="159"/>
  <c r="P266" i="159"/>
  <c r="I269" i="156" s="1"/>
  <c r="I388" i="156" s="1"/>
  <c r="P265" i="159"/>
  <c r="I268" i="156" s="1"/>
  <c r="I387" i="156" s="1"/>
  <c r="P263" i="159"/>
  <c r="I266" i="156" s="1"/>
  <c r="I385" i="156" s="1"/>
  <c r="Q267" i="159"/>
  <c r="J270" i="156" s="1"/>
  <c r="Q266" i="159"/>
  <c r="J269" i="156" s="1"/>
  <c r="J388" i="156" s="1"/>
  <c r="Q265" i="159"/>
  <c r="J268" i="156" s="1"/>
  <c r="J387" i="156" s="1"/>
  <c r="Q264" i="159"/>
  <c r="J267" i="156" s="1"/>
  <c r="J386" i="156" s="1"/>
  <c r="Q263" i="159"/>
  <c r="J266" i="156" s="1"/>
  <c r="J385" i="156" s="1"/>
  <c r="Q262" i="159"/>
  <c r="R267" i="159"/>
  <c r="K270" i="156" s="1"/>
  <c r="R266" i="159"/>
  <c r="K269" i="156" s="1"/>
  <c r="K388" i="156" s="1"/>
  <c r="R265" i="159"/>
  <c r="K268" i="156" s="1"/>
  <c r="K387" i="156" s="1"/>
  <c r="R264" i="159"/>
  <c r="K267" i="156" s="1"/>
  <c r="K386" i="156" s="1"/>
  <c r="R263" i="159"/>
  <c r="K266" i="156" s="1"/>
  <c r="K385" i="156" s="1"/>
  <c r="R262" i="159"/>
  <c r="S267" i="159"/>
  <c r="L270" i="156" s="1"/>
  <c r="S266" i="159"/>
  <c r="L269" i="156" s="1"/>
  <c r="L388" i="156" s="1"/>
  <c r="S265" i="159"/>
  <c r="L268" i="156" s="1"/>
  <c r="L387" i="156" s="1"/>
  <c r="S264" i="159"/>
  <c r="L267" i="156" s="1"/>
  <c r="L386" i="156" s="1"/>
  <c r="S263" i="159"/>
  <c r="L266" i="156" s="1"/>
  <c r="L385" i="156" s="1"/>
  <c r="S262" i="159"/>
  <c r="T267" i="159"/>
  <c r="M270" i="156" s="1"/>
  <c r="T266" i="159"/>
  <c r="M269" i="156" s="1"/>
  <c r="M388" i="156" s="1"/>
  <c r="T265" i="159"/>
  <c r="M268" i="156" s="1"/>
  <c r="M387" i="156" s="1"/>
  <c r="T264" i="159"/>
  <c r="M267" i="156" s="1"/>
  <c r="M386" i="156" s="1"/>
  <c r="T263" i="159"/>
  <c r="M266" i="156" s="1"/>
  <c r="M385" i="156" s="1"/>
  <c r="T262" i="159"/>
  <c r="U267" i="159"/>
  <c r="N270" i="156" s="1"/>
  <c r="U266" i="159"/>
  <c r="N269" i="156" s="1"/>
  <c r="N388" i="156" s="1"/>
  <c r="U265" i="159"/>
  <c r="N268" i="156" s="1"/>
  <c r="N387" i="156" s="1"/>
  <c r="U264" i="159"/>
  <c r="N267" i="156" s="1"/>
  <c r="N386" i="156" s="1"/>
  <c r="U263" i="159"/>
  <c r="N266" i="156" s="1"/>
  <c r="N385" i="156" s="1"/>
  <c r="U262" i="159"/>
  <c r="V267" i="159"/>
  <c r="O270" i="156" s="1"/>
  <c r="V266" i="159"/>
  <c r="O269" i="156" s="1"/>
  <c r="O388" i="156" s="1"/>
  <c r="V265" i="159"/>
  <c r="O268" i="156" s="1"/>
  <c r="O387" i="156" s="1"/>
  <c r="V264" i="159"/>
  <c r="O267" i="156" s="1"/>
  <c r="O386" i="156" s="1"/>
  <c r="V263" i="159"/>
  <c r="O266" i="156" s="1"/>
  <c r="O385" i="156" s="1"/>
  <c r="V262" i="159"/>
  <c r="W267" i="159"/>
  <c r="P270" i="156" s="1"/>
  <c r="W266" i="159"/>
  <c r="P269" i="156" s="1"/>
  <c r="P388" i="156" s="1"/>
  <c r="W265" i="159"/>
  <c r="P268" i="156" s="1"/>
  <c r="P387" i="156" s="1"/>
  <c r="W264" i="159"/>
  <c r="P267" i="156" s="1"/>
  <c r="P386" i="156" s="1"/>
  <c r="W263" i="159"/>
  <c r="P266" i="156" s="1"/>
  <c r="P385" i="156" s="1"/>
  <c r="W262" i="159"/>
  <c r="X267" i="159"/>
  <c r="Q270" i="156" s="1"/>
  <c r="X266" i="159"/>
  <c r="Q269" i="156" s="1"/>
  <c r="Q388" i="156" s="1"/>
  <c r="X265" i="159"/>
  <c r="Q268" i="156" s="1"/>
  <c r="Q387" i="156" s="1"/>
  <c r="X264" i="159"/>
  <c r="Q267" i="156" s="1"/>
  <c r="Q386" i="156" s="1"/>
  <c r="X263" i="159"/>
  <c r="Q266" i="156" s="1"/>
  <c r="Q385" i="156" s="1"/>
  <c r="X262" i="159"/>
  <c r="Y267" i="159"/>
  <c r="R270" i="156" s="1"/>
  <c r="Y266" i="159"/>
  <c r="R269" i="156" s="1"/>
  <c r="R388" i="156" s="1"/>
  <c r="Y265" i="159"/>
  <c r="R268" i="156" s="1"/>
  <c r="R387" i="156" s="1"/>
  <c r="Y264" i="159"/>
  <c r="R267" i="156" s="1"/>
  <c r="R386" i="156" s="1"/>
  <c r="Y263" i="159"/>
  <c r="R266" i="156" s="1"/>
  <c r="R385" i="156" s="1"/>
  <c r="Y262" i="159"/>
  <c r="Z267" i="159"/>
  <c r="S270" i="156" s="1"/>
  <c r="Z266" i="159"/>
  <c r="S269" i="156" s="1"/>
  <c r="S388" i="156" s="1"/>
  <c r="Z265" i="159"/>
  <c r="S268" i="156" s="1"/>
  <c r="S387" i="156" s="1"/>
  <c r="Z264" i="159"/>
  <c r="S267" i="156" s="1"/>
  <c r="S386" i="156" s="1"/>
  <c r="Z263" i="159"/>
  <c r="S266" i="156" s="1"/>
  <c r="S385" i="156" s="1"/>
  <c r="Z262" i="159"/>
  <c r="AA267" i="159"/>
  <c r="T270" i="156" s="1"/>
  <c r="AA266" i="159"/>
  <c r="T269" i="156" s="1"/>
  <c r="T388" i="156" s="1"/>
  <c r="AA265" i="159"/>
  <c r="T268" i="156" s="1"/>
  <c r="T387" i="156" s="1"/>
  <c r="AA264" i="159"/>
  <c r="T267" i="156" s="1"/>
  <c r="T386" i="156" s="1"/>
  <c r="AA263" i="159"/>
  <c r="T266" i="156" s="1"/>
  <c r="T385" i="156" s="1"/>
  <c r="AA262" i="159"/>
  <c r="AB267" i="159"/>
  <c r="U270" i="156" s="1"/>
  <c r="AB266" i="159"/>
  <c r="U269" i="156" s="1"/>
  <c r="U388" i="156" s="1"/>
  <c r="AB265" i="159"/>
  <c r="U268" i="156" s="1"/>
  <c r="U387" i="156" s="1"/>
  <c r="AB264" i="159"/>
  <c r="U267" i="156" s="1"/>
  <c r="U386" i="156" s="1"/>
  <c r="AB263" i="159"/>
  <c r="U266" i="156" s="1"/>
  <c r="U385" i="156" s="1"/>
  <c r="AB262" i="159"/>
  <c r="AC267" i="159"/>
  <c r="V270" i="156" s="1"/>
  <c r="AC266" i="159"/>
  <c r="V269" i="156" s="1"/>
  <c r="V388" i="156" s="1"/>
  <c r="AC265" i="159"/>
  <c r="V268" i="156" s="1"/>
  <c r="V387" i="156" s="1"/>
  <c r="AC264" i="159"/>
  <c r="V267" i="156" s="1"/>
  <c r="V386" i="156" s="1"/>
  <c r="AC263" i="159"/>
  <c r="V266" i="156" s="1"/>
  <c r="V385" i="156" s="1"/>
  <c r="AC262" i="159"/>
  <c r="AD267" i="159"/>
  <c r="W270" i="156" s="1"/>
  <c r="AD266" i="159"/>
  <c r="W269" i="156" s="1"/>
  <c r="W388" i="156" s="1"/>
  <c r="AD265" i="159"/>
  <c r="W268" i="156" s="1"/>
  <c r="W387" i="156" s="1"/>
  <c r="AD264" i="159"/>
  <c r="W267" i="156" s="1"/>
  <c r="W386" i="156" s="1"/>
  <c r="AD263" i="159"/>
  <c r="W266" i="156" s="1"/>
  <c r="W385" i="156" s="1"/>
  <c r="AD262" i="159"/>
  <c r="AE267" i="159"/>
  <c r="X270" i="156" s="1"/>
  <c r="AE266" i="159"/>
  <c r="X269" i="156" s="1"/>
  <c r="X388" i="156" s="1"/>
  <c r="AE265" i="159"/>
  <c r="X268" i="156" s="1"/>
  <c r="X387" i="156" s="1"/>
  <c r="AE264" i="159"/>
  <c r="X267" i="156" s="1"/>
  <c r="X386" i="156" s="1"/>
  <c r="AE263" i="159"/>
  <c r="X266" i="156" s="1"/>
  <c r="X385" i="156" s="1"/>
  <c r="AE262" i="159"/>
  <c r="AF267" i="159"/>
  <c r="Y270" i="156" s="1"/>
  <c r="AF266" i="159"/>
  <c r="Y269" i="156" s="1"/>
  <c r="Y388" i="156" s="1"/>
  <c r="AF265" i="159"/>
  <c r="Y268" i="156" s="1"/>
  <c r="Y387" i="156" s="1"/>
  <c r="AF264" i="159"/>
  <c r="Y267" i="156" s="1"/>
  <c r="Y386" i="156" s="1"/>
  <c r="AF263" i="159"/>
  <c r="Y266" i="156" s="1"/>
  <c r="Y385" i="156" s="1"/>
  <c r="AF262" i="159"/>
  <c r="AG267" i="159"/>
  <c r="Z270" i="156" s="1"/>
  <c r="AG266" i="159"/>
  <c r="Z269" i="156" s="1"/>
  <c r="Z388" i="156" s="1"/>
  <c r="AG265" i="159"/>
  <c r="Z268" i="156" s="1"/>
  <c r="Z387" i="156" s="1"/>
  <c r="AG264" i="159"/>
  <c r="Z267" i="156" s="1"/>
  <c r="Z386" i="156" s="1"/>
  <c r="AG263" i="159"/>
  <c r="Z266" i="156" s="1"/>
  <c r="Z385" i="156" s="1"/>
  <c r="AG262" i="159"/>
  <c r="AH267" i="159"/>
  <c r="AA270" i="156" s="1"/>
  <c r="AH266" i="159"/>
  <c r="AA269" i="156" s="1"/>
  <c r="AA388" i="156" s="1"/>
  <c r="AH265" i="159"/>
  <c r="AA268" i="156" s="1"/>
  <c r="AA387" i="156" s="1"/>
  <c r="AH264" i="159"/>
  <c r="AA267" i="156" s="1"/>
  <c r="AA386" i="156" s="1"/>
  <c r="AH263" i="159"/>
  <c r="AA266" i="156" s="1"/>
  <c r="AA385" i="156" s="1"/>
  <c r="AH262" i="159"/>
  <c r="AI267" i="159"/>
  <c r="AB270" i="156" s="1"/>
  <c r="AI266" i="159"/>
  <c r="AB269" i="156" s="1"/>
  <c r="AB388" i="156" s="1"/>
  <c r="AI265" i="159"/>
  <c r="AB268" i="156" s="1"/>
  <c r="AB387" i="156" s="1"/>
  <c r="AI264" i="159"/>
  <c r="AB267" i="156" s="1"/>
  <c r="AB386" i="156" s="1"/>
  <c r="AI263" i="159"/>
  <c r="AB266" i="156" s="1"/>
  <c r="AB385" i="156" s="1"/>
  <c r="AI262" i="159"/>
  <c r="AJ267" i="159"/>
  <c r="AC270" i="156" s="1"/>
  <c r="AJ266" i="159"/>
  <c r="AC269" i="156" s="1"/>
  <c r="AC388" i="156" s="1"/>
  <c r="AJ265" i="159"/>
  <c r="AC268" i="156" s="1"/>
  <c r="AC387" i="156" s="1"/>
  <c r="AJ264" i="159"/>
  <c r="AC267" i="156" s="1"/>
  <c r="AC386" i="156" s="1"/>
  <c r="AJ263" i="159"/>
  <c r="AC266" i="156" s="1"/>
  <c r="AC385" i="156" s="1"/>
  <c r="AJ262" i="159"/>
  <c r="AK267" i="159"/>
  <c r="AD270" i="156" s="1"/>
  <c r="AK266" i="159"/>
  <c r="AD269" i="156" s="1"/>
  <c r="AD388" i="156" s="1"/>
  <c r="AK265" i="159"/>
  <c r="AD268" i="156" s="1"/>
  <c r="AD387" i="156" s="1"/>
  <c r="AK264" i="159"/>
  <c r="AD267" i="156" s="1"/>
  <c r="AD386" i="156" s="1"/>
  <c r="AK263" i="159"/>
  <c r="AD266" i="156" s="1"/>
  <c r="AD385" i="156" s="1"/>
  <c r="AK262" i="159"/>
  <c r="AL267" i="159"/>
  <c r="AE270" i="156" s="1"/>
  <c r="AL266" i="159"/>
  <c r="AE269" i="156" s="1"/>
  <c r="AE388" i="156" s="1"/>
  <c r="AL265" i="159"/>
  <c r="AE268" i="156" s="1"/>
  <c r="AE387" i="156" s="1"/>
  <c r="AL264" i="159"/>
  <c r="AE267" i="156" s="1"/>
  <c r="AE386" i="156" s="1"/>
  <c r="AL263" i="159"/>
  <c r="AE266" i="156" s="1"/>
  <c r="AE385" i="156" s="1"/>
  <c r="AL262" i="159"/>
  <c r="AM267" i="159"/>
  <c r="AF270" i="156" s="1"/>
  <c r="AM266" i="159"/>
  <c r="AF269" i="156" s="1"/>
  <c r="AF388" i="156" s="1"/>
  <c r="AM265" i="159"/>
  <c r="AF268" i="156" s="1"/>
  <c r="AF387" i="156" s="1"/>
  <c r="AM264" i="159"/>
  <c r="AF267" i="156" s="1"/>
  <c r="AF386" i="156" s="1"/>
  <c r="AM263" i="159"/>
  <c r="AF266" i="156" s="1"/>
  <c r="AF385" i="156" s="1"/>
  <c r="AM262" i="159"/>
  <c r="AN267" i="159"/>
  <c r="AG270" i="156" s="1"/>
  <c r="AN266" i="159"/>
  <c r="AG269" i="156" s="1"/>
  <c r="AG388" i="156" s="1"/>
  <c r="AN265" i="159"/>
  <c r="AG268" i="156" s="1"/>
  <c r="AG387" i="156" s="1"/>
  <c r="AN264" i="159"/>
  <c r="AG267" i="156" s="1"/>
  <c r="AG386" i="156" s="1"/>
  <c r="AN263" i="159"/>
  <c r="AG266" i="156" s="1"/>
  <c r="AG385" i="156" s="1"/>
  <c r="AN262" i="159"/>
  <c r="N273" i="159"/>
  <c r="G276" i="156" s="1"/>
  <c r="N272" i="159"/>
  <c r="G275" i="156" s="1"/>
  <c r="G394" i="156" s="1"/>
  <c r="N271" i="159"/>
  <c r="G274" i="156" s="1"/>
  <c r="G393" i="156" s="1"/>
  <c r="N270" i="159"/>
  <c r="G273" i="156" s="1"/>
  <c r="G392" i="156" s="1"/>
  <c r="N269" i="159"/>
  <c r="G272" i="156" s="1"/>
  <c r="G391" i="156" s="1"/>
  <c r="N268" i="159"/>
  <c r="G271" i="156" s="1"/>
  <c r="O272" i="159"/>
  <c r="H275" i="156" s="1"/>
  <c r="H394" i="156" s="1"/>
  <c r="O273" i="159"/>
  <c r="H276" i="156" s="1"/>
  <c r="O271" i="159"/>
  <c r="H274" i="156" s="1"/>
  <c r="H393" i="156" s="1"/>
  <c r="O270" i="159"/>
  <c r="H273" i="156" s="1"/>
  <c r="H392" i="156" s="1"/>
  <c r="P268" i="159"/>
  <c r="I271" i="156" s="1"/>
  <c r="P272" i="159"/>
  <c r="I275" i="156" s="1"/>
  <c r="I394" i="156" s="1"/>
  <c r="P271" i="159"/>
  <c r="I274" i="156" s="1"/>
  <c r="I393" i="156" s="1"/>
  <c r="P269" i="159"/>
  <c r="I272" i="156" s="1"/>
  <c r="I391" i="156" s="1"/>
  <c r="Q273" i="159"/>
  <c r="J276" i="156" s="1"/>
  <c r="Q272" i="159"/>
  <c r="J275" i="156" s="1"/>
  <c r="J394" i="156" s="1"/>
  <c r="Q271" i="159"/>
  <c r="J274" i="156" s="1"/>
  <c r="J393" i="156" s="1"/>
  <c r="Q270" i="159"/>
  <c r="J273" i="156" s="1"/>
  <c r="J392" i="156" s="1"/>
  <c r="Q269" i="159"/>
  <c r="J272" i="156" s="1"/>
  <c r="J391" i="156" s="1"/>
  <c r="Q268" i="159"/>
  <c r="J271" i="156" s="1"/>
  <c r="R273" i="159"/>
  <c r="K276" i="156" s="1"/>
  <c r="R272" i="159"/>
  <c r="K275" i="156" s="1"/>
  <c r="K394" i="156" s="1"/>
  <c r="R271" i="159"/>
  <c r="K274" i="156" s="1"/>
  <c r="K393" i="156" s="1"/>
  <c r="R270" i="159"/>
  <c r="K273" i="156" s="1"/>
  <c r="K392" i="156" s="1"/>
  <c r="R269" i="159"/>
  <c r="K272" i="156" s="1"/>
  <c r="K391" i="156" s="1"/>
  <c r="R268" i="159"/>
  <c r="K271" i="156" s="1"/>
  <c r="S273" i="159"/>
  <c r="L276" i="156" s="1"/>
  <c r="S272" i="159"/>
  <c r="L275" i="156" s="1"/>
  <c r="L394" i="156" s="1"/>
  <c r="S271" i="159"/>
  <c r="L274" i="156" s="1"/>
  <c r="L393" i="156" s="1"/>
  <c r="S270" i="159"/>
  <c r="L273" i="156" s="1"/>
  <c r="L392" i="156" s="1"/>
  <c r="S269" i="159"/>
  <c r="L272" i="156" s="1"/>
  <c r="L391" i="156" s="1"/>
  <c r="S268" i="159"/>
  <c r="L271" i="156" s="1"/>
  <c r="T273" i="159"/>
  <c r="M276" i="156" s="1"/>
  <c r="T272" i="159"/>
  <c r="M275" i="156" s="1"/>
  <c r="M394" i="156" s="1"/>
  <c r="T271" i="159"/>
  <c r="M274" i="156" s="1"/>
  <c r="M393" i="156" s="1"/>
  <c r="T270" i="159"/>
  <c r="M273" i="156" s="1"/>
  <c r="M392" i="156" s="1"/>
  <c r="T269" i="159"/>
  <c r="M272" i="156" s="1"/>
  <c r="M391" i="156" s="1"/>
  <c r="T268" i="159"/>
  <c r="M271" i="156" s="1"/>
  <c r="U273" i="159"/>
  <c r="N276" i="156" s="1"/>
  <c r="U272" i="159"/>
  <c r="N275" i="156" s="1"/>
  <c r="N394" i="156" s="1"/>
  <c r="U271" i="159"/>
  <c r="N274" i="156" s="1"/>
  <c r="N393" i="156" s="1"/>
  <c r="U270" i="159"/>
  <c r="N273" i="156" s="1"/>
  <c r="N392" i="156" s="1"/>
  <c r="U269" i="159"/>
  <c r="N272" i="156" s="1"/>
  <c r="N391" i="156" s="1"/>
  <c r="U268" i="159"/>
  <c r="N271" i="156" s="1"/>
  <c r="V273" i="159"/>
  <c r="O276" i="156" s="1"/>
  <c r="V272" i="159"/>
  <c r="O275" i="156" s="1"/>
  <c r="O394" i="156" s="1"/>
  <c r="V271" i="159"/>
  <c r="O274" i="156" s="1"/>
  <c r="O393" i="156" s="1"/>
  <c r="V270" i="159"/>
  <c r="O273" i="156" s="1"/>
  <c r="O392" i="156" s="1"/>
  <c r="V269" i="159"/>
  <c r="O272" i="156" s="1"/>
  <c r="O391" i="156" s="1"/>
  <c r="V268" i="159"/>
  <c r="O271" i="156" s="1"/>
  <c r="W273" i="159"/>
  <c r="P276" i="156" s="1"/>
  <c r="W272" i="159"/>
  <c r="P275" i="156" s="1"/>
  <c r="P394" i="156" s="1"/>
  <c r="W271" i="159"/>
  <c r="P274" i="156" s="1"/>
  <c r="P393" i="156" s="1"/>
  <c r="W270" i="159"/>
  <c r="P273" i="156" s="1"/>
  <c r="P392" i="156" s="1"/>
  <c r="W269" i="159"/>
  <c r="P272" i="156" s="1"/>
  <c r="P391" i="156" s="1"/>
  <c r="W268" i="159"/>
  <c r="P271" i="156" s="1"/>
  <c r="X273" i="159"/>
  <c r="Q276" i="156" s="1"/>
  <c r="X272" i="159"/>
  <c r="Q275" i="156" s="1"/>
  <c r="Q394" i="156" s="1"/>
  <c r="X271" i="159"/>
  <c r="Q274" i="156" s="1"/>
  <c r="Q393" i="156" s="1"/>
  <c r="X270" i="159"/>
  <c r="Q273" i="156" s="1"/>
  <c r="Q392" i="156" s="1"/>
  <c r="X269" i="159"/>
  <c r="Q272" i="156" s="1"/>
  <c r="Q391" i="156" s="1"/>
  <c r="X268" i="159"/>
  <c r="Q271" i="156" s="1"/>
  <c r="Y273" i="159"/>
  <c r="R276" i="156" s="1"/>
  <c r="Y272" i="159"/>
  <c r="R275" i="156" s="1"/>
  <c r="R394" i="156" s="1"/>
  <c r="Y271" i="159"/>
  <c r="R274" i="156" s="1"/>
  <c r="R393" i="156" s="1"/>
  <c r="Y270" i="159"/>
  <c r="R273" i="156" s="1"/>
  <c r="R392" i="156" s="1"/>
  <c r="Y269" i="159"/>
  <c r="R272" i="156" s="1"/>
  <c r="R391" i="156" s="1"/>
  <c r="Y268" i="159"/>
  <c r="R271" i="156" s="1"/>
  <c r="Z273" i="159"/>
  <c r="S276" i="156" s="1"/>
  <c r="Z272" i="159"/>
  <c r="S275" i="156" s="1"/>
  <c r="S394" i="156" s="1"/>
  <c r="Z271" i="159"/>
  <c r="S274" i="156" s="1"/>
  <c r="S393" i="156" s="1"/>
  <c r="Z270" i="159"/>
  <c r="S273" i="156" s="1"/>
  <c r="S392" i="156" s="1"/>
  <c r="Z269" i="159"/>
  <c r="S272" i="156" s="1"/>
  <c r="S391" i="156" s="1"/>
  <c r="Z268" i="159"/>
  <c r="S271" i="156" s="1"/>
  <c r="AA273" i="159"/>
  <c r="T276" i="156" s="1"/>
  <c r="AA272" i="159"/>
  <c r="T275" i="156" s="1"/>
  <c r="T394" i="156" s="1"/>
  <c r="AA271" i="159"/>
  <c r="T274" i="156" s="1"/>
  <c r="T393" i="156" s="1"/>
  <c r="AA270" i="159"/>
  <c r="T273" i="156" s="1"/>
  <c r="T392" i="156" s="1"/>
  <c r="AA269" i="159"/>
  <c r="T272" i="156" s="1"/>
  <c r="T391" i="156" s="1"/>
  <c r="AA268" i="159"/>
  <c r="T271" i="156" s="1"/>
  <c r="AB273" i="159"/>
  <c r="U276" i="156" s="1"/>
  <c r="AB272" i="159"/>
  <c r="U275" i="156" s="1"/>
  <c r="U394" i="156" s="1"/>
  <c r="AB271" i="159"/>
  <c r="U274" i="156" s="1"/>
  <c r="U393" i="156" s="1"/>
  <c r="AB270" i="159"/>
  <c r="U273" i="156" s="1"/>
  <c r="U392" i="156" s="1"/>
  <c r="AB269" i="159"/>
  <c r="U272" i="156" s="1"/>
  <c r="U391" i="156" s="1"/>
  <c r="AB268" i="159"/>
  <c r="U271" i="156" s="1"/>
  <c r="AC273" i="159"/>
  <c r="V276" i="156" s="1"/>
  <c r="AC272" i="159"/>
  <c r="V275" i="156" s="1"/>
  <c r="V394" i="156" s="1"/>
  <c r="AC271" i="159"/>
  <c r="V274" i="156" s="1"/>
  <c r="V393" i="156" s="1"/>
  <c r="AC270" i="159"/>
  <c r="V273" i="156" s="1"/>
  <c r="V392" i="156" s="1"/>
  <c r="AC269" i="159"/>
  <c r="V272" i="156" s="1"/>
  <c r="V391" i="156" s="1"/>
  <c r="AC268" i="159"/>
  <c r="V271" i="156" s="1"/>
  <c r="AD273" i="159"/>
  <c r="W276" i="156" s="1"/>
  <c r="AD272" i="159"/>
  <c r="W275" i="156" s="1"/>
  <c r="W394" i="156" s="1"/>
  <c r="AD271" i="159"/>
  <c r="W274" i="156" s="1"/>
  <c r="W393" i="156" s="1"/>
  <c r="AD270" i="159"/>
  <c r="W273" i="156" s="1"/>
  <c r="W392" i="156" s="1"/>
  <c r="AD269" i="159"/>
  <c r="W272" i="156" s="1"/>
  <c r="W391" i="156" s="1"/>
  <c r="AD268" i="159"/>
  <c r="W271" i="156" s="1"/>
  <c r="AE273" i="159"/>
  <c r="X276" i="156" s="1"/>
  <c r="AE272" i="159"/>
  <c r="X275" i="156" s="1"/>
  <c r="X394" i="156" s="1"/>
  <c r="AE271" i="159"/>
  <c r="X274" i="156" s="1"/>
  <c r="X393" i="156" s="1"/>
  <c r="AE270" i="159"/>
  <c r="X273" i="156" s="1"/>
  <c r="X392" i="156" s="1"/>
  <c r="AE269" i="159"/>
  <c r="X272" i="156" s="1"/>
  <c r="X391" i="156" s="1"/>
  <c r="AE268" i="159"/>
  <c r="X271" i="156" s="1"/>
  <c r="AF273" i="159"/>
  <c r="Y276" i="156" s="1"/>
  <c r="AF272" i="159"/>
  <c r="Y275" i="156" s="1"/>
  <c r="Y394" i="156" s="1"/>
  <c r="AF271" i="159"/>
  <c r="Y274" i="156" s="1"/>
  <c r="Y393" i="156" s="1"/>
  <c r="AF270" i="159"/>
  <c r="Y273" i="156" s="1"/>
  <c r="Y392" i="156" s="1"/>
  <c r="AF269" i="159"/>
  <c r="Y272" i="156" s="1"/>
  <c r="Y391" i="156" s="1"/>
  <c r="AF268" i="159"/>
  <c r="Y271" i="156" s="1"/>
  <c r="AG273" i="159"/>
  <c r="Z276" i="156" s="1"/>
  <c r="AG272" i="159"/>
  <c r="Z275" i="156" s="1"/>
  <c r="Z394" i="156" s="1"/>
  <c r="AG271" i="159"/>
  <c r="Z274" i="156" s="1"/>
  <c r="Z393" i="156" s="1"/>
  <c r="AG270" i="159"/>
  <c r="Z273" i="156" s="1"/>
  <c r="Z392" i="156" s="1"/>
  <c r="AG269" i="159"/>
  <c r="Z272" i="156" s="1"/>
  <c r="Z391" i="156" s="1"/>
  <c r="AG268" i="159"/>
  <c r="Z271" i="156" s="1"/>
  <c r="AH273" i="159"/>
  <c r="AA276" i="156" s="1"/>
  <c r="AH272" i="159"/>
  <c r="AA275" i="156" s="1"/>
  <c r="AA394" i="156" s="1"/>
  <c r="AH271" i="159"/>
  <c r="AA274" i="156" s="1"/>
  <c r="AA393" i="156" s="1"/>
  <c r="AH270" i="159"/>
  <c r="AA273" i="156" s="1"/>
  <c r="AA392" i="156" s="1"/>
  <c r="AH269" i="159"/>
  <c r="AA272" i="156" s="1"/>
  <c r="AA391" i="156" s="1"/>
  <c r="AH268" i="159"/>
  <c r="AA271" i="156" s="1"/>
  <c r="AI273" i="159"/>
  <c r="AB276" i="156" s="1"/>
  <c r="AI272" i="159"/>
  <c r="AB275" i="156" s="1"/>
  <c r="AB394" i="156" s="1"/>
  <c r="AI271" i="159"/>
  <c r="AB274" i="156" s="1"/>
  <c r="AB393" i="156" s="1"/>
  <c r="AI270" i="159"/>
  <c r="AB273" i="156" s="1"/>
  <c r="AB392" i="156" s="1"/>
  <c r="AI269" i="159"/>
  <c r="AB272" i="156" s="1"/>
  <c r="AB391" i="156" s="1"/>
  <c r="AI268" i="159"/>
  <c r="AB271" i="156" s="1"/>
  <c r="AJ273" i="159"/>
  <c r="AC276" i="156" s="1"/>
  <c r="AJ272" i="159"/>
  <c r="AC275" i="156" s="1"/>
  <c r="AC394" i="156" s="1"/>
  <c r="AJ271" i="159"/>
  <c r="AC274" i="156" s="1"/>
  <c r="AC393" i="156" s="1"/>
  <c r="AJ270" i="159"/>
  <c r="AC273" i="156" s="1"/>
  <c r="AC392" i="156" s="1"/>
  <c r="AJ269" i="159"/>
  <c r="AC272" i="156" s="1"/>
  <c r="AC391" i="156" s="1"/>
  <c r="AJ268" i="159"/>
  <c r="AC271" i="156" s="1"/>
  <c r="AK273" i="159"/>
  <c r="AD276" i="156" s="1"/>
  <c r="AK272" i="159"/>
  <c r="AD275" i="156" s="1"/>
  <c r="AD394" i="156" s="1"/>
  <c r="AK271" i="159"/>
  <c r="AD274" i="156" s="1"/>
  <c r="AD393" i="156" s="1"/>
  <c r="AK270" i="159"/>
  <c r="AD273" i="156" s="1"/>
  <c r="AD392" i="156" s="1"/>
  <c r="AK269" i="159"/>
  <c r="AD272" i="156" s="1"/>
  <c r="AD391" i="156" s="1"/>
  <c r="AK268" i="159"/>
  <c r="AD271" i="156" s="1"/>
  <c r="AL273" i="159"/>
  <c r="AE276" i="156" s="1"/>
  <c r="AL272" i="159"/>
  <c r="AE275" i="156" s="1"/>
  <c r="AE394" i="156" s="1"/>
  <c r="AL271" i="159"/>
  <c r="AE274" i="156" s="1"/>
  <c r="AE393" i="156" s="1"/>
  <c r="AL270" i="159"/>
  <c r="AE273" i="156" s="1"/>
  <c r="AE392" i="156" s="1"/>
  <c r="AL269" i="159"/>
  <c r="AE272" i="156" s="1"/>
  <c r="AE391" i="156" s="1"/>
  <c r="AL268" i="159"/>
  <c r="AE271" i="156" s="1"/>
  <c r="AM273" i="159"/>
  <c r="AF276" i="156" s="1"/>
  <c r="AM272" i="159"/>
  <c r="AF275" i="156" s="1"/>
  <c r="AF394" i="156" s="1"/>
  <c r="AM271" i="159"/>
  <c r="AF274" i="156" s="1"/>
  <c r="AF393" i="156" s="1"/>
  <c r="AM270" i="159"/>
  <c r="AF273" i="156" s="1"/>
  <c r="AF392" i="156" s="1"/>
  <c r="AM269" i="159"/>
  <c r="AF272" i="156" s="1"/>
  <c r="AF391" i="156" s="1"/>
  <c r="AM268" i="159"/>
  <c r="AF271" i="156" s="1"/>
  <c r="AN273" i="159"/>
  <c r="AG276" i="156" s="1"/>
  <c r="AN272" i="159"/>
  <c r="AG275" i="156" s="1"/>
  <c r="AG394" i="156" s="1"/>
  <c r="AN271" i="159"/>
  <c r="AG274" i="156" s="1"/>
  <c r="AG393" i="156" s="1"/>
  <c r="AN270" i="159"/>
  <c r="AG273" i="156" s="1"/>
  <c r="AG392" i="156" s="1"/>
  <c r="AN269" i="159"/>
  <c r="AG272" i="156" s="1"/>
  <c r="AG391" i="156" s="1"/>
  <c r="AN268" i="159"/>
  <c r="AG271" i="156" s="1"/>
  <c r="N279" i="159"/>
  <c r="G282" i="156" s="1"/>
  <c r="N278" i="159"/>
  <c r="G281" i="156" s="1"/>
  <c r="G400" i="156" s="1"/>
  <c r="N277" i="159"/>
  <c r="G280" i="156" s="1"/>
  <c r="G399" i="156" s="1"/>
  <c r="N276" i="159"/>
  <c r="G279" i="156" s="1"/>
  <c r="G398" i="156" s="1"/>
  <c r="N275" i="159"/>
  <c r="G278" i="156" s="1"/>
  <c r="G397" i="156" s="1"/>
  <c r="N274" i="159"/>
  <c r="G277" i="156" s="1"/>
  <c r="O279" i="159"/>
  <c r="H282" i="156" s="1"/>
  <c r="O278" i="159"/>
  <c r="H281" i="156" s="1"/>
  <c r="H400" i="156" s="1"/>
  <c r="O277" i="159"/>
  <c r="H280" i="156" s="1"/>
  <c r="H399" i="156" s="1"/>
  <c r="O275" i="159"/>
  <c r="H278" i="156" s="1"/>
  <c r="H397" i="156" s="1"/>
  <c r="O274" i="159"/>
  <c r="H277" i="156" s="1"/>
  <c r="P274" i="159"/>
  <c r="I277" i="156" s="1"/>
  <c r="P278" i="159"/>
  <c r="I281" i="156" s="1"/>
  <c r="I400" i="156" s="1"/>
  <c r="P277" i="159"/>
  <c r="I280" i="156" s="1"/>
  <c r="I399" i="156" s="1"/>
  <c r="P275" i="159"/>
  <c r="I278" i="156" s="1"/>
  <c r="I397" i="156" s="1"/>
  <c r="Q279" i="159"/>
  <c r="J282" i="156" s="1"/>
  <c r="Q278" i="159"/>
  <c r="J281" i="156" s="1"/>
  <c r="J400" i="156" s="1"/>
  <c r="Q277" i="159"/>
  <c r="J280" i="156" s="1"/>
  <c r="J399" i="156" s="1"/>
  <c r="Q276" i="159"/>
  <c r="J279" i="156" s="1"/>
  <c r="J398" i="156" s="1"/>
  <c r="Q275" i="159"/>
  <c r="J278" i="156" s="1"/>
  <c r="J397" i="156" s="1"/>
  <c r="Q274" i="159"/>
  <c r="J277" i="156" s="1"/>
  <c r="R279" i="159"/>
  <c r="K282" i="156" s="1"/>
  <c r="R278" i="159"/>
  <c r="K281" i="156" s="1"/>
  <c r="K400" i="156" s="1"/>
  <c r="R277" i="159"/>
  <c r="K280" i="156" s="1"/>
  <c r="K399" i="156" s="1"/>
  <c r="R276" i="159"/>
  <c r="K279" i="156" s="1"/>
  <c r="K398" i="156" s="1"/>
  <c r="R275" i="159"/>
  <c r="K278" i="156" s="1"/>
  <c r="K397" i="156" s="1"/>
  <c r="R274" i="159"/>
  <c r="K277" i="156" s="1"/>
  <c r="S279" i="159"/>
  <c r="L282" i="156" s="1"/>
  <c r="S278" i="159"/>
  <c r="L281" i="156" s="1"/>
  <c r="L400" i="156" s="1"/>
  <c r="S277" i="159"/>
  <c r="L280" i="156" s="1"/>
  <c r="L399" i="156" s="1"/>
  <c r="S276" i="159"/>
  <c r="L279" i="156" s="1"/>
  <c r="L398" i="156" s="1"/>
  <c r="S275" i="159"/>
  <c r="L278" i="156" s="1"/>
  <c r="L397" i="156" s="1"/>
  <c r="S274" i="159"/>
  <c r="L277" i="156" s="1"/>
  <c r="T279" i="159"/>
  <c r="M282" i="156" s="1"/>
  <c r="T278" i="159"/>
  <c r="M281" i="156" s="1"/>
  <c r="M400" i="156" s="1"/>
  <c r="T277" i="159"/>
  <c r="M280" i="156" s="1"/>
  <c r="M399" i="156" s="1"/>
  <c r="T276" i="159"/>
  <c r="M279" i="156" s="1"/>
  <c r="M398" i="156" s="1"/>
  <c r="T275" i="159"/>
  <c r="M278" i="156" s="1"/>
  <c r="M397" i="156" s="1"/>
  <c r="T274" i="159"/>
  <c r="M277" i="156" s="1"/>
  <c r="U279" i="159"/>
  <c r="N282" i="156" s="1"/>
  <c r="U278" i="159"/>
  <c r="N281" i="156" s="1"/>
  <c r="N400" i="156" s="1"/>
  <c r="U277" i="159"/>
  <c r="N280" i="156" s="1"/>
  <c r="N399" i="156" s="1"/>
  <c r="U276" i="159"/>
  <c r="N279" i="156" s="1"/>
  <c r="N398" i="156" s="1"/>
  <c r="U275" i="159"/>
  <c r="N278" i="156" s="1"/>
  <c r="N397" i="156" s="1"/>
  <c r="U274" i="159"/>
  <c r="N277" i="156" s="1"/>
  <c r="V279" i="159"/>
  <c r="O282" i="156" s="1"/>
  <c r="V278" i="159"/>
  <c r="O281" i="156" s="1"/>
  <c r="O400" i="156" s="1"/>
  <c r="V277" i="159"/>
  <c r="O280" i="156" s="1"/>
  <c r="O399" i="156" s="1"/>
  <c r="V276" i="159"/>
  <c r="O279" i="156" s="1"/>
  <c r="O398" i="156" s="1"/>
  <c r="V275" i="159"/>
  <c r="O278" i="156" s="1"/>
  <c r="O397" i="156" s="1"/>
  <c r="V274" i="159"/>
  <c r="O277" i="156" s="1"/>
  <c r="W279" i="159"/>
  <c r="P282" i="156" s="1"/>
  <c r="W278" i="159"/>
  <c r="P281" i="156" s="1"/>
  <c r="P400" i="156" s="1"/>
  <c r="W277" i="159"/>
  <c r="P280" i="156" s="1"/>
  <c r="P399" i="156" s="1"/>
  <c r="W276" i="159"/>
  <c r="P279" i="156" s="1"/>
  <c r="P398" i="156" s="1"/>
  <c r="W275" i="159"/>
  <c r="P278" i="156" s="1"/>
  <c r="P397" i="156" s="1"/>
  <c r="W274" i="159"/>
  <c r="P277" i="156" s="1"/>
  <c r="X279" i="159"/>
  <c r="Q282" i="156" s="1"/>
  <c r="X278" i="159"/>
  <c r="Q281" i="156" s="1"/>
  <c r="Q400" i="156" s="1"/>
  <c r="X277" i="159"/>
  <c r="Q280" i="156" s="1"/>
  <c r="Q399" i="156" s="1"/>
  <c r="X276" i="159"/>
  <c r="Q279" i="156" s="1"/>
  <c r="Q398" i="156" s="1"/>
  <c r="X275" i="159"/>
  <c r="Q278" i="156" s="1"/>
  <c r="Q397" i="156" s="1"/>
  <c r="X274" i="159"/>
  <c r="Q277" i="156" s="1"/>
  <c r="Y279" i="159"/>
  <c r="R282" i="156" s="1"/>
  <c r="Y278" i="159"/>
  <c r="R281" i="156" s="1"/>
  <c r="R400" i="156" s="1"/>
  <c r="Y277" i="159"/>
  <c r="R280" i="156" s="1"/>
  <c r="R399" i="156" s="1"/>
  <c r="Y276" i="159"/>
  <c r="R279" i="156" s="1"/>
  <c r="R398" i="156" s="1"/>
  <c r="Y275" i="159"/>
  <c r="R278" i="156" s="1"/>
  <c r="R397" i="156" s="1"/>
  <c r="Y274" i="159"/>
  <c r="R277" i="156" s="1"/>
  <c r="Z279" i="159"/>
  <c r="S282" i="156" s="1"/>
  <c r="Z278" i="159"/>
  <c r="S281" i="156" s="1"/>
  <c r="S400" i="156" s="1"/>
  <c r="Z277" i="159"/>
  <c r="S280" i="156" s="1"/>
  <c r="S399" i="156" s="1"/>
  <c r="Z276" i="159"/>
  <c r="S279" i="156" s="1"/>
  <c r="S398" i="156" s="1"/>
  <c r="Z275" i="159"/>
  <c r="S278" i="156" s="1"/>
  <c r="S397" i="156" s="1"/>
  <c r="Z274" i="159"/>
  <c r="S277" i="156" s="1"/>
  <c r="AA279" i="159"/>
  <c r="T282" i="156" s="1"/>
  <c r="AA278" i="159"/>
  <c r="T281" i="156" s="1"/>
  <c r="T400" i="156" s="1"/>
  <c r="AA277" i="159"/>
  <c r="T280" i="156" s="1"/>
  <c r="T399" i="156" s="1"/>
  <c r="AA276" i="159"/>
  <c r="T279" i="156" s="1"/>
  <c r="T398" i="156" s="1"/>
  <c r="AA275" i="159"/>
  <c r="T278" i="156" s="1"/>
  <c r="T397" i="156" s="1"/>
  <c r="AA274" i="159"/>
  <c r="T277" i="156" s="1"/>
  <c r="AB279" i="159"/>
  <c r="U282" i="156" s="1"/>
  <c r="AB278" i="159"/>
  <c r="U281" i="156" s="1"/>
  <c r="U400" i="156" s="1"/>
  <c r="AB277" i="159"/>
  <c r="U280" i="156" s="1"/>
  <c r="U399" i="156" s="1"/>
  <c r="AB276" i="159"/>
  <c r="U279" i="156" s="1"/>
  <c r="U398" i="156" s="1"/>
  <c r="AB275" i="159"/>
  <c r="U278" i="156" s="1"/>
  <c r="U397" i="156" s="1"/>
  <c r="AB274" i="159"/>
  <c r="U277" i="156" s="1"/>
  <c r="AC279" i="159"/>
  <c r="V282" i="156" s="1"/>
  <c r="AC278" i="159"/>
  <c r="V281" i="156" s="1"/>
  <c r="V400" i="156" s="1"/>
  <c r="AC277" i="159"/>
  <c r="V280" i="156" s="1"/>
  <c r="V399" i="156" s="1"/>
  <c r="AC276" i="159"/>
  <c r="V279" i="156" s="1"/>
  <c r="V398" i="156" s="1"/>
  <c r="AC275" i="159"/>
  <c r="V278" i="156" s="1"/>
  <c r="V397" i="156" s="1"/>
  <c r="AC274" i="159"/>
  <c r="V277" i="156" s="1"/>
  <c r="AD279" i="159"/>
  <c r="W282" i="156" s="1"/>
  <c r="AD278" i="159"/>
  <c r="W281" i="156" s="1"/>
  <c r="W400" i="156" s="1"/>
  <c r="AD277" i="159"/>
  <c r="W280" i="156" s="1"/>
  <c r="W399" i="156" s="1"/>
  <c r="AD276" i="159"/>
  <c r="W279" i="156" s="1"/>
  <c r="W398" i="156" s="1"/>
  <c r="AD275" i="159"/>
  <c r="W278" i="156" s="1"/>
  <c r="W397" i="156" s="1"/>
  <c r="AD274" i="159"/>
  <c r="W277" i="156" s="1"/>
  <c r="AE279" i="159"/>
  <c r="X282" i="156" s="1"/>
  <c r="AE278" i="159"/>
  <c r="X281" i="156" s="1"/>
  <c r="X400" i="156" s="1"/>
  <c r="AE277" i="159"/>
  <c r="X280" i="156" s="1"/>
  <c r="X399" i="156" s="1"/>
  <c r="AE276" i="159"/>
  <c r="X279" i="156" s="1"/>
  <c r="X398" i="156" s="1"/>
  <c r="AE275" i="159"/>
  <c r="X278" i="156" s="1"/>
  <c r="X397" i="156" s="1"/>
  <c r="AE274" i="159"/>
  <c r="X277" i="156" s="1"/>
  <c r="AF279" i="159"/>
  <c r="Y282" i="156" s="1"/>
  <c r="AF278" i="159"/>
  <c r="Y281" i="156" s="1"/>
  <c r="Y400" i="156" s="1"/>
  <c r="AF277" i="159"/>
  <c r="Y280" i="156" s="1"/>
  <c r="Y399" i="156" s="1"/>
  <c r="AF276" i="159"/>
  <c r="Y279" i="156" s="1"/>
  <c r="Y398" i="156" s="1"/>
  <c r="AF275" i="159"/>
  <c r="Y278" i="156" s="1"/>
  <c r="Y397" i="156" s="1"/>
  <c r="AF274" i="159"/>
  <c r="Y277" i="156" s="1"/>
  <c r="AG279" i="159"/>
  <c r="Z282" i="156" s="1"/>
  <c r="AG278" i="159"/>
  <c r="Z281" i="156" s="1"/>
  <c r="Z400" i="156" s="1"/>
  <c r="AG277" i="159"/>
  <c r="Z280" i="156" s="1"/>
  <c r="Z399" i="156" s="1"/>
  <c r="AG276" i="159"/>
  <c r="Z279" i="156" s="1"/>
  <c r="Z398" i="156" s="1"/>
  <c r="AG275" i="159"/>
  <c r="Z278" i="156" s="1"/>
  <c r="Z397" i="156" s="1"/>
  <c r="AG274" i="159"/>
  <c r="Z277" i="156" s="1"/>
  <c r="AH279" i="159"/>
  <c r="AA282" i="156" s="1"/>
  <c r="AH278" i="159"/>
  <c r="AA281" i="156" s="1"/>
  <c r="AA400" i="156" s="1"/>
  <c r="AH277" i="159"/>
  <c r="AA280" i="156" s="1"/>
  <c r="AA399" i="156" s="1"/>
  <c r="AH276" i="159"/>
  <c r="AA279" i="156" s="1"/>
  <c r="AA398" i="156" s="1"/>
  <c r="AH275" i="159"/>
  <c r="AA278" i="156" s="1"/>
  <c r="AA397" i="156" s="1"/>
  <c r="AH274" i="159"/>
  <c r="AA277" i="156" s="1"/>
  <c r="AI279" i="159"/>
  <c r="AB282" i="156" s="1"/>
  <c r="AI278" i="159"/>
  <c r="AB281" i="156" s="1"/>
  <c r="AB400" i="156" s="1"/>
  <c r="AI277" i="159"/>
  <c r="AB280" i="156" s="1"/>
  <c r="AB399" i="156" s="1"/>
  <c r="AI276" i="159"/>
  <c r="AB279" i="156" s="1"/>
  <c r="AB398" i="156" s="1"/>
  <c r="AI275" i="159"/>
  <c r="AB278" i="156" s="1"/>
  <c r="AB397" i="156" s="1"/>
  <c r="AI274" i="159"/>
  <c r="AB277" i="156" s="1"/>
  <c r="AJ279" i="159"/>
  <c r="AC282" i="156" s="1"/>
  <c r="AJ278" i="159"/>
  <c r="AC281" i="156" s="1"/>
  <c r="AC400" i="156" s="1"/>
  <c r="AJ277" i="159"/>
  <c r="AC280" i="156" s="1"/>
  <c r="AC399" i="156" s="1"/>
  <c r="AJ276" i="159"/>
  <c r="AC279" i="156" s="1"/>
  <c r="AC398" i="156" s="1"/>
  <c r="AJ275" i="159"/>
  <c r="AC278" i="156" s="1"/>
  <c r="AC397" i="156" s="1"/>
  <c r="AJ274" i="159"/>
  <c r="AC277" i="156" s="1"/>
  <c r="AK279" i="159"/>
  <c r="AD282" i="156" s="1"/>
  <c r="AK278" i="159"/>
  <c r="AD281" i="156" s="1"/>
  <c r="AD400" i="156" s="1"/>
  <c r="AK277" i="159"/>
  <c r="AD280" i="156" s="1"/>
  <c r="AD399" i="156" s="1"/>
  <c r="AK276" i="159"/>
  <c r="AD279" i="156" s="1"/>
  <c r="AD398" i="156" s="1"/>
  <c r="AK275" i="159"/>
  <c r="AD278" i="156" s="1"/>
  <c r="AD397" i="156" s="1"/>
  <c r="AK274" i="159"/>
  <c r="AD277" i="156" s="1"/>
  <c r="AL279" i="159"/>
  <c r="AE282" i="156" s="1"/>
  <c r="AL278" i="159"/>
  <c r="AE281" i="156" s="1"/>
  <c r="AE400" i="156" s="1"/>
  <c r="AL277" i="159"/>
  <c r="AE280" i="156" s="1"/>
  <c r="AE399" i="156" s="1"/>
  <c r="AL276" i="159"/>
  <c r="AE279" i="156" s="1"/>
  <c r="AE398" i="156" s="1"/>
  <c r="AL275" i="159"/>
  <c r="AE278" i="156" s="1"/>
  <c r="AE397" i="156" s="1"/>
  <c r="AL274" i="159"/>
  <c r="AE277" i="156" s="1"/>
  <c r="AM279" i="159"/>
  <c r="AF282" i="156" s="1"/>
  <c r="AM278" i="159"/>
  <c r="AF281" i="156" s="1"/>
  <c r="AF400" i="156" s="1"/>
  <c r="AM277" i="159"/>
  <c r="AF280" i="156" s="1"/>
  <c r="AF399" i="156" s="1"/>
  <c r="AM276" i="159"/>
  <c r="AF279" i="156" s="1"/>
  <c r="AF398" i="156" s="1"/>
  <c r="AM275" i="159"/>
  <c r="AF278" i="156" s="1"/>
  <c r="AF397" i="156" s="1"/>
  <c r="AM274" i="159"/>
  <c r="AF277" i="156" s="1"/>
  <c r="AN279" i="159"/>
  <c r="AG282" i="156" s="1"/>
  <c r="AN278" i="159"/>
  <c r="AG281" i="156" s="1"/>
  <c r="AG400" i="156" s="1"/>
  <c r="AN277" i="159"/>
  <c r="AG280" i="156" s="1"/>
  <c r="AG399" i="156" s="1"/>
  <c r="AN276" i="159"/>
  <c r="AG279" i="156" s="1"/>
  <c r="AG398" i="156" s="1"/>
  <c r="AN275" i="159"/>
  <c r="AG278" i="156" s="1"/>
  <c r="AG397" i="156" s="1"/>
  <c r="AN274" i="159"/>
  <c r="AG277" i="156" s="1"/>
  <c r="N285" i="159"/>
  <c r="G288" i="156" s="1"/>
  <c r="N284" i="159"/>
  <c r="G287" i="156" s="1"/>
  <c r="G406" i="156" s="1"/>
  <c r="N283" i="159"/>
  <c r="G286" i="156" s="1"/>
  <c r="G405" i="156" s="1"/>
  <c r="N282" i="159"/>
  <c r="G285" i="156" s="1"/>
  <c r="G404" i="156" s="1"/>
  <c r="N281" i="159"/>
  <c r="G284" i="156" s="1"/>
  <c r="G403" i="156" s="1"/>
  <c r="N280" i="159"/>
  <c r="G283" i="156" s="1"/>
  <c r="O282" i="159"/>
  <c r="H285" i="156" s="1"/>
  <c r="H404" i="156" s="1"/>
  <c r="O285" i="159"/>
  <c r="H288" i="156" s="1"/>
  <c r="P280" i="159"/>
  <c r="I283" i="156" s="1"/>
  <c r="P283" i="159"/>
  <c r="I286" i="156" s="1"/>
  <c r="I405" i="156" s="1"/>
  <c r="Q285" i="159"/>
  <c r="J288" i="156" s="1"/>
  <c r="Q284" i="159"/>
  <c r="J287" i="156" s="1"/>
  <c r="J406" i="156" s="1"/>
  <c r="Q283" i="159"/>
  <c r="J286" i="156" s="1"/>
  <c r="J405" i="156" s="1"/>
  <c r="Q282" i="159"/>
  <c r="J285" i="156" s="1"/>
  <c r="J404" i="156" s="1"/>
  <c r="Q281" i="159"/>
  <c r="J284" i="156" s="1"/>
  <c r="J403" i="156" s="1"/>
  <c r="Q280" i="159"/>
  <c r="J283" i="156" s="1"/>
  <c r="R285" i="159"/>
  <c r="K288" i="156" s="1"/>
  <c r="R284" i="159"/>
  <c r="K287" i="156" s="1"/>
  <c r="K406" i="156" s="1"/>
  <c r="R283" i="159"/>
  <c r="K286" i="156" s="1"/>
  <c r="K405" i="156" s="1"/>
  <c r="R282" i="159"/>
  <c r="K285" i="156" s="1"/>
  <c r="K404" i="156" s="1"/>
  <c r="R281" i="159"/>
  <c r="K284" i="156" s="1"/>
  <c r="K403" i="156" s="1"/>
  <c r="R280" i="159"/>
  <c r="K283" i="156" s="1"/>
  <c r="S285" i="159"/>
  <c r="L288" i="156" s="1"/>
  <c r="S284" i="159"/>
  <c r="L287" i="156" s="1"/>
  <c r="L406" i="156" s="1"/>
  <c r="S283" i="159"/>
  <c r="L286" i="156" s="1"/>
  <c r="L405" i="156" s="1"/>
  <c r="S282" i="159"/>
  <c r="L285" i="156" s="1"/>
  <c r="L404" i="156" s="1"/>
  <c r="S281" i="159"/>
  <c r="L284" i="156" s="1"/>
  <c r="L403" i="156" s="1"/>
  <c r="S280" i="159"/>
  <c r="L283" i="156" s="1"/>
  <c r="T285" i="159"/>
  <c r="M288" i="156" s="1"/>
  <c r="T284" i="159"/>
  <c r="M287" i="156" s="1"/>
  <c r="M406" i="156" s="1"/>
  <c r="T283" i="159"/>
  <c r="M286" i="156" s="1"/>
  <c r="M405" i="156" s="1"/>
  <c r="T282" i="159"/>
  <c r="M285" i="156" s="1"/>
  <c r="M404" i="156" s="1"/>
  <c r="T281" i="159"/>
  <c r="M284" i="156" s="1"/>
  <c r="M403" i="156" s="1"/>
  <c r="T280" i="159"/>
  <c r="M283" i="156" s="1"/>
  <c r="U285" i="159"/>
  <c r="N288" i="156" s="1"/>
  <c r="U284" i="159"/>
  <c r="N287" i="156" s="1"/>
  <c r="N406" i="156" s="1"/>
  <c r="U283" i="159"/>
  <c r="N286" i="156" s="1"/>
  <c r="N405" i="156" s="1"/>
  <c r="U282" i="159"/>
  <c r="N285" i="156" s="1"/>
  <c r="N404" i="156" s="1"/>
  <c r="U281" i="159"/>
  <c r="N284" i="156" s="1"/>
  <c r="N403" i="156" s="1"/>
  <c r="U280" i="159"/>
  <c r="N283" i="156" s="1"/>
  <c r="V285" i="159"/>
  <c r="O288" i="156" s="1"/>
  <c r="V284" i="159"/>
  <c r="O287" i="156" s="1"/>
  <c r="O406" i="156" s="1"/>
  <c r="V283" i="159"/>
  <c r="O286" i="156" s="1"/>
  <c r="O405" i="156" s="1"/>
  <c r="V282" i="159"/>
  <c r="O285" i="156" s="1"/>
  <c r="O404" i="156" s="1"/>
  <c r="V281" i="159"/>
  <c r="O284" i="156" s="1"/>
  <c r="O403" i="156" s="1"/>
  <c r="V280" i="159"/>
  <c r="O283" i="156" s="1"/>
  <c r="W285" i="159"/>
  <c r="P288" i="156" s="1"/>
  <c r="W284" i="159"/>
  <c r="P287" i="156" s="1"/>
  <c r="P406" i="156" s="1"/>
  <c r="W283" i="159"/>
  <c r="P286" i="156" s="1"/>
  <c r="P405" i="156" s="1"/>
  <c r="W282" i="159"/>
  <c r="P285" i="156" s="1"/>
  <c r="P404" i="156" s="1"/>
  <c r="W281" i="159"/>
  <c r="P284" i="156" s="1"/>
  <c r="P403" i="156" s="1"/>
  <c r="W280" i="159"/>
  <c r="P283" i="156" s="1"/>
  <c r="X285" i="159"/>
  <c r="Q288" i="156" s="1"/>
  <c r="X284" i="159"/>
  <c r="Q287" i="156" s="1"/>
  <c r="Q406" i="156" s="1"/>
  <c r="X283" i="159"/>
  <c r="Q286" i="156" s="1"/>
  <c r="Q405" i="156" s="1"/>
  <c r="X282" i="159"/>
  <c r="Q285" i="156" s="1"/>
  <c r="Q404" i="156" s="1"/>
  <c r="X281" i="159"/>
  <c r="Q284" i="156" s="1"/>
  <c r="Q403" i="156" s="1"/>
  <c r="X280" i="159"/>
  <c r="Q283" i="156" s="1"/>
  <c r="Y285" i="159"/>
  <c r="R288" i="156" s="1"/>
  <c r="Y284" i="159"/>
  <c r="R287" i="156" s="1"/>
  <c r="R406" i="156" s="1"/>
  <c r="Y283" i="159"/>
  <c r="R286" i="156" s="1"/>
  <c r="R405" i="156" s="1"/>
  <c r="Y282" i="159"/>
  <c r="R285" i="156" s="1"/>
  <c r="R404" i="156" s="1"/>
  <c r="Y281" i="159"/>
  <c r="R284" i="156" s="1"/>
  <c r="R403" i="156" s="1"/>
  <c r="Y280" i="159"/>
  <c r="R283" i="156" s="1"/>
  <c r="Z285" i="159"/>
  <c r="S288" i="156" s="1"/>
  <c r="Z284" i="159"/>
  <c r="S287" i="156" s="1"/>
  <c r="S406" i="156" s="1"/>
  <c r="Z283" i="159"/>
  <c r="S286" i="156" s="1"/>
  <c r="S405" i="156" s="1"/>
  <c r="Z282" i="159"/>
  <c r="S285" i="156" s="1"/>
  <c r="S404" i="156" s="1"/>
  <c r="Z281" i="159"/>
  <c r="S284" i="156" s="1"/>
  <c r="S403" i="156" s="1"/>
  <c r="Z280" i="159"/>
  <c r="S283" i="156" s="1"/>
  <c r="AA285" i="159"/>
  <c r="T288" i="156" s="1"/>
  <c r="AA284" i="159"/>
  <c r="T287" i="156" s="1"/>
  <c r="T406" i="156" s="1"/>
  <c r="AA283" i="159"/>
  <c r="T286" i="156" s="1"/>
  <c r="T405" i="156" s="1"/>
  <c r="AA282" i="159"/>
  <c r="T285" i="156" s="1"/>
  <c r="T404" i="156" s="1"/>
  <c r="AA281" i="159"/>
  <c r="T284" i="156" s="1"/>
  <c r="T403" i="156" s="1"/>
  <c r="AA280" i="159"/>
  <c r="T283" i="156" s="1"/>
  <c r="AB285" i="159"/>
  <c r="U288" i="156" s="1"/>
  <c r="AB284" i="159"/>
  <c r="U287" i="156" s="1"/>
  <c r="U406" i="156" s="1"/>
  <c r="AB283" i="159"/>
  <c r="U286" i="156" s="1"/>
  <c r="U405" i="156" s="1"/>
  <c r="AB282" i="159"/>
  <c r="U285" i="156" s="1"/>
  <c r="U404" i="156" s="1"/>
  <c r="AB281" i="159"/>
  <c r="U284" i="156" s="1"/>
  <c r="U403" i="156" s="1"/>
  <c r="AB280" i="159"/>
  <c r="U283" i="156" s="1"/>
  <c r="AC285" i="159"/>
  <c r="V288" i="156" s="1"/>
  <c r="AC284" i="159"/>
  <c r="V287" i="156" s="1"/>
  <c r="V406" i="156" s="1"/>
  <c r="AC283" i="159"/>
  <c r="V286" i="156" s="1"/>
  <c r="V405" i="156" s="1"/>
  <c r="AC282" i="159"/>
  <c r="V285" i="156" s="1"/>
  <c r="V404" i="156" s="1"/>
  <c r="AC281" i="159"/>
  <c r="V284" i="156" s="1"/>
  <c r="V403" i="156" s="1"/>
  <c r="AC280" i="159"/>
  <c r="V283" i="156" s="1"/>
  <c r="AD285" i="159"/>
  <c r="W288" i="156" s="1"/>
  <c r="AD284" i="159"/>
  <c r="W287" i="156" s="1"/>
  <c r="W406" i="156" s="1"/>
  <c r="AD283" i="159"/>
  <c r="W286" i="156" s="1"/>
  <c r="W405" i="156" s="1"/>
  <c r="AD282" i="159"/>
  <c r="W285" i="156" s="1"/>
  <c r="W404" i="156" s="1"/>
  <c r="AD281" i="159"/>
  <c r="W284" i="156" s="1"/>
  <c r="W403" i="156" s="1"/>
  <c r="AD280" i="159"/>
  <c r="W283" i="156" s="1"/>
  <c r="AE285" i="159"/>
  <c r="X288" i="156" s="1"/>
  <c r="AE284" i="159"/>
  <c r="X287" i="156" s="1"/>
  <c r="X406" i="156" s="1"/>
  <c r="AE283" i="159"/>
  <c r="X286" i="156" s="1"/>
  <c r="X405" i="156" s="1"/>
  <c r="AE282" i="159"/>
  <c r="X285" i="156" s="1"/>
  <c r="X404" i="156" s="1"/>
  <c r="AE281" i="159"/>
  <c r="X284" i="156" s="1"/>
  <c r="X403" i="156" s="1"/>
  <c r="AE280" i="159"/>
  <c r="X283" i="156" s="1"/>
  <c r="AF285" i="159"/>
  <c r="Y288" i="156" s="1"/>
  <c r="AF284" i="159"/>
  <c r="Y287" i="156" s="1"/>
  <c r="Y406" i="156" s="1"/>
  <c r="AF283" i="159"/>
  <c r="Y286" i="156" s="1"/>
  <c r="Y405" i="156" s="1"/>
  <c r="AF282" i="159"/>
  <c r="Y285" i="156" s="1"/>
  <c r="Y404" i="156" s="1"/>
  <c r="AF281" i="159"/>
  <c r="Y284" i="156" s="1"/>
  <c r="Y403" i="156" s="1"/>
  <c r="AF280" i="159"/>
  <c r="Y283" i="156" s="1"/>
  <c r="AG285" i="159"/>
  <c r="Z288" i="156" s="1"/>
  <c r="AG284" i="159"/>
  <c r="Z287" i="156" s="1"/>
  <c r="Z406" i="156" s="1"/>
  <c r="AG283" i="159"/>
  <c r="Z286" i="156" s="1"/>
  <c r="Z405" i="156" s="1"/>
  <c r="AG282" i="159"/>
  <c r="Z285" i="156" s="1"/>
  <c r="Z404" i="156" s="1"/>
  <c r="AG281" i="159"/>
  <c r="Z284" i="156" s="1"/>
  <c r="Z403" i="156" s="1"/>
  <c r="AG280" i="159"/>
  <c r="Z283" i="156" s="1"/>
  <c r="AH285" i="159"/>
  <c r="AA288" i="156" s="1"/>
  <c r="AH284" i="159"/>
  <c r="AA287" i="156" s="1"/>
  <c r="AA406" i="156" s="1"/>
  <c r="AH283" i="159"/>
  <c r="AA286" i="156" s="1"/>
  <c r="AA405" i="156" s="1"/>
  <c r="AH282" i="159"/>
  <c r="AA285" i="156" s="1"/>
  <c r="AA404" i="156" s="1"/>
  <c r="AH281" i="159"/>
  <c r="AA284" i="156" s="1"/>
  <c r="AA403" i="156" s="1"/>
  <c r="AH280" i="159"/>
  <c r="AA283" i="156" s="1"/>
  <c r="AI285" i="159"/>
  <c r="AB288" i="156" s="1"/>
  <c r="AI284" i="159"/>
  <c r="AB287" i="156" s="1"/>
  <c r="AB406" i="156" s="1"/>
  <c r="AI283" i="159"/>
  <c r="AB286" i="156" s="1"/>
  <c r="AB405" i="156" s="1"/>
  <c r="AI282" i="159"/>
  <c r="AB285" i="156" s="1"/>
  <c r="AB404" i="156" s="1"/>
  <c r="AI281" i="159"/>
  <c r="AB284" i="156" s="1"/>
  <c r="AB403" i="156" s="1"/>
  <c r="AI280" i="159"/>
  <c r="AB283" i="156" s="1"/>
  <c r="AJ285" i="159"/>
  <c r="AC288" i="156" s="1"/>
  <c r="AJ284" i="159"/>
  <c r="AC287" i="156" s="1"/>
  <c r="AC406" i="156" s="1"/>
  <c r="AJ283" i="159"/>
  <c r="AC286" i="156" s="1"/>
  <c r="AC405" i="156" s="1"/>
  <c r="AJ282" i="159"/>
  <c r="AC285" i="156" s="1"/>
  <c r="AC404" i="156" s="1"/>
  <c r="AJ281" i="159"/>
  <c r="AC284" i="156" s="1"/>
  <c r="AC403" i="156" s="1"/>
  <c r="AJ280" i="159"/>
  <c r="AC283" i="156" s="1"/>
  <c r="AK285" i="159"/>
  <c r="AD288" i="156" s="1"/>
  <c r="AK284" i="159"/>
  <c r="AD287" i="156" s="1"/>
  <c r="AD406" i="156" s="1"/>
  <c r="AK283" i="159"/>
  <c r="AD286" i="156" s="1"/>
  <c r="AD405" i="156" s="1"/>
  <c r="AK282" i="159"/>
  <c r="AD285" i="156" s="1"/>
  <c r="AD404" i="156" s="1"/>
  <c r="AK281" i="159"/>
  <c r="AD284" i="156" s="1"/>
  <c r="AD403" i="156" s="1"/>
  <c r="AK280" i="159"/>
  <c r="AD283" i="156" s="1"/>
  <c r="AL285" i="159"/>
  <c r="AE288" i="156" s="1"/>
  <c r="AL284" i="159"/>
  <c r="AE287" i="156" s="1"/>
  <c r="AE406" i="156" s="1"/>
  <c r="AL283" i="159"/>
  <c r="AE286" i="156" s="1"/>
  <c r="AE405" i="156" s="1"/>
  <c r="AL282" i="159"/>
  <c r="AE285" i="156" s="1"/>
  <c r="AE404" i="156" s="1"/>
  <c r="AL281" i="159"/>
  <c r="AE284" i="156" s="1"/>
  <c r="AE403" i="156" s="1"/>
  <c r="AL280" i="159"/>
  <c r="AE283" i="156" s="1"/>
  <c r="AM285" i="159"/>
  <c r="AF288" i="156" s="1"/>
  <c r="AM284" i="159"/>
  <c r="AF287" i="156" s="1"/>
  <c r="AF406" i="156" s="1"/>
  <c r="AM283" i="159"/>
  <c r="AF286" i="156" s="1"/>
  <c r="AF405" i="156" s="1"/>
  <c r="AM282" i="159"/>
  <c r="AF285" i="156" s="1"/>
  <c r="AF404" i="156" s="1"/>
  <c r="AM281" i="159"/>
  <c r="AF284" i="156" s="1"/>
  <c r="AF403" i="156" s="1"/>
  <c r="AM280" i="159"/>
  <c r="AF283" i="156" s="1"/>
  <c r="AN285" i="159"/>
  <c r="AG288" i="156" s="1"/>
  <c r="AN284" i="159"/>
  <c r="AG287" i="156" s="1"/>
  <c r="AG406" i="156" s="1"/>
  <c r="AN283" i="159"/>
  <c r="AG286" i="156" s="1"/>
  <c r="AG405" i="156" s="1"/>
  <c r="AN282" i="159"/>
  <c r="AG285" i="156" s="1"/>
  <c r="AG404" i="156" s="1"/>
  <c r="AN281" i="159"/>
  <c r="AG284" i="156" s="1"/>
  <c r="AG403" i="156" s="1"/>
  <c r="AN280" i="159"/>
  <c r="AG283" i="156" s="1"/>
  <c r="N292" i="159"/>
  <c r="G295" i="156" s="1"/>
  <c r="G414" i="156" s="1"/>
  <c r="N291" i="159"/>
  <c r="G294" i="156" s="1"/>
  <c r="G413" i="156" s="1"/>
  <c r="N290" i="159"/>
  <c r="G293" i="156" s="1"/>
  <c r="G412" i="156" s="1"/>
  <c r="N289" i="159"/>
  <c r="G292" i="156" s="1"/>
  <c r="G411" i="156" s="1"/>
  <c r="N288" i="159"/>
  <c r="G291" i="156" s="1"/>
  <c r="G410" i="156" s="1"/>
  <c r="N287" i="159"/>
  <c r="G290" i="156" s="1"/>
  <c r="G409" i="156" s="1"/>
  <c r="N286" i="159"/>
  <c r="G289" i="156" s="1"/>
  <c r="G408" i="156" s="1"/>
  <c r="P291" i="159"/>
  <c r="I294" i="156" s="1"/>
  <c r="I413" i="156" s="1"/>
  <c r="P292" i="159"/>
  <c r="I295" i="156" s="1"/>
  <c r="I414" i="156" s="1"/>
  <c r="P287" i="159"/>
  <c r="I290" i="156" s="1"/>
  <c r="I409" i="156" s="1"/>
  <c r="P286" i="159"/>
  <c r="I289" i="156" s="1"/>
  <c r="I408" i="156" s="1"/>
  <c r="Q292" i="159"/>
  <c r="J295" i="156" s="1"/>
  <c r="J414" i="156" s="1"/>
  <c r="Q291" i="159"/>
  <c r="J294" i="156" s="1"/>
  <c r="J413" i="156" s="1"/>
  <c r="Q290" i="159"/>
  <c r="J293" i="156" s="1"/>
  <c r="J412" i="156" s="1"/>
  <c r="Q289" i="159"/>
  <c r="J292" i="156" s="1"/>
  <c r="J411" i="156" s="1"/>
  <c r="Q288" i="159"/>
  <c r="J291" i="156" s="1"/>
  <c r="J410" i="156" s="1"/>
  <c r="Q287" i="159"/>
  <c r="J290" i="156" s="1"/>
  <c r="J409" i="156" s="1"/>
  <c r="Q286" i="159"/>
  <c r="J289" i="156" s="1"/>
  <c r="J408" i="156" s="1"/>
  <c r="R292" i="159"/>
  <c r="K295" i="156" s="1"/>
  <c r="K414" i="156" s="1"/>
  <c r="R291" i="159"/>
  <c r="K294" i="156" s="1"/>
  <c r="K413" i="156" s="1"/>
  <c r="R290" i="159"/>
  <c r="K293" i="156" s="1"/>
  <c r="K412" i="156" s="1"/>
  <c r="R289" i="159"/>
  <c r="K292" i="156" s="1"/>
  <c r="K411" i="156" s="1"/>
  <c r="R288" i="159"/>
  <c r="K291" i="156" s="1"/>
  <c r="K410" i="156" s="1"/>
  <c r="R287" i="159"/>
  <c r="K290" i="156" s="1"/>
  <c r="K409" i="156" s="1"/>
  <c r="R286" i="159"/>
  <c r="K289" i="156" s="1"/>
  <c r="K408" i="156" s="1"/>
  <c r="S292" i="159"/>
  <c r="L295" i="156" s="1"/>
  <c r="L414" i="156" s="1"/>
  <c r="S291" i="159"/>
  <c r="L294" i="156" s="1"/>
  <c r="L413" i="156" s="1"/>
  <c r="S290" i="159"/>
  <c r="L293" i="156" s="1"/>
  <c r="L412" i="156" s="1"/>
  <c r="S289" i="159"/>
  <c r="L292" i="156" s="1"/>
  <c r="L411" i="156" s="1"/>
  <c r="S288" i="159"/>
  <c r="L291" i="156" s="1"/>
  <c r="L410" i="156" s="1"/>
  <c r="S287" i="159"/>
  <c r="L290" i="156" s="1"/>
  <c r="L409" i="156" s="1"/>
  <c r="S286" i="159"/>
  <c r="L289" i="156" s="1"/>
  <c r="L408" i="156" s="1"/>
  <c r="T292" i="159"/>
  <c r="M295" i="156" s="1"/>
  <c r="M414" i="156" s="1"/>
  <c r="T291" i="159"/>
  <c r="M294" i="156" s="1"/>
  <c r="M413" i="156" s="1"/>
  <c r="T290" i="159"/>
  <c r="M293" i="156" s="1"/>
  <c r="M412" i="156" s="1"/>
  <c r="T289" i="159"/>
  <c r="M292" i="156" s="1"/>
  <c r="M411" i="156" s="1"/>
  <c r="T288" i="159"/>
  <c r="M291" i="156" s="1"/>
  <c r="M410" i="156" s="1"/>
  <c r="T287" i="159"/>
  <c r="M290" i="156" s="1"/>
  <c r="M409" i="156" s="1"/>
  <c r="T286" i="159"/>
  <c r="M289" i="156" s="1"/>
  <c r="M408" i="156" s="1"/>
  <c r="U292" i="159"/>
  <c r="N295" i="156" s="1"/>
  <c r="N414" i="156" s="1"/>
  <c r="U291" i="159"/>
  <c r="N294" i="156" s="1"/>
  <c r="N413" i="156" s="1"/>
  <c r="U290" i="159"/>
  <c r="N293" i="156" s="1"/>
  <c r="N412" i="156" s="1"/>
  <c r="U289" i="159"/>
  <c r="N292" i="156" s="1"/>
  <c r="N411" i="156" s="1"/>
  <c r="U288" i="159"/>
  <c r="N291" i="156" s="1"/>
  <c r="N410" i="156" s="1"/>
  <c r="U287" i="159"/>
  <c r="N290" i="156" s="1"/>
  <c r="N409" i="156" s="1"/>
  <c r="U286" i="159"/>
  <c r="N289" i="156" s="1"/>
  <c r="N408" i="156" s="1"/>
  <c r="V292" i="159"/>
  <c r="O295" i="156" s="1"/>
  <c r="O414" i="156" s="1"/>
  <c r="V291" i="159"/>
  <c r="O294" i="156" s="1"/>
  <c r="O413" i="156" s="1"/>
  <c r="V290" i="159"/>
  <c r="O293" i="156" s="1"/>
  <c r="O412" i="156" s="1"/>
  <c r="V289" i="159"/>
  <c r="O292" i="156" s="1"/>
  <c r="O411" i="156" s="1"/>
  <c r="V288" i="159"/>
  <c r="O291" i="156" s="1"/>
  <c r="O410" i="156" s="1"/>
  <c r="V287" i="159"/>
  <c r="O290" i="156" s="1"/>
  <c r="O409" i="156" s="1"/>
  <c r="V286" i="159"/>
  <c r="O289" i="156" s="1"/>
  <c r="O408" i="156" s="1"/>
  <c r="W292" i="159"/>
  <c r="P295" i="156" s="1"/>
  <c r="P414" i="156" s="1"/>
  <c r="W291" i="159"/>
  <c r="P294" i="156" s="1"/>
  <c r="P413" i="156" s="1"/>
  <c r="W290" i="159"/>
  <c r="P293" i="156" s="1"/>
  <c r="P412" i="156" s="1"/>
  <c r="W289" i="159"/>
  <c r="P292" i="156" s="1"/>
  <c r="P411" i="156" s="1"/>
  <c r="W288" i="159"/>
  <c r="P291" i="156" s="1"/>
  <c r="P410" i="156" s="1"/>
  <c r="W287" i="159"/>
  <c r="P290" i="156" s="1"/>
  <c r="P409" i="156" s="1"/>
  <c r="W286" i="159"/>
  <c r="P289" i="156" s="1"/>
  <c r="P408" i="156" s="1"/>
  <c r="X292" i="159"/>
  <c r="Q295" i="156" s="1"/>
  <c r="Q414" i="156" s="1"/>
  <c r="X291" i="159"/>
  <c r="Q294" i="156" s="1"/>
  <c r="Q413" i="156" s="1"/>
  <c r="X290" i="159"/>
  <c r="Q293" i="156" s="1"/>
  <c r="Q412" i="156" s="1"/>
  <c r="X289" i="159"/>
  <c r="Q292" i="156" s="1"/>
  <c r="Q411" i="156" s="1"/>
  <c r="X288" i="159"/>
  <c r="Q291" i="156" s="1"/>
  <c r="Q410" i="156" s="1"/>
  <c r="X287" i="159"/>
  <c r="Q290" i="156" s="1"/>
  <c r="Q409" i="156" s="1"/>
  <c r="X286" i="159"/>
  <c r="Q289" i="156" s="1"/>
  <c r="Q408" i="156" s="1"/>
  <c r="Y292" i="159"/>
  <c r="R295" i="156" s="1"/>
  <c r="R414" i="156" s="1"/>
  <c r="Y291" i="159"/>
  <c r="R294" i="156" s="1"/>
  <c r="R413" i="156" s="1"/>
  <c r="Y290" i="159"/>
  <c r="R293" i="156" s="1"/>
  <c r="R412" i="156" s="1"/>
  <c r="Y289" i="159"/>
  <c r="R292" i="156" s="1"/>
  <c r="R411" i="156" s="1"/>
  <c r="Y288" i="159"/>
  <c r="R291" i="156" s="1"/>
  <c r="R410" i="156" s="1"/>
  <c r="Y287" i="159"/>
  <c r="R290" i="156" s="1"/>
  <c r="R409" i="156" s="1"/>
  <c r="Y286" i="159"/>
  <c r="R289" i="156" s="1"/>
  <c r="R408" i="156" s="1"/>
  <c r="Z292" i="159"/>
  <c r="S295" i="156" s="1"/>
  <c r="S414" i="156" s="1"/>
  <c r="Z291" i="159"/>
  <c r="S294" i="156" s="1"/>
  <c r="S413" i="156" s="1"/>
  <c r="Z290" i="159"/>
  <c r="S293" i="156" s="1"/>
  <c r="S412" i="156" s="1"/>
  <c r="Z289" i="159"/>
  <c r="S292" i="156" s="1"/>
  <c r="S411" i="156" s="1"/>
  <c r="Z288" i="159"/>
  <c r="S291" i="156" s="1"/>
  <c r="S410" i="156" s="1"/>
  <c r="Z287" i="159"/>
  <c r="S290" i="156" s="1"/>
  <c r="S409" i="156" s="1"/>
  <c r="Z286" i="159"/>
  <c r="S289" i="156" s="1"/>
  <c r="S408" i="156" s="1"/>
  <c r="AA292" i="159"/>
  <c r="T295" i="156" s="1"/>
  <c r="T414" i="156" s="1"/>
  <c r="AA291" i="159"/>
  <c r="T294" i="156" s="1"/>
  <c r="T413" i="156" s="1"/>
  <c r="AA290" i="159"/>
  <c r="T293" i="156" s="1"/>
  <c r="T412" i="156" s="1"/>
  <c r="AA289" i="159"/>
  <c r="T292" i="156" s="1"/>
  <c r="T411" i="156" s="1"/>
  <c r="AA288" i="159"/>
  <c r="T291" i="156" s="1"/>
  <c r="T410" i="156" s="1"/>
  <c r="AA287" i="159"/>
  <c r="T290" i="156" s="1"/>
  <c r="T409" i="156" s="1"/>
  <c r="AA286" i="159"/>
  <c r="T289" i="156" s="1"/>
  <c r="T408" i="156" s="1"/>
  <c r="AB292" i="159"/>
  <c r="U295" i="156" s="1"/>
  <c r="U414" i="156" s="1"/>
  <c r="AB291" i="159"/>
  <c r="U294" i="156" s="1"/>
  <c r="U413" i="156" s="1"/>
  <c r="AB290" i="159"/>
  <c r="U293" i="156" s="1"/>
  <c r="U412" i="156" s="1"/>
  <c r="AB289" i="159"/>
  <c r="U292" i="156" s="1"/>
  <c r="U411" i="156" s="1"/>
  <c r="AB288" i="159"/>
  <c r="U291" i="156" s="1"/>
  <c r="U410" i="156" s="1"/>
  <c r="AB287" i="159"/>
  <c r="U290" i="156" s="1"/>
  <c r="U409" i="156" s="1"/>
  <c r="AB286" i="159"/>
  <c r="U289" i="156" s="1"/>
  <c r="U408" i="156" s="1"/>
  <c r="AC292" i="159"/>
  <c r="V295" i="156" s="1"/>
  <c r="V414" i="156" s="1"/>
  <c r="AC291" i="159"/>
  <c r="V294" i="156" s="1"/>
  <c r="V413" i="156" s="1"/>
  <c r="AC290" i="159"/>
  <c r="V293" i="156" s="1"/>
  <c r="V412" i="156" s="1"/>
  <c r="AC289" i="159"/>
  <c r="V292" i="156" s="1"/>
  <c r="V411" i="156" s="1"/>
  <c r="AC288" i="159"/>
  <c r="V291" i="156" s="1"/>
  <c r="V410" i="156" s="1"/>
  <c r="AC287" i="159"/>
  <c r="V290" i="156" s="1"/>
  <c r="V409" i="156" s="1"/>
  <c r="AC286" i="159"/>
  <c r="V289" i="156" s="1"/>
  <c r="V408" i="156" s="1"/>
  <c r="AD292" i="159"/>
  <c r="W295" i="156" s="1"/>
  <c r="W414" i="156" s="1"/>
  <c r="AD291" i="159"/>
  <c r="W294" i="156" s="1"/>
  <c r="W413" i="156" s="1"/>
  <c r="AD290" i="159"/>
  <c r="W293" i="156" s="1"/>
  <c r="W412" i="156" s="1"/>
  <c r="AD289" i="159"/>
  <c r="W292" i="156" s="1"/>
  <c r="W411" i="156" s="1"/>
  <c r="AD288" i="159"/>
  <c r="W291" i="156" s="1"/>
  <c r="W410" i="156" s="1"/>
  <c r="AD287" i="159"/>
  <c r="W290" i="156" s="1"/>
  <c r="W409" i="156" s="1"/>
  <c r="AD286" i="159"/>
  <c r="W289" i="156" s="1"/>
  <c r="W408" i="156" s="1"/>
  <c r="AE292" i="159"/>
  <c r="X295" i="156" s="1"/>
  <c r="X414" i="156" s="1"/>
  <c r="AE291" i="159"/>
  <c r="X294" i="156" s="1"/>
  <c r="X413" i="156" s="1"/>
  <c r="AE290" i="159"/>
  <c r="X293" i="156" s="1"/>
  <c r="X412" i="156" s="1"/>
  <c r="AE289" i="159"/>
  <c r="X292" i="156" s="1"/>
  <c r="X411" i="156" s="1"/>
  <c r="AE288" i="159"/>
  <c r="X291" i="156" s="1"/>
  <c r="X410" i="156" s="1"/>
  <c r="AE287" i="159"/>
  <c r="X290" i="156" s="1"/>
  <c r="X409" i="156" s="1"/>
  <c r="AE286" i="159"/>
  <c r="X289" i="156" s="1"/>
  <c r="X408" i="156" s="1"/>
  <c r="AF292" i="159"/>
  <c r="Y295" i="156" s="1"/>
  <c r="Y414" i="156" s="1"/>
  <c r="AF291" i="159"/>
  <c r="Y294" i="156" s="1"/>
  <c r="Y413" i="156" s="1"/>
  <c r="AF290" i="159"/>
  <c r="Y293" i="156" s="1"/>
  <c r="Y412" i="156" s="1"/>
  <c r="AF289" i="159"/>
  <c r="Y292" i="156" s="1"/>
  <c r="Y411" i="156" s="1"/>
  <c r="AF288" i="159"/>
  <c r="Y291" i="156" s="1"/>
  <c r="Y410" i="156" s="1"/>
  <c r="AF287" i="159"/>
  <c r="Y290" i="156" s="1"/>
  <c r="Y409" i="156" s="1"/>
  <c r="AF286" i="159"/>
  <c r="Y289" i="156" s="1"/>
  <c r="Y408" i="156" s="1"/>
  <c r="AG292" i="159"/>
  <c r="Z295" i="156" s="1"/>
  <c r="Z414" i="156" s="1"/>
  <c r="AG291" i="159"/>
  <c r="Z294" i="156" s="1"/>
  <c r="Z413" i="156" s="1"/>
  <c r="AG290" i="159"/>
  <c r="Z293" i="156" s="1"/>
  <c r="Z412" i="156" s="1"/>
  <c r="AG289" i="159"/>
  <c r="Z292" i="156" s="1"/>
  <c r="Z411" i="156" s="1"/>
  <c r="AG288" i="159"/>
  <c r="Z291" i="156" s="1"/>
  <c r="Z410" i="156" s="1"/>
  <c r="AG287" i="159"/>
  <c r="Z290" i="156" s="1"/>
  <c r="Z409" i="156" s="1"/>
  <c r="AG286" i="159"/>
  <c r="Z289" i="156" s="1"/>
  <c r="Z408" i="156" s="1"/>
  <c r="AH292" i="159"/>
  <c r="AA295" i="156" s="1"/>
  <c r="AA414" i="156" s="1"/>
  <c r="AH291" i="159"/>
  <c r="AA294" i="156" s="1"/>
  <c r="AA413" i="156" s="1"/>
  <c r="AH290" i="159"/>
  <c r="AA293" i="156" s="1"/>
  <c r="AA412" i="156" s="1"/>
  <c r="AH289" i="159"/>
  <c r="AA292" i="156" s="1"/>
  <c r="AA411" i="156" s="1"/>
  <c r="AH288" i="159"/>
  <c r="AA291" i="156" s="1"/>
  <c r="AA410" i="156" s="1"/>
  <c r="AH287" i="159"/>
  <c r="AA290" i="156" s="1"/>
  <c r="AA409" i="156" s="1"/>
  <c r="AH286" i="159"/>
  <c r="AA289" i="156" s="1"/>
  <c r="AA408" i="156" s="1"/>
  <c r="AI292" i="159"/>
  <c r="AB295" i="156" s="1"/>
  <c r="AB414" i="156" s="1"/>
  <c r="AI291" i="159"/>
  <c r="AB294" i="156" s="1"/>
  <c r="AB413" i="156" s="1"/>
  <c r="AI290" i="159"/>
  <c r="AB293" i="156" s="1"/>
  <c r="AB412" i="156" s="1"/>
  <c r="AI289" i="159"/>
  <c r="AB292" i="156" s="1"/>
  <c r="AB411" i="156" s="1"/>
  <c r="AI288" i="159"/>
  <c r="AB291" i="156" s="1"/>
  <c r="AB410" i="156" s="1"/>
  <c r="AI287" i="159"/>
  <c r="AB290" i="156" s="1"/>
  <c r="AB409" i="156" s="1"/>
  <c r="AI286" i="159"/>
  <c r="AB289" i="156" s="1"/>
  <c r="AB408" i="156" s="1"/>
  <c r="AJ292" i="159"/>
  <c r="AC295" i="156" s="1"/>
  <c r="AC414" i="156" s="1"/>
  <c r="AJ291" i="159"/>
  <c r="AC294" i="156" s="1"/>
  <c r="AC413" i="156" s="1"/>
  <c r="AJ290" i="159"/>
  <c r="AC293" i="156" s="1"/>
  <c r="AC412" i="156" s="1"/>
  <c r="AJ289" i="159"/>
  <c r="AC292" i="156" s="1"/>
  <c r="AC411" i="156" s="1"/>
  <c r="AJ288" i="159"/>
  <c r="AC291" i="156" s="1"/>
  <c r="AC410" i="156" s="1"/>
  <c r="AJ287" i="159"/>
  <c r="AC290" i="156" s="1"/>
  <c r="AC409" i="156" s="1"/>
  <c r="AJ286" i="159"/>
  <c r="AC289" i="156" s="1"/>
  <c r="AC408" i="156" s="1"/>
  <c r="AK292" i="159"/>
  <c r="AD295" i="156" s="1"/>
  <c r="AD414" i="156" s="1"/>
  <c r="AK291" i="159"/>
  <c r="AD294" i="156" s="1"/>
  <c r="AD413" i="156" s="1"/>
  <c r="AK290" i="159"/>
  <c r="AD293" i="156" s="1"/>
  <c r="AD412" i="156" s="1"/>
  <c r="AK289" i="159"/>
  <c r="AD292" i="156" s="1"/>
  <c r="AD411" i="156" s="1"/>
  <c r="AK288" i="159"/>
  <c r="AD291" i="156" s="1"/>
  <c r="AD410" i="156" s="1"/>
  <c r="AK287" i="159"/>
  <c r="AD290" i="156" s="1"/>
  <c r="AD409" i="156" s="1"/>
  <c r="AK286" i="159"/>
  <c r="AD289" i="156" s="1"/>
  <c r="AD408" i="156" s="1"/>
  <c r="AL292" i="159"/>
  <c r="AE295" i="156" s="1"/>
  <c r="AE414" i="156" s="1"/>
  <c r="AL291" i="159"/>
  <c r="AE294" i="156" s="1"/>
  <c r="AE413" i="156" s="1"/>
  <c r="AL290" i="159"/>
  <c r="AE293" i="156" s="1"/>
  <c r="AE412" i="156" s="1"/>
  <c r="AL289" i="159"/>
  <c r="AE292" i="156" s="1"/>
  <c r="AE411" i="156" s="1"/>
  <c r="AL288" i="159"/>
  <c r="AE291" i="156" s="1"/>
  <c r="AE410" i="156" s="1"/>
  <c r="AL287" i="159"/>
  <c r="AE290" i="156" s="1"/>
  <c r="AE409" i="156" s="1"/>
  <c r="AL286" i="159"/>
  <c r="AE289" i="156" s="1"/>
  <c r="AE408" i="156" s="1"/>
  <c r="AM292" i="159"/>
  <c r="AF295" i="156" s="1"/>
  <c r="AF414" i="156" s="1"/>
  <c r="AM291" i="159"/>
  <c r="AF294" i="156" s="1"/>
  <c r="AF413" i="156" s="1"/>
  <c r="AM290" i="159"/>
  <c r="AF293" i="156" s="1"/>
  <c r="AF412" i="156" s="1"/>
  <c r="AM289" i="159"/>
  <c r="AF292" i="156" s="1"/>
  <c r="AF411" i="156" s="1"/>
  <c r="AM288" i="159"/>
  <c r="AF291" i="156" s="1"/>
  <c r="AF410" i="156" s="1"/>
  <c r="AM287" i="159"/>
  <c r="AF290" i="156" s="1"/>
  <c r="AF409" i="156" s="1"/>
  <c r="AM286" i="159"/>
  <c r="AF289" i="156" s="1"/>
  <c r="AF408" i="156" s="1"/>
  <c r="AN292" i="159"/>
  <c r="AG295" i="156" s="1"/>
  <c r="AG414" i="156" s="1"/>
  <c r="AN291" i="159"/>
  <c r="AG294" i="156" s="1"/>
  <c r="AG413" i="156" s="1"/>
  <c r="AN290" i="159"/>
  <c r="AG293" i="156" s="1"/>
  <c r="AG412" i="156" s="1"/>
  <c r="AN289" i="159"/>
  <c r="AG292" i="156" s="1"/>
  <c r="AG411" i="156" s="1"/>
  <c r="AN288" i="159"/>
  <c r="AG291" i="156" s="1"/>
  <c r="AG410" i="156" s="1"/>
  <c r="AN287" i="159"/>
  <c r="AG290" i="156" s="1"/>
  <c r="AG409" i="156" s="1"/>
  <c r="AN286" i="159"/>
  <c r="AG289" i="156" s="1"/>
  <c r="AG408" i="156" s="1"/>
  <c r="N299" i="159"/>
  <c r="G302" i="156" s="1"/>
  <c r="G421" i="156" s="1"/>
  <c r="N298" i="159"/>
  <c r="G301" i="156" s="1"/>
  <c r="G420" i="156" s="1"/>
  <c r="N297" i="159"/>
  <c r="G300" i="156" s="1"/>
  <c r="G419" i="156" s="1"/>
  <c r="N296" i="159"/>
  <c r="G299" i="156" s="1"/>
  <c r="G418" i="156" s="1"/>
  <c r="N295" i="159"/>
  <c r="G298" i="156" s="1"/>
  <c r="G417" i="156" s="1"/>
  <c r="N294" i="159"/>
  <c r="G297" i="156" s="1"/>
  <c r="G416" i="156" s="1"/>
  <c r="N293" i="159"/>
  <c r="G296" i="156" s="1"/>
  <c r="G415" i="156" s="1"/>
  <c r="Q299" i="159"/>
  <c r="J302" i="156" s="1"/>
  <c r="J421" i="156" s="1"/>
  <c r="Q298" i="159"/>
  <c r="J301" i="156" s="1"/>
  <c r="J420" i="156" s="1"/>
  <c r="Q297" i="159"/>
  <c r="J300" i="156" s="1"/>
  <c r="J419" i="156" s="1"/>
  <c r="Q296" i="159"/>
  <c r="J299" i="156" s="1"/>
  <c r="J418" i="156" s="1"/>
  <c r="Q295" i="159"/>
  <c r="J298" i="156" s="1"/>
  <c r="J417" i="156" s="1"/>
  <c r="Q294" i="159"/>
  <c r="J297" i="156" s="1"/>
  <c r="J416" i="156" s="1"/>
  <c r="Q293" i="159"/>
  <c r="J296" i="156" s="1"/>
  <c r="J415" i="156" s="1"/>
  <c r="R299" i="159"/>
  <c r="K302" i="156" s="1"/>
  <c r="K421" i="156" s="1"/>
  <c r="R298" i="159"/>
  <c r="K301" i="156" s="1"/>
  <c r="K420" i="156" s="1"/>
  <c r="R297" i="159"/>
  <c r="K300" i="156" s="1"/>
  <c r="K419" i="156" s="1"/>
  <c r="R296" i="159"/>
  <c r="K299" i="156" s="1"/>
  <c r="K418" i="156" s="1"/>
  <c r="R295" i="159"/>
  <c r="K298" i="156" s="1"/>
  <c r="K417" i="156" s="1"/>
  <c r="R294" i="159"/>
  <c r="K297" i="156" s="1"/>
  <c r="K416" i="156" s="1"/>
  <c r="R293" i="159"/>
  <c r="K296" i="156" s="1"/>
  <c r="K415" i="156" s="1"/>
  <c r="S299" i="159"/>
  <c r="L302" i="156" s="1"/>
  <c r="L421" i="156" s="1"/>
  <c r="S298" i="159"/>
  <c r="L301" i="156" s="1"/>
  <c r="L420" i="156" s="1"/>
  <c r="S297" i="159"/>
  <c r="L300" i="156" s="1"/>
  <c r="L419" i="156" s="1"/>
  <c r="S296" i="159"/>
  <c r="L299" i="156" s="1"/>
  <c r="L418" i="156" s="1"/>
  <c r="S295" i="159"/>
  <c r="L298" i="156" s="1"/>
  <c r="L417" i="156" s="1"/>
  <c r="S294" i="159"/>
  <c r="L297" i="156" s="1"/>
  <c r="L416" i="156" s="1"/>
  <c r="S293" i="159"/>
  <c r="L296" i="156" s="1"/>
  <c r="L415" i="156" s="1"/>
  <c r="T299" i="159"/>
  <c r="M302" i="156" s="1"/>
  <c r="M421" i="156" s="1"/>
  <c r="T298" i="159"/>
  <c r="M301" i="156" s="1"/>
  <c r="M420" i="156" s="1"/>
  <c r="T297" i="159"/>
  <c r="M300" i="156" s="1"/>
  <c r="M419" i="156" s="1"/>
  <c r="T296" i="159"/>
  <c r="M299" i="156" s="1"/>
  <c r="M418" i="156" s="1"/>
  <c r="T295" i="159"/>
  <c r="M298" i="156" s="1"/>
  <c r="M417" i="156" s="1"/>
  <c r="T294" i="159"/>
  <c r="M297" i="156" s="1"/>
  <c r="M416" i="156" s="1"/>
  <c r="T293" i="159"/>
  <c r="M296" i="156" s="1"/>
  <c r="M415" i="156" s="1"/>
  <c r="U299" i="159"/>
  <c r="N302" i="156" s="1"/>
  <c r="N421" i="156" s="1"/>
  <c r="U298" i="159"/>
  <c r="N301" i="156" s="1"/>
  <c r="N420" i="156" s="1"/>
  <c r="U297" i="159"/>
  <c r="N300" i="156" s="1"/>
  <c r="N419" i="156" s="1"/>
  <c r="U296" i="159"/>
  <c r="N299" i="156" s="1"/>
  <c r="N418" i="156" s="1"/>
  <c r="U295" i="159"/>
  <c r="N298" i="156" s="1"/>
  <c r="N417" i="156" s="1"/>
  <c r="U294" i="159"/>
  <c r="N297" i="156" s="1"/>
  <c r="N416" i="156" s="1"/>
  <c r="U293" i="159"/>
  <c r="N296" i="156" s="1"/>
  <c r="N415" i="156" s="1"/>
  <c r="V299" i="159"/>
  <c r="O302" i="156" s="1"/>
  <c r="O421" i="156" s="1"/>
  <c r="V298" i="159"/>
  <c r="O301" i="156" s="1"/>
  <c r="O420" i="156" s="1"/>
  <c r="V297" i="159"/>
  <c r="O300" i="156" s="1"/>
  <c r="O419" i="156" s="1"/>
  <c r="V296" i="159"/>
  <c r="O299" i="156" s="1"/>
  <c r="O418" i="156" s="1"/>
  <c r="V295" i="159"/>
  <c r="O298" i="156" s="1"/>
  <c r="O417" i="156" s="1"/>
  <c r="V294" i="159"/>
  <c r="O297" i="156" s="1"/>
  <c r="O416" i="156" s="1"/>
  <c r="V293" i="159"/>
  <c r="O296" i="156" s="1"/>
  <c r="O415" i="156" s="1"/>
  <c r="W299" i="159"/>
  <c r="P302" i="156" s="1"/>
  <c r="P421" i="156" s="1"/>
  <c r="W298" i="159"/>
  <c r="P301" i="156" s="1"/>
  <c r="P420" i="156" s="1"/>
  <c r="W297" i="159"/>
  <c r="P300" i="156" s="1"/>
  <c r="P419" i="156" s="1"/>
  <c r="W296" i="159"/>
  <c r="P299" i="156" s="1"/>
  <c r="P418" i="156" s="1"/>
  <c r="W295" i="159"/>
  <c r="P298" i="156" s="1"/>
  <c r="P417" i="156" s="1"/>
  <c r="W294" i="159"/>
  <c r="P297" i="156" s="1"/>
  <c r="P416" i="156" s="1"/>
  <c r="W293" i="159"/>
  <c r="P296" i="156" s="1"/>
  <c r="P415" i="156" s="1"/>
  <c r="X299" i="159"/>
  <c r="Q302" i="156" s="1"/>
  <c r="Q421" i="156" s="1"/>
  <c r="X298" i="159"/>
  <c r="Q301" i="156" s="1"/>
  <c r="Q420" i="156" s="1"/>
  <c r="X297" i="159"/>
  <c r="Q300" i="156" s="1"/>
  <c r="Q419" i="156" s="1"/>
  <c r="X296" i="159"/>
  <c r="Q299" i="156" s="1"/>
  <c r="Q418" i="156" s="1"/>
  <c r="X295" i="159"/>
  <c r="Q298" i="156" s="1"/>
  <c r="Q417" i="156" s="1"/>
  <c r="X294" i="159"/>
  <c r="Q297" i="156" s="1"/>
  <c r="Q416" i="156" s="1"/>
  <c r="X293" i="159"/>
  <c r="Q296" i="156" s="1"/>
  <c r="Q415" i="156" s="1"/>
  <c r="Y299" i="159"/>
  <c r="R302" i="156" s="1"/>
  <c r="R421" i="156" s="1"/>
  <c r="Y298" i="159"/>
  <c r="R301" i="156" s="1"/>
  <c r="R420" i="156" s="1"/>
  <c r="Y297" i="159"/>
  <c r="R300" i="156" s="1"/>
  <c r="R419" i="156" s="1"/>
  <c r="Y296" i="159"/>
  <c r="R299" i="156" s="1"/>
  <c r="R418" i="156" s="1"/>
  <c r="Y295" i="159"/>
  <c r="R298" i="156" s="1"/>
  <c r="R417" i="156" s="1"/>
  <c r="Y294" i="159"/>
  <c r="R297" i="156" s="1"/>
  <c r="R416" i="156" s="1"/>
  <c r="Y293" i="159"/>
  <c r="R296" i="156" s="1"/>
  <c r="R415" i="156" s="1"/>
  <c r="Z299" i="159"/>
  <c r="S302" i="156" s="1"/>
  <c r="S421" i="156" s="1"/>
  <c r="Z298" i="159"/>
  <c r="S301" i="156" s="1"/>
  <c r="S420" i="156" s="1"/>
  <c r="Z297" i="159"/>
  <c r="S300" i="156" s="1"/>
  <c r="S419" i="156" s="1"/>
  <c r="Z296" i="159"/>
  <c r="S299" i="156" s="1"/>
  <c r="S418" i="156" s="1"/>
  <c r="Z295" i="159"/>
  <c r="S298" i="156" s="1"/>
  <c r="S417" i="156" s="1"/>
  <c r="Z294" i="159"/>
  <c r="S297" i="156" s="1"/>
  <c r="S416" i="156" s="1"/>
  <c r="Z293" i="159"/>
  <c r="S296" i="156" s="1"/>
  <c r="S415" i="156" s="1"/>
  <c r="AA299" i="159"/>
  <c r="T302" i="156" s="1"/>
  <c r="T421" i="156" s="1"/>
  <c r="AA298" i="159"/>
  <c r="T301" i="156" s="1"/>
  <c r="T420" i="156" s="1"/>
  <c r="AA297" i="159"/>
  <c r="T300" i="156" s="1"/>
  <c r="T419" i="156" s="1"/>
  <c r="AA296" i="159"/>
  <c r="T299" i="156" s="1"/>
  <c r="T418" i="156" s="1"/>
  <c r="AA295" i="159"/>
  <c r="T298" i="156" s="1"/>
  <c r="T417" i="156" s="1"/>
  <c r="AA294" i="159"/>
  <c r="T297" i="156" s="1"/>
  <c r="T416" i="156" s="1"/>
  <c r="AA293" i="159"/>
  <c r="T296" i="156" s="1"/>
  <c r="T415" i="156" s="1"/>
  <c r="AB299" i="159"/>
  <c r="U302" i="156" s="1"/>
  <c r="U421" i="156" s="1"/>
  <c r="AB298" i="159"/>
  <c r="U301" i="156" s="1"/>
  <c r="U420" i="156" s="1"/>
  <c r="AB297" i="159"/>
  <c r="U300" i="156" s="1"/>
  <c r="U419" i="156" s="1"/>
  <c r="AB296" i="159"/>
  <c r="U299" i="156" s="1"/>
  <c r="U418" i="156" s="1"/>
  <c r="AB295" i="159"/>
  <c r="U298" i="156" s="1"/>
  <c r="U417" i="156" s="1"/>
  <c r="AB294" i="159"/>
  <c r="U297" i="156" s="1"/>
  <c r="U416" i="156" s="1"/>
  <c r="AB293" i="159"/>
  <c r="U296" i="156" s="1"/>
  <c r="U415" i="156" s="1"/>
  <c r="AC299" i="159"/>
  <c r="V302" i="156" s="1"/>
  <c r="V421" i="156" s="1"/>
  <c r="AC298" i="159"/>
  <c r="V301" i="156" s="1"/>
  <c r="V420" i="156" s="1"/>
  <c r="AC297" i="159"/>
  <c r="V300" i="156" s="1"/>
  <c r="V419" i="156" s="1"/>
  <c r="AC296" i="159"/>
  <c r="V299" i="156" s="1"/>
  <c r="V418" i="156" s="1"/>
  <c r="AC295" i="159"/>
  <c r="V298" i="156" s="1"/>
  <c r="V417" i="156" s="1"/>
  <c r="AC294" i="159"/>
  <c r="V297" i="156" s="1"/>
  <c r="V416" i="156" s="1"/>
  <c r="AC293" i="159"/>
  <c r="V296" i="156" s="1"/>
  <c r="V415" i="156" s="1"/>
  <c r="AD299" i="159"/>
  <c r="W302" i="156" s="1"/>
  <c r="W421" i="156" s="1"/>
  <c r="AD298" i="159"/>
  <c r="W301" i="156" s="1"/>
  <c r="W420" i="156" s="1"/>
  <c r="AD297" i="159"/>
  <c r="W300" i="156" s="1"/>
  <c r="W419" i="156" s="1"/>
  <c r="AD296" i="159"/>
  <c r="W299" i="156" s="1"/>
  <c r="W418" i="156" s="1"/>
  <c r="AD295" i="159"/>
  <c r="W298" i="156" s="1"/>
  <c r="W417" i="156" s="1"/>
  <c r="AD294" i="159"/>
  <c r="W297" i="156" s="1"/>
  <c r="W416" i="156" s="1"/>
  <c r="AD293" i="159"/>
  <c r="W296" i="156" s="1"/>
  <c r="W415" i="156" s="1"/>
  <c r="AE299" i="159"/>
  <c r="X302" i="156" s="1"/>
  <c r="X421" i="156" s="1"/>
  <c r="AE298" i="159"/>
  <c r="X301" i="156" s="1"/>
  <c r="X420" i="156" s="1"/>
  <c r="AE297" i="159"/>
  <c r="X300" i="156" s="1"/>
  <c r="X419" i="156" s="1"/>
  <c r="AE296" i="159"/>
  <c r="X299" i="156" s="1"/>
  <c r="X418" i="156" s="1"/>
  <c r="AE295" i="159"/>
  <c r="X298" i="156" s="1"/>
  <c r="X417" i="156" s="1"/>
  <c r="AE294" i="159"/>
  <c r="X297" i="156" s="1"/>
  <c r="X416" i="156" s="1"/>
  <c r="AE293" i="159"/>
  <c r="X296" i="156" s="1"/>
  <c r="X415" i="156" s="1"/>
  <c r="AF299" i="159"/>
  <c r="Y302" i="156" s="1"/>
  <c r="Y421" i="156" s="1"/>
  <c r="AF298" i="159"/>
  <c r="Y301" i="156" s="1"/>
  <c r="Y420" i="156" s="1"/>
  <c r="AF297" i="159"/>
  <c r="Y300" i="156" s="1"/>
  <c r="Y419" i="156" s="1"/>
  <c r="AF296" i="159"/>
  <c r="Y299" i="156" s="1"/>
  <c r="Y418" i="156" s="1"/>
  <c r="AF295" i="159"/>
  <c r="Y298" i="156" s="1"/>
  <c r="Y417" i="156" s="1"/>
  <c r="AF294" i="159"/>
  <c r="Y297" i="156" s="1"/>
  <c r="Y416" i="156" s="1"/>
  <c r="AF293" i="159"/>
  <c r="Y296" i="156" s="1"/>
  <c r="Y415" i="156" s="1"/>
  <c r="AG299" i="159"/>
  <c r="Z302" i="156" s="1"/>
  <c r="Z421" i="156" s="1"/>
  <c r="AG298" i="159"/>
  <c r="Z301" i="156" s="1"/>
  <c r="Z420" i="156" s="1"/>
  <c r="AG297" i="159"/>
  <c r="Z300" i="156" s="1"/>
  <c r="Z419" i="156" s="1"/>
  <c r="AG296" i="159"/>
  <c r="Z299" i="156" s="1"/>
  <c r="Z418" i="156" s="1"/>
  <c r="AG295" i="159"/>
  <c r="Z298" i="156" s="1"/>
  <c r="Z417" i="156" s="1"/>
  <c r="AG294" i="159"/>
  <c r="Z297" i="156" s="1"/>
  <c r="Z416" i="156" s="1"/>
  <c r="AG293" i="159"/>
  <c r="Z296" i="156" s="1"/>
  <c r="Z415" i="156" s="1"/>
  <c r="AH299" i="159"/>
  <c r="AA302" i="156" s="1"/>
  <c r="AA421" i="156" s="1"/>
  <c r="AH298" i="159"/>
  <c r="AA301" i="156" s="1"/>
  <c r="AA420" i="156" s="1"/>
  <c r="AH297" i="159"/>
  <c r="AA300" i="156" s="1"/>
  <c r="AA419" i="156" s="1"/>
  <c r="AH296" i="159"/>
  <c r="AA299" i="156" s="1"/>
  <c r="AA418" i="156" s="1"/>
  <c r="AH295" i="159"/>
  <c r="AA298" i="156" s="1"/>
  <c r="AA417" i="156" s="1"/>
  <c r="AH294" i="159"/>
  <c r="AA297" i="156" s="1"/>
  <c r="AA416" i="156" s="1"/>
  <c r="AH293" i="159"/>
  <c r="AA296" i="156" s="1"/>
  <c r="AA415" i="156" s="1"/>
  <c r="AI299" i="159"/>
  <c r="AB302" i="156" s="1"/>
  <c r="AB421" i="156" s="1"/>
  <c r="AI298" i="159"/>
  <c r="AB301" i="156" s="1"/>
  <c r="AB420" i="156" s="1"/>
  <c r="AI297" i="159"/>
  <c r="AB300" i="156" s="1"/>
  <c r="AB419" i="156" s="1"/>
  <c r="AI296" i="159"/>
  <c r="AB299" i="156" s="1"/>
  <c r="AB418" i="156" s="1"/>
  <c r="AI295" i="159"/>
  <c r="AB298" i="156" s="1"/>
  <c r="AB417" i="156" s="1"/>
  <c r="AI294" i="159"/>
  <c r="AB297" i="156" s="1"/>
  <c r="AB416" i="156" s="1"/>
  <c r="AI293" i="159"/>
  <c r="AB296" i="156" s="1"/>
  <c r="AB415" i="156" s="1"/>
  <c r="AJ299" i="159"/>
  <c r="AC302" i="156" s="1"/>
  <c r="AC421" i="156" s="1"/>
  <c r="AJ298" i="159"/>
  <c r="AC301" i="156" s="1"/>
  <c r="AC420" i="156" s="1"/>
  <c r="AJ297" i="159"/>
  <c r="AC300" i="156" s="1"/>
  <c r="AC419" i="156" s="1"/>
  <c r="AJ296" i="159"/>
  <c r="AC299" i="156" s="1"/>
  <c r="AC418" i="156" s="1"/>
  <c r="AJ295" i="159"/>
  <c r="AC298" i="156" s="1"/>
  <c r="AC417" i="156" s="1"/>
  <c r="AJ294" i="159"/>
  <c r="AC297" i="156" s="1"/>
  <c r="AC416" i="156" s="1"/>
  <c r="AJ293" i="159"/>
  <c r="AC296" i="156" s="1"/>
  <c r="AC415" i="156" s="1"/>
  <c r="AK299" i="159"/>
  <c r="AD302" i="156" s="1"/>
  <c r="AD421" i="156" s="1"/>
  <c r="AK298" i="159"/>
  <c r="AD301" i="156" s="1"/>
  <c r="AD420" i="156" s="1"/>
  <c r="AK297" i="159"/>
  <c r="AD300" i="156" s="1"/>
  <c r="AD419" i="156" s="1"/>
  <c r="AK296" i="159"/>
  <c r="AD299" i="156" s="1"/>
  <c r="AD418" i="156" s="1"/>
  <c r="AK295" i="159"/>
  <c r="AD298" i="156" s="1"/>
  <c r="AD417" i="156" s="1"/>
  <c r="AK294" i="159"/>
  <c r="AD297" i="156" s="1"/>
  <c r="AD416" i="156" s="1"/>
  <c r="AK293" i="159"/>
  <c r="AD296" i="156" s="1"/>
  <c r="AD415" i="156" s="1"/>
  <c r="AL299" i="159"/>
  <c r="AE302" i="156" s="1"/>
  <c r="AE421" i="156" s="1"/>
  <c r="AL298" i="159"/>
  <c r="AE301" i="156" s="1"/>
  <c r="AE420" i="156" s="1"/>
  <c r="AL297" i="159"/>
  <c r="AE300" i="156" s="1"/>
  <c r="AE419" i="156" s="1"/>
  <c r="AL296" i="159"/>
  <c r="AE299" i="156" s="1"/>
  <c r="AE418" i="156" s="1"/>
  <c r="AL295" i="159"/>
  <c r="AE298" i="156" s="1"/>
  <c r="AE417" i="156" s="1"/>
  <c r="AL294" i="159"/>
  <c r="AE297" i="156" s="1"/>
  <c r="AE416" i="156" s="1"/>
  <c r="AL293" i="159"/>
  <c r="AE296" i="156" s="1"/>
  <c r="AE415" i="156" s="1"/>
  <c r="AM299" i="159"/>
  <c r="AF302" i="156" s="1"/>
  <c r="AF421" i="156" s="1"/>
  <c r="AM298" i="159"/>
  <c r="AF301" i="156" s="1"/>
  <c r="AF420" i="156" s="1"/>
  <c r="AM297" i="159"/>
  <c r="AF300" i="156" s="1"/>
  <c r="AF419" i="156" s="1"/>
  <c r="AM296" i="159"/>
  <c r="AF299" i="156" s="1"/>
  <c r="AF418" i="156" s="1"/>
  <c r="AM295" i="159"/>
  <c r="AF298" i="156" s="1"/>
  <c r="AF417" i="156" s="1"/>
  <c r="AM294" i="159"/>
  <c r="AF297" i="156" s="1"/>
  <c r="AF416" i="156" s="1"/>
  <c r="AM293" i="159"/>
  <c r="AF296" i="156" s="1"/>
  <c r="AF415" i="156" s="1"/>
  <c r="AN299" i="159"/>
  <c r="AG302" i="156" s="1"/>
  <c r="AG421" i="156" s="1"/>
  <c r="AN298" i="159"/>
  <c r="AG301" i="156" s="1"/>
  <c r="AG420" i="156" s="1"/>
  <c r="AN297" i="159"/>
  <c r="AG300" i="156" s="1"/>
  <c r="AG419" i="156" s="1"/>
  <c r="AN296" i="159"/>
  <c r="AG299" i="156" s="1"/>
  <c r="AG418" i="156" s="1"/>
  <c r="AN295" i="159"/>
  <c r="AG298" i="156" s="1"/>
  <c r="AG417" i="156" s="1"/>
  <c r="AN294" i="159"/>
  <c r="AG297" i="156" s="1"/>
  <c r="AG416" i="156" s="1"/>
  <c r="AN293" i="159"/>
  <c r="AG296" i="156" s="1"/>
  <c r="AG415" i="156" s="1"/>
  <c r="N305" i="159"/>
  <c r="G308" i="156" s="1"/>
  <c r="G427" i="156" s="1"/>
  <c r="N304" i="159"/>
  <c r="G307" i="156" s="1"/>
  <c r="G426" i="156" s="1"/>
  <c r="N303" i="159"/>
  <c r="G306" i="156" s="1"/>
  <c r="G425" i="156" s="1"/>
  <c r="N302" i="159"/>
  <c r="G305" i="156" s="1"/>
  <c r="G424" i="156" s="1"/>
  <c r="N301" i="159"/>
  <c r="G304" i="156" s="1"/>
  <c r="G423" i="156" s="1"/>
  <c r="N300" i="159"/>
  <c r="G303" i="156" s="1"/>
  <c r="G422" i="156" s="1"/>
  <c r="P300" i="159"/>
  <c r="I303" i="156" s="1"/>
  <c r="I422" i="156" s="1"/>
  <c r="P303" i="159"/>
  <c r="I306" i="156" s="1"/>
  <c r="I425" i="156" s="1"/>
  <c r="Q305" i="159"/>
  <c r="J308" i="156" s="1"/>
  <c r="J427" i="156" s="1"/>
  <c r="Q304" i="159"/>
  <c r="J307" i="156" s="1"/>
  <c r="J426" i="156" s="1"/>
  <c r="Q303" i="159"/>
  <c r="J306" i="156" s="1"/>
  <c r="J425" i="156" s="1"/>
  <c r="Q302" i="159"/>
  <c r="J305" i="156" s="1"/>
  <c r="J424" i="156" s="1"/>
  <c r="Q301" i="159"/>
  <c r="J304" i="156" s="1"/>
  <c r="J423" i="156" s="1"/>
  <c r="Q300" i="159"/>
  <c r="J303" i="156" s="1"/>
  <c r="J422" i="156" s="1"/>
  <c r="R305" i="159"/>
  <c r="K308" i="156" s="1"/>
  <c r="K427" i="156" s="1"/>
  <c r="R304" i="159"/>
  <c r="K307" i="156" s="1"/>
  <c r="K426" i="156" s="1"/>
  <c r="R303" i="159"/>
  <c r="K306" i="156" s="1"/>
  <c r="K425" i="156" s="1"/>
  <c r="R302" i="159"/>
  <c r="K305" i="156" s="1"/>
  <c r="K424" i="156" s="1"/>
  <c r="R301" i="159"/>
  <c r="K304" i="156" s="1"/>
  <c r="K423" i="156" s="1"/>
  <c r="R300" i="159"/>
  <c r="K303" i="156" s="1"/>
  <c r="K422" i="156" s="1"/>
  <c r="S305" i="159"/>
  <c r="L308" i="156" s="1"/>
  <c r="L427" i="156" s="1"/>
  <c r="S304" i="159"/>
  <c r="L307" i="156" s="1"/>
  <c r="L426" i="156" s="1"/>
  <c r="S303" i="159"/>
  <c r="L306" i="156" s="1"/>
  <c r="L425" i="156" s="1"/>
  <c r="S302" i="159"/>
  <c r="L305" i="156" s="1"/>
  <c r="L424" i="156" s="1"/>
  <c r="S301" i="159"/>
  <c r="L304" i="156" s="1"/>
  <c r="L423" i="156" s="1"/>
  <c r="S300" i="159"/>
  <c r="L303" i="156" s="1"/>
  <c r="L422" i="156" s="1"/>
  <c r="T305" i="159"/>
  <c r="M308" i="156" s="1"/>
  <c r="M427" i="156" s="1"/>
  <c r="T304" i="159"/>
  <c r="M307" i="156" s="1"/>
  <c r="M426" i="156" s="1"/>
  <c r="T303" i="159"/>
  <c r="M306" i="156" s="1"/>
  <c r="M425" i="156" s="1"/>
  <c r="T302" i="159"/>
  <c r="M305" i="156" s="1"/>
  <c r="M424" i="156" s="1"/>
  <c r="T301" i="159"/>
  <c r="M304" i="156" s="1"/>
  <c r="M423" i="156" s="1"/>
  <c r="T300" i="159"/>
  <c r="M303" i="156" s="1"/>
  <c r="M422" i="156" s="1"/>
  <c r="U305" i="159"/>
  <c r="N308" i="156" s="1"/>
  <c r="N427" i="156" s="1"/>
  <c r="U304" i="159"/>
  <c r="N307" i="156" s="1"/>
  <c r="N426" i="156" s="1"/>
  <c r="U303" i="159"/>
  <c r="N306" i="156" s="1"/>
  <c r="N425" i="156" s="1"/>
  <c r="U302" i="159"/>
  <c r="N305" i="156" s="1"/>
  <c r="N424" i="156" s="1"/>
  <c r="U301" i="159"/>
  <c r="N304" i="156" s="1"/>
  <c r="N423" i="156" s="1"/>
  <c r="U300" i="159"/>
  <c r="N303" i="156" s="1"/>
  <c r="N422" i="156" s="1"/>
  <c r="V305" i="159"/>
  <c r="O308" i="156" s="1"/>
  <c r="O427" i="156" s="1"/>
  <c r="V304" i="159"/>
  <c r="O307" i="156" s="1"/>
  <c r="O426" i="156" s="1"/>
  <c r="V303" i="159"/>
  <c r="O306" i="156" s="1"/>
  <c r="O425" i="156" s="1"/>
  <c r="V302" i="159"/>
  <c r="O305" i="156" s="1"/>
  <c r="O424" i="156" s="1"/>
  <c r="V301" i="159"/>
  <c r="O304" i="156" s="1"/>
  <c r="O423" i="156" s="1"/>
  <c r="V300" i="159"/>
  <c r="O303" i="156" s="1"/>
  <c r="O422" i="156" s="1"/>
  <c r="W305" i="159"/>
  <c r="P308" i="156" s="1"/>
  <c r="P427" i="156" s="1"/>
  <c r="W304" i="159"/>
  <c r="P307" i="156" s="1"/>
  <c r="P426" i="156" s="1"/>
  <c r="W303" i="159"/>
  <c r="P306" i="156" s="1"/>
  <c r="P425" i="156" s="1"/>
  <c r="W302" i="159"/>
  <c r="P305" i="156" s="1"/>
  <c r="P424" i="156" s="1"/>
  <c r="W301" i="159"/>
  <c r="P304" i="156" s="1"/>
  <c r="P423" i="156" s="1"/>
  <c r="W300" i="159"/>
  <c r="P303" i="156" s="1"/>
  <c r="P422" i="156" s="1"/>
  <c r="X305" i="159"/>
  <c r="Q308" i="156" s="1"/>
  <c r="Q427" i="156" s="1"/>
  <c r="X304" i="159"/>
  <c r="Q307" i="156" s="1"/>
  <c r="Q426" i="156" s="1"/>
  <c r="X303" i="159"/>
  <c r="Q306" i="156" s="1"/>
  <c r="Q425" i="156" s="1"/>
  <c r="X302" i="159"/>
  <c r="Q305" i="156" s="1"/>
  <c r="Q424" i="156" s="1"/>
  <c r="X301" i="159"/>
  <c r="Q304" i="156" s="1"/>
  <c r="Q423" i="156" s="1"/>
  <c r="X300" i="159"/>
  <c r="Q303" i="156" s="1"/>
  <c r="Q422" i="156" s="1"/>
  <c r="Y305" i="159"/>
  <c r="R308" i="156" s="1"/>
  <c r="R427" i="156" s="1"/>
  <c r="Y304" i="159"/>
  <c r="R307" i="156" s="1"/>
  <c r="R426" i="156" s="1"/>
  <c r="Y303" i="159"/>
  <c r="R306" i="156" s="1"/>
  <c r="R425" i="156" s="1"/>
  <c r="Y302" i="159"/>
  <c r="R305" i="156" s="1"/>
  <c r="R424" i="156" s="1"/>
  <c r="Y301" i="159"/>
  <c r="R304" i="156" s="1"/>
  <c r="R423" i="156" s="1"/>
  <c r="Y300" i="159"/>
  <c r="R303" i="156" s="1"/>
  <c r="R422" i="156" s="1"/>
  <c r="Z305" i="159"/>
  <c r="S308" i="156" s="1"/>
  <c r="S427" i="156" s="1"/>
  <c r="Z304" i="159"/>
  <c r="S307" i="156" s="1"/>
  <c r="S426" i="156" s="1"/>
  <c r="Z303" i="159"/>
  <c r="S306" i="156" s="1"/>
  <c r="S425" i="156" s="1"/>
  <c r="Z302" i="159"/>
  <c r="S305" i="156" s="1"/>
  <c r="S424" i="156" s="1"/>
  <c r="Z301" i="159"/>
  <c r="S304" i="156" s="1"/>
  <c r="S423" i="156" s="1"/>
  <c r="Z300" i="159"/>
  <c r="S303" i="156" s="1"/>
  <c r="S422" i="156" s="1"/>
  <c r="AA305" i="159"/>
  <c r="T308" i="156" s="1"/>
  <c r="T427" i="156" s="1"/>
  <c r="AA304" i="159"/>
  <c r="T307" i="156" s="1"/>
  <c r="T426" i="156" s="1"/>
  <c r="AA303" i="159"/>
  <c r="T306" i="156" s="1"/>
  <c r="T425" i="156" s="1"/>
  <c r="AA302" i="159"/>
  <c r="T305" i="156" s="1"/>
  <c r="T424" i="156" s="1"/>
  <c r="AA301" i="159"/>
  <c r="T304" i="156" s="1"/>
  <c r="T423" i="156" s="1"/>
  <c r="AA300" i="159"/>
  <c r="T303" i="156" s="1"/>
  <c r="T422" i="156" s="1"/>
  <c r="AB305" i="159"/>
  <c r="U308" i="156" s="1"/>
  <c r="U427" i="156" s="1"/>
  <c r="AB304" i="159"/>
  <c r="U307" i="156" s="1"/>
  <c r="U426" i="156" s="1"/>
  <c r="AB303" i="159"/>
  <c r="U306" i="156" s="1"/>
  <c r="U425" i="156" s="1"/>
  <c r="AB302" i="159"/>
  <c r="U305" i="156" s="1"/>
  <c r="U424" i="156" s="1"/>
  <c r="AB301" i="159"/>
  <c r="U304" i="156" s="1"/>
  <c r="U423" i="156" s="1"/>
  <c r="AB300" i="159"/>
  <c r="U303" i="156" s="1"/>
  <c r="U422" i="156" s="1"/>
  <c r="AC305" i="159"/>
  <c r="V308" i="156" s="1"/>
  <c r="V427" i="156" s="1"/>
  <c r="AC304" i="159"/>
  <c r="V307" i="156" s="1"/>
  <c r="V426" i="156" s="1"/>
  <c r="AC303" i="159"/>
  <c r="V306" i="156" s="1"/>
  <c r="V425" i="156" s="1"/>
  <c r="AC302" i="159"/>
  <c r="V305" i="156" s="1"/>
  <c r="V424" i="156" s="1"/>
  <c r="AC301" i="159"/>
  <c r="V304" i="156" s="1"/>
  <c r="V423" i="156" s="1"/>
  <c r="AC300" i="159"/>
  <c r="V303" i="156" s="1"/>
  <c r="V422" i="156" s="1"/>
  <c r="AD305" i="159"/>
  <c r="W308" i="156" s="1"/>
  <c r="W427" i="156" s="1"/>
  <c r="AD304" i="159"/>
  <c r="W307" i="156" s="1"/>
  <c r="W426" i="156" s="1"/>
  <c r="AD303" i="159"/>
  <c r="W306" i="156" s="1"/>
  <c r="W425" i="156" s="1"/>
  <c r="AD302" i="159"/>
  <c r="W305" i="156" s="1"/>
  <c r="W424" i="156" s="1"/>
  <c r="AD301" i="159"/>
  <c r="W304" i="156" s="1"/>
  <c r="W423" i="156" s="1"/>
  <c r="AD300" i="159"/>
  <c r="W303" i="156" s="1"/>
  <c r="W422" i="156" s="1"/>
  <c r="AE305" i="159"/>
  <c r="X308" i="156" s="1"/>
  <c r="X427" i="156" s="1"/>
  <c r="AE304" i="159"/>
  <c r="X307" i="156" s="1"/>
  <c r="X426" i="156" s="1"/>
  <c r="AE303" i="159"/>
  <c r="X306" i="156" s="1"/>
  <c r="X425" i="156" s="1"/>
  <c r="AE302" i="159"/>
  <c r="X305" i="156" s="1"/>
  <c r="X424" i="156" s="1"/>
  <c r="AE301" i="159"/>
  <c r="X304" i="156" s="1"/>
  <c r="X423" i="156" s="1"/>
  <c r="AE300" i="159"/>
  <c r="X303" i="156" s="1"/>
  <c r="X422" i="156" s="1"/>
  <c r="AF305" i="159"/>
  <c r="Y308" i="156" s="1"/>
  <c r="Y427" i="156" s="1"/>
  <c r="AF304" i="159"/>
  <c r="Y307" i="156" s="1"/>
  <c r="Y426" i="156" s="1"/>
  <c r="AF303" i="159"/>
  <c r="Y306" i="156" s="1"/>
  <c r="Y425" i="156" s="1"/>
  <c r="AF302" i="159"/>
  <c r="Y305" i="156" s="1"/>
  <c r="Y424" i="156" s="1"/>
  <c r="AF301" i="159"/>
  <c r="Y304" i="156" s="1"/>
  <c r="Y423" i="156" s="1"/>
  <c r="AF300" i="159"/>
  <c r="Y303" i="156" s="1"/>
  <c r="Y422" i="156" s="1"/>
  <c r="AG305" i="159"/>
  <c r="Z308" i="156" s="1"/>
  <c r="Z427" i="156" s="1"/>
  <c r="AG304" i="159"/>
  <c r="Z307" i="156" s="1"/>
  <c r="Z426" i="156" s="1"/>
  <c r="AG303" i="159"/>
  <c r="Z306" i="156" s="1"/>
  <c r="Z425" i="156" s="1"/>
  <c r="AG302" i="159"/>
  <c r="Z305" i="156" s="1"/>
  <c r="Z424" i="156" s="1"/>
  <c r="AG301" i="159"/>
  <c r="Z304" i="156" s="1"/>
  <c r="Z423" i="156" s="1"/>
  <c r="AG300" i="159"/>
  <c r="Z303" i="156" s="1"/>
  <c r="Z422" i="156" s="1"/>
  <c r="AH305" i="159"/>
  <c r="AA308" i="156" s="1"/>
  <c r="AA427" i="156" s="1"/>
  <c r="AH304" i="159"/>
  <c r="AA307" i="156" s="1"/>
  <c r="AA426" i="156" s="1"/>
  <c r="AH303" i="159"/>
  <c r="AA306" i="156" s="1"/>
  <c r="AA425" i="156" s="1"/>
  <c r="AH302" i="159"/>
  <c r="AA305" i="156" s="1"/>
  <c r="AA424" i="156" s="1"/>
  <c r="AH301" i="159"/>
  <c r="AA304" i="156" s="1"/>
  <c r="AA423" i="156" s="1"/>
  <c r="AH300" i="159"/>
  <c r="AA303" i="156" s="1"/>
  <c r="AA422" i="156" s="1"/>
  <c r="AI305" i="159"/>
  <c r="AB308" i="156" s="1"/>
  <c r="AB427" i="156" s="1"/>
  <c r="AI304" i="159"/>
  <c r="AB307" i="156" s="1"/>
  <c r="AB426" i="156" s="1"/>
  <c r="AI303" i="159"/>
  <c r="AB306" i="156" s="1"/>
  <c r="AB425" i="156" s="1"/>
  <c r="AI302" i="159"/>
  <c r="AB305" i="156" s="1"/>
  <c r="AB424" i="156" s="1"/>
  <c r="AI301" i="159"/>
  <c r="AB304" i="156" s="1"/>
  <c r="AB423" i="156" s="1"/>
  <c r="AI300" i="159"/>
  <c r="AB303" i="156" s="1"/>
  <c r="AB422" i="156" s="1"/>
  <c r="AJ305" i="159"/>
  <c r="AC308" i="156" s="1"/>
  <c r="AC427" i="156" s="1"/>
  <c r="AJ304" i="159"/>
  <c r="AC307" i="156" s="1"/>
  <c r="AC426" i="156" s="1"/>
  <c r="AJ303" i="159"/>
  <c r="AC306" i="156" s="1"/>
  <c r="AC425" i="156" s="1"/>
  <c r="AJ302" i="159"/>
  <c r="AC305" i="156" s="1"/>
  <c r="AC424" i="156" s="1"/>
  <c r="AJ301" i="159"/>
  <c r="AC304" i="156" s="1"/>
  <c r="AC423" i="156" s="1"/>
  <c r="AJ300" i="159"/>
  <c r="AC303" i="156" s="1"/>
  <c r="AC422" i="156" s="1"/>
  <c r="AK305" i="159"/>
  <c r="AD308" i="156" s="1"/>
  <c r="AD427" i="156" s="1"/>
  <c r="AK304" i="159"/>
  <c r="AD307" i="156" s="1"/>
  <c r="AD426" i="156" s="1"/>
  <c r="AK303" i="159"/>
  <c r="AD306" i="156" s="1"/>
  <c r="AD425" i="156" s="1"/>
  <c r="AK302" i="159"/>
  <c r="AD305" i="156" s="1"/>
  <c r="AD424" i="156" s="1"/>
  <c r="AK301" i="159"/>
  <c r="AD304" i="156" s="1"/>
  <c r="AD423" i="156" s="1"/>
  <c r="AK300" i="159"/>
  <c r="AD303" i="156" s="1"/>
  <c r="AD422" i="156" s="1"/>
  <c r="AL305" i="159"/>
  <c r="AE308" i="156" s="1"/>
  <c r="AE427" i="156" s="1"/>
  <c r="AL304" i="159"/>
  <c r="AE307" i="156" s="1"/>
  <c r="AE426" i="156" s="1"/>
  <c r="AL303" i="159"/>
  <c r="AE306" i="156" s="1"/>
  <c r="AE425" i="156" s="1"/>
  <c r="AL302" i="159"/>
  <c r="AE305" i="156" s="1"/>
  <c r="AE424" i="156" s="1"/>
  <c r="AL301" i="159"/>
  <c r="AE304" i="156" s="1"/>
  <c r="AE423" i="156" s="1"/>
  <c r="AL300" i="159"/>
  <c r="AE303" i="156" s="1"/>
  <c r="AE422" i="156" s="1"/>
  <c r="AM305" i="159"/>
  <c r="AF308" i="156" s="1"/>
  <c r="AF427" i="156" s="1"/>
  <c r="AM304" i="159"/>
  <c r="AF307" i="156" s="1"/>
  <c r="AF426" i="156" s="1"/>
  <c r="AM303" i="159"/>
  <c r="AF306" i="156" s="1"/>
  <c r="AF425" i="156" s="1"/>
  <c r="AM302" i="159"/>
  <c r="AF305" i="156" s="1"/>
  <c r="AF424" i="156" s="1"/>
  <c r="AM301" i="159"/>
  <c r="AF304" i="156" s="1"/>
  <c r="AF423" i="156" s="1"/>
  <c r="AM300" i="159"/>
  <c r="AF303" i="156" s="1"/>
  <c r="AF422" i="156" s="1"/>
  <c r="AN305" i="159"/>
  <c r="AG308" i="156" s="1"/>
  <c r="AG427" i="156" s="1"/>
  <c r="AN304" i="159"/>
  <c r="AG307" i="156" s="1"/>
  <c r="AG426" i="156" s="1"/>
  <c r="AN303" i="159"/>
  <c r="AG306" i="156" s="1"/>
  <c r="AG425" i="156" s="1"/>
  <c r="AN302" i="159"/>
  <c r="AG305" i="156" s="1"/>
  <c r="AG424" i="156" s="1"/>
  <c r="AN301" i="159"/>
  <c r="AG304" i="156" s="1"/>
  <c r="AG423" i="156" s="1"/>
  <c r="AN300" i="159"/>
  <c r="AG303" i="156" s="1"/>
  <c r="AG422" i="156" s="1"/>
  <c r="N311" i="159"/>
  <c r="G314" i="156" s="1"/>
  <c r="G433" i="156" s="1"/>
  <c r="N310" i="159"/>
  <c r="G313" i="156" s="1"/>
  <c r="G432" i="156" s="1"/>
  <c r="N309" i="159"/>
  <c r="G312" i="156" s="1"/>
  <c r="G431" i="156" s="1"/>
  <c r="N308" i="159"/>
  <c r="G311" i="156" s="1"/>
  <c r="G430" i="156" s="1"/>
  <c r="N307" i="159"/>
  <c r="G310" i="156" s="1"/>
  <c r="G429" i="156" s="1"/>
  <c r="N306" i="159"/>
  <c r="G309" i="156" s="1"/>
  <c r="G428" i="156" s="1"/>
  <c r="O309" i="159"/>
  <c r="H312" i="156" s="1"/>
  <c r="H431" i="156" s="1"/>
  <c r="O310" i="159"/>
  <c r="H313" i="156" s="1"/>
  <c r="H432" i="156" s="1"/>
  <c r="O307" i="159"/>
  <c r="H310" i="156" s="1"/>
  <c r="H429" i="156" s="1"/>
  <c r="O306" i="159"/>
  <c r="H309" i="156" s="1"/>
  <c r="H428" i="156" s="1"/>
  <c r="P306" i="159"/>
  <c r="I309" i="156" s="1"/>
  <c r="I428" i="156" s="1"/>
  <c r="P310" i="159"/>
  <c r="I313" i="156" s="1"/>
  <c r="I432" i="156" s="1"/>
  <c r="P309" i="159"/>
  <c r="I312" i="156" s="1"/>
  <c r="I431" i="156" s="1"/>
  <c r="P307" i="159"/>
  <c r="I310" i="156" s="1"/>
  <c r="I429" i="156" s="1"/>
  <c r="Q311" i="159"/>
  <c r="J314" i="156" s="1"/>
  <c r="J433" i="156" s="1"/>
  <c r="Q310" i="159"/>
  <c r="J313" i="156" s="1"/>
  <c r="J432" i="156" s="1"/>
  <c r="Q309" i="159"/>
  <c r="J312" i="156" s="1"/>
  <c r="J431" i="156" s="1"/>
  <c r="Q308" i="159"/>
  <c r="J311" i="156" s="1"/>
  <c r="J430" i="156" s="1"/>
  <c r="Q307" i="159"/>
  <c r="J310" i="156" s="1"/>
  <c r="J429" i="156" s="1"/>
  <c r="Q306" i="159"/>
  <c r="J309" i="156" s="1"/>
  <c r="J428" i="156" s="1"/>
  <c r="R311" i="159"/>
  <c r="K314" i="156" s="1"/>
  <c r="K433" i="156" s="1"/>
  <c r="R310" i="159"/>
  <c r="K313" i="156" s="1"/>
  <c r="K432" i="156" s="1"/>
  <c r="R309" i="159"/>
  <c r="K312" i="156" s="1"/>
  <c r="K431" i="156" s="1"/>
  <c r="R308" i="159"/>
  <c r="K311" i="156" s="1"/>
  <c r="K430" i="156" s="1"/>
  <c r="R307" i="159"/>
  <c r="K310" i="156" s="1"/>
  <c r="K429" i="156" s="1"/>
  <c r="R306" i="159"/>
  <c r="K309" i="156" s="1"/>
  <c r="K428" i="156" s="1"/>
  <c r="S311" i="159"/>
  <c r="L314" i="156" s="1"/>
  <c r="L433" i="156" s="1"/>
  <c r="S310" i="159"/>
  <c r="L313" i="156" s="1"/>
  <c r="L432" i="156" s="1"/>
  <c r="S309" i="159"/>
  <c r="L312" i="156" s="1"/>
  <c r="L431" i="156" s="1"/>
  <c r="S308" i="159"/>
  <c r="L311" i="156" s="1"/>
  <c r="L430" i="156" s="1"/>
  <c r="S307" i="159"/>
  <c r="L310" i="156" s="1"/>
  <c r="L429" i="156" s="1"/>
  <c r="S306" i="159"/>
  <c r="L309" i="156" s="1"/>
  <c r="L428" i="156" s="1"/>
  <c r="T311" i="159"/>
  <c r="M314" i="156" s="1"/>
  <c r="M433" i="156" s="1"/>
  <c r="T310" i="159"/>
  <c r="M313" i="156" s="1"/>
  <c r="M432" i="156" s="1"/>
  <c r="T309" i="159"/>
  <c r="M312" i="156" s="1"/>
  <c r="M431" i="156" s="1"/>
  <c r="T308" i="159"/>
  <c r="M311" i="156" s="1"/>
  <c r="M430" i="156" s="1"/>
  <c r="T307" i="159"/>
  <c r="M310" i="156" s="1"/>
  <c r="M429" i="156" s="1"/>
  <c r="T306" i="159"/>
  <c r="M309" i="156" s="1"/>
  <c r="M428" i="156" s="1"/>
  <c r="U311" i="159"/>
  <c r="N314" i="156" s="1"/>
  <c r="N433" i="156" s="1"/>
  <c r="U310" i="159"/>
  <c r="N313" i="156" s="1"/>
  <c r="N432" i="156" s="1"/>
  <c r="U309" i="159"/>
  <c r="N312" i="156" s="1"/>
  <c r="N431" i="156" s="1"/>
  <c r="U308" i="159"/>
  <c r="N311" i="156" s="1"/>
  <c r="N430" i="156" s="1"/>
  <c r="U307" i="159"/>
  <c r="N310" i="156" s="1"/>
  <c r="N429" i="156" s="1"/>
  <c r="U306" i="159"/>
  <c r="N309" i="156" s="1"/>
  <c r="N428" i="156" s="1"/>
  <c r="V311" i="159"/>
  <c r="O314" i="156" s="1"/>
  <c r="O433" i="156" s="1"/>
  <c r="V310" i="159"/>
  <c r="O313" i="156" s="1"/>
  <c r="O432" i="156" s="1"/>
  <c r="V309" i="159"/>
  <c r="O312" i="156" s="1"/>
  <c r="O431" i="156" s="1"/>
  <c r="V308" i="159"/>
  <c r="O311" i="156" s="1"/>
  <c r="O430" i="156" s="1"/>
  <c r="V307" i="159"/>
  <c r="O310" i="156" s="1"/>
  <c r="O429" i="156" s="1"/>
  <c r="V306" i="159"/>
  <c r="O309" i="156" s="1"/>
  <c r="O428" i="156" s="1"/>
  <c r="W311" i="159"/>
  <c r="P314" i="156" s="1"/>
  <c r="P433" i="156" s="1"/>
  <c r="W310" i="159"/>
  <c r="P313" i="156" s="1"/>
  <c r="P432" i="156" s="1"/>
  <c r="W309" i="159"/>
  <c r="P312" i="156" s="1"/>
  <c r="P431" i="156" s="1"/>
  <c r="W308" i="159"/>
  <c r="P311" i="156" s="1"/>
  <c r="P430" i="156" s="1"/>
  <c r="W307" i="159"/>
  <c r="P310" i="156" s="1"/>
  <c r="P429" i="156" s="1"/>
  <c r="W306" i="159"/>
  <c r="P309" i="156" s="1"/>
  <c r="P428" i="156" s="1"/>
  <c r="X311" i="159"/>
  <c r="Q314" i="156" s="1"/>
  <c r="Q433" i="156" s="1"/>
  <c r="X310" i="159"/>
  <c r="Q313" i="156" s="1"/>
  <c r="Q432" i="156" s="1"/>
  <c r="X309" i="159"/>
  <c r="Q312" i="156" s="1"/>
  <c r="Q431" i="156" s="1"/>
  <c r="X308" i="159"/>
  <c r="Q311" i="156" s="1"/>
  <c r="Q430" i="156" s="1"/>
  <c r="X307" i="159"/>
  <c r="Q310" i="156" s="1"/>
  <c r="Q429" i="156" s="1"/>
  <c r="X306" i="159"/>
  <c r="Q309" i="156" s="1"/>
  <c r="Q428" i="156" s="1"/>
  <c r="Y311" i="159"/>
  <c r="R314" i="156" s="1"/>
  <c r="R433" i="156" s="1"/>
  <c r="Y310" i="159"/>
  <c r="R313" i="156" s="1"/>
  <c r="R432" i="156" s="1"/>
  <c r="Y309" i="159"/>
  <c r="R312" i="156" s="1"/>
  <c r="R431" i="156" s="1"/>
  <c r="Y308" i="159"/>
  <c r="R311" i="156" s="1"/>
  <c r="R430" i="156" s="1"/>
  <c r="Y307" i="159"/>
  <c r="R310" i="156" s="1"/>
  <c r="R429" i="156" s="1"/>
  <c r="Y306" i="159"/>
  <c r="R309" i="156" s="1"/>
  <c r="R428" i="156" s="1"/>
  <c r="Z311" i="159"/>
  <c r="S314" i="156" s="1"/>
  <c r="S433" i="156" s="1"/>
  <c r="Z310" i="159"/>
  <c r="S313" i="156" s="1"/>
  <c r="S432" i="156" s="1"/>
  <c r="Z309" i="159"/>
  <c r="S312" i="156" s="1"/>
  <c r="S431" i="156" s="1"/>
  <c r="Z308" i="159"/>
  <c r="S311" i="156" s="1"/>
  <c r="S430" i="156" s="1"/>
  <c r="Z307" i="159"/>
  <c r="S310" i="156" s="1"/>
  <c r="S429" i="156" s="1"/>
  <c r="Z306" i="159"/>
  <c r="S309" i="156" s="1"/>
  <c r="S428" i="156" s="1"/>
  <c r="AA311" i="159"/>
  <c r="T314" i="156" s="1"/>
  <c r="T433" i="156" s="1"/>
  <c r="AA310" i="159"/>
  <c r="T313" i="156" s="1"/>
  <c r="T432" i="156" s="1"/>
  <c r="AA309" i="159"/>
  <c r="T312" i="156" s="1"/>
  <c r="T431" i="156" s="1"/>
  <c r="AA308" i="159"/>
  <c r="T311" i="156" s="1"/>
  <c r="T430" i="156" s="1"/>
  <c r="AA307" i="159"/>
  <c r="T310" i="156" s="1"/>
  <c r="T429" i="156" s="1"/>
  <c r="AA306" i="159"/>
  <c r="T309" i="156" s="1"/>
  <c r="T428" i="156" s="1"/>
  <c r="AB311" i="159"/>
  <c r="U314" i="156" s="1"/>
  <c r="U433" i="156" s="1"/>
  <c r="AB310" i="159"/>
  <c r="U313" i="156" s="1"/>
  <c r="U432" i="156" s="1"/>
  <c r="AB309" i="159"/>
  <c r="U312" i="156" s="1"/>
  <c r="U431" i="156" s="1"/>
  <c r="AB308" i="159"/>
  <c r="U311" i="156" s="1"/>
  <c r="U430" i="156" s="1"/>
  <c r="AB307" i="159"/>
  <c r="U310" i="156" s="1"/>
  <c r="U429" i="156" s="1"/>
  <c r="AB306" i="159"/>
  <c r="U309" i="156" s="1"/>
  <c r="U428" i="156" s="1"/>
  <c r="AC311" i="159"/>
  <c r="V314" i="156" s="1"/>
  <c r="V433" i="156" s="1"/>
  <c r="AC310" i="159"/>
  <c r="V313" i="156" s="1"/>
  <c r="V432" i="156" s="1"/>
  <c r="AC309" i="159"/>
  <c r="V312" i="156" s="1"/>
  <c r="V431" i="156" s="1"/>
  <c r="AC308" i="159"/>
  <c r="V311" i="156" s="1"/>
  <c r="V430" i="156" s="1"/>
  <c r="AC307" i="159"/>
  <c r="V310" i="156" s="1"/>
  <c r="V429" i="156" s="1"/>
  <c r="AC306" i="159"/>
  <c r="V309" i="156" s="1"/>
  <c r="V428" i="156" s="1"/>
  <c r="AD311" i="159"/>
  <c r="W314" i="156" s="1"/>
  <c r="W433" i="156" s="1"/>
  <c r="AD310" i="159"/>
  <c r="W313" i="156" s="1"/>
  <c r="W432" i="156" s="1"/>
  <c r="AD309" i="159"/>
  <c r="W312" i="156" s="1"/>
  <c r="W431" i="156" s="1"/>
  <c r="AD308" i="159"/>
  <c r="W311" i="156" s="1"/>
  <c r="W430" i="156" s="1"/>
  <c r="AD307" i="159"/>
  <c r="W310" i="156" s="1"/>
  <c r="W429" i="156" s="1"/>
  <c r="AD306" i="159"/>
  <c r="W309" i="156" s="1"/>
  <c r="W428" i="156" s="1"/>
  <c r="AE311" i="159"/>
  <c r="X314" i="156" s="1"/>
  <c r="X433" i="156" s="1"/>
  <c r="AE310" i="159"/>
  <c r="X313" i="156" s="1"/>
  <c r="X432" i="156" s="1"/>
  <c r="AE309" i="159"/>
  <c r="X312" i="156" s="1"/>
  <c r="X431" i="156" s="1"/>
  <c r="AE308" i="159"/>
  <c r="X311" i="156" s="1"/>
  <c r="X430" i="156" s="1"/>
  <c r="AE307" i="159"/>
  <c r="X310" i="156" s="1"/>
  <c r="X429" i="156" s="1"/>
  <c r="AE306" i="159"/>
  <c r="X309" i="156" s="1"/>
  <c r="X428" i="156" s="1"/>
  <c r="AF311" i="159"/>
  <c r="Y314" i="156" s="1"/>
  <c r="Y433" i="156" s="1"/>
  <c r="AF310" i="159"/>
  <c r="Y313" i="156" s="1"/>
  <c r="Y432" i="156" s="1"/>
  <c r="AF309" i="159"/>
  <c r="Y312" i="156" s="1"/>
  <c r="Y431" i="156" s="1"/>
  <c r="AF308" i="159"/>
  <c r="Y311" i="156" s="1"/>
  <c r="Y430" i="156" s="1"/>
  <c r="AF307" i="159"/>
  <c r="Y310" i="156" s="1"/>
  <c r="Y429" i="156" s="1"/>
  <c r="AF306" i="159"/>
  <c r="Y309" i="156" s="1"/>
  <c r="Y428" i="156" s="1"/>
  <c r="AG311" i="159"/>
  <c r="Z314" i="156" s="1"/>
  <c r="Z433" i="156" s="1"/>
  <c r="AG310" i="159"/>
  <c r="Z313" i="156" s="1"/>
  <c r="Z432" i="156" s="1"/>
  <c r="AG309" i="159"/>
  <c r="Z312" i="156" s="1"/>
  <c r="Z431" i="156" s="1"/>
  <c r="AG308" i="159"/>
  <c r="Z311" i="156" s="1"/>
  <c r="Z430" i="156" s="1"/>
  <c r="AG307" i="159"/>
  <c r="Z310" i="156" s="1"/>
  <c r="Z429" i="156" s="1"/>
  <c r="AG306" i="159"/>
  <c r="Z309" i="156" s="1"/>
  <c r="Z428" i="156" s="1"/>
  <c r="AH311" i="159"/>
  <c r="AA314" i="156" s="1"/>
  <c r="AA433" i="156" s="1"/>
  <c r="AH310" i="159"/>
  <c r="AA313" i="156" s="1"/>
  <c r="AA432" i="156" s="1"/>
  <c r="AH309" i="159"/>
  <c r="AA312" i="156" s="1"/>
  <c r="AA431" i="156" s="1"/>
  <c r="AH308" i="159"/>
  <c r="AA311" i="156" s="1"/>
  <c r="AA430" i="156" s="1"/>
  <c r="AH307" i="159"/>
  <c r="AA310" i="156" s="1"/>
  <c r="AA429" i="156" s="1"/>
  <c r="AH306" i="159"/>
  <c r="AA309" i="156" s="1"/>
  <c r="AA428" i="156" s="1"/>
  <c r="AI311" i="159"/>
  <c r="AB314" i="156" s="1"/>
  <c r="AB433" i="156" s="1"/>
  <c r="AI310" i="159"/>
  <c r="AB313" i="156" s="1"/>
  <c r="AB432" i="156" s="1"/>
  <c r="AI309" i="159"/>
  <c r="AB312" i="156" s="1"/>
  <c r="AB431" i="156" s="1"/>
  <c r="AI308" i="159"/>
  <c r="AB311" i="156" s="1"/>
  <c r="AB430" i="156" s="1"/>
  <c r="AI307" i="159"/>
  <c r="AB310" i="156" s="1"/>
  <c r="AB429" i="156" s="1"/>
  <c r="AI306" i="159"/>
  <c r="AB309" i="156" s="1"/>
  <c r="AB428" i="156" s="1"/>
  <c r="AJ311" i="159"/>
  <c r="AC314" i="156" s="1"/>
  <c r="AC433" i="156" s="1"/>
  <c r="AJ310" i="159"/>
  <c r="AC313" i="156" s="1"/>
  <c r="AC432" i="156" s="1"/>
  <c r="AJ309" i="159"/>
  <c r="AC312" i="156" s="1"/>
  <c r="AC431" i="156" s="1"/>
  <c r="AJ308" i="159"/>
  <c r="AC311" i="156" s="1"/>
  <c r="AC430" i="156" s="1"/>
  <c r="AJ307" i="159"/>
  <c r="AC310" i="156" s="1"/>
  <c r="AC429" i="156" s="1"/>
  <c r="AJ306" i="159"/>
  <c r="AC309" i="156" s="1"/>
  <c r="AC428" i="156" s="1"/>
  <c r="AK311" i="159"/>
  <c r="AD314" i="156" s="1"/>
  <c r="AD433" i="156" s="1"/>
  <c r="AK310" i="159"/>
  <c r="AD313" i="156" s="1"/>
  <c r="AD432" i="156" s="1"/>
  <c r="AK309" i="159"/>
  <c r="AD312" i="156" s="1"/>
  <c r="AD431" i="156" s="1"/>
  <c r="AK308" i="159"/>
  <c r="AD311" i="156" s="1"/>
  <c r="AD430" i="156" s="1"/>
  <c r="AK307" i="159"/>
  <c r="AD310" i="156" s="1"/>
  <c r="AD429" i="156" s="1"/>
  <c r="AK306" i="159"/>
  <c r="AD309" i="156" s="1"/>
  <c r="AD428" i="156" s="1"/>
  <c r="AL311" i="159"/>
  <c r="AE314" i="156" s="1"/>
  <c r="AE433" i="156" s="1"/>
  <c r="AL310" i="159"/>
  <c r="AE313" i="156" s="1"/>
  <c r="AE432" i="156" s="1"/>
  <c r="AL309" i="159"/>
  <c r="AE312" i="156" s="1"/>
  <c r="AE431" i="156" s="1"/>
  <c r="AL308" i="159"/>
  <c r="AE311" i="156" s="1"/>
  <c r="AE430" i="156" s="1"/>
  <c r="AL307" i="159"/>
  <c r="AE310" i="156" s="1"/>
  <c r="AE429" i="156" s="1"/>
  <c r="AL306" i="159"/>
  <c r="AE309" i="156" s="1"/>
  <c r="AE428" i="156" s="1"/>
  <c r="AM311" i="159"/>
  <c r="AF314" i="156" s="1"/>
  <c r="AF433" i="156" s="1"/>
  <c r="AM310" i="159"/>
  <c r="AF313" i="156" s="1"/>
  <c r="AF432" i="156" s="1"/>
  <c r="AM309" i="159"/>
  <c r="AF312" i="156" s="1"/>
  <c r="AF431" i="156" s="1"/>
  <c r="AM308" i="159"/>
  <c r="AF311" i="156" s="1"/>
  <c r="AF430" i="156" s="1"/>
  <c r="AM307" i="159"/>
  <c r="AF310" i="156" s="1"/>
  <c r="AF429" i="156" s="1"/>
  <c r="AM306" i="159"/>
  <c r="AF309" i="156" s="1"/>
  <c r="AF428" i="156" s="1"/>
  <c r="AN311" i="159"/>
  <c r="AG314" i="156" s="1"/>
  <c r="AG433" i="156" s="1"/>
  <c r="AN310" i="159"/>
  <c r="AG313" i="156" s="1"/>
  <c r="AG432" i="156" s="1"/>
  <c r="AN309" i="159"/>
  <c r="AG312" i="156" s="1"/>
  <c r="AG431" i="156" s="1"/>
  <c r="AN308" i="159"/>
  <c r="AG311" i="156" s="1"/>
  <c r="AG430" i="156" s="1"/>
  <c r="AN307" i="159"/>
  <c r="AG310" i="156" s="1"/>
  <c r="AG429" i="156" s="1"/>
  <c r="AN306" i="159"/>
  <c r="AG309" i="156" s="1"/>
  <c r="AG428" i="156" s="1"/>
  <c r="N317" i="159"/>
  <c r="G320" i="156" s="1"/>
  <c r="G439" i="156" s="1"/>
  <c r="N316" i="159"/>
  <c r="G319" i="156" s="1"/>
  <c r="G438" i="156" s="1"/>
  <c r="N315" i="159"/>
  <c r="G318" i="156" s="1"/>
  <c r="G437" i="156" s="1"/>
  <c r="N314" i="159"/>
  <c r="G317" i="156" s="1"/>
  <c r="G436" i="156" s="1"/>
  <c r="N313" i="159"/>
  <c r="G316" i="156" s="1"/>
  <c r="G435" i="156" s="1"/>
  <c r="N312" i="159"/>
  <c r="G315" i="156" s="1"/>
  <c r="G434" i="156" s="1"/>
  <c r="O316" i="159"/>
  <c r="H319" i="156" s="1"/>
  <c r="H438" i="156" s="1"/>
  <c r="O317" i="159"/>
  <c r="H320" i="156" s="1"/>
  <c r="H439" i="156" s="1"/>
  <c r="O314" i="159"/>
  <c r="H317" i="156" s="1"/>
  <c r="H436" i="156" s="1"/>
  <c r="P312" i="159"/>
  <c r="I315" i="156" s="1"/>
  <c r="I434" i="156" s="1"/>
  <c r="P316" i="159"/>
  <c r="I319" i="156" s="1"/>
  <c r="I438" i="156" s="1"/>
  <c r="P315" i="159"/>
  <c r="I318" i="156" s="1"/>
  <c r="I437" i="156" s="1"/>
  <c r="P313" i="159"/>
  <c r="I316" i="156" s="1"/>
  <c r="I435" i="156" s="1"/>
  <c r="Q317" i="159"/>
  <c r="J320" i="156" s="1"/>
  <c r="J439" i="156" s="1"/>
  <c r="Q316" i="159"/>
  <c r="J319" i="156" s="1"/>
  <c r="J438" i="156" s="1"/>
  <c r="Q315" i="159"/>
  <c r="J318" i="156" s="1"/>
  <c r="J437" i="156" s="1"/>
  <c r="Q314" i="159"/>
  <c r="J317" i="156" s="1"/>
  <c r="J436" i="156" s="1"/>
  <c r="Q313" i="159"/>
  <c r="J316" i="156" s="1"/>
  <c r="J435" i="156" s="1"/>
  <c r="Q312" i="159"/>
  <c r="J315" i="156" s="1"/>
  <c r="J434" i="156" s="1"/>
  <c r="R317" i="159"/>
  <c r="K320" i="156" s="1"/>
  <c r="K439" i="156" s="1"/>
  <c r="R316" i="159"/>
  <c r="K319" i="156" s="1"/>
  <c r="K438" i="156" s="1"/>
  <c r="R315" i="159"/>
  <c r="K318" i="156" s="1"/>
  <c r="K437" i="156" s="1"/>
  <c r="R314" i="159"/>
  <c r="K317" i="156" s="1"/>
  <c r="K436" i="156" s="1"/>
  <c r="R313" i="159"/>
  <c r="K316" i="156" s="1"/>
  <c r="K435" i="156" s="1"/>
  <c r="R312" i="159"/>
  <c r="K315" i="156" s="1"/>
  <c r="K434" i="156" s="1"/>
  <c r="S317" i="159"/>
  <c r="L320" i="156" s="1"/>
  <c r="L439" i="156" s="1"/>
  <c r="S316" i="159"/>
  <c r="L319" i="156" s="1"/>
  <c r="L438" i="156" s="1"/>
  <c r="S315" i="159"/>
  <c r="L318" i="156" s="1"/>
  <c r="L437" i="156" s="1"/>
  <c r="S314" i="159"/>
  <c r="L317" i="156" s="1"/>
  <c r="L436" i="156" s="1"/>
  <c r="S313" i="159"/>
  <c r="L316" i="156" s="1"/>
  <c r="L435" i="156" s="1"/>
  <c r="S312" i="159"/>
  <c r="L315" i="156" s="1"/>
  <c r="L434" i="156" s="1"/>
  <c r="T317" i="159"/>
  <c r="M320" i="156" s="1"/>
  <c r="M439" i="156" s="1"/>
  <c r="T316" i="159"/>
  <c r="M319" i="156" s="1"/>
  <c r="M438" i="156" s="1"/>
  <c r="T315" i="159"/>
  <c r="M318" i="156" s="1"/>
  <c r="M437" i="156" s="1"/>
  <c r="T314" i="159"/>
  <c r="M317" i="156" s="1"/>
  <c r="M436" i="156" s="1"/>
  <c r="T313" i="159"/>
  <c r="M316" i="156" s="1"/>
  <c r="M435" i="156" s="1"/>
  <c r="T312" i="159"/>
  <c r="M315" i="156" s="1"/>
  <c r="M434" i="156" s="1"/>
  <c r="U317" i="159"/>
  <c r="N320" i="156" s="1"/>
  <c r="N439" i="156" s="1"/>
  <c r="U316" i="159"/>
  <c r="N319" i="156" s="1"/>
  <c r="N438" i="156" s="1"/>
  <c r="U315" i="159"/>
  <c r="N318" i="156" s="1"/>
  <c r="N437" i="156" s="1"/>
  <c r="U314" i="159"/>
  <c r="N317" i="156" s="1"/>
  <c r="N436" i="156" s="1"/>
  <c r="U313" i="159"/>
  <c r="N316" i="156" s="1"/>
  <c r="N435" i="156" s="1"/>
  <c r="U312" i="159"/>
  <c r="N315" i="156" s="1"/>
  <c r="N434" i="156" s="1"/>
  <c r="V317" i="159"/>
  <c r="O320" i="156" s="1"/>
  <c r="O439" i="156" s="1"/>
  <c r="V316" i="159"/>
  <c r="O319" i="156" s="1"/>
  <c r="O438" i="156" s="1"/>
  <c r="V315" i="159"/>
  <c r="O318" i="156" s="1"/>
  <c r="O437" i="156" s="1"/>
  <c r="V314" i="159"/>
  <c r="O317" i="156" s="1"/>
  <c r="O436" i="156" s="1"/>
  <c r="V313" i="159"/>
  <c r="O316" i="156" s="1"/>
  <c r="O435" i="156" s="1"/>
  <c r="V312" i="159"/>
  <c r="O315" i="156" s="1"/>
  <c r="O434" i="156" s="1"/>
  <c r="W317" i="159"/>
  <c r="P320" i="156" s="1"/>
  <c r="P439" i="156" s="1"/>
  <c r="W316" i="159"/>
  <c r="P319" i="156" s="1"/>
  <c r="P438" i="156" s="1"/>
  <c r="W315" i="159"/>
  <c r="P318" i="156" s="1"/>
  <c r="P437" i="156" s="1"/>
  <c r="W314" i="159"/>
  <c r="P317" i="156" s="1"/>
  <c r="P436" i="156" s="1"/>
  <c r="W313" i="159"/>
  <c r="P316" i="156" s="1"/>
  <c r="P435" i="156" s="1"/>
  <c r="W312" i="159"/>
  <c r="P315" i="156" s="1"/>
  <c r="P434" i="156" s="1"/>
  <c r="X317" i="159"/>
  <c r="Q320" i="156" s="1"/>
  <c r="Q439" i="156" s="1"/>
  <c r="X316" i="159"/>
  <c r="Q319" i="156" s="1"/>
  <c r="Q438" i="156" s="1"/>
  <c r="X315" i="159"/>
  <c r="Q318" i="156" s="1"/>
  <c r="Q437" i="156" s="1"/>
  <c r="X314" i="159"/>
  <c r="Q317" i="156" s="1"/>
  <c r="Q436" i="156" s="1"/>
  <c r="X313" i="159"/>
  <c r="Q316" i="156" s="1"/>
  <c r="Q435" i="156" s="1"/>
  <c r="X312" i="159"/>
  <c r="Q315" i="156" s="1"/>
  <c r="Q434" i="156" s="1"/>
  <c r="Y317" i="159"/>
  <c r="R320" i="156" s="1"/>
  <c r="R439" i="156" s="1"/>
  <c r="Y316" i="159"/>
  <c r="R319" i="156" s="1"/>
  <c r="R438" i="156" s="1"/>
  <c r="Y315" i="159"/>
  <c r="R318" i="156" s="1"/>
  <c r="R437" i="156" s="1"/>
  <c r="Y314" i="159"/>
  <c r="R317" i="156" s="1"/>
  <c r="R436" i="156" s="1"/>
  <c r="Y313" i="159"/>
  <c r="R316" i="156" s="1"/>
  <c r="R435" i="156" s="1"/>
  <c r="Y312" i="159"/>
  <c r="R315" i="156" s="1"/>
  <c r="R434" i="156" s="1"/>
  <c r="Z317" i="159"/>
  <c r="S320" i="156" s="1"/>
  <c r="S439" i="156" s="1"/>
  <c r="Z316" i="159"/>
  <c r="S319" i="156" s="1"/>
  <c r="S438" i="156" s="1"/>
  <c r="Z315" i="159"/>
  <c r="S318" i="156" s="1"/>
  <c r="S437" i="156" s="1"/>
  <c r="Z314" i="159"/>
  <c r="S317" i="156" s="1"/>
  <c r="S436" i="156" s="1"/>
  <c r="Z313" i="159"/>
  <c r="S316" i="156" s="1"/>
  <c r="S435" i="156" s="1"/>
  <c r="Z312" i="159"/>
  <c r="S315" i="156" s="1"/>
  <c r="S434" i="156" s="1"/>
  <c r="AA317" i="159"/>
  <c r="T320" i="156" s="1"/>
  <c r="T439" i="156" s="1"/>
  <c r="AA316" i="159"/>
  <c r="T319" i="156" s="1"/>
  <c r="T438" i="156" s="1"/>
  <c r="AA315" i="159"/>
  <c r="T318" i="156" s="1"/>
  <c r="T437" i="156" s="1"/>
  <c r="AA314" i="159"/>
  <c r="T317" i="156" s="1"/>
  <c r="T436" i="156" s="1"/>
  <c r="AA313" i="159"/>
  <c r="T316" i="156" s="1"/>
  <c r="T435" i="156" s="1"/>
  <c r="AA312" i="159"/>
  <c r="T315" i="156" s="1"/>
  <c r="T434" i="156" s="1"/>
  <c r="AB317" i="159"/>
  <c r="U320" i="156" s="1"/>
  <c r="U439" i="156" s="1"/>
  <c r="AB316" i="159"/>
  <c r="U319" i="156" s="1"/>
  <c r="U438" i="156" s="1"/>
  <c r="AB315" i="159"/>
  <c r="U318" i="156" s="1"/>
  <c r="U437" i="156" s="1"/>
  <c r="AB314" i="159"/>
  <c r="U317" i="156" s="1"/>
  <c r="U436" i="156" s="1"/>
  <c r="AB313" i="159"/>
  <c r="U316" i="156" s="1"/>
  <c r="U435" i="156" s="1"/>
  <c r="AB312" i="159"/>
  <c r="U315" i="156" s="1"/>
  <c r="U434" i="156" s="1"/>
  <c r="AC317" i="159"/>
  <c r="V320" i="156" s="1"/>
  <c r="V439" i="156" s="1"/>
  <c r="AC316" i="159"/>
  <c r="V319" i="156" s="1"/>
  <c r="V438" i="156" s="1"/>
  <c r="AC315" i="159"/>
  <c r="V318" i="156" s="1"/>
  <c r="V437" i="156" s="1"/>
  <c r="AC314" i="159"/>
  <c r="V317" i="156" s="1"/>
  <c r="V436" i="156" s="1"/>
  <c r="AC313" i="159"/>
  <c r="V316" i="156" s="1"/>
  <c r="V435" i="156" s="1"/>
  <c r="AC312" i="159"/>
  <c r="V315" i="156" s="1"/>
  <c r="V434" i="156" s="1"/>
  <c r="AD317" i="159"/>
  <c r="W320" i="156" s="1"/>
  <c r="W439" i="156" s="1"/>
  <c r="AD316" i="159"/>
  <c r="W319" i="156" s="1"/>
  <c r="W438" i="156" s="1"/>
  <c r="AD315" i="159"/>
  <c r="W318" i="156" s="1"/>
  <c r="W437" i="156" s="1"/>
  <c r="AD314" i="159"/>
  <c r="W317" i="156" s="1"/>
  <c r="W436" i="156" s="1"/>
  <c r="AD313" i="159"/>
  <c r="W316" i="156" s="1"/>
  <c r="W435" i="156" s="1"/>
  <c r="AD312" i="159"/>
  <c r="W315" i="156" s="1"/>
  <c r="W434" i="156" s="1"/>
  <c r="AE317" i="159"/>
  <c r="X320" i="156" s="1"/>
  <c r="X439" i="156" s="1"/>
  <c r="AE316" i="159"/>
  <c r="X319" i="156" s="1"/>
  <c r="X438" i="156" s="1"/>
  <c r="AE315" i="159"/>
  <c r="X318" i="156" s="1"/>
  <c r="X437" i="156" s="1"/>
  <c r="AE314" i="159"/>
  <c r="X317" i="156" s="1"/>
  <c r="X436" i="156" s="1"/>
  <c r="AE313" i="159"/>
  <c r="X316" i="156" s="1"/>
  <c r="X435" i="156" s="1"/>
  <c r="AE312" i="159"/>
  <c r="X315" i="156" s="1"/>
  <c r="X434" i="156" s="1"/>
  <c r="AF317" i="159"/>
  <c r="Y320" i="156" s="1"/>
  <c r="Y439" i="156" s="1"/>
  <c r="AF316" i="159"/>
  <c r="Y319" i="156" s="1"/>
  <c r="Y438" i="156" s="1"/>
  <c r="AF315" i="159"/>
  <c r="Y318" i="156" s="1"/>
  <c r="Y437" i="156" s="1"/>
  <c r="AF314" i="159"/>
  <c r="Y317" i="156" s="1"/>
  <c r="Y436" i="156" s="1"/>
  <c r="AF313" i="159"/>
  <c r="Y316" i="156" s="1"/>
  <c r="Y435" i="156" s="1"/>
  <c r="AF312" i="159"/>
  <c r="Y315" i="156" s="1"/>
  <c r="Y434" i="156" s="1"/>
  <c r="AG317" i="159"/>
  <c r="Z320" i="156" s="1"/>
  <c r="Z439" i="156" s="1"/>
  <c r="AG316" i="159"/>
  <c r="Z319" i="156" s="1"/>
  <c r="Z438" i="156" s="1"/>
  <c r="AG315" i="159"/>
  <c r="Z318" i="156" s="1"/>
  <c r="Z437" i="156" s="1"/>
  <c r="AG314" i="159"/>
  <c r="Z317" i="156" s="1"/>
  <c r="Z436" i="156" s="1"/>
  <c r="AG313" i="159"/>
  <c r="Z316" i="156" s="1"/>
  <c r="Z435" i="156" s="1"/>
  <c r="AG312" i="159"/>
  <c r="Z315" i="156" s="1"/>
  <c r="Z434" i="156" s="1"/>
  <c r="AH317" i="159"/>
  <c r="AA320" i="156" s="1"/>
  <c r="AA439" i="156" s="1"/>
  <c r="AH316" i="159"/>
  <c r="AA319" i="156" s="1"/>
  <c r="AA438" i="156" s="1"/>
  <c r="AH315" i="159"/>
  <c r="AA318" i="156" s="1"/>
  <c r="AA437" i="156" s="1"/>
  <c r="AH314" i="159"/>
  <c r="AA317" i="156" s="1"/>
  <c r="AA436" i="156" s="1"/>
  <c r="AH313" i="159"/>
  <c r="AA316" i="156" s="1"/>
  <c r="AA435" i="156" s="1"/>
  <c r="AH312" i="159"/>
  <c r="AA315" i="156" s="1"/>
  <c r="AA434" i="156" s="1"/>
  <c r="AI317" i="159"/>
  <c r="AB320" i="156" s="1"/>
  <c r="AB439" i="156" s="1"/>
  <c r="AI316" i="159"/>
  <c r="AB319" i="156" s="1"/>
  <c r="AB438" i="156" s="1"/>
  <c r="AI315" i="159"/>
  <c r="AB318" i="156" s="1"/>
  <c r="AB437" i="156" s="1"/>
  <c r="AI314" i="159"/>
  <c r="AB317" i="156" s="1"/>
  <c r="AB436" i="156" s="1"/>
  <c r="AI313" i="159"/>
  <c r="AB316" i="156" s="1"/>
  <c r="AB435" i="156" s="1"/>
  <c r="AI312" i="159"/>
  <c r="AB315" i="156" s="1"/>
  <c r="AB434" i="156" s="1"/>
  <c r="AJ317" i="159"/>
  <c r="AC320" i="156" s="1"/>
  <c r="AC439" i="156" s="1"/>
  <c r="AJ316" i="159"/>
  <c r="AC319" i="156" s="1"/>
  <c r="AC438" i="156" s="1"/>
  <c r="AJ315" i="159"/>
  <c r="AC318" i="156" s="1"/>
  <c r="AC437" i="156" s="1"/>
  <c r="AJ314" i="159"/>
  <c r="AC317" i="156" s="1"/>
  <c r="AC436" i="156" s="1"/>
  <c r="AJ313" i="159"/>
  <c r="AC316" i="156" s="1"/>
  <c r="AC435" i="156" s="1"/>
  <c r="AJ312" i="159"/>
  <c r="AC315" i="156" s="1"/>
  <c r="AC434" i="156" s="1"/>
  <c r="AK317" i="159"/>
  <c r="AD320" i="156" s="1"/>
  <c r="AD439" i="156" s="1"/>
  <c r="AK316" i="159"/>
  <c r="AD319" i="156" s="1"/>
  <c r="AD438" i="156" s="1"/>
  <c r="AK315" i="159"/>
  <c r="AD318" i="156" s="1"/>
  <c r="AD437" i="156" s="1"/>
  <c r="AK314" i="159"/>
  <c r="AD317" i="156" s="1"/>
  <c r="AD436" i="156" s="1"/>
  <c r="AK313" i="159"/>
  <c r="AD316" i="156" s="1"/>
  <c r="AD435" i="156" s="1"/>
  <c r="AK312" i="159"/>
  <c r="AD315" i="156" s="1"/>
  <c r="AD434" i="156" s="1"/>
  <c r="AL317" i="159"/>
  <c r="AE320" i="156" s="1"/>
  <c r="AE439" i="156" s="1"/>
  <c r="AL316" i="159"/>
  <c r="AE319" i="156" s="1"/>
  <c r="AE438" i="156" s="1"/>
  <c r="AL315" i="159"/>
  <c r="AE318" i="156" s="1"/>
  <c r="AE437" i="156" s="1"/>
  <c r="AL314" i="159"/>
  <c r="AE317" i="156" s="1"/>
  <c r="AE436" i="156" s="1"/>
  <c r="AL313" i="159"/>
  <c r="AE316" i="156" s="1"/>
  <c r="AE435" i="156" s="1"/>
  <c r="AL312" i="159"/>
  <c r="AE315" i="156" s="1"/>
  <c r="AE434" i="156" s="1"/>
  <c r="AM317" i="159"/>
  <c r="AF320" i="156" s="1"/>
  <c r="AF439" i="156" s="1"/>
  <c r="AM316" i="159"/>
  <c r="AF319" i="156" s="1"/>
  <c r="AF438" i="156" s="1"/>
  <c r="AM315" i="159"/>
  <c r="AF318" i="156" s="1"/>
  <c r="AF437" i="156" s="1"/>
  <c r="AM314" i="159"/>
  <c r="AF317" i="156" s="1"/>
  <c r="AF436" i="156" s="1"/>
  <c r="AM313" i="159"/>
  <c r="AF316" i="156" s="1"/>
  <c r="AF435" i="156" s="1"/>
  <c r="AM312" i="159"/>
  <c r="AF315" i="156" s="1"/>
  <c r="AF434" i="156" s="1"/>
  <c r="AN317" i="159"/>
  <c r="AG320" i="156" s="1"/>
  <c r="AG439" i="156" s="1"/>
  <c r="AN316" i="159"/>
  <c r="AG319" i="156" s="1"/>
  <c r="AG438" i="156" s="1"/>
  <c r="AN315" i="159"/>
  <c r="AG318" i="156" s="1"/>
  <c r="AG437" i="156" s="1"/>
  <c r="AN314" i="159"/>
  <c r="AG317" i="156" s="1"/>
  <c r="AG436" i="156" s="1"/>
  <c r="AN313" i="159"/>
  <c r="AG316" i="156" s="1"/>
  <c r="AG435" i="156" s="1"/>
  <c r="AN312" i="159"/>
  <c r="AG315" i="156" s="1"/>
  <c r="AG434" i="156" s="1"/>
  <c r="N323" i="159"/>
  <c r="G326" i="156" s="1"/>
  <c r="G445" i="156" s="1"/>
  <c r="N322" i="159"/>
  <c r="G325" i="156" s="1"/>
  <c r="G444" i="156" s="1"/>
  <c r="N321" i="159"/>
  <c r="G324" i="156" s="1"/>
  <c r="G443" i="156" s="1"/>
  <c r="N320" i="159"/>
  <c r="G323" i="156" s="1"/>
  <c r="G442" i="156" s="1"/>
  <c r="N319" i="159"/>
  <c r="G322" i="156" s="1"/>
  <c r="G441" i="156" s="1"/>
  <c r="N318" i="159"/>
  <c r="G321" i="156" s="1"/>
  <c r="G440" i="156" s="1"/>
  <c r="O321" i="159"/>
  <c r="H324" i="156" s="1"/>
  <c r="H443" i="156" s="1"/>
  <c r="O318" i="159"/>
  <c r="H321" i="156" s="1"/>
  <c r="H440" i="156" s="1"/>
  <c r="P318" i="159"/>
  <c r="I321" i="156" s="1"/>
  <c r="I440" i="156" s="1"/>
  <c r="P322" i="159"/>
  <c r="I325" i="156" s="1"/>
  <c r="I444" i="156" s="1"/>
  <c r="P321" i="159"/>
  <c r="I324" i="156" s="1"/>
  <c r="I443" i="156" s="1"/>
  <c r="P319" i="159"/>
  <c r="I322" i="156" s="1"/>
  <c r="I441" i="156" s="1"/>
  <c r="Q323" i="159"/>
  <c r="J326" i="156" s="1"/>
  <c r="J445" i="156" s="1"/>
  <c r="Q322" i="159"/>
  <c r="J325" i="156" s="1"/>
  <c r="J444" i="156" s="1"/>
  <c r="Q321" i="159"/>
  <c r="J324" i="156" s="1"/>
  <c r="J443" i="156" s="1"/>
  <c r="Q320" i="159"/>
  <c r="J323" i="156" s="1"/>
  <c r="J442" i="156" s="1"/>
  <c r="Q319" i="159"/>
  <c r="J322" i="156" s="1"/>
  <c r="J441" i="156" s="1"/>
  <c r="Q318" i="159"/>
  <c r="J321" i="156" s="1"/>
  <c r="J440" i="156" s="1"/>
  <c r="R323" i="159"/>
  <c r="K326" i="156" s="1"/>
  <c r="K445" i="156" s="1"/>
  <c r="R322" i="159"/>
  <c r="K325" i="156" s="1"/>
  <c r="K444" i="156" s="1"/>
  <c r="R321" i="159"/>
  <c r="K324" i="156" s="1"/>
  <c r="K443" i="156" s="1"/>
  <c r="R320" i="159"/>
  <c r="K323" i="156" s="1"/>
  <c r="K442" i="156" s="1"/>
  <c r="R319" i="159"/>
  <c r="K322" i="156" s="1"/>
  <c r="K441" i="156" s="1"/>
  <c r="R318" i="159"/>
  <c r="K321" i="156" s="1"/>
  <c r="K440" i="156" s="1"/>
  <c r="S323" i="159"/>
  <c r="L326" i="156" s="1"/>
  <c r="L445" i="156" s="1"/>
  <c r="S322" i="159"/>
  <c r="L325" i="156" s="1"/>
  <c r="L444" i="156" s="1"/>
  <c r="S321" i="159"/>
  <c r="L324" i="156" s="1"/>
  <c r="L443" i="156" s="1"/>
  <c r="S320" i="159"/>
  <c r="L323" i="156" s="1"/>
  <c r="L442" i="156" s="1"/>
  <c r="S319" i="159"/>
  <c r="L322" i="156" s="1"/>
  <c r="L441" i="156" s="1"/>
  <c r="S318" i="159"/>
  <c r="L321" i="156" s="1"/>
  <c r="L440" i="156" s="1"/>
  <c r="T323" i="159"/>
  <c r="M326" i="156" s="1"/>
  <c r="M445" i="156" s="1"/>
  <c r="T322" i="159"/>
  <c r="M325" i="156" s="1"/>
  <c r="M444" i="156" s="1"/>
  <c r="T321" i="159"/>
  <c r="M324" i="156" s="1"/>
  <c r="M443" i="156" s="1"/>
  <c r="T320" i="159"/>
  <c r="M323" i="156" s="1"/>
  <c r="M442" i="156" s="1"/>
  <c r="T319" i="159"/>
  <c r="M322" i="156" s="1"/>
  <c r="M441" i="156" s="1"/>
  <c r="T318" i="159"/>
  <c r="M321" i="156" s="1"/>
  <c r="M440" i="156" s="1"/>
  <c r="U323" i="159"/>
  <c r="N326" i="156" s="1"/>
  <c r="N445" i="156" s="1"/>
  <c r="U322" i="159"/>
  <c r="N325" i="156" s="1"/>
  <c r="N444" i="156" s="1"/>
  <c r="U321" i="159"/>
  <c r="N324" i="156" s="1"/>
  <c r="N443" i="156" s="1"/>
  <c r="U320" i="159"/>
  <c r="N323" i="156" s="1"/>
  <c r="N442" i="156" s="1"/>
  <c r="U319" i="159"/>
  <c r="N322" i="156" s="1"/>
  <c r="N441" i="156" s="1"/>
  <c r="U318" i="159"/>
  <c r="N321" i="156" s="1"/>
  <c r="N440" i="156" s="1"/>
  <c r="V323" i="159"/>
  <c r="O326" i="156" s="1"/>
  <c r="O445" i="156" s="1"/>
  <c r="V322" i="159"/>
  <c r="O325" i="156" s="1"/>
  <c r="O444" i="156" s="1"/>
  <c r="V321" i="159"/>
  <c r="O324" i="156" s="1"/>
  <c r="O443" i="156" s="1"/>
  <c r="V320" i="159"/>
  <c r="O323" i="156" s="1"/>
  <c r="O442" i="156" s="1"/>
  <c r="V319" i="159"/>
  <c r="O322" i="156" s="1"/>
  <c r="O441" i="156" s="1"/>
  <c r="V318" i="159"/>
  <c r="O321" i="156" s="1"/>
  <c r="O440" i="156" s="1"/>
  <c r="W323" i="159"/>
  <c r="P326" i="156" s="1"/>
  <c r="P445" i="156" s="1"/>
  <c r="W322" i="159"/>
  <c r="P325" i="156" s="1"/>
  <c r="P444" i="156" s="1"/>
  <c r="W321" i="159"/>
  <c r="P324" i="156" s="1"/>
  <c r="P443" i="156" s="1"/>
  <c r="W320" i="159"/>
  <c r="P323" i="156" s="1"/>
  <c r="P442" i="156" s="1"/>
  <c r="W319" i="159"/>
  <c r="P322" i="156" s="1"/>
  <c r="P441" i="156" s="1"/>
  <c r="W318" i="159"/>
  <c r="P321" i="156" s="1"/>
  <c r="P440" i="156" s="1"/>
  <c r="X323" i="159"/>
  <c r="Q326" i="156" s="1"/>
  <c r="Q445" i="156" s="1"/>
  <c r="X322" i="159"/>
  <c r="Q325" i="156" s="1"/>
  <c r="Q444" i="156" s="1"/>
  <c r="X321" i="159"/>
  <c r="Q324" i="156" s="1"/>
  <c r="Q443" i="156" s="1"/>
  <c r="X320" i="159"/>
  <c r="Q323" i="156" s="1"/>
  <c r="Q442" i="156" s="1"/>
  <c r="X319" i="159"/>
  <c r="Q322" i="156" s="1"/>
  <c r="Q441" i="156" s="1"/>
  <c r="X318" i="159"/>
  <c r="Q321" i="156" s="1"/>
  <c r="Q440" i="156" s="1"/>
  <c r="Y323" i="159"/>
  <c r="R326" i="156" s="1"/>
  <c r="R445" i="156" s="1"/>
  <c r="Y322" i="159"/>
  <c r="R325" i="156" s="1"/>
  <c r="R444" i="156" s="1"/>
  <c r="Y321" i="159"/>
  <c r="R324" i="156" s="1"/>
  <c r="R443" i="156" s="1"/>
  <c r="Y320" i="159"/>
  <c r="R323" i="156" s="1"/>
  <c r="R442" i="156" s="1"/>
  <c r="Y319" i="159"/>
  <c r="R322" i="156" s="1"/>
  <c r="R441" i="156" s="1"/>
  <c r="Y318" i="159"/>
  <c r="R321" i="156" s="1"/>
  <c r="R440" i="156" s="1"/>
  <c r="Z323" i="159"/>
  <c r="S326" i="156" s="1"/>
  <c r="S445" i="156" s="1"/>
  <c r="Z322" i="159"/>
  <c r="S325" i="156" s="1"/>
  <c r="S444" i="156" s="1"/>
  <c r="Z321" i="159"/>
  <c r="S324" i="156" s="1"/>
  <c r="S443" i="156" s="1"/>
  <c r="Z320" i="159"/>
  <c r="S323" i="156" s="1"/>
  <c r="S442" i="156" s="1"/>
  <c r="Z319" i="159"/>
  <c r="S322" i="156" s="1"/>
  <c r="S441" i="156" s="1"/>
  <c r="Z318" i="159"/>
  <c r="S321" i="156" s="1"/>
  <c r="S440" i="156" s="1"/>
  <c r="AA323" i="159"/>
  <c r="T326" i="156" s="1"/>
  <c r="T445" i="156" s="1"/>
  <c r="AA322" i="159"/>
  <c r="T325" i="156" s="1"/>
  <c r="T444" i="156" s="1"/>
  <c r="AA321" i="159"/>
  <c r="T324" i="156" s="1"/>
  <c r="T443" i="156" s="1"/>
  <c r="AA320" i="159"/>
  <c r="T323" i="156" s="1"/>
  <c r="T442" i="156" s="1"/>
  <c r="AA319" i="159"/>
  <c r="T322" i="156" s="1"/>
  <c r="T441" i="156" s="1"/>
  <c r="AA318" i="159"/>
  <c r="T321" i="156" s="1"/>
  <c r="T440" i="156" s="1"/>
  <c r="AB323" i="159"/>
  <c r="U326" i="156" s="1"/>
  <c r="U445" i="156" s="1"/>
  <c r="AB322" i="159"/>
  <c r="U325" i="156" s="1"/>
  <c r="U444" i="156" s="1"/>
  <c r="AB321" i="159"/>
  <c r="U324" i="156" s="1"/>
  <c r="U443" i="156" s="1"/>
  <c r="AB320" i="159"/>
  <c r="U323" i="156" s="1"/>
  <c r="U442" i="156" s="1"/>
  <c r="AB319" i="159"/>
  <c r="U322" i="156" s="1"/>
  <c r="U441" i="156" s="1"/>
  <c r="AB318" i="159"/>
  <c r="U321" i="156" s="1"/>
  <c r="U440" i="156" s="1"/>
  <c r="AC323" i="159"/>
  <c r="V326" i="156" s="1"/>
  <c r="V445" i="156" s="1"/>
  <c r="AC322" i="159"/>
  <c r="V325" i="156" s="1"/>
  <c r="V444" i="156" s="1"/>
  <c r="AC321" i="159"/>
  <c r="V324" i="156" s="1"/>
  <c r="V443" i="156" s="1"/>
  <c r="AC320" i="159"/>
  <c r="V323" i="156" s="1"/>
  <c r="V442" i="156" s="1"/>
  <c r="AC319" i="159"/>
  <c r="V322" i="156" s="1"/>
  <c r="V441" i="156" s="1"/>
  <c r="AC318" i="159"/>
  <c r="V321" i="156" s="1"/>
  <c r="V440" i="156" s="1"/>
  <c r="AD323" i="159"/>
  <c r="W326" i="156" s="1"/>
  <c r="W445" i="156" s="1"/>
  <c r="AD322" i="159"/>
  <c r="W325" i="156" s="1"/>
  <c r="W444" i="156" s="1"/>
  <c r="AD321" i="159"/>
  <c r="W324" i="156" s="1"/>
  <c r="W443" i="156" s="1"/>
  <c r="AD320" i="159"/>
  <c r="W323" i="156" s="1"/>
  <c r="W442" i="156" s="1"/>
  <c r="AD319" i="159"/>
  <c r="W322" i="156" s="1"/>
  <c r="W441" i="156" s="1"/>
  <c r="AD318" i="159"/>
  <c r="W321" i="156" s="1"/>
  <c r="W440" i="156" s="1"/>
  <c r="AE323" i="159"/>
  <c r="X326" i="156" s="1"/>
  <c r="X445" i="156" s="1"/>
  <c r="AE322" i="159"/>
  <c r="X325" i="156" s="1"/>
  <c r="X444" i="156" s="1"/>
  <c r="AE321" i="159"/>
  <c r="X324" i="156" s="1"/>
  <c r="X443" i="156" s="1"/>
  <c r="AE320" i="159"/>
  <c r="X323" i="156" s="1"/>
  <c r="X442" i="156" s="1"/>
  <c r="AE319" i="159"/>
  <c r="X322" i="156" s="1"/>
  <c r="X441" i="156" s="1"/>
  <c r="AE318" i="159"/>
  <c r="X321" i="156" s="1"/>
  <c r="X440" i="156" s="1"/>
  <c r="AF323" i="159"/>
  <c r="Y326" i="156" s="1"/>
  <c r="Y445" i="156" s="1"/>
  <c r="AF322" i="159"/>
  <c r="Y325" i="156" s="1"/>
  <c r="Y444" i="156" s="1"/>
  <c r="AF321" i="159"/>
  <c r="Y324" i="156" s="1"/>
  <c r="Y443" i="156" s="1"/>
  <c r="AF320" i="159"/>
  <c r="Y323" i="156" s="1"/>
  <c r="Y442" i="156" s="1"/>
  <c r="AF319" i="159"/>
  <c r="Y322" i="156" s="1"/>
  <c r="Y441" i="156" s="1"/>
  <c r="AF318" i="159"/>
  <c r="Y321" i="156" s="1"/>
  <c r="Y440" i="156" s="1"/>
  <c r="AG323" i="159"/>
  <c r="Z326" i="156" s="1"/>
  <c r="Z445" i="156" s="1"/>
  <c r="AG322" i="159"/>
  <c r="Z325" i="156" s="1"/>
  <c r="Z444" i="156" s="1"/>
  <c r="AG321" i="159"/>
  <c r="Z324" i="156" s="1"/>
  <c r="Z443" i="156" s="1"/>
  <c r="AG320" i="159"/>
  <c r="Z323" i="156" s="1"/>
  <c r="Z442" i="156" s="1"/>
  <c r="AG319" i="159"/>
  <c r="Z322" i="156" s="1"/>
  <c r="Z441" i="156" s="1"/>
  <c r="AG318" i="159"/>
  <c r="Z321" i="156" s="1"/>
  <c r="Z440" i="156" s="1"/>
  <c r="AH323" i="159"/>
  <c r="AA326" i="156" s="1"/>
  <c r="AA445" i="156" s="1"/>
  <c r="AH322" i="159"/>
  <c r="AA325" i="156" s="1"/>
  <c r="AA444" i="156" s="1"/>
  <c r="AH321" i="159"/>
  <c r="AA324" i="156" s="1"/>
  <c r="AA443" i="156" s="1"/>
  <c r="AH320" i="159"/>
  <c r="AA323" i="156" s="1"/>
  <c r="AA442" i="156" s="1"/>
  <c r="AH319" i="159"/>
  <c r="AA322" i="156" s="1"/>
  <c r="AA441" i="156" s="1"/>
  <c r="AH318" i="159"/>
  <c r="AA321" i="156" s="1"/>
  <c r="AA440" i="156" s="1"/>
  <c r="AI323" i="159"/>
  <c r="AB326" i="156" s="1"/>
  <c r="AB445" i="156" s="1"/>
  <c r="AI322" i="159"/>
  <c r="AB325" i="156" s="1"/>
  <c r="AB444" i="156" s="1"/>
  <c r="AI321" i="159"/>
  <c r="AB324" i="156" s="1"/>
  <c r="AB443" i="156" s="1"/>
  <c r="AI320" i="159"/>
  <c r="AB323" i="156" s="1"/>
  <c r="AB442" i="156" s="1"/>
  <c r="AI319" i="159"/>
  <c r="AB322" i="156" s="1"/>
  <c r="AB441" i="156" s="1"/>
  <c r="AI318" i="159"/>
  <c r="AB321" i="156" s="1"/>
  <c r="AB440" i="156" s="1"/>
  <c r="AJ323" i="159"/>
  <c r="AC326" i="156" s="1"/>
  <c r="AC445" i="156" s="1"/>
  <c r="AJ322" i="159"/>
  <c r="AC325" i="156" s="1"/>
  <c r="AC444" i="156" s="1"/>
  <c r="AJ321" i="159"/>
  <c r="AC324" i="156" s="1"/>
  <c r="AC443" i="156" s="1"/>
  <c r="AJ320" i="159"/>
  <c r="AC323" i="156" s="1"/>
  <c r="AC442" i="156" s="1"/>
  <c r="AJ319" i="159"/>
  <c r="AC322" i="156" s="1"/>
  <c r="AC441" i="156" s="1"/>
  <c r="AJ318" i="159"/>
  <c r="AC321" i="156" s="1"/>
  <c r="AC440" i="156" s="1"/>
  <c r="AK323" i="159"/>
  <c r="AD326" i="156" s="1"/>
  <c r="AD445" i="156" s="1"/>
  <c r="AK322" i="159"/>
  <c r="AD325" i="156" s="1"/>
  <c r="AD444" i="156" s="1"/>
  <c r="AK321" i="159"/>
  <c r="AD324" i="156" s="1"/>
  <c r="AD443" i="156" s="1"/>
  <c r="AK320" i="159"/>
  <c r="AD323" i="156" s="1"/>
  <c r="AD442" i="156" s="1"/>
  <c r="AK319" i="159"/>
  <c r="AD322" i="156" s="1"/>
  <c r="AD441" i="156" s="1"/>
  <c r="AK318" i="159"/>
  <c r="AD321" i="156" s="1"/>
  <c r="AD440" i="156" s="1"/>
  <c r="AL323" i="159"/>
  <c r="AE326" i="156" s="1"/>
  <c r="AE445" i="156" s="1"/>
  <c r="AL322" i="159"/>
  <c r="AE325" i="156" s="1"/>
  <c r="AE444" i="156" s="1"/>
  <c r="AL321" i="159"/>
  <c r="AE324" i="156" s="1"/>
  <c r="AE443" i="156" s="1"/>
  <c r="AL320" i="159"/>
  <c r="AE323" i="156" s="1"/>
  <c r="AE442" i="156" s="1"/>
  <c r="AL319" i="159"/>
  <c r="AE322" i="156" s="1"/>
  <c r="AE441" i="156" s="1"/>
  <c r="AL318" i="159"/>
  <c r="AE321" i="156" s="1"/>
  <c r="AE440" i="156" s="1"/>
  <c r="AM323" i="159"/>
  <c r="AF326" i="156" s="1"/>
  <c r="AF445" i="156" s="1"/>
  <c r="AM322" i="159"/>
  <c r="AF325" i="156" s="1"/>
  <c r="AF444" i="156" s="1"/>
  <c r="AM321" i="159"/>
  <c r="AF324" i="156" s="1"/>
  <c r="AF443" i="156" s="1"/>
  <c r="AM320" i="159"/>
  <c r="AF323" i="156" s="1"/>
  <c r="AF442" i="156" s="1"/>
  <c r="AM319" i="159"/>
  <c r="AF322" i="156" s="1"/>
  <c r="AF441" i="156" s="1"/>
  <c r="AM318" i="159"/>
  <c r="AF321" i="156" s="1"/>
  <c r="AF440" i="156" s="1"/>
  <c r="AN323" i="159"/>
  <c r="AG326" i="156" s="1"/>
  <c r="AG445" i="156" s="1"/>
  <c r="AN322" i="159"/>
  <c r="AG325" i="156" s="1"/>
  <c r="AG444" i="156" s="1"/>
  <c r="AN321" i="159"/>
  <c r="AG324" i="156" s="1"/>
  <c r="AG443" i="156" s="1"/>
  <c r="AN320" i="159"/>
  <c r="AG323" i="156" s="1"/>
  <c r="AG442" i="156" s="1"/>
  <c r="AN319" i="159"/>
  <c r="AG322" i="156" s="1"/>
  <c r="AG441" i="156" s="1"/>
  <c r="AN318" i="159"/>
  <c r="AG321" i="156" s="1"/>
  <c r="AG440" i="156" s="1"/>
  <c r="N330" i="159"/>
  <c r="G333" i="156" s="1"/>
  <c r="G452" i="156" s="1"/>
  <c r="N329" i="159"/>
  <c r="G332" i="156" s="1"/>
  <c r="G451" i="156" s="1"/>
  <c r="N328" i="159"/>
  <c r="G331" i="156" s="1"/>
  <c r="G450" i="156" s="1"/>
  <c r="N327" i="159"/>
  <c r="G330" i="156" s="1"/>
  <c r="G449" i="156" s="1"/>
  <c r="N326" i="159"/>
  <c r="G329" i="156" s="1"/>
  <c r="G448" i="156" s="1"/>
  <c r="N325" i="159"/>
  <c r="G328" i="156" s="1"/>
  <c r="G447" i="156" s="1"/>
  <c r="N324" i="159"/>
  <c r="G327" i="156" s="1"/>
  <c r="G446" i="156" s="1"/>
  <c r="O330" i="159"/>
  <c r="H333" i="156" s="1"/>
  <c r="H452" i="156" s="1"/>
  <c r="O328" i="159"/>
  <c r="H331" i="156" s="1"/>
  <c r="H450" i="156" s="1"/>
  <c r="O327" i="159"/>
  <c r="H330" i="156" s="1"/>
  <c r="H449" i="156" s="1"/>
  <c r="O324" i="159"/>
  <c r="H327" i="156" s="1"/>
  <c r="H446" i="156" s="1"/>
  <c r="P329" i="159"/>
  <c r="I332" i="156" s="1"/>
  <c r="I451" i="156" s="1"/>
  <c r="P330" i="159"/>
  <c r="I333" i="156" s="1"/>
  <c r="I452" i="156" s="1"/>
  <c r="P325" i="159"/>
  <c r="I328" i="156" s="1"/>
  <c r="I447" i="156" s="1"/>
  <c r="P324" i="159"/>
  <c r="I327" i="156" s="1"/>
  <c r="I446" i="156" s="1"/>
  <c r="Q330" i="159"/>
  <c r="J333" i="156" s="1"/>
  <c r="J452" i="156" s="1"/>
  <c r="Q329" i="159"/>
  <c r="J332" i="156" s="1"/>
  <c r="J451" i="156" s="1"/>
  <c r="Q328" i="159"/>
  <c r="J331" i="156" s="1"/>
  <c r="J450" i="156" s="1"/>
  <c r="Q327" i="159"/>
  <c r="J330" i="156" s="1"/>
  <c r="J449" i="156" s="1"/>
  <c r="Q326" i="159"/>
  <c r="J329" i="156" s="1"/>
  <c r="J448" i="156" s="1"/>
  <c r="Q325" i="159"/>
  <c r="J328" i="156" s="1"/>
  <c r="J447" i="156" s="1"/>
  <c r="Q324" i="159"/>
  <c r="J327" i="156" s="1"/>
  <c r="J446" i="156" s="1"/>
  <c r="R330" i="159"/>
  <c r="K333" i="156" s="1"/>
  <c r="K452" i="156" s="1"/>
  <c r="R329" i="159"/>
  <c r="K332" i="156" s="1"/>
  <c r="K451" i="156" s="1"/>
  <c r="R328" i="159"/>
  <c r="K331" i="156" s="1"/>
  <c r="K450" i="156" s="1"/>
  <c r="R327" i="159"/>
  <c r="K330" i="156" s="1"/>
  <c r="K449" i="156" s="1"/>
  <c r="R326" i="159"/>
  <c r="K329" i="156" s="1"/>
  <c r="K448" i="156" s="1"/>
  <c r="R325" i="159"/>
  <c r="K328" i="156" s="1"/>
  <c r="K447" i="156" s="1"/>
  <c r="R324" i="159"/>
  <c r="K327" i="156" s="1"/>
  <c r="K446" i="156" s="1"/>
  <c r="S330" i="159"/>
  <c r="L333" i="156" s="1"/>
  <c r="L452" i="156" s="1"/>
  <c r="S329" i="159"/>
  <c r="L332" i="156" s="1"/>
  <c r="L451" i="156" s="1"/>
  <c r="S328" i="159"/>
  <c r="L331" i="156" s="1"/>
  <c r="L450" i="156" s="1"/>
  <c r="S327" i="159"/>
  <c r="L330" i="156" s="1"/>
  <c r="L449" i="156" s="1"/>
  <c r="S326" i="159"/>
  <c r="L329" i="156" s="1"/>
  <c r="L448" i="156" s="1"/>
  <c r="S325" i="159"/>
  <c r="L328" i="156" s="1"/>
  <c r="L447" i="156" s="1"/>
  <c r="S324" i="159"/>
  <c r="L327" i="156" s="1"/>
  <c r="L446" i="156" s="1"/>
  <c r="T330" i="159"/>
  <c r="M333" i="156" s="1"/>
  <c r="M452" i="156" s="1"/>
  <c r="T329" i="159"/>
  <c r="M332" i="156" s="1"/>
  <c r="M451" i="156" s="1"/>
  <c r="T328" i="159"/>
  <c r="M331" i="156" s="1"/>
  <c r="M450" i="156" s="1"/>
  <c r="T327" i="159"/>
  <c r="M330" i="156" s="1"/>
  <c r="M449" i="156" s="1"/>
  <c r="T326" i="159"/>
  <c r="M329" i="156" s="1"/>
  <c r="M448" i="156" s="1"/>
  <c r="T325" i="159"/>
  <c r="M328" i="156" s="1"/>
  <c r="M447" i="156" s="1"/>
  <c r="T324" i="159"/>
  <c r="M327" i="156" s="1"/>
  <c r="M446" i="156" s="1"/>
  <c r="U330" i="159"/>
  <c r="N333" i="156" s="1"/>
  <c r="N452" i="156" s="1"/>
  <c r="U329" i="159"/>
  <c r="N332" i="156" s="1"/>
  <c r="N451" i="156" s="1"/>
  <c r="U328" i="159"/>
  <c r="N331" i="156" s="1"/>
  <c r="N450" i="156" s="1"/>
  <c r="U327" i="159"/>
  <c r="N330" i="156" s="1"/>
  <c r="N449" i="156" s="1"/>
  <c r="U326" i="159"/>
  <c r="N329" i="156" s="1"/>
  <c r="N448" i="156" s="1"/>
  <c r="U325" i="159"/>
  <c r="N328" i="156" s="1"/>
  <c r="N447" i="156" s="1"/>
  <c r="U324" i="159"/>
  <c r="N327" i="156" s="1"/>
  <c r="N446" i="156" s="1"/>
  <c r="V330" i="159"/>
  <c r="O333" i="156" s="1"/>
  <c r="O452" i="156" s="1"/>
  <c r="V329" i="159"/>
  <c r="O332" i="156" s="1"/>
  <c r="O451" i="156" s="1"/>
  <c r="V328" i="159"/>
  <c r="O331" i="156" s="1"/>
  <c r="O450" i="156" s="1"/>
  <c r="V327" i="159"/>
  <c r="O330" i="156" s="1"/>
  <c r="O449" i="156" s="1"/>
  <c r="V326" i="159"/>
  <c r="O329" i="156" s="1"/>
  <c r="O448" i="156" s="1"/>
  <c r="V325" i="159"/>
  <c r="O328" i="156" s="1"/>
  <c r="O447" i="156" s="1"/>
  <c r="V324" i="159"/>
  <c r="O327" i="156" s="1"/>
  <c r="O446" i="156" s="1"/>
  <c r="W330" i="159"/>
  <c r="P333" i="156" s="1"/>
  <c r="P452" i="156" s="1"/>
  <c r="W329" i="159"/>
  <c r="P332" i="156" s="1"/>
  <c r="P451" i="156" s="1"/>
  <c r="W328" i="159"/>
  <c r="P331" i="156" s="1"/>
  <c r="P450" i="156" s="1"/>
  <c r="W327" i="159"/>
  <c r="P330" i="156" s="1"/>
  <c r="P449" i="156" s="1"/>
  <c r="W326" i="159"/>
  <c r="P329" i="156" s="1"/>
  <c r="P448" i="156" s="1"/>
  <c r="W325" i="159"/>
  <c r="P328" i="156" s="1"/>
  <c r="P447" i="156" s="1"/>
  <c r="W324" i="159"/>
  <c r="P327" i="156" s="1"/>
  <c r="P446" i="156" s="1"/>
  <c r="X330" i="159"/>
  <c r="Q333" i="156" s="1"/>
  <c r="Q452" i="156" s="1"/>
  <c r="X329" i="159"/>
  <c r="Q332" i="156" s="1"/>
  <c r="Q451" i="156" s="1"/>
  <c r="X328" i="159"/>
  <c r="Q331" i="156" s="1"/>
  <c r="Q450" i="156" s="1"/>
  <c r="X327" i="159"/>
  <c r="Q330" i="156" s="1"/>
  <c r="Q449" i="156" s="1"/>
  <c r="X326" i="159"/>
  <c r="Q329" i="156" s="1"/>
  <c r="Q448" i="156" s="1"/>
  <c r="X325" i="159"/>
  <c r="Q328" i="156" s="1"/>
  <c r="Q447" i="156" s="1"/>
  <c r="X324" i="159"/>
  <c r="Q327" i="156" s="1"/>
  <c r="Q446" i="156" s="1"/>
  <c r="Y330" i="159"/>
  <c r="R333" i="156" s="1"/>
  <c r="R452" i="156" s="1"/>
  <c r="Y329" i="159"/>
  <c r="R332" i="156" s="1"/>
  <c r="R451" i="156" s="1"/>
  <c r="Y328" i="159"/>
  <c r="R331" i="156" s="1"/>
  <c r="R450" i="156" s="1"/>
  <c r="Y327" i="159"/>
  <c r="R330" i="156" s="1"/>
  <c r="R449" i="156" s="1"/>
  <c r="Y326" i="159"/>
  <c r="R329" i="156" s="1"/>
  <c r="R448" i="156" s="1"/>
  <c r="Y325" i="159"/>
  <c r="R328" i="156" s="1"/>
  <c r="R447" i="156" s="1"/>
  <c r="Y324" i="159"/>
  <c r="R327" i="156" s="1"/>
  <c r="R446" i="156" s="1"/>
  <c r="Z330" i="159"/>
  <c r="S333" i="156" s="1"/>
  <c r="S452" i="156" s="1"/>
  <c r="Z329" i="159"/>
  <c r="S332" i="156" s="1"/>
  <c r="S451" i="156" s="1"/>
  <c r="Z328" i="159"/>
  <c r="S331" i="156" s="1"/>
  <c r="S450" i="156" s="1"/>
  <c r="Z327" i="159"/>
  <c r="S330" i="156" s="1"/>
  <c r="S449" i="156" s="1"/>
  <c r="Z326" i="159"/>
  <c r="S329" i="156" s="1"/>
  <c r="S448" i="156" s="1"/>
  <c r="Z325" i="159"/>
  <c r="S328" i="156" s="1"/>
  <c r="S447" i="156" s="1"/>
  <c r="Z324" i="159"/>
  <c r="S327" i="156" s="1"/>
  <c r="S446" i="156" s="1"/>
  <c r="AA330" i="159"/>
  <c r="T333" i="156" s="1"/>
  <c r="T452" i="156" s="1"/>
  <c r="AA329" i="159"/>
  <c r="T332" i="156" s="1"/>
  <c r="T451" i="156" s="1"/>
  <c r="AA328" i="159"/>
  <c r="T331" i="156" s="1"/>
  <c r="T450" i="156" s="1"/>
  <c r="AA327" i="159"/>
  <c r="T330" i="156" s="1"/>
  <c r="T449" i="156" s="1"/>
  <c r="AA326" i="159"/>
  <c r="T329" i="156" s="1"/>
  <c r="T448" i="156" s="1"/>
  <c r="AA325" i="159"/>
  <c r="T328" i="156" s="1"/>
  <c r="T447" i="156" s="1"/>
  <c r="AA324" i="159"/>
  <c r="T327" i="156" s="1"/>
  <c r="T446" i="156" s="1"/>
  <c r="AB330" i="159"/>
  <c r="U333" i="156" s="1"/>
  <c r="U452" i="156" s="1"/>
  <c r="AB329" i="159"/>
  <c r="U332" i="156" s="1"/>
  <c r="U451" i="156" s="1"/>
  <c r="AB328" i="159"/>
  <c r="U331" i="156" s="1"/>
  <c r="U450" i="156" s="1"/>
  <c r="AB327" i="159"/>
  <c r="U330" i="156" s="1"/>
  <c r="U449" i="156" s="1"/>
  <c r="AB326" i="159"/>
  <c r="U329" i="156" s="1"/>
  <c r="U448" i="156" s="1"/>
  <c r="AB325" i="159"/>
  <c r="U328" i="156" s="1"/>
  <c r="U447" i="156" s="1"/>
  <c r="AB324" i="159"/>
  <c r="U327" i="156" s="1"/>
  <c r="U446" i="156" s="1"/>
  <c r="AC330" i="159"/>
  <c r="V333" i="156" s="1"/>
  <c r="V452" i="156" s="1"/>
  <c r="AC329" i="159"/>
  <c r="V332" i="156" s="1"/>
  <c r="V451" i="156" s="1"/>
  <c r="AC328" i="159"/>
  <c r="V331" i="156" s="1"/>
  <c r="V450" i="156" s="1"/>
  <c r="AC327" i="159"/>
  <c r="V330" i="156" s="1"/>
  <c r="V449" i="156" s="1"/>
  <c r="AC326" i="159"/>
  <c r="V329" i="156" s="1"/>
  <c r="V448" i="156" s="1"/>
  <c r="AC325" i="159"/>
  <c r="V328" i="156" s="1"/>
  <c r="V447" i="156" s="1"/>
  <c r="AC324" i="159"/>
  <c r="V327" i="156" s="1"/>
  <c r="V446" i="156" s="1"/>
  <c r="AD330" i="159"/>
  <c r="W333" i="156" s="1"/>
  <c r="W452" i="156" s="1"/>
  <c r="AD329" i="159"/>
  <c r="W332" i="156" s="1"/>
  <c r="W451" i="156" s="1"/>
  <c r="AD328" i="159"/>
  <c r="W331" i="156" s="1"/>
  <c r="W450" i="156" s="1"/>
  <c r="AD327" i="159"/>
  <c r="W330" i="156" s="1"/>
  <c r="W449" i="156" s="1"/>
  <c r="AD326" i="159"/>
  <c r="W329" i="156" s="1"/>
  <c r="W448" i="156" s="1"/>
  <c r="AD325" i="159"/>
  <c r="W328" i="156" s="1"/>
  <c r="W447" i="156" s="1"/>
  <c r="AD324" i="159"/>
  <c r="W327" i="156" s="1"/>
  <c r="W446" i="156" s="1"/>
  <c r="AE330" i="159"/>
  <c r="X333" i="156" s="1"/>
  <c r="X452" i="156" s="1"/>
  <c r="AE329" i="159"/>
  <c r="X332" i="156" s="1"/>
  <c r="X451" i="156" s="1"/>
  <c r="AE328" i="159"/>
  <c r="X331" i="156" s="1"/>
  <c r="X450" i="156" s="1"/>
  <c r="AE327" i="159"/>
  <c r="X330" i="156" s="1"/>
  <c r="X449" i="156" s="1"/>
  <c r="AE326" i="159"/>
  <c r="X329" i="156" s="1"/>
  <c r="X448" i="156" s="1"/>
  <c r="AE325" i="159"/>
  <c r="X328" i="156" s="1"/>
  <c r="X447" i="156" s="1"/>
  <c r="AE324" i="159"/>
  <c r="X327" i="156" s="1"/>
  <c r="X446" i="156" s="1"/>
  <c r="AF330" i="159"/>
  <c r="Y333" i="156" s="1"/>
  <c r="Y452" i="156" s="1"/>
  <c r="AF329" i="159"/>
  <c r="Y332" i="156" s="1"/>
  <c r="Y451" i="156" s="1"/>
  <c r="AF328" i="159"/>
  <c r="Y331" i="156" s="1"/>
  <c r="Y450" i="156" s="1"/>
  <c r="AF327" i="159"/>
  <c r="Y330" i="156" s="1"/>
  <c r="Y449" i="156" s="1"/>
  <c r="AF326" i="159"/>
  <c r="Y329" i="156" s="1"/>
  <c r="Y448" i="156" s="1"/>
  <c r="AF325" i="159"/>
  <c r="Y328" i="156" s="1"/>
  <c r="Y447" i="156" s="1"/>
  <c r="AF324" i="159"/>
  <c r="Y327" i="156" s="1"/>
  <c r="Y446" i="156" s="1"/>
  <c r="AG330" i="159"/>
  <c r="Z333" i="156" s="1"/>
  <c r="Z452" i="156" s="1"/>
  <c r="AG329" i="159"/>
  <c r="Z332" i="156" s="1"/>
  <c r="Z451" i="156" s="1"/>
  <c r="AG328" i="159"/>
  <c r="Z331" i="156" s="1"/>
  <c r="Z450" i="156" s="1"/>
  <c r="AG327" i="159"/>
  <c r="Z330" i="156" s="1"/>
  <c r="Z449" i="156" s="1"/>
  <c r="AG326" i="159"/>
  <c r="Z329" i="156" s="1"/>
  <c r="Z448" i="156" s="1"/>
  <c r="AG325" i="159"/>
  <c r="Z328" i="156" s="1"/>
  <c r="Z447" i="156" s="1"/>
  <c r="AG324" i="159"/>
  <c r="Z327" i="156" s="1"/>
  <c r="Z446" i="156" s="1"/>
  <c r="AH330" i="159"/>
  <c r="AA333" i="156" s="1"/>
  <c r="AA452" i="156" s="1"/>
  <c r="AH329" i="159"/>
  <c r="AA332" i="156" s="1"/>
  <c r="AA451" i="156" s="1"/>
  <c r="AH328" i="159"/>
  <c r="AA331" i="156" s="1"/>
  <c r="AA450" i="156" s="1"/>
  <c r="AH327" i="159"/>
  <c r="AA330" i="156" s="1"/>
  <c r="AA449" i="156" s="1"/>
  <c r="AH326" i="159"/>
  <c r="AA329" i="156" s="1"/>
  <c r="AA448" i="156" s="1"/>
  <c r="AH325" i="159"/>
  <c r="AA328" i="156" s="1"/>
  <c r="AA447" i="156" s="1"/>
  <c r="AH324" i="159"/>
  <c r="AA327" i="156" s="1"/>
  <c r="AA446" i="156" s="1"/>
  <c r="AI330" i="159"/>
  <c r="AB333" i="156" s="1"/>
  <c r="AB452" i="156" s="1"/>
  <c r="AI329" i="159"/>
  <c r="AB332" i="156" s="1"/>
  <c r="AB451" i="156" s="1"/>
  <c r="AI328" i="159"/>
  <c r="AB331" i="156" s="1"/>
  <c r="AB450" i="156" s="1"/>
  <c r="AI327" i="159"/>
  <c r="AB330" i="156" s="1"/>
  <c r="AB449" i="156" s="1"/>
  <c r="AI326" i="159"/>
  <c r="AB329" i="156" s="1"/>
  <c r="AB448" i="156" s="1"/>
  <c r="AI325" i="159"/>
  <c r="AB328" i="156" s="1"/>
  <c r="AB447" i="156" s="1"/>
  <c r="AI324" i="159"/>
  <c r="AB327" i="156" s="1"/>
  <c r="AB446" i="156" s="1"/>
  <c r="AJ330" i="159"/>
  <c r="AC333" i="156" s="1"/>
  <c r="AC452" i="156" s="1"/>
  <c r="AJ329" i="159"/>
  <c r="AC332" i="156" s="1"/>
  <c r="AC451" i="156" s="1"/>
  <c r="AJ328" i="159"/>
  <c r="AC331" i="156" s="1"/>
  <c r="AC450" i="156" s="1"/>
  <c r="AJ327" i="159"/>
  <c r="AC330" i="156" s="1"/>
  <c r="AC449" i="156" s="1"/>
  <c r="AJ326" i="159"/>
  <c r="AC329" i="156" s="1"/>
  <c r="AC448" i="156" s="1"/>
  <c r="AJ325" i="159"/>
  <c r="AC328" i="156" s="1"/>
  <c r="AC447" i="156" s="1"/>
  <c r="AJ324" i="159"/>
  <c r="AC327" i="156" s="1"/>
  <c r="AC446" i="156" s="1"/>
  <c r="AK330" i="159"/>
  <c r="AD333" i="156" s="1"/>
  <c r="AD452" i="156" s="1"/>
  <c r="AK329" i="159"/>
  <c r="AD332" i="156" s="1"/>
  <c r="AD451" i="156" s="1"/>
  <c r="AK328" i="159"/>
  <c r="AD331" i="156" s="1"/>
  <c r="AD450" i="156" s="1"/>
  <c r="AK327" i="159"/>
  <c r="AD330" i="156" s="1"/>
  <c r="AD449" i="156" s="1"/>
  <c r="AK326" i="159"/>
  <c r="AD329" i="156" s="1"/>
  <c r="AD448" i="156" s="1"/>
  <c r="AK325" i="159"/>
  <c r="AD328" i="156" s="1"/>
  <c r="AD447" i="156" s="1"/>
  <c r="AK324" i="159"/>
  <c r="AD327" i="156" s="1"/>
  <c r="AD446" i="156" s="1"/>
  <c r="AL330" i="159"/>
  <c r="AE333" i="156" s="1"/>
  <c r="AE452" i="156" s="1"/>
  <c r="AL329" i="159"/>
  <c r="AE332" i="156" s="1"/>
  <c r="AE451" i="156" s="1"/>
  <c r="AL328" i="159"/>
  <c r="AE331" i="156" s="1"/>
  <c r="AE450" i="156" s="1"/>
  <c r="AL327" i="159"/>
  <c r="AE330" i="156" s="1"/>
  <c r="AE449" i="156" s="1"/>
  <c r="AL326" i="159"/>
  <c r="AE329" i="156" s="1"/>
  <c r="AE448" i="156" s="1"/>
  <c r="AL325" i="159"/>
  <c r="AE328" i="156" s="1"/>
  <c r="AE447" i="156" s="1"/>
  <c r="AL324" i="159"/>
  <c r="AE327" i="156" s="1"/>
  <c r="AE446" i="156" s="1"/>
  <c r="AM330" i="159"/>
  <c r="AF333" i="156" s="1"/>
  <c r="AF452" i="156" s="1"/>
  <c r="AM329" i="159"/>
  <c r="AF332" i="156" s="1"/>
  <c r="AF451" i="156" s="1"/>
  <c r="AM328" i="159"/>
  <c r="AF331" i="156" s="1"/>
  <c r="AF450" i="156" s="1"/>
  <c r="AM327" i="159"/>
  <c r="AF330" i="156" s="1"/>
  <c r="AF449" i="156" s="1"/>
  <c r="AM326" i="159"/>
  <c r="AF329" i="156" s="1"/>
  <c r="AF448" i="156" s="1"/>
  <c r="AM325" i="159"/>
  <c r="AF328" i="156" s="1"/>
  <c r="AF447" i="156" s="1"/>
  <c r="AM324" i="159"/>
  <c r="AF327" i="156" s="1"/>
  <c r="AF446" i="156" s="1"/>
  <c r="AN330" i="159"/>
  <c r="AG333" i="156" s="1"/>
  <c r="AG452" i="156" s="1"/>
  <c r="AN329" i="159"/>
  <c r="AG332" i="156" s="1"/>
  <c r="AG451" i="156" s="1"/>
  <c r="AN328" i="159"/>
  <c r="AG331" i="156" s="1"/>
  <c r="AG450" i="156" s="1"/>
  <c r="AN327" i="159"/>
  <c r="AG330" i="156" s="1"/>
  <c r="AG449" i="156" s="1"/>
  <c r="AN326" i="159"/>
  <c r="AG329" i="156" s="1"/>
  <c r="AG448" i="156" s="1"/>
  <c r="AN325" i="159"/>
  <c r="AG328" i="156" s="1"/>
  <c r="AG447" i="156" s="1"/>
  <c r="AN324" i="159"/>
  <c r="AG327" i="156" s="1"/>
  <c r="AG446" i="156" s="1"/>
  <c r="N337" i="159"/>
  <c r="G340" i="156" s="1"/>
  <c r="G459" i="156" s="1"/>
  <c r="N336" i="159"/>
  <c r="G339" i="156" s="1"/>
  <c r="G458" i="156" s="1"/>
  <c r="N335" i="159"/>
  <c r="G338" i="156" s="1"/>
  <c r="G457" i="156" s="1"/>
  <c r="N334" i="159"/>
  <c r="G337" i="156" s="1"/>
  <c r="G456" i="156" s="1"/>
  <c r="N333" i="159"/>
  <c r="G336" i="156" s="1"/>
  <c r="G455" i="156" s="1"/>
  <c r="N332" i="159"/>
  <c r="G335" i="156" s="1"/>
  <c r="G454" i="156" s="1"/>
  <c r="N331" i="159"/>
  <c r="G334" i="156" s="1"/>
  <c r="G453" i="156" s="1"/>
  <c r="O335" i="159"/>
  <c r="H338" i="156" s="1"/>
  <c r="H457" i="156" s="1"/>
  <c r="O332" i="159"/>
  <c r="H335" i="156" s="1"/>
  <c r="H454" i="156" s="1"/>
  <c r="P332" i="159"/>
  <c r="I335" i="156" s="1"/>
  <c r="I454" i="156" s="1"/>
  <c r="P335" i="159"/>
  <c r="I338" i="156" s="1"/>
  <c r="I457" i="156" s="1"/>
  <c r="Q337" i="159"/>
  <c r="J340" i="156" s="1"/>
  <c r="J459" i="156" s="1"/>
  <c r="Q336" i="159"/>
  <c r="J339" i="156" s="1"/>
  <c r="J458" i="156" s="1"/>
  <c r="Q335" i="159"/>
  <c r="J338" i="156" s="1"/>
  <c r="J457" i="156" s="1"/>
  <c r="Q334" i="159"/>
  <c r="J337" i="156" s="1"/>
  <c r="J456" i="156" s="1"/>
  <c r="Q333" i="159"/>
  <c r="J336" i="156" s="1"/>
  <c r="J455" i="156" s="1"/>
  <c r="Q332" i="159"/>
  <c r="J335" i="156" s="1"/>
  <c r="J454" i="156" s="1"/>
  <c r="Q331" i="159"/>
  <c r="J334" i="156" s="1"/>
  <c r="J453" i="156" s="1"/>
  <c r="R337" i="159"/>
  <c r="K340" i="156" s="1"/>
  <c r="K459" i="156" s="1"/>
  <c r="R336" i="159"/>
  <c r="K339" i="156" s="1"/>
  <c r="K458" i="156" s="1"/>
  <c r="R335" i="159"/>
  <c r="K338" i="156" s="1"/>
  <c r="K457" i="156" s="1"/>
  <c r="R334" i="159"/>
  <c r="K337" i="156" s="1"/>
  <c r="K456" i="156" s="1"/>
  <c r="R333" i="159"/>
  <c r="K336" i="156" s="1"/>
  <c r="K455" i="156" s="1"/>
  <c r="R332" i="159"/>
  <c r="K335" i="156" s="1"/>
  <c r="K454" i="156" s="1"/>
  <c r="R331" i="159"/>
  <c r="K334" i="156" s="1"/>
  <c r="K453" i="156" s="1"/>
  <c r="S337" i="159"/>
  <c r="L340" i="156" s="1"/>
  <c r="L459" i="156" s="1"/>
  <c r="S336" i="159"/>
  <c r="L339" i="156" s="1"/>
  <c r="L458" i="156" s="1"/>
  <c r="S335" i="159"/>
  <c r="L338" i="156" s="1"/>
  <c r="L457" i="156" s="1"/>
  <c r="S334" i="159"/>
  <c r="L337" i="156" s="1"/>
  <c r="L456" i="156" s="1"/>
  <c r="S333" i="159"/>
  <c r="L336" i="156" s="1"/>
  <c r="L455" i="156" s="1"/>
  <c r="S332" i="159"/>
  <c r="L335" i="156" s="1"/>
  <c r="L454" i="156" s="1"/>
  <c r="S331" i="159"/>
  <c r="L334" i="156" s="1"/>
  <c r="L453" i="156" s="1"/>
  <c r="T337" i="159"/>
  <c r="M340" i="156" s="1"/>
  <c r="M459" i="156" s="1"/>
  <c r="T336" i="159"/>
  <c r="M339" i="156" s="1"/>
  <c r="M458" i="156" s="1"/>
  <c r="T335" i="159"/>
  <c r="M338" i="156" s="1"/>
  <c r="M457" i="156" s="1"/>
  <c r="T334" i="159"/>
  <c r="M337" i="156" s="1"/>
  <c r="M456" i="156" s="1"/>
  <c r="T333" i="159"/>
  <c r="M336" i="156" s="1"/>
  <c r="M455" i="156" s="1"/>
  <c r="T332" i="159"/>
  <c r="M335" i="156" s="1"/>
  <c r="M454" i="156" s="1"/>
  <c r="T331" i="159"/>
  <c r="M334" i="156" s="1"/>
  <c r="M453" i="156" s="1"/>
  <c r="U337" i="159"/>
  <c r="N340" i="156" s="1"/>
  <c r="N459" i="156" s="1"/>
  <c r="U336" i="159"/>
  <c r="N339" i="156" s="1"/>
  <c r="N458" i="156" s="1"/>
  <c r="U335" i="159"/>
  <c r="N338" i="156" s="1"/>
  <c r="N457" i="156" s="1"/>
  <c r="U334" i="159"/>
  <c r="N337" i="156" s="1"/>
  <c r="N456" i="156" s="1"/>
  <c r="U333" i="159"/>
  <c r="N336" i="156" s="1"/>
  <c r="N455" i="156" s="1"/>
  <c r="U332" i="159"/>
  <c r="N335" i="156" s="1"/>
  <c r="N454" i="156" s="1"/>
  <c r="U331" i="159"/>
  <c r="N334" i="156" s="1"/>
  <c r="N453" i="156" s="1"/>
  <c r="V337" i="159"/>
  <c r="O340" i="156" s="1"/>
  <c r="O459" i="156" s="1"/>
  <c r="V336" i="159"/>
  <c r="O339" i="156" s="1"/>
  <c r="O458" i="156" s="1"/>
  <c r="V335" i="159"/>
  <c r="O338" i="156" s="1"/>
  <c r="O457" i="156" s="1"/>
  <c r="V334" i="159"/>
  <c r="O337" i="156" s="1"/>
  <c r="O456" i="156" s="1"/>
  <c r="V333" i="159"/>
  <c r="O336" i="156" s="1"/>
  <c r="O455" i="156" s="1"/>
  <c r="V332" i="159"/>
  <c r="O335" i="156" s="1"/>
  <c r="O454" i="156" s="1"/>
  <c r="V331" i="159"/>
  <c r="O334" i="156" s="1"/>
  <c r="O453" i="156" s="1"/>
  <c r="W337" i="159"/>
  <c r="P340" i="156" s="1"/>
  <c r="P459" i="156" s="1"/>
  <c r="W336" i="159"/>
  <c r="P339" i="156" s="1"/>
  <c r="P458" i="156" s="1"/>
  <c r="W335" i="159"/>
  <c r="P338" i="156" s="1"/>
  <c r="P457" i="156" s="1"/>
  <c r="W334" i="159"/>
  <c r="P337" i="156" s="1"/>
  <c r="P456" i="156" s="1"/>
  <c r="W333" i="159"/>
  <c r="P336" i="156" s="1"/>
  <c r="P455" i="156" s="1"/>
  <c r="W332" i="159"/>
  <c r="P335" i="156" s="1"/>
  <c r="P454" i="156" s="1"/>
  <c r="W331" i="159"/>
  <c r="P334" i="156" s="1"/>
  <c r="P453" i="156" s="1"/>
  <c r="X337" i="159"/>
  <c r="Q340" i="156" s="1"/>
  <c r="Q459" i="156" s="1"/>
  <c r="X336" i="159"/>
  <c r="Q339" i="156" s="1"/>
  <c r="Q458" i="156" s="1"/>
  <c r="X335" i="159"/>
  <c r="Q338" i="156" s="1"/>
  <c r="Q457" i="156" s="1"/>
  <c r="X334" i="159"/>
  <c r="Q337" i="156" s="1"/>
  <c r="Q456" i="156" s="1"/>
  <c r="X333" i="159"/>
  <c r="Q336" i="156" s="1"/>
  <c r="Q455" i="156" s="1"/>
  <c r="X332" i="159"/>
  <c r="Q335" i="156" s="1"/>
  <c r="Q454" i="156" s="1"/>
  <c r="X331" i="159"/>
  <c r="Q334" i="156" s="1"/>
  <c r="Q453" i="156" s="1"/>
  <c r="Y337" i="159"/>
  <c r="R340" i="156" s="1"/>
  <c r="R459" i="156" s="1"/>
  <c r="Y336" i="159"/>
  <c r="R339" i="156" s="1"/>
  <c r="R458" i="156" s="1"/>
  <c r="Y335" i="159"/>
  <c r="R338" i="156" s="1"/>
  <c r="R457" i="156" s="1"/>
  <c r="Y334" i="159"/>
  <c r="R337" i="156" s="1"/>
  <c r="R456" i="156" s="1"/>
  <c r="Y333" i="159"/>
  <c r="R336" i="156" s="1"/>
  <c r="R455" i="156" s="1"/>
  <c r="Y332" i="159"/>
  <c r="R335" i="156" s="1"/>
  <c r="R454" i="156" s="1"/>
  <c r="Y331" i="159"/>
  <c r="R334" i="156" s="1"/>
  <c r="R453" i="156" s="1"/>
  <c r="Z337" i="159"/>
  <c r="S340" i="156" s="1"/>
  <c r="S459" i="156" s="1"/>
  <c r="Z336" i="159"/>
  <c r="S339" i="156" s="1"/>
  <c r="S458" i="156" s="1"/>
  <c r="Z335" i="159"/>
  <c r="S338" i="156" s="1"/>
  <c r="S457" i="156" s="1"/>
  <c r="Z334" i="159"/>
  <c r="S337" i="156" s="1"/>
  <c r="S456" i="156" s="1"/>
  <c r="Z333" i="159"/>
  <c r="S336" i="156" s="1"/>
  <c r="S455" i="156" s="1"/>
  <c r="Z332" i="159"/>
  <c r="S335" i="156" s="1"/>
  <c r="S454" i="156" s="1"/>
  <c r="Z331" i="159"/>
  <c r="S334" i="156" s="1"/>
  <c r="S453" i="156" s="1"/>
  <c r="AA337" i="159"/>
  <c r="T340" i="156" s="1"/>
  <c r="T459" i="156" s="1"/>
  <c r="AA336" i="159"/>
  <c r="T339" i="156" s="1"/>
  <c r="T458" i="156" s="1"/>
  <c r="AA335" i="159"/>
  <c r="T338" i="156" s="1"/>
  <c r="T457" i="156" s="1"/>
  <c r="AA334" i="159"/>
  <c r="T337" i="156" s="1"/>
  <c r="T456" i="156" s="1"/>
  <c r="AA333" i="159"/>
  <c r="T336" i="156" s="1"/>
  <c r="T455" i="156" s="1"/>
  <c r="AA332" i="159"/>
  <c r="T335" i="156" s="1"/>
  <c r="T454" i="156" s="1"/>
  <c r="AA331" i="159"/>
  <c r="T334" i="156" s="1"/>
  <c r="T453" i="156" s="1"/>
  <c r="AB337" i="159"/>
  <c r="U340" i="156" s="1"/>
  <c r="U459" i="156" s="1"/>
  <c r="AB336" i="159"/>
  <c r="U339" i="156" s="1"/>
  <c r="U458" i="156" s="1"/>
  <c r="AB335" i="159"/>
  <c r="U338" i="156" s="1"/>
  <c r="U457" i="156" s="1"/>
  <c r="AB334" i="159"/>
  <c r="U337" i="156" s="1"/>
  <c r="U456" i="156" s="1"/>
  <c r="AB333" i="159"/>
  <c r="U336" i="156" s="1"/>
  <c r="U455" i="156" s="1"/>
  <c r="AB332" i="159"/>
  <c r="U335" i="156" s="1"/>
  <c r="U454" i="156" s="1"/>
  <c r="AB331" i="159"/>
  <c r="U334" i="156" s="1"/>
  <c r="U453" i="156" s="1"/>
  <c r="AC337" i="159"/>
  <c r="V340" i="156" s="1"/>
  <c r="V459" i="156" s="1"/>
  <c r="AC336" i="159"/>
  <c r="V339" i="156" s="1"/>
  <c r="V458" i="156" s="1"/>
  <c r="AC335" i="159"/>
  <c r="V338" i="156" s="1"/>
  <c r="V457" i="156" s="1"/>
  <c r="AC334" i="159"/>
  <c r="V337" i="156" s="1"/>
  <c r="V456" i="156" s="1"/>
  <c r="AC333" i="159"/>
  <c r="V336" i="156" s="1"/>
  <c r="V455" i="156" s="1"/>
  <c r="AC332" i="159"/>
  <c r="V335" i="156" s="1"/>
  <c r="V454" i="156" s="1"/>
  <c r="AC331" i="159"/>
  <c r="V334" i="156" s="1"/>
  <c r="V453" i="156" s="1"/>
  <c r="AD337" i="159"/>
  <c r="W340" i="156" s="1"/>
  <c r="W459" i="156" s="1"/>
  <c r="AD336" i="159"/>
  <c r="W339" i="156" s="1"/>
  <c r="W458" i="156" s="1"/>
  <c r="AD335" i="159"/>
  <c r="W338" i="156" s="1"/>
  <c r="W457" i="156" s="1"/>
  <c r="AD334" i="159"/>
  <c r="W337" i="156" s="1"/>
  <c r="W456" i="156" s="1"/>
  <c r="AD333" i="159"/>
  <c r="W336" i="156" s="1"/>
  <c r="W455" i="156" s="1"/>
  <c r="AD332" i="159"/>
  <c r="W335" i="156" s="1"/>
  <c r="W454" i="156" s="1"/>
  <c r="AD331" i="159"/>
  <c r="W334" i="156" s="1"/>
  <c r="W453" i="156" s="1"/>
  <c r="AE337" i="159"/>
  <c r="X340" i="156" s="1"/>
  <c r="X459" i="156" s="1"/>
  <c r="AE336" i="159"/>
  <c r="X339" i="156" s="1"/>
  <c r="X458" i="156" s="1"/>
  <c r="AE335" i="159"/>
  <c r="X338" i="156" s="1"/>
  <c r="X457" i="156" s="1"/>
  <c r="AE334" i="159"/>
  <c r="X337" i="156" s="1"/>
  <c r="X456" i="156" s="1"/>
  <c r="AE333" i="159"/>
  <c r="X336" i="156" s="1"/>
  <c r="X455" i="156" s="1"/>
  <c r="AE332" i="159"/>
  <c r="X335" i="156" s="1"/>
  <c r="X454" i="156" s="1"/>
  <c r="AE331" i="159"/>
  <c r="X334" i="156" s="1"/>
  <c r="X453" i="156" s="1"/>
  <c r="AF337" i="159"/>
  <c r="Y340" i="156" s="1"/>
  <c r="Y459" i="156" s="1"/>
  <c r="AF336" i="159"/>
  <c r="Y339" i="156" s="1"/>
  <c r="Y458" i="156" s="1"/>
  <c r="AF335" i="159"/>
  <c r="Y338" i="156" s="1"/>
  <c r="Y457" i="156" s="1"/>
  <c r="AF334" i="159"/>
  <c r="Y337" i="156" s="1"/>
  <c r="Y456" i="156" s="1"/>
  <c r="AF333" i="159"/>
  <c r="Y336" i="156" s="1"/>
  <c r="Y455" i="156" s="1"/>
  <c r="AF332" i="159"/>
  <c r="Y335" i="156" s="1"/>
  <c r="Y454" i="156" s="1"/>
  <c r="AF331" i="159"/>
  <c r="Y334" i="156" s="1"/>
  <c r="Y453" i="156" s="1"/>
  <c r="AG337" i="159"/>
  <c r="Z340" i="156" s="1"/>
  <c r="Z459" i="156" s="1"/>
  <c r="AG336" i="159"/>
  <c r="Z339" i="156" s="1"/>
  <c r="Z458" i="156" s="1"/>
  <c r="AG335" i="159"/>
  <c r="Z338" i="156" s="1"/>
  <c r="Z457" i="156" s="1"/>
  <c r="AG334" i="159"/>
  <c r="Z337" i="156" s="1"/>
  <c r="Z456" i="156" s="1"/>
  <c r="AG333" i="159"/>
  <c r="Z336" i="156" s="1"/>
  <c r="Z455" i="156" s="1"/>
  <c r="AG332" i="159"/>
  <c r="Z335" i="156" s="1"/>
  <c r="Z454" i="156" s="1"/>
  <c r="AG331" i="159"/>
  <c r="Z334" i="156" s="1"/>
  <c r="Z453" i="156" s="1"/>
  <c r="AH337" i="159"/>
  <c r="AA340" i="156" s="1"/>
  <c r="AA459" i="156" s="1"/>
  <c r="AH336" i="159"/>
  <c r="AA339" i="156" s="1"/>
  <c r="AA458" i="156" s="1"/>
  <c r="AH335" i="159"/>
  <c r="AA338" i="156" s="1"/>
  <c r="AA457" i="156" s="1"/>
  <c r="AH334" i="159"/>
  <c r="AA337" i="156" s="1"/>
  <c r="AA456" i="156" s="1"/>
  <c r="AH333" i="159"/>
  <c r="AA336" i="156" s="1"/>
  <c r="AA455" i="156" s="1"/>
  <c r="AH332" i="159"/>
  <c r="AA335" i="156" s="1"/>
  <c r="AA454" i="156" s="1"/>
  <c r="AH331" i="159"/>
  <c r="AA334" i="156" s="1"/>
  <c r="AA453" i="156" s="1"/>
  <c r="AI337" i="159"/>
  <c r="AB340" i="156" s="1"/>
  <c r="AB459" i="156" s="1"/>
  <c r="AI336" i="159"/>
  <c r="AB339" i="156" s="1"/>
  <c r="AB458" i="156" s="1"/>
  <c r="AI335" i="159"/>
  <c r="AB338" i="156" s="1"/>
  <c r="AB457" i="156" s="1"/>
  <c r="AI334" i="159"/>
  <c r="AB337" i="156" s="1"/>
  <c r="AB456" i="156" s="1"/>
  <c r="AI333" i="159"/>
  <c r="AB336" i="156" s="1"/>
  <c r="AB455" i="156" s="1"/>
  <c r="AI332" i="159"/>
  <c r="AB335" i="156" s="1"/>
  <c r="AB454" i="156" s="1"/>
  <c r="AI331" i="159"/>
  <c r="AB334" i="156" s="1"/>
  <c r="AB453" i="156" s="1"/>
  <c r="AJ337" i="159"/>
  <c r="AC340" i="156" s="1"/>
  <c r="AC459" i="156" s="1"/>
  <c r="AJ336" i="159"/>
  <c r="AC339" i="156" s="1"/>
  <c r="AC458" i="156" s="1"/>
  <c r="AJ335" i="159"/>
  <c r="AC338" i="156" s="1"/>
  <c r="AC457" i="156" s="1"/>
  <c r="AJ334" i="159"/>
  <c r="AC337" i="156" s="1"/>
  <c r="AC456" i="156" s="1"/>
  <c r="AJ333" i="159"/>
  <c r="AC336" i="156" s="1"/>
  <c r="AC455" i="156" s="1"/>
  <c r="AJ332" i="159"/>
  <c r="AC335" i="156" s="1"/>
  <c r="AC454" i="156" s="1"/>
  <c r="AJ331" i="159"/>
  <c r="AC334" i="156" s="1"/>
  <c r="AC453" i="156" s="1"/>
  <c r="AK337" i="159"/>
  <c r="AD340" i="156" s="1"/>
  <c r="AD459" i="156" s="1"/>
  <c r="AK336" i="159"/>
  <c r="AD339" i="156" s="1"/>
  <c r="AD458" i="156" s="1"/>
  <c r="AK335" i="159"/>
  <c r="AD338" i="156" s="1"/>
  <c r="AD457" i="156" s="1"/>
  <c r="AK334" i="159"/>
  <c r="AD337" i="156" s="1"/>
  <c r="AD456" i="156" s="1"/>
  <c r="AK333" i="159"/>
  <c r="AD336" i="156" s="1"/>
  <c r="AD455" i="156" s="1"/>
  <c r="AK332" i="159"/>
  <c r="AD335" i="156" s="1"/>
  <c r="AD454" i="156" s="1"/>
  <c r="AK331" i="159"/>
  <c r="AD334" i="156" s="1"/>
  <c r="AD453" i="156" s="1"/>
  <c r="AL337" i="159"/>
  <c r="AE340" i="156" s="1"/>
  <c r="AE459" i="156" s="1"/>
  <c r="AL336" i="159"/>
  <c r="AE339" i="156" s="1"/>
  <c r="AE458" i="156" s="1"/>
  <c r="AL335" i="159"/>
  <c r="AE338" i="156" s="1"/>
  <c r="AE457" i="156" s="1"/>
  <c r="AL334" i="159"/>
  <c r="AE337" i="156" s="1"/>
  <c r="AE456" i="156" s="1"/>
  <c r="AL333" i="159"/>
  <c r="AE336" i="156" s="1"/>
  <c r="AE455" i="156" s="1"/>
  <c r="AL332" i="159"/>
  <c r="AE335" i="156" s="1"/>
  <c r="AE454" i="156" s="1"/>
  <c r="AL331" i="159"/>
  <c r="AE334" i="156" s="1"/>
  <c r="AE453" i="156" s="1"/>
  <c r="AM337" i="159"/>
  <c r="AF340" i="156" s="1"/>
  <c r="AF459" i="156" s="1"/>
  <c r="AM336" i="159"/>
  <c r="AF339" i="156" s="1"/>
  <c r="AF458" i="156" s="1"/>
  <c r="AM335" i="159"/>
  <c r="AF338" i="156" s="1"/>
  <c r="AF457" i="156" s="1"/>
  <c r="AM334" i="159"/>
  <c r="AF337" i="156" s="1"/>
  <c r="AF456" i="156" s="1"/>
  <c r="AM333" i="159"/>
  <c r="AF336" i="156" s="1"/>
  <c r="AF455" i="156" s="1"/>
  <c r="AM332" i="159"/>
  <c r="AF335" i="156" s="1"/>
  <c r="AF454" i="156" s="1"/>
  <c r="AM331" i="159"/>
  <c r="AF334" i="156" s="1"/>
  <c r="AF453" i="156" s="1"/>
  <c r="AN337" i="159"/>
  <c r="AG340" i="156" s="1"/>
  <c r="AG459" i="156" s="1"/>
  <c r="AN336" i="159"/>
  <c r="AG339" i="156" s="1"/>
  <c r="AG458" i="156" s="1"/>
  <c r="AN335" i="159"/>
  <c r="AG338" i="156" s="1"/>
  <c r="AG457" i="156" s="1"/>
  <c r="AN334" i="159"/>
  <c r="AG337" i="156" s="1"/>
  <c r="AG456" i="156" s="1"/>
  <c r="AN333" i="159"/>
  <c r="AG336" i="156" s="1"/>
  <c r="AG455" i="156" s="1"/>
  <c r="AN332" i="159"/>
  <c r="AG335" i="156" s="1"/>
  <c r="AG454" i="156" s="1"/>
  <c r="AN331" i="159"/>
  <c r="AG334" i="156" s="1"/>
  <c r="AG453" i="156" s="1"/>
  <c r="N349" i="159"/>
  <c r="G352" i="156" s="1"/>
  <c r="N348" i="159"/>
  <c r="G351" i="156" s="1"/>
  <c r="N347" i="159"/>
  <c r="G350" i="156" s="1"/>
  <c r="N346" i="159"/>
  <c r="G349" i="156" s="1"/>
  <c r="N345" i="159"/>
  <c r="G348" i="156" s="1"/>
  <c r="N344" i="159"/>
  <c r="G347" i="156" s="1"/>
  <c r="G466" i="156" s="1"/>
  <c r="O349" i="159"/>
  <c r="H352" i="156" s="1"/>
  <c r="O346" i="159"/>
  <c r="H349" i="156" s="1"/>
  <c r="P344" i="159"/>
  <c r="I347" i="156" s="1"/>
  <c r="I466" i="156" s="1"/>
  <c r="P347" i="159"/>
  <c r="I350" i="156" s="1"/>
  <c r="P345" i="159"/>
  <c r="I348" i="156" s="1"/>
  <c r="Q349" i="159"/>
  <c r="J352" i="156" s="1"/>
  <c r="Q348" i="159"/>
  <c r="J351" i="156" s="1"/>
  <c r="Q347" i="159"/>
  <c r="J350" i="156" s="1"/>
  <c r="Q346" i="159"/>
  <c r="J349" i="156" s="1"/>
  <c r="Q345" i="159"/>
  <c r="J348" i="156" s="1"/>
  <c r="Q344" i="159"/>
  <c r="J347" i="156" s="1"/>
  <c r="J466" i="156" s="1"/>
  <c r="R349" i="159"/>
  <c r="K352" i="156" s="1"/>
  <c r="R348" i="159"/>
  <c r="K351" i="156" s="1"/>
  <c r="R347" i="159"/>
  <c r="K350" i="156" s="1"/>
  <c r="R346" i="159"/>
  <c r="K349" i="156" s="1"/>
  <c r="R345" i="159"/>
  <c r="K348" i="156" s="1"/>
  <c r="R344" i="159"/>
  <c r="K347" i="156" s="1"/>
  <c r="K466" i="156" s="1"/>
  <c r="S349" i="159"/>
  <c r="L352" i="156" s="1"/>
  <c r="S348" i="159"/>
  <c r="L351" i="156" s="1"/>
  <c r="S347" i="159"/>
  <c r="L350" i="156" s="1"/>
  <c r="S346" i="159"/>
  <c r="L349" i="156" s="1"/>
  <c r="S345" i="159"/>
  <c r="L348" i="156" s="1"/>
  <c r="S344" i="159"/>
  <c r="L347" i="156" s="1"/>
  <c r="L466" i="156" s="1"/>
  <c r="T349" i="159"/>
  <c r="M352" i="156" s="1"/>
  <c r="T348" i="159"/>
  <c r="M351" i="156" s="1"/>
  <c r="T347" i="159"/>
  <c r="M350" i="156" s="1"/>
  <c r="T346" i="159"/>
  <c r="M349" i="156" s="1"/>
  <c r="T345" i="159"/>
  <c r="M348" i="156" s="1"/>
  <c r="T344" i="159"/>
  <c r="M347" i="156" s="1"/>
  <c r="M466" i="156" s="1"/>
  <c r="U349" i="159"/>
  <c r="N352" i="156" s="1"/>
  <c r="U348" i="159"/>
  <c r="N351" i="156" s="1"/>
  <c r="U347" i="159"/>
  <c r="N350" i="156" s="1"/>
  <c r="U346" i="159"/>
  <c r="N349" i="156" s="1"/>
  <c r="U345" i="159"/>
  <c r="N348" i="156" s="1"/>
  <c r="U344" i="159"/>
  <c r="N347" i="156" s="1"/>
  <c r="N466" i="156" s="1"/>
  <c r="V349" i="159"/>
  <c r="O352" i="156" s="1"/>
  <c r="V348" i="159"/>
  <c r="O351" i="156" s="1"/>
  <c r="V347" i="159"/>
  <c r="O350" i="156" s="1"/>
  <c r="V346" i="159"/>
  <c r="O349" i="156" s="1"/>
  <c r="V345" i="159"/>
  <c r="O348" i="156" s="1"/>
  <c r="V344" i="159"/>
  <c r="O347" i="156" s="1"/>
  <c r="O466" i="156" s="1"/>
  <c r="W349" i="159"/>
  <c r="P352" i="156" s="1"/>
  <c r="W348" i="159"/>
  <c r="P351" i="156" s="1"/>
  <c r="W347" i="159"/>
  <c r="P350" i="156" s="1"/>
  <c r="W346" i="159"/>
  <c r="P349" i="156" s="1"/>
  <c r="W345" i="159"/>
  <c r="P348" i="156" s="1"/>
  <c r="W344" i="159"/>
  <c r="P347" i="156" s="1"/>
  <c r="P466" i="156" s="1"/>
  <c r="X349" i="159"/>
  <c r="Q352" i="156" s="1"/>
  <c r="X348" i="159"/>
  <c r="Q351" i="156" s="1"/>
  <c r="X347" i="159"/>
  <c r="Q350" i="156" s="1"/>
  <c r="X346" i="159"/>
  <c r="Q349" i="156" s="1"/>
  <c r="X345" i="159"/>
  <c r="Q348" i="156" s="1"/>
  <c r="X344" i="159"/>
  <c r="Q347" i="156" s="1"/>
  <c r="Q466" i="156" s="1"/>
  <c r="Y349" i="159"/>
  <c r="R352" i="156" s="1"/>
  <c r="Y348" i="159"/>
  <c r="R351" i="156" s="1"/>
  <c r="Y347" i="159"/>
  <c r="R350" i="156" s="1"/>
  <c r="Y346" i="159"/>
  <c r="R349" i="156" s="1"/>
  <c r="Y345" i="159"/>
  <c r="R348" i="156" s="1"/>
  <c r="Y344" i="159"/>
  <c r="R347" i="156" s="1"/>
  <c r="R466" i="156" s="1"/>
  <c r="Z349" i="159"/>
  <c r="S352" i="156" s="1"/>
  <c r="Z348" i="159"/>
  <c r="S351" i="156" s="1"/>
  <c r="Z347" i="159"/>
  <c r="S350" i="156" s="1"/>
  <c r="Z346" i="159"/>
  <c r="S349" i="156" s="1"/>
  <c r="Z345" i="159"/>
  <c r="S348" i="156" s="1"/>
  <c r="Z344" i="159"/>
  <c r="S347" i="156" s="1"/>
  <c r="S466" i="156" s="1"/>
  <c r="AA349" i="159"/>
  <c r="T352" i="156" s="1"/>
  <c r="AA348" i="159"/>
  <c r="T351" i="156" s="1"/>
  <c r="AA347" i="159"/>
  <c r="T350" i="156" s="1"/>
  <c r="AA346" i="159"/>
  <c r="T349" i="156" s="1"/>
  <c r="AA345" i="159"/>
  <c r="T348" i="156" s="1"/>
  <c r="AA344" i="159"/>
  <c r="T347" i="156" s="1"/>
  <c r="T466" i="156" s="1"/>
  <c r="AB349" i="159"/>
  <c r="U352" i="156" s="1"/>
  <c r="AB348" i="159"/>
  <c r="U351" i="156" s="1"/>
  <c r="AB347" i="159"/>
  <c r="U350" i="156" s="1"/>
  <c r="AB346" i="159"/>
  <c r="U349" i="156" s="1"/>
  <c r="AB345" i="159"/>
  <c r="U348" i="156" s="1"/>
  <c r="AB344" i="159"/>
  <c r="U347" i="156" s="1"/>
  <c r="U466" i="156" s="1"/>
  <c r="AC349" i="159"/>
  <c r="V352" i="156" s="1"/>
  <c r="AC348" i="159"/>
  <c r="V351" i="156" s="1"/>
  <c r="AC347" i="159"/>
  <c r="V350" i="156" s="1"/>
  <c r="AC346" i="159"/>
  <c r="V349" i="156" s="1"/>
  <c r="AC345" i="159"/>
  <c r="V348" i="156" s="1"/>
  <c r="AC344" i="159"/>
  <c r="V347" i="156" s="1"/>
  <c r="V466" i="156" s="1"/>
  <c r="AD349" i="159"/>
  <c r="W352" i="156" s="1"/>
  <c r="AD348" i="159"/>
  <c r="W351" i="156" s="1"/>
  <c r="AD347" i="159"/>
  <c r="W350" i="156" s="1"/>
  <c r="AD346" i="159"/>
  <c r="W349" i="156" s="1"/>
  <c r="AD345" i="159"/>
  <c r="W348" i="156" s="1"/>
  <c r="AD344" i="159"/>
  <c r="W347" i="156" s="1"/>
  <c r="W466" i="156" s="1"/>
  <c r="AE349" i="159"/>
  <c r="X352" i="156" s="1"/>
  <c r="AE348" i="159"/>
  <c r="X351" i="156" s="1"/>
  <c r="AE347" i="159"/>
  <c r="X350" i="156" s="1"/>
  <c r="AE346" i="159"/>
  <c r="X349" i="156" s="1"/>
  <c r="AE345" i="159"/>
  <c r="X348" i="156" s="1"/>
  <c r="AE344" i="159"/>
  <c r="X347" i="156" s="1"/>
  <c r="X466" i="156" s="1"/>
  <c r="AF349" i="159"/>
  <c r="Y352" i="156" s="1"/>
  <c r="AF348" i="159"/>
  <c r="Y351" i="156" s="1"/>
  <c r="AF347" i="159"/>
  <c r="Y350" i="156" s="1"/>
  <c r="AF346" i="159"/>
  <c r="Y349" i="156" s="1"/>
  <c r="AF345" i="159"/>
  <c r="Y348" i="156" s="1"/>
  <c r="AF344" i="159"/>
  <c r="Y347" i="156" s="1"/>
  <c r="Y466" i="156" s="1"/>
  <c r="AG349" i="159"/>
  <c r="Z352" i="156" s="1"/>
  <c r="AG348" i="159"/>
  <c r="Z351" i="156" s="1"/>
  <c r="AG347" i="159"/>
  <c r="Z350" i="156" s="1"/>
  <c r="AG346" i="159"/>
  <c r="Z349" i="156" s="1"/>
  <c r="AG345" i="159"/>
  <c r="Z348" i="156" s="1"/>
  <c r="AG344" i="159"/>
  <c r="Z347" i="156" s="1"/>
  <c r="Z466" i="156" s="1"/>
  <c r="AH349" i="159"/>
  <c r="AA352" i="156" s="1"/>
  <c r="AH348" i="159"/>
  <c r="AA351" i="156" s="1"/>
  <c r="AH347" i="159"/>
  <c r="AA350" i="156" s="1"/>
  <c r="AH346" i="159"/>
  <c r="AA349" i="156" s="1"/>
  <c r="AH345" i="159"/>
  <c r="AA348" i="156" s="1"/>
  <c r="AH344" i="159"/>
  <c r="AA347" i="156" s="1"/>
  <c r="AA466" i="156" s="1"/>
  <c r="AI349" i="159"/>
  <c r="AB352" i="156" s="1"/>
  <c r="AI348" i="159"/>
  <c r="AB351" i="156" s="1"/>
  <c r="AI347" i="159"/>
  <c r="AB350" i="156" s="1"/>
  <c r="AI346" i="159"/>
  <c r="AB349" i="156" s="1"/>
  <c r="AI345" i="159"/>
  <c r="AB348" i="156" s="1"/>
  <c r="AI344" i="159"/>
  <c r="AB347" i="156" s="1"/>
  <c r="AB466" i="156" s="1"/>
  <c r="AJ349" i="159"/>
  <c r="AC352" i="156" s="1"/>
  <c r="AJ348" i="159"/>
  <c r="AC351" i="156" s="1"/>
  <c r="AJ347" i="159"/>
  <c r="AC350" i="156" s="1"/>
  <c r="AJ346" i="159"/>
  <c r="AC349" i="156" s="1"/>
  <c r="AJ345" i="159"/>
  <c r="AC348" i="156" s="1"/>
  <c r="AJ344" i="159"/>
  <c r="AC347" i="156" s="1"/>
  <c r="AC466" i="156" s="1"/>
  <c r="AK349" i="159"/>
  <c r="AD352" i="156" s="1"/>
  <c r="AK348" i="159"/>
  <c r="AD351" i="156" s="1"/>
  <c r="AK347" i="159"/>
  <c r="AD350" i="156" s="1"/>
  <c r="AK346" i="159"/>
  <c r="AD349" i="156" s="1"/>
  <c r="AK345" i="159"/>
  <c r="AD348" i="156" s="1"/>
  <c r="AK344" i="159"/>
  <c r="AD347" i="156" s="1"/>
  <c r="AD466" i="156" s="1"/>
  <c r="AL349" i="159"/>
  <c r="AE352" i="156" s="1"/>
  <c r="AL348" i="159"/>
  <c r="AE351" i="156" s="1"/>
  <c r="AL347" i="159"/>
  <c r="AE350" i="156" s="1"/>
  <c r="AL346" i="159"/>
  <c r="AE349" i="156" s="1"/>
  <c r="AL345" i="159"/>
  <c r="AE348" i="156" s="1"/>
  <c r="AL344" i="159"/>
  <c r="AE347" i="156" s="1"/>
  <c r="AE466" i="156" s="1"/>
  <c r="AM349" i="159"/>
  <c r="AF352" i="156" s="1"/>
  <c r="AM348" i="159"/>
  <c r="AF351" i="156" s="1"/>
  <c r="AM347" i="159"/>
  <c r="AF350" i="156" s="1"/>
  <c r="AM346" i="159"/>
  <c r="AF349" i="156" s="1"/>
  <c r="AM345" i="159"/>
  <c r="AF348" i="156" s="1"/>
  <c r="AM344" i="159"/>
  <c r="AF347" i="156" s="1"/>
  <c r="AF466" i="156" s="1"/>
  <c r="AN349" i="159"/>
  <c r="AG352" i="156" s="1"/>
  <c r="AN348" i="159"/>
  <c r="AG351" i="156" s="1"/>
  <c r="AN347" i="159"/>
  <c r="AG350" i="156" s="1"/>
  <c r="AN346" i="159"/>
  <c r="AG349" i="156" s="1"/>
  <c r="AN345" i="159"/>
  <c r="AG348" i="156" s="1"/>
  <c r="AN344" i="159"/>
  <c r="AG347" i="156" s="1"/>
  <c r="AG466" i="156" s="1"/>
  <c r="N355" i="159"/>
  <c r="G358" i="156" s="1"/>
  <c r="N354" i="159"/>
  <c r="G357" i="156" s="1"/>
  <c r="N353" i="159"/>
  <c r="G356" i="156" s="1"/>
  <c r="N352" i="159"/>
  <c r="G355" i="156" s="1"/>
  <c r="N351" i="159"/>
  <c r="G354" i="156" s="1"/>
  <c r="N350" i="159"/>
  <c r="G353" i="156" s="1"/>
  <c r="G472" i="156" s="1"/>
  <c r="O350" i="159"/>
  <c r="H353" i="156" s="1"/>
  <c r="H472" i="156" s="1"/>
  <c r="O354" i="159"/>
  <c r="H357" i="156" s="1"/>
  <c r="P350" i="159"/>
  <c r="I353" i="156" s="1"/>
  <c r="I472" i="156" s="1"/>
  <c r="P353" i="159"/>
  <c r="I356" i="156" s="1"/>
  <c r="Q355" i="159"/>
  <c r="J358" i="156" s="1"/>
  <c r="Q354" i="159"/>
  <c r="J357" i="156" s="1"/>
  <c r="Q353" i="159"/>
  <c r="J356" i="156" s="1"/>
  <c r="Q352" i="159"/>
  <c r="J355" i="156" s="1"/>
  <c r="Q351" i="159"/>
  <c r="J354" i="156" s="1"/>
  <c r="Q350" i="159"/>
  <c r="J353" i="156" s="1"/>
  <c r="J472" i="156" s="1"/>
  <c r="R355" i="159"/>
  <c r="K358" i="156" s="1"/>
  <c r="R354" i="159"/>
  <c r="K357" i="156" s="1"/>
  <c r="R353" i="159"/>
  <c r="K356" i="156" s="1"/>
  <c r="R352" i="159"/>
  <c r="K355" i="156" s="1"/>
  <c r="R351" i="159"/>
  <c r="K354" i="156" s="1"/>
  <c r="R350" i="159"/>
  <c r="K353" i="156" s="1"/>
  <c r="K472" i="156" s="1"/>
  <c r="S355" i="159"/>
  <c r="L358" i="156" s="1"/>
  <c r="S354" i="159"/>
  <c r="L357" i="156" s="1"/>
  <c r="S353" i="159"/>
  <c r="L356" i="156" s="1"/>
  <c r="S352" i="159"/>
  <c r="L355" i="156" s="1"/>
  <c r="S351" i="159"/>
  <c r="L354" i="156" s="1"/>
  <c r="S350" i="159"/>
  <c r="L353" i="156" s="1"/>
  <c r="L472" i="156" s="1"/>
  <c r="T355" i="159"/>
  <c r="M358" i="156" s="1"/>
  <c r="T354" i="159"/>
  <c r="M357" i="156" s="1"/>
  <c r="T353" i="159"/>
  <c r="M356" i="156" s="1"/>
  <c r="T352" i="159"/>
  <c r="M355" i="156" s="1"/>
  <c r="T351" i="159"/>
  <c r="M354" i="156" s="1"/>
  <c r="T350" i="159"/>
  <c r="M353" i="156" s="1"/>
  <c r="M472" i="156" s="1"/>
  <c r="U355" i="159"/>
  <c r="N358" i="156" s="1"/>
  <c r="U354" i="159"/>
  <c r="N357" i="156" s="1"/>
  <c r="U353" i="159"/>
  <c r="N356" i="156" s="1"/>
  <c r="U352" i="159"/>
  <c r="N355" i="156" s="1"/>
  <c r="U351" i="159"/>
  <c r="N354" i="156" s="1"/>
  <c r="U350" i="159"/>
  <c r="N353" i="156" s="1"/>
  <c r="N472" i="156" s="1"/>
  <c r="V355" i="159"/>
  <c r="O358" i="156" s="1"/>
  <c r="V354" i="159"/>
  <c r="O357" i="156" s="1"/>
  <c r="V353" i="159"/>
  <c r="O356" i="156" s="1"/>
  <c r="V352" i="159"/>
  <c r="O355" i="156" s="1"/>
  <c r="V351" i="159"/>
  <c r="O354" i="156" s="1"/>
  <c r="V350" i="159"/>
  <c r="O353" i="156" s="1"/>
  <c r="O472" i="156" s="1"/>
  <c r="W355" i="159"/>
  <c r="P358" i="156" s="1"/>
  <c r="W354" i="159"/>
  <c r="P357" i="156" s="1"/>
  <c r="W353" i="159"/>
  <c r="P356" i="156" s="1"/>
  <c r="W352" i="159"/>
  <c r="P355" i="156" s="1"/>
  <c r="W351" i="159"/>
  <c r="P354" i="156" s="1"/>
  <c r="W350" i="159"/>
  <c r="P353" i="156" s="1"/>
  <c r="P472" i="156" s="1"/>
  <c r="X355" i="159"/>
  <c r="Q358" i="156" s="1"/>
  <c r="X354" i="159"/>
  <c r="Q357" i="156" s="1"/>
  <c r="X353" i="159"/>
  <c r="Q356" i="156" s="1"/>
  <c r="X352" i="159"/>
  <c r="Q355" i="156" s="1"/>
  <c r="X351" i="159"/>
  <c r="Q354" i="156" s="1"/>
  <c r="X350" i="159"/>
  <c r="Q353" i="156" s="1"/>
  <c r="Q472" i="156" s="1"/>
  <c r="Y355" i="159"/>
  <c r="R358" i="156" s="1"/>
  <c r="Y354" i="159"/>
  <c r="R357" i="156" s="1"/>
  <c r="Y353" i="159"/>
  <c r="R356" i="156" s="1"/>
  <c r="Y352" i="159"/>
  <c r="R355" i="156" s="1"/>
  <c r="Y351" i="159"/>
  <c r="R354" i="156" s="1"/>
  <c r="Y350" i="159"/>
  <c r="R353" i="156" s="1"/>
  <c r="R472" i="156" s="1"/>
  <c r="Z355" i="159"/>
  <c r="S358" i="156" s="1"/>
  <c r="Z354" i="159"/>
  <c r="S357" i="156" s="1"/>
  <c r="Z353" i="159"/>
  <c r="S356" i="156" s="1"/>
  <c r="Z352" i="159"/>
  <c r="S355" i="156" s="1"/>
  <c r="Z351" i="159"/>
  <c r="S354" i="156" s="1"/>
  <c r="Z350" i="159"/>
  <c r="S353" i="156" s="1"/>
  <c r="S472" i="156" s="1"/>
  <c r="AA355" i="159"/>
  <c r="T358" i="156" s="1"/>
  <c r="AA354" i="159"/>
  <c r="T357" i="156" s="1"/>
  <c r="AA353" i="159"/>
  <c r="T356" i="156" s="1"/>
  <c r="AA352" i="159"/>
  <c r="T355" i="156" s="1"/>
  <c r="AA351" i="159"/>
  <c r="T354" i="156" s="1"/>
  <c r="AA350" i="159"/>
  <c r="T353" i="156" s="1"/>
  <c r="T472" i="156" s="1"/>
  <c r="AB355" i="159"/>
  <c r="U358" i="156" s="1"/>
  <c r="AB354" i="159"/>
  <c r="U357" i="156" s="1"/>
  <c r="AB353" i="159"/>
  <c r="U356" i="156" s="1"/>
  <c r="AB352" i="159"/>
  <c r="U355" i="156" s="1"/>
  <c r="AB351" i="159"/>
  <c r="U354" i="156" s="1"/>
  <c r="AB350" i="159"/>
  <c r="U353" i="156" s="1"/>
  <c r="U472" i="156" s="1"/>
  <c r="AC355" i="159"/>
  <c r="V358" i="156" s="1"/>
  <c r="AC354" i="159"/>
  <c r="V357" i="156" s="1"/>
  <c r="AC353" i="159"/>
  <c r="V356" i="156" s="1"/>
  <c r="AC352" i="159"/>
  <c r="V355" i="156" s="1"/>
  <c r="AC351" i="159"/>
  <c r="V354" i="156" s="1"/>
  <c r="AC350" i="159"/>
  <c r="V353" i="156" s="1"/>
  <c r="V472" i="156" s="1"/>
  <c r="AD355" i="159"/>
  <c r="W358" i="156" s="1"/>
  <c r="AD354" i="159"/>
  <c r="W357" i="156" s="1"/>
  <c r="AD353" i="159"/>
  <c r="W356" i="156" s="1"/>
  <c r="AD352" i="159"/>
  <c r="W355" i="156" s="1"/>
  <c r="AD351" i="159"/>
  <c r="W354" i="156" s="1"/>
  <c r="AD350" i="159"/>
  <c r="W353" i="156" s="1"/>
  <c r="W472" i="156" s="1"/>
  <c r="AE355" i="159"/>
  <c r="X358" i="156" s="1"/>
  <c r="AE354" i="159"/>
  <c r="X357" i="156" s="1"/>
  <c r="AE353" i="159"/>
  <c r="X356" i="156" s="1"/>
  <c r="AE352" i="159"/>
  <c r="X355" i="156" s="1"/>
  <c r="AE351" i="159"/>
  <c r="X354" i="156" s="1"/>
  <c r="AE350" i="159"/>
  <c r="X353" i="156" s="1"/>
  <c r="X472" i="156" s="1"/>
  <c r="AF355" i="159"/>
  <c r="Y358" i="156" s="1"/>
  <c r="AF354" i="159"/>
  <c r="Y357" i="156" s="1"/>
  <c r="AF353" i="159"/>
  <c r="Y356" i="156" s="1"/>
  <c r="AF352" i="159"/>
  <c r="Y355" i="156" s="1"/>
  <c r="AF351" i="159"/>
  <c r="Y354" i="156" s="1"/>
  <c r="AF350" i="159"/>
  <c r="Y353" i="156" s="1"/>
  <c r="Y472" i="156" s="1"/>
  <c r="AG355" i="159"/>
  <c r="Z358" i="156" s="1"/>
  <c r="AG354" i="159"/>
  <c r="Z357" i="156" s="1"/>
  <c r="AG353" i="159"/>
  <c r="Z356" i="156" s="1"/>
  <c r="AG352" i="159"/>
  <c r="Z355" i="156" s="1"/>
  <c r="AG351" i="159"/>
  <c r="Z354" i="156" s="1"/>
  <c r="AG350" i="159"/>
  <c r="Z353" i="156" s="1"/>
  <c r="Z472" i="156" s="1"/>
  <c r="AH355" i="159"/>
  <c r="AA358" i="156" s="1"/>
  <c r="AH354" i="159"/>
  <c r="AA357" i="156" s="1"/>
  <c r="AH353" i="159"/>
  <c r="AA356" i="156" s="1"/>
  <c r="AH352" i="159"/>
  <c r="AA355" i="156" s="1"/>
  <c r="AH351" i="159"/>
  <c r="AA354" i="156" s="1"/>
  <c r="AH350" i="159"/>
  <c r="AA353" i="156" s="1"/>
  <c r="AA472" i="156" s="1"/>
  <c r="AI355" i="159"/>
  <c r="AB358" i="156" s="1"/>
  <c r="AI354" i="159"/>
  <c r="AB357" i="156" s="1"/>
  <c r="AI353" i="159"/>
  <c r="AB356" i="156" s="1"/>
  <c r="AI352" i="159"/>
  <c r="AB355" i="156" s="1"/>
  <c r="AI351" i="159"/>
  <c r="AB354" i="156" s="1"/>
  <c r="AI350" i="159"/>
  <c r="AB353" i="156" s="1"/>
  <c r="AB472" i="156" s="1"/>
  <c r="AJ355" i="159"/>
  <c r="AC358" i="156" s="1"/>
  <c r="AJ354" i="159"/>
  <c r="AC357" i="156" s="1"/>
  <c r="AJ353" i="159"/>
  <c r="AC356" i="156" s="1"/>
  <c r="AJ352" i="159"/>
  <c r="AC355" i="156" s="1"/>
  <c r="AJ351" i="159"/>
  <c r="AC354" i="156" s="1"/>
  <c r="AJ350" i="159"/>
  <c r="AC353" i="156" s="1"/>
  <c r="AC472" i="156" s="1"/>
  <c r="AK355" i="159"/>
  <c r="AD358" i="156" s="1"/>
  <c r="AK354" i="159"/>
  <c r="AD357" i="156" s="1"/>
  <c r="AK353" i="159"/>
  <c r="AD356" i="156" s="1"/>
  <c r="AK352" i="159"/>
  <c r="AD355" i="156" s="1"/>
  <c r="AK351" i="159"/>
  <c r="AD354" i="156" s="1"/>
  <c r="AK350" i="159"/>
  <c r="AD353" i="156" s="1"/>
  <c r="AD472" i="156" s="1"/>
  <c r="AL355" i="159"/>
  <c r="AE358" i="156" s="1"/>
  <c r="AL354" i="159"/>
  <c r="AE357" i="156" s="1"/>
  <c r="AL353" i="159"/>
  <c r="AE356" i="156" s="1"/>
  <c r="AL352" i="159"/>
  <c r="AE355" i="156" s="1"/>
  <c r="AL351" i="159"/>
  <c r="AE354" i="156" s="1"/>
  <c r="AL350" i="159"/>
  <c r="AE353" i="156" s="1"/>
  <c r="AE472" i="156" s="1"/>
  <c r="AM355" i="159"/>
  <c r="AF358" i="156" s="1"/>
  <c r="AM354" i="159"/>
  <c r="AF357" i="156" s="1"/>
  <c r="AM353" i="159"/>
  <c r="AF356" i="156" s="1"/>
  <c r="AM352" i="159"/>
  <c r="AF355" i="156" s="1"/>
  <c r="AM351" i="159"/>
  <c r="AF354" i="156" s="1"/>
  <c r="AM350" i="159"/>
  <c r="AF353" i="156" s="1"/>
  <c r="AF472" i="156" s="1"/>
  <c r="AN355" i="159"/>
  <c r="AG358" i="156" s="1"/>
  <c r="AN354" i="159"/>
  <c r="AG357" i="156" s="1"/>
  <c r="AN353" i="159"/>
  <c r="AG356" i="156" s="1"/>
  <c r="AN352" i="159"/>
  <c r="AG355" i="156" s="1"/>
  <c r="AN351" i="159"/>
  <c r="AG354" i="156" s="1"/>
  <c r="AN350" i="159"/>
  <c r="AG353" i="156" s="1"/>
  <c r="AG472" i="156" s="1"/>
  <c r="N361" i="159"/>
  <c r="G364" i="156" s="1"/>
  <c r="N360" i="159"/>
  <c r="G363" i="156" s="1"/>
  <c r="N359" i="159"/>
  <c r="G362" i="156" s="1"/>
  <c r="N358" i="159"/>
  <c r="G361" i="156" s="1"/>
  <c r="N357" i="159"/>
  <c r="G360" i="156" s="1"/>
  <c r="N356" i="159"/>
  <c r="G359" i="156" s="1"/>
  <c r="G478" i="156" s="1"/>
  <c r="P356" i="159"/>
  <c r="I359" i="156" s="1"/>
  <c r="I478" i="156" s="1"/>
  <c r="P359" i="159"/>
  <c r="I362" i="156" s="1"/>
  <c r="P357" i="159"/>
  <c r="I360" i="156" s="1"/>
  <c r="Q361" i="159"/>
  <c r="J364" i="156" s="1"/>
  <c r="Q360" i="159"/>
  <c r="J363" i="156" s="1"/>
  <c r="Q359" i="159"/>
  <c r="J362" i="156" s="1"/>
  <c r="Q358" i="159"/>
  <c r="J361" i="156" s="1"/>
  <c r="Q357" i="159"/>
  <c r="J360" i="156" s="1"/>
  <c r="Q356" i="159"/>
  <c r="J359" i="156" s="1"/>
  <c r="J478" i="156" s="1"/>
  <c r="R361" i="159"/>
  <c r="K364" i="156" s="1"/>
  <c r="R360" i="159"/>
  <c r="K363" i="156" s="1"/>
  <c r="R359" i="159"/>
  <c r="K362" i="156" s="1"/>
  <c r="R358" i="159"/>
  <c r="K361" i="156" s="1"/>
  <c r="R357" i="159"/>
  <c r="K360" i="156" s="1"/>
  <c r="R356" i="159"/>
  <c r="K359" i="156" s="1"/>
  <c r="K478" i="156" s="1"/>
  <c r="S361" i="159"/>
  <c r="L364" i="156" s="1"/>
  <c r="S360" i="159"/>
  <c r="L363" i="156" s="1"/>
  <c r="S359" i="159"/>
  <c r="L362" i="156" s="1"/>
  <c r="S358" i="159"/>
  <c r="L361" i="156" s="1"/>
  <c r="S357" i="159"/>
  <c r="L360" i="156" s="1"/>
  <c r="S356" i="159"/>
  <c r="L359" i="156" s="1"/>
  <c r="L478" i="156" s="1"/>
  <c r="T361" i="159"/>
  <c r="M364" i="156" s="1"/>
  <c r="T360" i="159"/>
  <c r="M363" i="156" s="1"/>
  <c r="T359" i="159"/>
  <c r="M362" i="156" s="1"/>
  <c r="T358" i="159"/>
  <c r="M361" i="156" s="1"/>
  <c r="T357" i="159"/>
  <c r="M360" i="156" s="1"/>
  <c r="T356" i="159"/>
  <c r="M359" i="156" s="1"/>
  <c r="M478" i="156" s="1"/>
  <c r="U361" i="159"/>
  <c r="N364" i="156" s="1"/>
  <c r="U360" i="159"/>
  <c r="N363" i="156" s="1"/>
  <c r="U359" i="159"/>
  <c r="N362" i="156" s="1"/>
  <c r="U358" i="159"/>
  <c r="N361" i="156" s="1"/>
  <c r="U357" i="159"/>
  <c r="N360" i="156" s="1"/>
  <c r="U356" i="159"/>
  <c r="N359" i="156" s="1"/>
  <c r="N478" i="156" s="1"/>
  <c r="V361" i="159"/>
  <c r="O364" i="156" s="1"/>
  <c r="V360" i="159"/>
  <c r="O363" i="156" s="1"/>
  <c r="V359" i="159"/>
  <c r="O362" i="156" s="1"/>
  <c r="V358" i="159"/>
  <c r="O361" i="156" s="1"/>
  <c r="V357" i="159"/>
  <c r="O360" i="156" s="1"/>
  <c r="V356" i="159"/>
  <c r="O359" i="156" s="1"/>
  <c r="O478" i="156" s="1"/>
  <c r="W361" i="159"/>
  <c r="P364" i="156" s="1"/>
  <c r="W360" i="159"/>
  <c r="P363" i="156" s="1"/>
  <c r="W359" i="159"/>
  <c r="P362" i="156" s="1"/>
  <c r="W358" i="159"/>
  <c r="P361" i="156" s="1"/>
  <c r="W357" i="159"/>
  <c r="P360" i="156" s="1"/>
  <c r="W356" i="159"/>
  <c r="P359" i="156" s="1"/>
  <c r="P478" i="156" s="1"/>
  <c r="X361" i="159"/>
  <c r="Q364" i="156" s="1"/>
  <c r="X360" i="159"/>
  <c r="Q363" i="156" s="1"/>
  <c r="X359" i="159"/>
  <c r="Q362" i="156" s="1"/>
  <c r="X358" i="159"/>
  <c r="Q361" i="156" s="1"/>
  <c r="X357" i="159"/>
  <c r="Q360" i="156" s="1"/>
  <c r="X356" i="159"/>
  <c r="Q359" i="156" s="1"/>
  <c r="Q478" i="156" s="1"/>
  <c r="Y361" i="159"/>
  <c r="R364" i="156" s="1"/>
  <c r="Y360" i="159"/>
  <c r="R363" i="156" s="1"/>
  <c r="Y359" i="159"/>
  <c r="R362" i="156" s="1"/>
  <c r="Y358" i="159"/>
  <c r="R361" i="156" s="1"/>
  <c r="Y357" i="159"/>
  <c r="R360" i="156" s="1"/>
  <c r="Y356" i="159"/>
  <c r="R359" i="156" s="1"/>
  <c r="R478" i="156" s="1"/>
  <c r="Z361" i="159"/>
  <c r="S364" i="156" s="1"/>
  <c r="Z360" i="159"/>
  <c r="S363" i="156" s="1"/>
  <c r="Z359" i="159"/>
  <c r="S362" i="156" s="1"/>
  <c r="Z358" i="159"/>
  <c r="S361" i="156" s="1"/>
  <c r="Z357" i="159"/>
  <c r="S360" i="156" s="1"/>
  <c r="Z356" i="159"/>
  <c r="S359" i="156" s="1"/>
  <c r="S478" i="156" s="1"/>
  <c r="AA361" i="159"/>
  <c r="T364" i="156" s="1"/>
  <c r="AA360" i="159"/>
  <c r="T363" i="156" s="1"/>
  <c r="AA359" i="159"/>
  <c r="T362" i="156" s="1"/>
  <c r="AA358" i="159"/>
  <c r="T361" i="156" s="1"/>
  <c r="AA357" i="159"/>
  <c r="T360" i="156" s="1"/>
  <c r="AA356" i="159"/>
  <c r="T359" i="156" s="1"/>
  <c r="T478" i="156" s="1"/>
  <c r="AB361" i="159"/>
  <c r="U364" i="156" s="1"/>
  <c r="AB360" i="159"/>
  <c r="U363" i="156" s="1"/>
  <c r="AB359" i="159"/>
  <c r="U362" i="156" s="1"/>
  <c r="AB358" i="159"/>
  <c r="U361" i="156" s="1"/>
  <c r="AB357" i="159"/>
  <c r="U360" i="156" s="1"/>
  <c r="AB356" i="159"/>
  <c r="U359" i="156" s="1"/>
  <c r="U478" i="156" s="1"/>
  <c r="AC361" i="159"/>
  <c r="V364" i="156" s="1"/>
  <c r="AC360" i="159"/>
  <c r="V363" i="156" s="1"/>
  <c r="AC359" i="159"/>
  <c r="V362" i="156" s="1"/>
  <c r="AC358" i="159"/>
  <c r="V361" i="156" s="1"/>
  <c r="AC357" i="159"/>
  <c r="V360" i="156" s="1"/>
  <c r="AC356" i="159"/>
  <c r="V359" i="156" s="1"/>
  <c r="V478" i="156" s="1"/>
  <c r="AD361" i="159"/>
  <c r="W364" i="156" s="1"/>
  <c r="AD360" i="159"/>
  <c r="W363" i="156" s="1"/>
  <c r="AD359" i="159"/>
  <c r="W362" i="156" s="1"/>
  <c r="AD358" i="159"/>
  <c r="W361" i="156" s="1"/>
  <c r="AD357" i="159"/>
  <c r="W360" i="156" s="1"/>
  <c r="AD356" i="159"/>
  <c r="W359" i="156" s="1"/>
  <c r="W478" i="156" s="1"/>
  <c r="AE361" i="159"/>
  <c r="X364" i="156" s="1"/>
  <c r="AE360" i="159"/>
  <c r="X363" i="156" s="1"/>
  <c r="AE359" i="159"/>
  <c r="X362" i="156" s="1"/>
  <c r="AE358" i="159"/>
  <c r="X361" i="156" s="1"/>
  <c r="AE357" i="159"/>
  <c r="X360" i="156" s="1"/>
  <c r="AE356" i="159"/>
  <c r="X359" i="156" s="1"/>
  <c r="X478" i="156" s="1"/>
  <c r="AF361" i="159"/>
  <c r="Y364" i="156" s="1"/>
  <c r="AF360" i="159"/>
  <c r="Y363" i="156" s="1"/>
  <c r="AF359" i="159"/>
  <c r="Y362" i="156" s="1"/>
  <c r="AF358" i="159"/>
  <c r="Y361" i="156" s="1"/>
  <c r="AF357" i="159"/>
  <c r="Y360" i="156" s="1"/>
  <c r="AF356" i="159"/>
  <c r="Y359" i="156" s="1"/>
  <c r="Y478" i="156" s="1"/>
  <c r="AG361" i="159"/>
  <c r="Z364" i="156" s="1"/>
  <c r="AG360" i="159"/>
  <c r="Z363" i="156" s="1"/>
  <c r="AG359" i="159"/>
  <c r="Z362" i="156" s="1"/>
  <c r="AG358" i="159"/>
  <c r="Z361" i="156" s="1"/>
  <c r="AG357" i="159"/>
  <c r="Z360" i="156" s="1"/>
  <c r="AG356" i="159"/>
  <c r="Z359" i="156" s="1"/>
  <c r="Z478" i="156" s="1"/>
  <c r="AH361" i="159"/>
  <c r="AA364" i="156" s="1"/>
  <c r="AH360" i="159"/>
  <c r="AA363" i="156" s="1"/>
  <c r="AH359" i="159"/>
  <c r="AA362" i="156" s="1"/>
  <c r="AH358" i="159"/>
  <c r="AA361" i="156" s="1"/>
  <c r="AH357" i="159"/>
  <c r="AA360" i="156" s="1"/>
  <c r="AH356" i="159"/>
  <c r="AA359" i="156" s="1"/>
  <c r="AA478" i="156" s="1"/>
  <c r="AI361" i="159"/>
  <c r="AB364" i="156" s="1"/>
  <c r="AI360" i="159"/>
  <c r="AB363" i="156" s="1"/>
  <c r="AI359" i="159"/>
  <c r="AB362" i="156" s="1"/>
  <c r="AI358" i="159"/>
  <c r="AB361" i="156" s="1"/>
  <c r="AI357" i="159"/>
  <c r="AB360" i="156" s="1"/>
  <c r="AI356" i="159"/>
  <c r="AB359" i="156" s="1"/>
  <c r="AB478" i="156" s="1"/>
  <c r="AJ361" i="159"/>
  <c r="AC364" i="156" s="1"/>
  <c r="AJ360" i="159"/>
  <c r="AC363" i="156" s="1"/>
  <c r="AJ359" i="159"/>
  <c r="AC362" i="156" s="1"/>
  <c r="AJ358" i="159"/>
  <c r="AC361" i="156" s="1"/>
  <c r="AJ357" i="159"/>
  <c r="AC360" i="156" s="1"/>
  <c r="AJ356" i="159"/>
  <c r="AC359" i="156" s="1"/>
  <c r="AC478" i="156" s="1"/>
  <c r="AK361" i="159"/>
  <c r="AD364" i="156" s="1"/>
  <c r="AK360" i="159"/>
  <c r="AD363" i="156" s="1"/>
  <c r="AK359" i="159"/>
  <c r="AD362" i="156" s="1"/>
  <c r="AK358" i="159"/>
  <c r="AD361" i="156" s="1"/>
  <c r="AK357" i="159"/>
  <c r="AD360" i="156" s="1"/>
  <c r="AK356" i="159"/>
  <c r="AD359" i="156" s="1"/>
  <c r="AD478" i="156" s="1"/>
  <c r="AL361" i="159"/>
  <c r="AE364" i="156" s="1"/>
  <c r="AL360" i="159"/>
  <c r="AE363" i="156" s="1"/>
  <c r="AL359" i="159"/>
  <c r="AE362" i="156" s="1"/>
  <c r="AL358" i="159"/>
  <c r="AE361" i="156" s="1"/>
  <c r="AL357" i="159"/>
  <c r="AE360" i="156" s="1"/>
  <c r="AL356" i="159"/>
  <c r="AE359" i="156" s="1"/>
  <c r="AE478" i="156" s="1"/>
  <c r="AM361" i="159"/>
  <c r="AF364" i="156" s="1"/>
  <c r="AM360" i="159"/>
  <c r="AF363" i="156" s="1"/>
  <c r="AM359" i="159"/>
  <c r="AF362" i="156" s="1"/>
  <c r="AM358" i="159"/>
  <c r="AF361" i="156" s="1"/>
  <c r="AM357" i="159"/>
  <c r="AF360" i="156" s="1"/>
  <c r="AM356" i="159"/>
  <c r="AF359" i="156" s="1"/>
  <c r="AF478" i="156" s="1"/>
  <c r="AN361" i="159"/>
  <c r="AG364" i="156" s="1"/>
  <c r="AN360" i="159"/>
  <c r="AG363" i="156" s="1"/>
  <c r="AN359" i="159"/>
  <c r="AG362" i="156" s="1"/>
  <c r="AN358" i="159"/>
  <c r="AG361" i="156" s="1"/>
  <c r="AN357" i="159"/>
  <c r="AG360" i="156" s="1"/>
  <c r="AN356" i="159"/>
  <c r="AG359" i="156" s="1"/>
  <c r="AG478" i="156" s="1"/>
  <c r="N367" i="159"/>
  <c r="G370" i="156" s="1"/>
  <c r="N366" i="159"/>
  <c r="G369" i="156" s="1"/>
  <c r="N365" i="159"/>
  <c r="G368" i="156" s="1"/>
  <c r="N364" i="159"/>
  <c r="G367" i="156" s="1"/>
  <c r="N363" i="159"/>
  <c r="G366" i="156" s="1"/>
  <c r="N362" i="159"/>
  <c r="G365" i="156" s="1"/>
  <c r="G484" i="156" s="1"/>
  <c r="O366" i="159"/>
  <c r="H369" i="156" s="1"/>
  <c r="O367" i="159"/>
  <c r="H370" i="156" s="1"/>
  <c r="O363" i="159"/>
  <c r="H366" i="156" s="1"/>
  <c r="Q367" i="159"/>
  <c r="J370" i="156" s="1"/>
  <c r="Q366" i="159"/>
  <c r="J369" i="156" s="1"/>
  <c r="Q365" i="159"/>
  <c r="J368" i="156" s="1"/>
  <c r="Q364" i="159"/>
  <c r="J367" i="156" s="1"/>
  <c r="Q363" i="159"/>
  <c r="J366" i="156" s="1"/>
  <c r="Q362" i="159"/>
  <c r="J365" i="156" s="1"/>
  <c r="J484" i="156" s="1"/>
  <c r="R367" i="159"/>
  <c r="K370" i="156" s="1"/>
  <c r="R366" i="159"/>
  <c r="K369" i="156" s="1"/>
  <c r="R365" i="159"/>
  <c r="K368" i="156" s="1"/>
  <c r="R364" i="159"/>
  <c r="K367" i="156" s="1"/>
  <c r="R363" i="159"/>
  <c r="K366" i="156" s="1"/>
  <c r="R362" i="159"/>
  <c r="K365" i="156" s="1"/>
  <c r="K484" i="156" s="1"/>
  <c r="S367" i="159"/>
  <c r="L370" i="156" s="1"/>
  <c r="S366" i="159"/>
  <c r="L369" i="156" s="1"/>
  <c r="S365" i="159"/>
  <c r="L368" i="156" s="1"/>
  <c r="S364" i="159"/>
  <c r="L367" i="156" s="1"/>
  <c r="S363" i="159"/>
  <c r="L366" i="156" s="1"/>
  <c r="S362" i="159"/>
  <c r="L365" i="156" s="1"/>
  <c r="L484" i="156" s="1"/>
  <c r="T367" i="159"/>
  <c r="M370" i="156" s="1"/>
  <c r="T366" i="159"/>
  <c r="M369" i="156" s="1"/>
  <c r="T365" i="159"/>
  <c r="M368" i="156" s="1"/>
  <c r="T364" i="159"/>
  <c r="M367" i="156" s="1"/>
  <c r="T363" i="159"/>
  <c r="M366" i="156" s="1"/>
  <c r="T362" i="159"/>
  <c r="M365" i="156" s="1"/>
  <c r="M484" i="156" s="1"/>
  <c r="U367" i="159"/>
  <c r="N370" i="156" s="1"/>
  <c r="U366" i="159"/>
  <c r="N369" i="156" s="1"/>
  <c r="U365" i="159"/>
  <c r="N368" i="156" s="1"/>
  <c r="U364" i="159"/>
  <c r="N367" i="156" s="1"/>
  <c r="U363" i="159"/>
  <c r="N366" i="156" s="1"/>
  <c r="U362" i="159"/>
  <c r="N365" i="156" s="1"/>
  <c r="N484" i="156" s="1"/>
  <c r="V367" i="159"/>
  <c r="O370" i="156" s="1"/>
  <c r="V366" i="159"/>
  <c r="O369" i="156" s="1"/>
  <c r="V365" i="159"/>
  <c r="O368" i="156" s="1"/>
  <c r="V364" i="159"/>
  <c r="O367" i="156" s="1"/>
  <c r="V363" i="159"/>
  <c r="O366" i="156" s="1"/>
  <c r="V362" i="159"/>
  <c r="O365" i="156" s="1"/>
  <c r="O484" i="156" s="1"/>
  <c r="W367" i="159"/>
  <c r="P370" i="156" s="1"/>
  <c r="W366" i="159"/>
  <c r="P369" i="156" s="1"/>
  <c r="W365" i="159"/>
  <c r="P368" i="156" s="1"/>
  <c r="W364" i="159"/>
  <c r="P367" i="156" s="1"/>
  <c r="W363" i="159"/>
  <c r="P366" i="156" s="1"/>
  <c r="W362" i="159"/>
  <c r="P365" i="156" s="1"/>
  <c r="P484" i="156" s="1"/>
  <c r="X367" i="159"/>
  <c r="Q370" i="156" s="1"/>
  <c r="X366" i="159"/>
  <c r="Q369" i="156" s="1"/>
  <c r="X365" i="159"/>
  <c r="Q368" i="156" s="1"/>
  <c r="X364" i="159"/>
  <c r="Q367" i="156" s="1"/>
  <c r="X363" i="159"/>
  <c r="Q366" i="156" s="1"/>
  <c r="X362" i="159"/>
  <c r="Q365" i="156" s="1"/>
  <c r="Q484" i="156" s="1"/>
  <c r="Y367" i="159"/>
  <c r="R370" i="156" s="1"/>
  <c r="Y366" i="159"/>
  <c r="R369" i="156" s="1"/>
  <c r="Y365" i="159"/>
  <c r="R368" i="156" s="1"/>
  <c r="Y364" i="159"/>
  <c r="R367" i="156" s="1"/>
  <c r="Y363" i="159"/>
  <c r="R366" i="156" s="1"/>
  <c r="Y362" i="159"/>
  <c r="R365" i="156" s="1"/>
  <c r="R484" i="156" s="1"/>
  <c r="Z367" i="159"/>
  <c r="S370" i="156" s="1"/>
  <c r="Z366" i="159"/>
  <c r="S369" i="156" s="1"/>
  <c r="Z365" i="159"/>
  <c r="S368" i="156" s="1"/>
  <c r="Z364" i="159"/>
  <c r="S367" i="156" s="1"/>
  <c r="Z363" i="159"/>
  <c r="S366" i="156" s="1"/>
  <c r="Z362" i="159"/>
  <c r="S365" i="156" s="1"/>
  <c r="S484" i="156" s="1"/>
  <c r="AA367" i="159"/>
  <c r="T370" i="156" s="1"/>
  <c r="AA366" i="159"/>
  <c r="T369" i="156" s="1"/>
  <c r="AA365" i="159"/>
  <c r="T368" i="156" s="1"/>
  <c r="AA364" i="159"/>
  <c r="T367" i="156" s="1"/>
  <c r="AA363" i="159"/>
  <c r="T366" i="156" s="1"/>
  <c r="AA362" i="159"/>
  <c r="T365" i="156" s="1"/>
  <c r="T484" i="156" s="1"/>
  <c r="AB367" i="159"/>
  <c r="U370" i="156" s="1"/>
  <c r="AB366" i="159"/>
  <c r="U369" i="156" s="1"/>
  <c r="AB365" i="159"/>
  <c r="U368" i="156" s="1"/>
  <c r="AB364" i="159"/>
  <c r="U367" i="156" s="1"/>
  <c r="AB363" i="159"/>
  <c r="U366" i="156" s="1"/>
  <c r="AB362" i="159"/>
  <c r="U365" i="156" s="1"/>
  <c r="U484" i="156" s="1"/>
  <c r="AC367" i="159"/>
  <c r="V370" i="156" s="1"/>
  <c r="AC366" i="159"/>
  <c r="V369" i="156" s="1"/>
  <c r="AC365" i="159"/>
  <c r="V368" i="156" s="1"/>
  <c r="AC364" i="159"/>
  <c r="V367" i="156" s="1"/>
  <c r="AC363" i="159"/>
  <c r="V366" i="156" s="1"/>
  <c r="AC362" i="159"/>
  <c r="V365" i="156" s="1"/>
  <c r="V484" i="156" s="1"/>
  <c r="AD367" i="159"/>
  <c r="W370" i="156" s="1"/>
  <c r="AD366" i="159"/>
  <c r="W369" i="156" s="1"/>
  <c r="AD365" i="159"/>
  <c r="W368" i="156" s="1"/>
  <c r="AD364" i="159"/>
  <c r="W367" i="156" s="1"/>
  <c r="AD363" i="159"/>
  <c r="W366" i="156" s="1"/>
  <c r="AD362" i="159"/>
  <c r="W365" i="156" s="1"/>
  <c r="W484" i="156" s="1"/>
  <c r="AE367" i="159"/>
  <c r="X370" i="156" s="1"/>
  <c r="AE366" i="159"/>
  <c r="X369" i="156" s="1"/>
  <c r="AE365" i="159"/>
  <c r="X368" i="156" s="1"/>
  <c r="AE364" i="159"/>
  <c r="X367" i="156" s="1"/>
  <c r="AE363" i="159"/>
  <c r="X366" i="156" s="1"/>
  <c r="AE362" i="159"/>
  <c r="X365" i="156" s="1"/>
  <c r="X484" i="156" s="1"/>
  <c r="AF367" i="159"/>
  <c r="Y370" i="156" s="1"/>
  <c r="AF366" i="159"/>
  <c r="Y369" i="156" s="1"/>
  <c r="AF365" i="159"/>
  <c r="Y368" i="156" s="1"/>
  <c r="AF364" i="159"/>
  <c r="Y367" i="156" s="1"/>
  <c r="AF363" i="159"/>
  <c r="Y366" i="156" s="1"/>
  <c r="AF362" i="159"/>
  <c r="Y365" i="156" s="1"/>
  <c r="Y484" i="156" s="1"/>
  <c r="AG367" i="159"/>
  <c r="Z370" i="156" s="1"/>
  <c r="AG366" i="159"/>
  <c r="Z369" i="156" s="1"/>
  <c r="AG365" i="159"/>
  <c r="Z368" i="156" s="1"/>
  <c r="AG364" i="159"/>
  <c r="Z367" i="156" s="1"/>
  <c r="AG363" i="159"/>
  <c r="Z366" i="156" s="1"/>
  <c r="AG362" i="159"/>
  <c r="Z365" i="156" s="1"/>
  <c r="Z484" i="156" s="1"/>
  <c r="AH367" i="159"/>
  <c r="AA370" i="156" s="1"/>
  <c r="AH366" i="159"/>
  <c r="AA369" i="156" s="1"/>
  <c r="AH365" i="159"/>
  <c r="AA368" i="156" s="1"/>
  <c r="AH364" i="159"/>
  <c r="AA367" i="156" s="1"/>
  <c r="AH363" i="159"/>
  <c r="AA366" i="156" s="1"/>
  <c r="AH362" i="159"/>
  <c r="AA365" i="156" s="1"/>
  <c r="AA484" i="156" s="1"/>
  <c r="AI367" i="159"/>
  <c r="AB370" i="156" s="1"/>
  <c r="AI366" i="159"/>
  <c r="AB369" i="156" s="1"/>
  <c r="AI365" i="159"/>
  <c r="AB368" i="156" s="1"/>
  <c r="AI364" i="159"/>
  <c r="AB367" i="156" s="1"/>
  <c r="AI363" i="159"/>
  <c r="AB366" i="156" s="1"/>
  <c r="AI362" i="159"/>
  <c r="AB365" i="156" s="1"/>
  <c r="AB484" i="156" s="1"/>
  <c r="AJ367" i="159"/>
  <c r="AC370" i="156" s="1"/>
  <c r="AJ366" i="159"/>
  <c r="AC369" i="156" s="1"/>
  <c r="AJ365" i="159"/>
  <c r="AC368" i="156" s="1"/>
  <c r="AJ364" i="159"/>
  <c r="AC367" i="156" s="1"/>
  <c r="AJ363" i="159"/>
  <c r="AC366" i="156" s="1"/>
  <c r="AJ362" i="159"/>
  <c r="AC365" i="156" s="1"/>
  <c r="AC484" i="156" s="1"/>
  <c r="AK367" i="159"/>
  <c r="AD370" i="156" s="1"/>
  <c r="AK366" i="159"/>
  <c r="AD369" i="156" s="1"/>
  <c r="AK365" i="159"/>
  <c r="AD368" i="156" s="1"/>
  <c r="AK364" i="159"/>
  <c r="AD367" i="156" s="1"/>
  <c r="AK363" i="159"/>
  <c r="AD366" i="156" s="1"/>
  <c r="AK362" i="159"/>
  <c r="AD365" i="156" s="1"/>
  <c r="AD484" i="156" s="1"/>
  <c r="AL367" i="159"/>
  <c r="AE370" i="156" s="1"/>
  <c r="AL366" i="159"/>
  <c r="AE369" i="156" s="1"/>
  <c r="AL365" i="159"/>
  <c r="AE368" i="156" s="1"/>
  <c r="AL364" i="159"/>
  <c r="AE367" i="156" s="1"/>
  <c r="AL363" i="159"/>
  <c r="AE366" i="156" s="1"/>
  <c r="AL362" i="159"/>
  <c r="AE365" i="156" s="1"/>
  <c r="AE484" i="156" s="1"/>
  <c r="AM367" i="159"/>
  <c r="AF370" i="156" s="1"/>
  <c r="AM366" i="159"/>
  <c r="AF369" i="156" s="1"/>
  <c r="AM365" i="159"/>
  <c r="AF368" i="156" s="1"/>
  <c r="AM364" i="159"/>
  <c r="AF367" i="156" s="1"/>
  <c r="AM363" i="159"/>
  <c r="AF366" i="156" s="1"/>
  <c r="AM362" i="159"/>
  <c r="AF365" i="156" s="1"/>
  <c r="AF484" i="156" s="1"/>
  <c r="AN367" i="159"/>
  <c r="AG370" i="156" s="1"/>
  <c r="AN366" i="159"/>
  <c r="AG369" i="156" s="1"/>
  <c r="AN365" i="159"/>
  <c r="AG368" i="156" s="1"/>
  <c r="AN364" i="159"/>
  <c r="AG367" i="156" s="1"/>
  <c r="AN363" i="159"/>
  <c r="AG366" i="156" s="1"/>
  <c r="AN362" i="159"/>
  <c r="AG365" i="156" s="1"/>
  <c r="AG484" i="156" s="1"/>
  <c r="N373" i="159"/>
  <c r="G376" i="156" s="1"/>
  <c r="N372" i="159"/>
  <c r="G375" i="156" s="1"/>
  <c r="N371" i="159"/>
  <c r="G374" i="156" s="1"/>
  <c r="N370" i="159"/>
  <c r="G373" i="156" s="1"/>
  <c r="N369" i="159"/>
  <c r="G372" i="156" s="1"/>
  <c r="N368" i="159"/>
  <c r="G371" i="156" s="1"/>
  <c r="G490" i="156" s="1"/>
  <c r="P368" i="159"/>
  <c r="I371" i="156" s="1"/>
  <c r="I490" i="156" s="1"/>
  <c r="P371" i="159"/>
  <c r="I374" i="156" s="1"/>
  <c r="Q373" i="159"/>
  <c r="J376" i="156" s="1"/>
  <c r="Q372" i="159"/>
  <c r="J375" i="156" s="1"/>
  <c r="Q371" i="159"/>
  <c r="J374" i="156" s="1"/>
  <c r="Q370" i="159"/>
  <c r="J373" i="156" s="1"/>
  <c r="Q369" i="159"/>
  <c r="J372" i="156" s="1"/>
  <c r="Q368" i="159"/>
  <c r="J371" i="156" s="1"/>
  <c r="J490" i="156" s="1"/>
  <c r="R373" i="159"/>
  <c r="K376" i="156" s="1"/>
  <c r="R372" i="159"/>
  <c r="K375" i="156" s="1"/>
  <c r="R371" i="159"/>
  <c r="K374" i="156" s="1"/>
  <c r="R370" i="159"/>
  <c r="K373" i="156" s="1"/>
  <c r="R369" i="159"/>
  <c r="K372" i="156" s="1"/>
  <c r="R368" i="159"/>
  <c r="K371" i="156" s="1"/>
  <c r="K490" i="156" s="1"/>
  <c r="S373" i="159"/>
  <c r="L376" i="156" s="1"/>
  <c r="S372" i="159"/>
  <c r="L375" i="156" s="1"/>
  <c r="S371" i="159"/>
  <c r="L374" i="156" s="1"/>
  <c r="S370" i="159"/>
  <c r="L373" i="156" s="1"/>
  <c r="S369" i="159"/>
  <c r="L372" i="156" s="1"/>
  <c r="S368" i="159"/>
  <c r="L371" i="156" s="1"/>
  <c r="L490" i="156" s="1"/>
  <c r="T373" i="159"/>
  <c r="M376" i="156" s="1"/>
  <c r="T372" i="159"/>
  <c r="M375" i="156" s="1"/>
  <c r="T371" i="159"/>
  <c r="M374" i="156" s="1"/>
  <c r="T370" i="159"/>
  <c r="M373" i="156" s="1"/>
  <c r="T369" i="159"/>
  <c r="M372" i="156" s="1"/>
  <c r="T368" i="159"/>
  <c r="M371" i="156" s="1"/>
  <c r="M490" i="156" s="1"/>
  <c r="U373" i="159"/>
  <c r="N376" i="156" s="1"/>
  <c r="U372" i="159"/>
  <c r="N375" i="156" s="1"/>
  <c r="U371" i="159"/>
  <c r="N374" i="156" s="1"/>
  <c r="U370" i="159"/>
  <c r="N373" i="156" s="1"/>
  <c r="U369" i="159"/>
  <c r="N372" i="156" s="1"/>
  <c r="U368" i="159"/>
  <c r="N371" i="156" s="1"/>
  <c r="N490" i="156" s="1"/>
  <c r="V373" i="159"/>
  <c r="O376" i="156" s="1"/>
  <c r="V372" i="159"/>
  <c r="O375" i="156" s="1"/>
  <c r="V371" i="159"/>
  <c r="O374" i="156" s="1"/>
  <c r="V370" i="159"/>
  <c r="O373" i="156" s="1"/>
  <c r="V369" i="159"/>
  <c r="O372" i="156" s="1"/>
  <c r="V368" i="159"/>
  <c r="O371" i="156" s="1"/>
  <c r="O490" i="156" s="1"/>
  <c r="W373" i="159"/>
  <c r="P376" i="156" s="1"/>
  <c r="W372" i="159"/>
  <c r="P375" i="156" s="1"/>
  <c r="W371" i="159"/>
  <c r="P374" i="156" s="1"/>
  <c r="W370" i="159"/>
  <c r="P373" i="156" s="1"/>
  <c r="W369" i="159"/>
  <c r="P372" i="156" s="1"/>
  <c r="W368" i="159"/>
  <c r="P371" i="156" s="1"/>
  <c r="P490" i="156" s="1"/>
  <c r="X373" i="159"/>
  <c r="Q376" i="156" s="1"/>
  <c r="X372" i="159"/>
  <c r="Q375" i="156" s="1"/>
  <c r="X371" i="159"/>
  <c r="Q374" i="156" s="1"/>
  <c r="X370" i="159"/>
  <c r="Q373" i="156" s="1"/>
  <c r="X369" i="159"/>
  <c r="Q372" i="156" s="1"/>
  <c r="X368" i="159"/>
  <c r="Q371" i="156" s="1"/>
  <c r="Q490" i="156" s="1"/>
  <c r="Y373" i="159"/>
  <c r="R376" i="156" s="1"/>
  <c r="Y372" i="159"/>
  <c r="R375" i="156" s="1"/>
  <c r="Y371" i="159"/>
  <c r="R374" i="156" s="1"/>
  <c r="Y370" i="159"/>
  <c r="R373" i="156" s="1"/>
  <c r="Y369" i="159"/>
  <c r="R372" i="156" s="1"/>
  <c r="Y368" i="159"/>
  <c r="R371" i="156" s="1"/>
  <c r="R490" i="156" s="1"/>
  <c r="Z373" i="159"/>
  <c r="S376" i="156" s="1"/>
  <c r="Z372" i="159"/>
  <c r="S375" i="156" s="1"/>
  <c r="Z371" i="159"/>
  <c r="S374" i="156" s="1"/>
  <c r="Z370" i="159"/>
  <c r="S373" i="156" s="1"/>
  <c r="Z369" i="159"/>
  <c r="S372" i="156" s="1"/>
  <c r="Z368" i="159"/>
  <c r="S371" i="156" s="1"/>
  <c r="S490" i="156" s="1"/>
  <c r="AA373" i="159"/>
  <c r="T376" i="156" s="1"/>
  <c r="AA372" i="159"/>
  <c r="T375" i="156" s="1"/>
  <c r="AA371" i="159"/>
  <c r="T374" i="156" s="1"/>
  <c r="AA370" i="159"/>
  <c r="T373" i="156" s="1"/>
  <c r="AA369" i="159"/>
  <c r="T372" i="156" s="1"/>
  <c r="AA368" i="159"/>
  <c r="T371" i="156" s="1"/>
  <c r="T490" i="156" s="1"/>
  <c r="AB373" i="159"/>
  <c r="U376" i="156" s="1"/>
  <c r="AB372" i="159"/>
  <c r="U375" i="156" s="1"/>
  <c r="AB371" i="159"/>
  <c r="U374" i="156" s="1"/>
  <c r="AB370" i="159"/>
  <c r="U373" i="156" s="1"/>
  <c r="AB369" i="159"/>
  <c r="U372" i="156" s="1"/>
  <c r="AB368" i="159"/>
  <c r="U371" i="156" s="1"/>
  <c r="U490" i="156" s="1"/>
  <c r="AC373" i="159"/>
  <c r="V376" i="156" s="1"/>
  <c r="AC372" i="159"/>
  <c r="V375" i="156" s="1"/>
  <c r="AC371" i="159"/>
  <c r="V374" i="156" s="1"/>
  <c r="AC370" i="159"/>
  <c r="V373" i="156" s="1"/>
  <c r="AC369" i="159"/>
  <c r="V372" i="156" s="1"/>
  <c r="AC368" i="159"/>
  <c r="V371" i="156" s="1"/>
  <c r="V490" i="156" s="1"/>
  <c r="AD373" i="159"/>
  <c r="W376" i="156" s="1"/>
  <c r="AD372" i="159"/>
  <c r="W375" i="156" s="1"/>
  <c r="AD371" i="159"/>
  <c r="W374" i="156" s="1"/>
  <c r="AD370" i="159"/>
  <c r="W373" i="156" s="1"/>
  <c r="AD369" i="159"/>
  <c r="W372" i="156" s="1"/>
  <c r="AD368" i="159"/>
  <c r="W371" i="156" s="1"/>
  <c r="W490" i="156" s="1"/>
  <c r="AE373" i="159"/>
  <c r="X376" i="156" s="1"/>
  <c r="AE372" i="159"/>
  <c r="X375" i="156" s="1"/>
  <c r="AE371" i="159"/>
  <c r="X374" i="156" s="1"/>
  <c r="AE370" i="159"/>
  <c r="X373" i="156" s="1"/>
  <c r="AE369" i="159"/>
  <c r="X372" i="156" s="1"/>
  <c r="AE368" i="159"/>
  <c r="X371" i="156" s="1"/>
  <c r="X490" i="156" s="1"/>
  <c r="AF373" i="159"/>
  <c r="Y376" i="156" s="1"/>
  <c r="AF372" i="159"/>
  <c r="Y375" i="156" s="1"/>
  <c r="AF371" i="159"/>
  <c r="Y374" i="156" s="1"/>
  <c r="AF370" i="159"/>
  <c r="Y373" i="156" s="1"/>
  <c r="AF369" i="159"/>
  <c r="Y372" i="156" s="1"/>
  <c r="AF368" i="159"/>
  <c r="Y371" i="156" s="1"/>
  <c r="Y490" i="156" s="1"/>
  <c r="AG373" i="159"/>
  <c r="Z376" i="156" s="1"/>
  <c r="AG372" i="159"/>
  <c r="Z375" i="156" s="1"/>
  <c r="AG371" i="159"/>
  <c r="Z374" i="156" s="1"/>
  <c r="AG370" i="159"/>
  <c r="Z373" i="156" s="1"/>
  <c r="AG369" i="159"/>
  <c r="Z372" i="156" s="1"/>
  <c r="AG368" i="159"/>
  <c r="Z371" i="156" s="1"/>
  <c r="Z490" i="156" s="1"/>
  <c r="AH373" i="159"/>
  <c r="AA376" i="156" s="1"/>
  <c r="AH372" i="159"/>
  <c r="AA375" i="156" s="1"/>
  <c r="AH371" i="159"/>
  <c r="AA374" i="156" s="1"/>
  <c r="AH370" i="159"/>
  <c r="AA373" i="156" s="1"/>
  <c r="AH369" i="159"/>
  <c r="AA372" i="156" s="1"/>
  <c r="AH368" i="159"/>
  <c r="AA371" i="156" s="1"/>
  <c r="AA490" i="156" s="1"/>
  <c r="AI373" i="159"/>
  <c r="AB376" i="156" s="1"/>
  <c r="AI372" i="159"/>
  <c r="AB375" i="156" s="1"/>
  <c r="AI371" i="159"/>
  <c r="AB374" i="156" s="1"/>
  <c r="AI370" i="159"/>
  <c r="AB373" i="156" s="1"/>
  <c r="AI369" i="159"/>
  <c r="AB372" i="156" s="1"/>
  <c r="AI368" i="159"/>
  <c r="AB371" i="156" s="1"/>
  <c r="AB490" i="156" s="1"/>
  <c r="AJ373" i="159"/>
  <c r="AC376" i="156" s="1"/>
  <c r="AJ372" i="159"/>
  <c r="AC375" i="156" s="1"/>
  <c r="AJ371" i="159"/>
  <c r="AC374" i="156" s="1"/>
  <c r="AJ370" i="159"/>
  <c r="AC373" i="156" s="1"/>
  <c r="AJ369" i="159"/>
  <c r="AC372" i="156" s="1"/>
  <c r="AJ368" i="159"/>
  <c r="AC371" i="156" s="1"/>
  <c r="AC490" i="156" s="1"/>
  <c r="AK373" i="159"/>
  <c r="AD376" i="156" s="1"/>
  <c r="AK372" i="159"/>
  <c r="AD375" i="156" s="1"/>
  <c r="AK371" i="159"/>
  <c r="AD374" i="156" s="1"/>
  <c r="AK370" i="159"/>
  <c r="AD373" i="156" s="1"/>
  <c r="AK369" i="159"/>
  <c r="AD372" i="156" s="1"/>
  <c r="AK368" i="159"/>
  <c r="AD371" i="156" s="1"/>
  <c r="AD490" i="156" s="1"/>
  <c r="AL373" i="159"/>
  <c r="AE376" i="156" s="1"/>
  <c r="AL372" i="159"/>
  <c r="AE375" i="156" s="1"/>
  <c r="AL371" i="159"/>
  <c r="AE374" i="156" s="1"/>
  <c r="AL370" i="159"/>
  <c r="AE373" i="156" s="1"/>
  <c r="AL369" i="159"/>
  <c r="AE372" i="156" s="1"/>
  <c r="AL368" i="159"/>
  <c r="AE371" i="156" s="1"/>
  <c r="AE490" i="156" s="1"/>
  <c r="AM373" i="159"/>
  <c r="AF376" i="156" s="1"/>
  <c r="AM372" i="159"/>
  <c r="AF375" i="156" s="1"/>
  <c r="AM371" i="159"/>
  <c r="AF374" i="156" s="1"/>
  <c r="AM370" i="159"/>
  <c r="AF373" i="156" s="1"/>
  <c r="AM369" i="159"/>
  <c r="AF372" i="156" s="1"/>
  <c r="AM368" i="159"/>
  <c r="AF371" i="156" s="1"/>
  <c r="AF490" i="156" s="1"/>
  <c r="AN373" i="159"/>
  <c r="AG376" i="156" s="1"/>
  <c r="AN372" i="159"/>
  <c r="AG375" i="156" s="1"/>
  <c r="AN371" i="159"/>
  <c r="AG374" i="156" s="1"/>
  <c r="AN370" i="159"/>
  <c r="AG373" i="156" s="1"/>
  <c r="AN369" i="159"/>
  <c r="AG372" i="156" s="1"/>
  <c r="AN368" i="159"/>
  <c r="AG371" i="156" s="1"/>
  <c r="AG490" i="156" s="1"/>
  <c r="N379" i="159"/>
  <c r="G382" i="156" s="1"/>
  <c r="N378" i="159"/>
  <c r="G381" i="156" s="1"/>
  <c r="N377" i="159"/>
  <c r="G380" i="156" s="1"/>
  <c r="N376" i="159"/>
  <c r="G379" i="156" s="1"/>
  <c r="N375" i="159"/>
  <c r="G378" i="156" s="1"/>
  <c r="N374" i="159"/>
  <c r="G377" i="156" s="1"/>
  <c r="G496" i="156" s="1"/>
  <c r="P379" i="159"/>
  <c r="I382" i="156" s="1"/>
  <c r="P374" i="159"/>
  <c r="I377" i="156" s="1"/>
  <c r="I496" i="156" s="1"/>
  <c r="Q379" i="159"/>
  <c r="J382" i="156" s="1"/>
  <c r="Q378" i="159"/>
  <c r="J381" i="156" s="1"/>
  <c r="Q377" i="159"/>
  <c r="J380" i="156" s="1"/>
  <c r="Q376" i="159"/>
  <c r="J379" i="156" s="1"/>
  <c r="Q375" i="159"/>
  <c r="J378" i="156" s="1"/>
  <c r="Q374" i="159"/>
  <c r="J377" i="156" s="1"/>
  <c r="J496" i="156" s="1"/>
  <c r="R379" i="159"/>
  <c r="K382" i="156" s="1"/>
  <c r="R378" i="159"/>
  <c r="K381" i="156" s="1"/>
  <c r="R377" i="159"/>
  <c r="K380" i="156" s="1"/>
  <c r="R376" i="159"/>
  <c r="K379" i="156" s="1"/>
  <c r="R375" i="159"/>
  <c r="K378" i="156" s="1"/>
  <c r="R374" i="159"/>
  <c r="K377" i="156" s="1"/>
  <c r="K496" i="156" s="1"/>
  <c r="S379" i="159"/>
  <c r="L382" i="156" s="1"/>
  <c r="S378" i="159"/>
  <c r="L381" i="156" s="1"/>
  <c r="S377" i="159"/>
  <c r="L380" i="156" s="1"/>
  <c r="S376" i="159"/>
  <c r="L379" i="156" s="1"/>
  <c r="S375" i="159"/>
  <c r="L378" i="156" s="1"/>
  <c r="S374" i="159"/>
  <c r="L377" i="156" s="1"/>
  <c r="L496" i="156" s="1"/>
  <c r="T379" i="159"/>
  <c r="M382" i="156" s="1"/>
  <c r="T378" i="159"/>
  <c r="M381" i="156" s="1"/>
  <c r="T377" i="159"/>
  <c r="M380" i="156" s="1"/>
  <c r="T376" i="159"/>
  <c r="M379" i="156" s="1"/>
  <c r="T375" i="159"/>
  <c r="M378" i="156" s="1"/>
  <c r="T374" i="159"/>
  <c r="M377" i="156" s="1"/>
  <c r="M496" i="156" s="1"/>
  <c r="U379" i="159"/>
  <c r="N382" i="156" s="1"/>
  <c r="U378" i="159"/>
  <c r="N381" i="156" s="1"/>
  <c r="U377" i="159"/>
  <c r="N380" i="156" s="1"/>
  <c r="U376" i="159"/>
  <c r="N379" i="156" s="1"/>
  <c r="U375" i="159"/>
  <c r="N378" i="156" s="1"/>
  <c r="U374" i="159"/>
  <c r="N377" i="156" s="1"/>
  <c r="N496" i="156" s="1"/>
  <c r="V379" i="159"/>
  <c r="O382" i="156" s="1"/>
  <c r="V378" i="159"/>
  <c r="O381" i="156" s="1"/>
  <c r="V377" i="159"/>
  <c r="O380" i="156" s="1"/>
  <c r="V376" i="159"/>
  <c r="O379" i="156" s="1"/>
  <c r="V375" i="159"/>
  <c r="O378" i="156" s="1"/>
  <c r="V374" i="159"/>
  <c r="O377" i="156" s="1"/>
  <c r="O496" i="156" s="1"/>
  <c r="W379" i="159"/>
  <c r="P382" i="156" s="1"/>
  <c r="W378" i="159"/>
  <c r="P381" i="156" s="1"/>
  <c r="W377" i="159"/>
  <c r="P380" i="156" s="1"/>
  <c r="W376" i="159"/>
  <c r="P379" i="156" s="1"/>
  <c r="W375" i="159"/>
  <c r="P378" i="156" s="1"/>
  <c r="W374" i="159"/>
  <c r="P377" i="156" s="1"/>
  <c r="P496" i="156" s="1"/>
  <c r="X379" i="159"/>
  <c r="Q382" i="156" s="1"/>
  <c r="X378" i="159"/>
  <c r="Q381" i="156" s="1"/>
  <c r="X377" i="159"/>
  <c r="Q380" i="156" s="1"/>
  <c r="X376" i="159"/>
  <c r="Q379" i="156" s="1"/>
  <c r="X375" i="159"/>
  <c r="Q378" i="156" s="1"/>
  <c r="X374" i="159"/>
  <c r="Q377" i="156" s="1"/>
  <c r="Q496" i="156" s="1"/>
  <c r="Y379" i="159"/>
  <c r="R382" i="156" s="1"/>
  <c r="Y378" i="159"/>
  <c r="R381" i="156" s="1"/>
  <c r="Y377" i="159"/>
  <c r="R380" i="156" s="1"/>
  <c r="Y376" i="159"/>
  <c r="R379" i="156" s="1"/>
  <c r="Y375" i="159"/>
  <c r="R378" i="156" s="1"/>
  <c r="Y374" i="159"/>
  <c r="R377" i="156" s="1"/>
  <c r="R496" i="156" s="1"/>
  <c r="Z379" i="159"/>
  <c r="S382" i="156" s="1"/>
  <c r="Z378" i="159"/>
  <c r="S381" i="156" s="1"/>
  <c r="Z377" i="159"/>
  <c r="S380" i="156" s="1"/>
  <c r="Z376" i="159"/>
  <c r="S379" i="156" s="1"/>
  <c r="Z375" i="159"/>
  <c r="S378" i="156" s="1"/>
  <c r="Z374" i="159"/>
  <c r="S377" i="156" s="1"/>
  <c r="S496" i="156" s="1"/>
  <c r="AA379" i="159"/>
  <c r="T382" i="156" s="1"/>
  <c r="AA378" i="159"/>
  <c r="T381" i="156" s="1"/>
  <c r="AA377" i="159"/>
  <c r="T380" i="156" s="1"/>
  <c r="AA376" i="159"/>
  <c r="T379" i="156" s="1"/>
  <c r="AA375" i="159"/>
  <c r="T378" i="156" s="1"/>
  <c r="AA374" i="159"/>
  <c r="T377" i="156" s="1"/>
  <c r="T496" i="156" s="1"/>
  <c r="AB379" i="159"/>
  <c r="U382" i="156" s="1"/>
  <c r="AB378" i="159"/>
  <c r="U381" i="156" s="1"/>
  <c r="AB377" i="159"/>
  <c r="U380" i="156" s="1"/>
  <c r="AB376" i="159"/>
  <c r="U379" i="156" s="1"/>
  <c r="AB375" i="159"/>
  <c r="U378" i="156" s="1"/>
  <c r="AB374" i="159"/>
  <c r="U377" i="156" s="1"/>
  <c r="U496" i="156" s="1"/>
  <c r="AC379" i="159"/>
  <c r="V382" i="156" s="1"/>
  <c r="AC378" i="159"/>
  <c r="V381" i="156" s="1"/>
  <c r="AC377" i="159"/>
  <c r="V380" i="156" s="1"/>
  <c r="AC376" i="159"/>
  <c r="V379" i="156" s="1"/>
  <c r="AC375" i="159"/>
  <c r="V378" i="156" s="1"/>
  <c r="AC374" i="159"/>
  <c r="V377" i="156" s="1"/>
  <c r="V496" i="156" s="1"/>
  <c r="AD379" i="159"/>
  <c r="W382" i="156" s="1"/>
  <c r="AD378" i="159"/>
  <c r="W381" i="156" s="1"/>
  <c r="AD377" i="159"/>
  <c r="W380" i="156" s="1"/>
  <c r="AD376" i="159"/>
  <c r="W379" i="156" s="1"/>
  <c r="AD375" i="159"/>
  <c r="W378" i="156" s="1"/>
  <c r="AD374" i="159"/>
  <c r="W377" i="156" s="1"/>
  <c r="W496" i="156" s="1"/>
  <c r="AE379" i="159"/>
  <c r="X382" i="156" s="1"/>
  <c r="AE378" i="159"/>
  <c r="X381" i="156" s="1"/>
  <c r="AE377" i="159"/>
  <c r="X380" i="156" s="1"/>
  <c r="AE376" i="159"/>
  <c r="X379" i="156" s="1"/>
  <c r="AE375" i="159"/>
  <c r="X378" i="156" s="1"/>
  <c r="AE374" i="159"/>
  <c r="X377" i="156" s="1"/>
  <c r="X496" i="156" s="1"/>
  <c r="AF379" i="159"/>
  <c r="Y382" i="156" s="1"/>
  <c r="AF378" i="159"/>
  <c r="Y381" i="156" s="1"/>
  <c r="AF377" i="159"/>
  <c r="Y380" i="156" s="1"/>
  <c r="AF376" i="159"/>
  <c r="Y379" i="156" s="1"/>
  <c r="AF375" i="159"/>
  <c r="Y378" i="156" s="1"/>
  <c r="AF374" i="159"/>
  <c r="Y377" i="156" s="1"/>
  <c r="Y496" i="156" s="1"/>
  <c r="AG379" i="159"/>
  <c r="Z382" i="156" s="1"/>
  <c r="AG378" i="159"/>
  <c r="Z381" i="156" s="1"/>
  <c r="AG377" i="159"/>
  <c r="Z380" i="156" s="1"/>
  <c r="AG376" i="159"/>
  <c r="Z379" i="156" s="1"/>
  <c r="AG375" i="159"/>
  <c r="Z378" i="156" s="1"/>
  <c r="AG374" i="159"/>
  <c r="Z377" i="156" s="1"/>
  <c r="Z496" i="156" s="1"/>
  <c r="AH379" i="159"/>
  <c r="AA382" i="156" s="1"/>
  <c r="AH378" i="159"/>
  <c r="AA381" i="156" s="1"/>
  <c r="AH377" i="159"/>
  <c r="AA380" i="156" s="1"/>
  <c r="AH376" i="159"/>
  <c r="AA379" i="156" s="1"/>
  <c r="AH375" i="159"/>
  <c r="AA378" i="156" s="1"/>
  <c r="AH374" i="159"/>
  <c r="AA377" i="156" s="1"/>
  <c r="AA496" i="156" s="1"/>
  <c r="AI379" i="159"/>
  <c r="AB382" i="156" s="1"/>
  <c r="AI378" i="159"/>
  <c r="AB381" i="156" s="1"/>
  <c r="AI377" i="159"/>
  <c r="AB380" i="156" s="1"/>
  <c r="AI376" i="159"/>
  <c r="AB379" i="156" s="1"/>
  <c r="AI375" i="159"/>
  <c r="AB378" i="156" s="1"/>
  <c r="AI374" i="159"/>
  <c r="AB377" i="156" s="1"/>
  <c r="AB496" i="156" s="1"/>
  <c r="AJ379" i="159"/>
  <c r="AC382" i="156" s="1"/>
  <c r="AJ378" i="159"/>
  <c r="AC381" i="156" s="1"/>
  <c r="AJ377" i="159"/>
  <c r="AC380" i="156" s="1"/>
  <c r="AJ376" i="159"/>
  <c r="AC379" i="156" s="1"/>
  <c r="AJ375" i="159"/>
  <c r="AC378" i="156" s="1"/>
  <c r="AJ374" i="159"/>
  <c r="AC377" i="156" s="1"/>
  <c r="AC496" i="156" s="1"/>
  <c r="AK379" i="159"/>
  <c r="AD382" i="156" s="1"/>
  <c r="AK378" i="159"/>
  <c r="AD381" i="156" s="1"/>
  <c r="AK377" i="159"/>
  <c r="AD380" i="156" s="1"/>
  <c r="AK376" i="159"/>
  <c r="AD379" i="156" s="1"/>
  <c r="AK375" i="159"/>
  <c r="AD378" i="156" s="1"/>
  <c r="AK374" i="159"/>
  <c r="AD377" i="156" s="1"/>
  <c r="AD496" i="156" s="1"/>
  <c r="AL379" i="159"/>
  <c r="AE382" i="156" s="1"/>
  <c r="AL378" i="159"/>
  <c r="AE381" i="156" s="1"/>
  <c r="AL377" i="159"/>
  <c r="AE380" i="156" s="1"/>
  <c r="AL376" i="159"/>
  <c r="AE379" i="156" s="1"/>
  <c r="AL375" i="159"/>
  <c r="AE378" i="156" s="1"/>
  <c r="AL374" i="159"/>
  <c r="AE377" i="156" s="1"/>
  <c r="AE496" i="156" s="1"/>
  <c r="AM379" i="159"/>
  <c r="AF382" i="156" s="1"/>
  <c r="AM378" i="159"/>
  <c r="AF381" i="156" s="1"/>
  <c r="AM377" i="159"/>
  <c r="AF380" i="156" s="1"/>
  <c r="AM376" i="159"/>
  <c r="AF379" i="156" s="1"/>
  <c r="AM375" i="159"/>
  <c r="AF378" i="156" s="1"/>
  <c r="AM374" i="159"/>
  <c r="AF377" i="156" s="1"/>
  <c r="AF496" i="156" s="1"/>
  <c r="AN379" i="159"/>
  <c r="AG382" i="156" s="1"/>
  <c r="AN378" i="159"/>
  <c r="AG381" i="156" s="1"/>
  <c r="AN377" i="159"/>
  <c r="AG380" i="156" s="1"/>
  <c r="AN376" i="159"/>
  <c r="AG379" i="156" s="1"/>
  <c r="AN375" i="159"/>
  <c r="AG378" i="156" s="1"/>
  <c r="AN374" i="159"/>
  <c r="AG377" i="156" s="1"/>
  <c r="AG496" i="156" s="1"/>
  <c r="O368" i="159"/>
  <c r="H371" i="156" s="1"/>
  <c r="H490" i="156" s="1"/>
  <c r="O264" i="159"/>
  <c r="H267" i="156" s="1"/>
  <c r="H386" i="156" s="1"/>
  <c r="O267" i="159"/>
  <c r="H270" i="156" s="1"/>
  <c r="O268" i="159"/>
  <c r="H271" i="156" s="1"/>
  <c r="O283" i="159"/>
  <c r="H286" i="156" s="1"/>
  <c r="H405" i="156" s="1"/>
  <c r="O290" i="159"/>
  <c r="H293" i="156" s="1"/>
  <c r="H412" i="156" s="1"/>
  <c r="O294" i="159"/>
  <c r="H297" i="156" s="1"/>
  <c r="H416" i="156" s="1"/>
  <c r="O298" i="159"/>
  <c r="H301" i="156" s="1"/>
  <c r="H420" i="156" s="1"/>
  <c r="O303" i="159"/>
  <c r="H306" i="156" s="1"/>
  <c r="H425" i="156" s="1"/>
  <c r="O325" i="159"/>
  <c r="H328" i="156" s="1"/>
  <c r="H447" i="156" s="1"/>
  <c r="O336" i="159"/>
  <c r="H339" i="156" s="1"/>
  <c r="H458" i="156" s="1"/>
  <c r="O351" i="159"/>
  <c r="H354" i="156" s="1"/>
  <c r="O359" i="159"/>
  <c r="H362" i="156" s="1"/>
  <c r="O372" i="159"/>
  <c r="H375" i="156" s="1"/>
  <c r="O376" i="159"/>
  <c r="H379" i="156" s="1"/>
  <c r="O287" i="159"/>
  <c r="H290" i="156" s="1"/>
  <c r="H409" i="156" s="1"/>
  <c r="O315" i="159"/>
  <c r="H318" i="156" s="1"/>
  <c r="H437" i="156" s="1"/>
  <c r="O319" i="159"/>
  <c r="H322" i="156" s="1"/>
  <c r="H441" i="156" s="1"/>
  <c r="O322" i="159"/>
  <c r="H325" i="156" s="1"/>
  <c r="H444" i="156" s="1"/>
  <c r="O329" i="159"/>
  <c r="H332" i="156" s="1"/>
  <c r="H451" i="156" s="1"/>
  <c r="O333" i="159"/>
  <c r="H336" i="156" s="1"/>
  <c r="H455" i="156" s="1"/>
  <c r="O347" i="159"/>
  <c r="H350" i="156" s="1"/>
  <c r="O355" i="159"/>
  <c r="H358" i="156" s="1"/>
  <c r="O356" i="159"/>
  <c r="H359" i="156" s="1"/>
  <c r="H478" i="156" s="1"/>
  <c r="O364" i="159"/>
  <c r="H367" i="156" s="1"/>
  <c r="O369" i="159"/>
  <c r="H372" i="156" s="1"/>
  <c r="O265" i="159"/>
  <c r="H268" i="156" s="1"/>
  <c r="H387" i="156" s="1"/>
  <c r="O269" i="159"/>
  <c r="H272" i="156" s="1"/>
  <c r="H391" i="156" s="1"/>
  <c r="O276" i="159"/>
  <c r="H279" i="156" s="1"/>
  <c r="H398" i="156" s="1"/>
  <c r="O280" i="159"/>
  <c r="H283" i="156" s="1"/>
  <c r="O291" i="159"/>
  <c r="H294" i="156" s="1"/>
  <c r="H413" i="156" s="1"/>
  <c r="O295" i="159"/>
  <c r="H298" i="156" s="1"/>
  <c r="H417" i="156" s="1"/>
  <c r="O299" i="159"/>
  <c r="H302" i="156" s="1"/>
  <c r="H421" i="156" s="1"/>
  <c r="O300" i="159"/>
  <c r="H303" i="156" s="1"/>
  <c r="H422" i="156" s="1"/>
  <c r="O308" i="159"/>
  <c r="H311" i="156" s="1"/>
  <c r="H430" i="156" s="1"/>
  <c r="O311" i="159"/>
  <c r="H314" i="156" s="1"/>
  <c r="H433" i="156" s="1"/>
  <c r="O312" i="159"/>
  <c r="H315" i="156" s="1"/>
  <c r="H434" i="156" s="1"/>
  <c r="O337" i="159"/>
  <c r="H340" i="156" s="1"/>
  <c r="H459" i="156" s="1"/>
  <c r="O344" i="159"/>
  <c r="H347" i="156" s="1"/>
  <c r="H466" i="156" s="1"/>
  <c r="O352" i="159"/>
  <c r="H355" i="156" s="1"/>
  <c r="O373" i="159"/>
  <c r="H376" i="156" s="1"/>
  <c r="O377" i="159"/>
  <c r="H380" i="156" s="1"/>
  <c r="O262" i="159"/>
  <c r="O284" i="159"/>
  <c r="H287" i="156" s="1"/>
  <c r="H406" i="156" s="1"/>
  <c r="O304" i="159"/>
  <c r="H307" i="156" s="1"/>
  <c r="H426" i="156" s="1"/>
  <c r="O326" i="159"/>
  <c r="H329" i="156" s="1"/>
  <c r="H448" i="156" s="1"/>
  <c r="O334" i="159"/>
  <c r="H337" i="156" s="1"/>
  <c r="H456" i="156" s="1"/>
  <c r="O357" i="159"/>
  <c r="H360" i="156" s="1"/>
  <c r="O360" i="159"/>
  <c r="H363" i="156" s="1"/>
  <c r="O365" i="159"/>
  <c r="H368" i="156" s="1"/>
  <c r="O370" i="159"/>
  <c r="H373" i="156" s="1"/>
  <c r="O374" i="159"/>
  <c r="H377" i="156" s="1"/>
  <c r="H496" i="156" s="1"/>
  <c r="O281" i="159"/>
  <c r="H284" i="156" s="1"/>
  <c r="H403" i="156" s="1"/>
  <c r="O288" i="159"/>
  <c r="H291" i="156" s="1"/>
  <c r="H410" i="156" s="1"/>
  <c r="O292" i="159"/>
  <c r="H295" i="156" s="1"/>
  <c r="H414" i="156" s="1"/>
  <c r="O296" i="159"/>
  <c r="H299" i="156" s="1"/>
  <c r="H418" i="156" s="1"/>
  <c r="O301" i="159"/>
  <c r="H304" i="156" s="1"/>
  <c r="H423" i="156" s="1"/>
  <c r="O313" i="159"/>
  <c r="H316" i="156" s="1"/>
  <c r="H435" i="156" s="1"/>
  <c r="O320" i="159"/>
  <c r="H323" i="156" s="1"/>
  <c r="H442" i="156" s="1"/>
  <c r="O323" i="159"/>
  <c r="H326" i="156" s="1"/>
  <c r="H445" i="156" s="1"/>
  <c r="O345" i="159"/>
  <c r="H348" i="156" s="1"/>
  <c r="O348" i="159"/>
  <c r="H351" i="156" s="1"/>
  <c r="O353" i="159"/>
  <c r="H356" i="156" s="1"/>
  <c r="O378" i="159"/>
  <c r="H381" i="156" s="1"/>
  <c r="O263" i="159"/>
  <c r="H266" i="156" s="1"/>
  <c r="H385" i="156" s="1"/>
  <c r="O305" i="159"/>
  <c r="H308" i="156" s="1"/>
  <c r="H427" i="156" s="1"/>
  <c r="O331" i="159"/>
  <c r="H334" i="156" s="1"/>
  <c r="H453" i="156" s="1"/>
  <c r="O361" i="159"/>
  <c r="H364" i="156" s="1"/>
  <c r="O362" i="159"/>
  <c r="H365" i="156" s="1"/>
  <c r="H484" i="156" s="1"/>
  <c r="O286" i="159"/>
  <c r="H289" i="156" s="1"/>
  <c r="H408" i="156" s="1"/>
  <c r="O293" i="159"/>
  <c r="H296" i="156" s="1"/>
  <c r="H415" i="156" s="1"/>
  <c r="O375" i="159"/>
  <c r="H378" i="156" s="1"/>
  <c r="P289" i="159"/>
  <c r="I292" i="156" s="1"/>
  <c r="I411" i="156" s="1"/>
  <c r="P327" i="159"/>
  <c r="I330" i="156" s="1"/>
  <c r="I449" i="156" s="1"/>
  <c r="P377" i="159"/>
  <c r="I380" i="156" s="1"/>
  <c r="P297" i="159"/>
  <c r="I300" i="156" s="1"/>
  <c r="I419" i="156" s="1"/>
  <c r="P365" i="159"/>
  <c r="I368" i="156" s="1"/>
  <c r="P281" i="159"/>
  <c r="I284" i="156" s="1"/>
  <c r="I403" i="156" s="1"/>
  <c r="P295" i="159"/>
  <c r="I298" i="156" s="1"/>
  <c r="I417" i="156" s="1"/>
  <c r="P301" i="159"/>
  <c r="I304" i="156" s="1"/>
  <c r="I423" i="156" s="1"/>
  <c r="P333" i="159"/>
  <c r="I336" i="156" s="1"/>
  <c r="I455" i="156" s="1"/>
  <c r="P351" i="159"/>
  <c r="I354" i="156" s="1"/>
  <c r="P363" i="159"/>
  <c r="I366" i="156" s="1"/>
  <c r="P369" i="159"/>
  <c r="I372" i="156" s="1"/>
  <c r="P284" i="159"/>
  <c r="I287" i="156" s="1"/>
  <c r="I406" i="156" s="1"/>
  <c r="P298" i="159"/>
  <c r="I301" i="156" s="1"/>
  <c r="I420" i="156" s="1"/>
  <c r="P304" i="159"/>
  <c r="I307" i="156" s="1"/>
  <c r="I426" i="156" s="1"/>
  <c r="P336" i="159"/>
  <c r="I339" i="156" s="1"/>
  <c r="I458" i="156" s="1"/>
  <c r="P348" i="159"/>
  <c r="I351" i="156" s="1"/>
  <c r="P354" i="159"/>
  <c r="I357" i="156" s="1"/>
  <c r="P360" i="159"/>
  <c r="I363" i="156" s="1"/>
  <c r="P366" i="159"/>
  <c r="I369" i="156" s="1"/>
  <c r="P372" i="159"/>
  <c r="I375" i="156" s="1"/>
  <c r="P375" i="159"/>
  <c r="I378" i="156" s="1"/>
  <c r="P290" i="159"/>
  <c r="I293" i="156" s="1"/>
  <c r="I412" i="156" s="1"/>
  <c r="P293" i="159"/>
  <c r="I296" i="156" s="1"/>
  <c r="I415" i="156" s="1"/>
  <c r="P328" i="159"/>
  <c r="I331" i="156" s="1"/>
  <c r="I450" i="156" s="1"/>
  <c r="P331" i="159"/>
  <c r="I334" i="156" s="1"/>
  <c r="I453" i="156" s="1"/>
  <c r="P378" i="159"/>
  <c r="I381" i="156" s="1"/>
  <c r="P264" i="159"/>
  <c r="I267" i="156" s="1"/>
  <c r="I386" i="156" s="1"/>
  <c r="P270" i="159"/>
  <c r="I273" i="156" s="1"/>
  <c r="I392" i="156" s="1"/>
  <c r="P276" i="159"/>
  <c r="I279" i="156" s="1"/>
  <c r="I398" i="156" s="1"/>
  <c r="P282" i="159"/>
  <c r="I285" i="156" s="1"/>
  <c r="I404" i="156" s="1"/>
  <c r="P296" i="159"/>
  <c r="I299" i="156" s="1"/>
  <c r="I418" i="156" s="1"/>
  <c r="P302" i="159"/>
  <c r="I305" i="156" s="1"/>
  <c r="I424" i="156" s="1"/>
  <c r="P308" i="159"/>
  <c r="I311" i="156" s="1"/>
  <c r="I430" i="156" s="1"/>
  <c r="P314" i="159"/>
  <c r="I317" i="156" s="1"/>
  <c r="I436" i="156" s="1"/>
  <c r="P320" i="159"/>
  <c r="I323" i="156" s="1"/>
  <c r="I442" i="156" s="1"/>
  <c r="P334" i="159"/>
  <c r="I337" i="156" s="1"/>
  <c r="I456" i="156" s="1"/>
  <c r="P346" i="159"/>
  <c r="I349" i="156" s="1"/>
  <c r="P352" i="159"/>
  <c r="I355" i="156" s="1"/>
  <c r="P358" i="159"/>
  <c r="I361" i="156" s="1"/>
  <c r="P364" i="159"/>
  <c r="I367" i="156" s="1"/>
  <c r="P370" i="159"/>
  <c r="I373" i="156" s="1"/>
  <c r="P267" i="159"/>
  <c r="I270" i="156" s="1"/>
  <c r="P273" i="159"/>
  <c r="I276" i="156" s="1"/>
  <c r="P279" i="159"/>
  <c r="I282" i="156" s="1"/>
  <c r="P285" i="159"/>
  <c r="I288" i="156" s="1"/>
  <c r="P288" i="159"/>
  <c r="I291" i="156" s="1"/>
  <c r="I410" i="156" s="1"/>
  <c r="P299" i="159"/>
  <c r="I302" i="156" s="1"/>
  <c r="I421" i="156" s="1"/>
  <c r="P305" i="159"/>
  <c r="I308" i="156" s="1"/>
  <c r="I427" i="156" s="1"/>
  <c r="P311" i="159"/>
  <c r="I314" i="156" s="1"/>
  <c r="I433" i="156" s="1"/>
  <c r="P317" i="159"/>
  <c r="I320" i="156" s="1"/>
  <c r="I439" i="156" s="1"/>
  <c r="P323" i="159"/>
  <c r="I326" i="156" s="1"/>
  <c r="I445" i="156" s="1"/>
  <c r="P326" i="159"/>
  <c r="I329" i="156" s="1"/>
  <c r="I448" i="156" s="1"/>
  <c r="P337" i="159"/>
  <c r="I340" i="156" s="1"/>
  <c r="I459" i="156" s="1"/>
  <c r="P349" i="159"/>
  <c r="I352" i="156" s="1"/>
  <c r="P355" i="159"/>
  <c r="I358" i="156" s="1"/>
  <c r="P361" i="159"/>
  <c r="I364" i="156" s="1"/>
  <c r="P367" i="159"/>
  <c r="I370" i="156" s="1"/>
  <c r="P373" i="159"/>
  <c r="I376" i="156" s="1"/>
  <c r="P376" i="159"/>
  <c r="I379" i="156" s="1"/>
  <c r="A59" i="156"/>
  <c r="B59" i="156"/>
  <c r="A60" i="156"/>
  <c r="B60" i="156"/>
  <c r="A54" i="156"/>
  <c r="B54" i="156"/>
  <c r="A55" i="156"/>
  <c r="B55" i="156"/>
  <c r="A56" i="156"/>
  <c r="B56" i="156"/>
  <c r="A57" i="156"/>
  <c r="B57" i="156"/>
  <c r="A58" i="156"/>
  <c r="B58" i="156"/>
  <c r="A26" i="156"/>
  <c r="B26" i="156"/>
  <c r="A27" i="156"/>
  <c r="B27" i="156"/>
  <c r="A28" i="156"/>
  <c r="B28" i="156"/>
  <c r="A29" i="156"/>
  <c r="B29" i="156"/>
  <c r="A30" i="156"/>
  <c r="B30" i="156"/>
  <c r="A31" i="156"/>
  <c r="B31" i="156"/>
  <c r="A32" i="156"/>
  <c r="B32" i="156"/>
  <c r="A33" i="156"/>
  <c r="B33" i="156"/>
  <c r="A34" i="156"/>
  <c r="B34" i="156"/>
  <c r="A35" i="156"/>
  <c r="B35" i="156"/>
  <c r="A36" i="156"/>
  <c r="B36" i="156"/>
  <c r="A37" i="156"/>
  <c r="B37" i="156"/>
  <c r="A38" i="156"/>
  <c r="B38" i="156"/>
  <c r="A39" i="156"/>
  <c r="B39" i="156"/>
  <c r="A40" i="156"/>
  <c r="B40" i="156"/>
  <c r="A41" i="156"/>
  <c r="B41" i="156"/>
  <c r="A42" i="156"/>
  <c r="B42" i="156"/>
  <c r="A43" i="156"/>
  <c r="B43" i="156"/>
  <c r="A44" i="156"/>
  <c r="B44" i="156"/>
  <c r="A45" i="156"/>
  <c r="B45" i="156"/>
  <c r="A46" i="156"/>
  <c r="B46" i="156"/>
  <c r="A47" i="156"/>
  <c r="B47" i="156"/>
  <c r="A48" i="156"/>
  <c r="B48" i="156"/>
  <c r="A49" i="156"/>
  <c r="B49" i="156"/>
  <c r="A50" i="156"/>
  <c r="B50" i="156"/>
  <c r="A51" i="156"/>
  <c r="B51" i="156"/>
  <c r="A52" i="156"/>
  <c r="B52" i="156"/>
  <c r="A53" i="156"/>
  <c r="B53" i="156"/>
  <c r="A21" i="156"/>
  <c r="B21" i="156"/>
  <c r="A22" i="156"/>
  <c r="B22" i="156"/>
  <c r="A23" i="156"/>
  <c r="B23" i="156"/>
  <c r="A24" i="156"/>
  <c r="B24" i="156"/>
  <c r="A25" i="156"/>
  <c r="B25" i="156"/>
  <c r="A258" i="156" l="1"/>
  <c r="A222" i="156"/>
  <c r="A199" i="156"/>
  <c r="A179" i="156"/>
  <c r="A152" i="156"/>
  <c r="A190" i="156"/>
  <c r="A194" i="156"/>
  <c r="A230" i="156"/>
  <c r="A158" i="156"/>
  <c r="A204" i="156"/>
  <c r="A235" i="156"/>
  <c r="A223" i="156"/>
  <c r="A200" i="156"/>
  <c r="A180" i="156"/>
  <c r="A153" i="156"/>
  <c r="A192" i="156"/>
  <c r="A259" i="156"/>
  <c r="A261" i="156"/>
  <c r="A213" i="156"/>
  <c r="A187" i="156"/>
  <c r="A249" i="156"/>
  <c r="A250" i="156"/>
  <c r="A207" i="156"/>
  <c r="A236" i="156"/>
  <c r="A224" i="156"/>
  <c r="A201" i="156"/>
  <c r="A173" i="156"/>
  <c r="A154" i="156"/>
  <c r="A169" i="156"/>
  <c r="A191" i="156"/>
  <c r="A220" i="156"/>
  <c r="A244" i="156"/>
  <c r="A167" i="156"/>
  <c r="A212" i="156"/>
  <c r="A227" i="156"/>
  <c r="A251" i="156"/>
  <c r="A252" i="156"/>
  <c r="A159" i="156"/>
  <c r="A237" i="156"/>
  <c r="A225" i="156"/>
  <c r="A195" i="156"/>
  <c r="A174" i="156"/>
  <c r="A149" i="156"/>
  <c r="A170" i="156"/>
  <c r="A243" i="156"/>
  <c r="A193" i="156"/>
  <c r="A245" i="156"/>
  <c r="A155" i="156"/>
  <c r="A157" i="156"/>
  <c r="A184" i="156"/>
  <c r="A253" i="156"/>
  <c r="A210" i="156"/>
  <c r="A238" i="156"/>
  <c r="A226" i="156"/>
  <c r="A196" i="156"/>
  <c r="A175" i="156"/>
  <c r="A150" i="156"/>
  <c r="A147" i="156"/>
  <c r="A219" i="156"/>
  <c r="A166" i="156"/>
  <c r="A246" i="156"/>
  <c r="A232" i="156"/>
  <c r="A186" i="156"/>
  <c r="A203" i="156"/>
  <c r="A234" i="156"/>
  <c r="A239" i="156"/>
  <c r="A216" i="156"/>
  <c r="A197" i="156"/>
  <c r="A171" i="156"/>
  <c r="A148" i="156"/>
  <c r="A211" i="156"/>
  <c r="A206" i="156"/>
  <c r="A156" i="156"/>
  <c r="A254" i="156"/>
  <c r="A177" i="156"/>
  <c r="A240" i="156"/>
  <c r="A217" i="156"/>
  <c r="A198" i="156"/>
  <c r="A172" i="156"/>
  <c r="A241" i="156"/>
  <c r="A218" i="156"/>
  <c r="A146" i="156"/>
  <c r="A242" i="156"/>
  <c r="A168" i="156"/>
  <c r="A163" i="156"/>
  <c r="A208" i="156"/>
  <c r="A233" i="156"/>
  <c r="A161" i="156"/>
  <c r="A256" i="156"/>
  <c r="A260" i="156"/>
  <c r="A209" i="156"/>
  <c r="A231" i="156"/>
  <c r="A160" i="156"/>
  <c r="A176" i="156"/>
  <c r="A262" i="156"/>
  <c r="A247" i="156"/>
  <c r="A214" i="156"/>
  <c r="A188" i="156"/>
  <c r="A164" i="156"/>
  <c r="A248" i="156"/>
  <c r="A189" i="156"/>
  <c r="A263" i="156"/>
  <c r="A215" i="156"/>
  <c r="A165" i="156"/>
  <c r="A181" i="156"/>
  <c r="A228" i="156"/>
  <c r="A229" i="156"/>
  <c r="A202" i="156"/>
  <c r="A255" i="156"/>
  <c r="A257" i="156"/>
  <c r="A221" i="156"/>
  <c r="A205" i="156"/>
  <c r="A178" i="156"/>
  <c r="A151" i="156"/>
  <c r="A182" i="156"/>
  <c r="A183" i="156"/>
  <c r="A185" i="156"/>
  <c r="A162" i="156"/>
  <c r="A614" i="156"/>
  <c r="A568" i="156"/>
  <c r="A572" i="156"/>
  <c r="A601" i="156"/>
  <c r="A537" i="156"/>
  <c r="A516" i="156"/>
  <c r="A619" i="156"/>
  <c r="A554" i="156"/>
  <c r="A515" i="156"/>
  <c r="A540" i="156"/>
  <c r="A592" i="156"/>
  <c r="A596" i="156"/>
  <c r="A602" i="156"/>
  <c r="A508" i="156"/>
  <c r="A561" i="156"/>
  <c r="A539" i="156"/>
  <c r="A564" i="156"/>
  <c r="A582" i="156"/>
  <c r="A507" i="156"/>
  <c r="A555" i="156"/>
  <c r="A563" i="156"/>
  <c r="A616" i="156"/>
  <c r="A575" i="156"/>
  <c r="A532" i="156"/>
  <c r="A585" i="156"/>
  <c r="A587" i="156"/>
  <c r="A588" i="156"/>
  <c r="A542" i="156"/>
  <c r="A599" i="156"/>
  <c r="A579" i="156"/>
  <c r="A611" i="156"/>
  <c r="A521" i="156"/>
  <c r="A525" i="156"/>
  <c r="A556" i="156"/>
  <c r="A609" i="156"/>
  <c r="A522" i="156"/>
  <c r="A612" i="156"/>
  <c r="A590" i="156"/>
  <c r="A603" i="156"/>
  <c r="A595" i="156"/>
  <c r="A545" i="156"/>
  <c r="A549" i="156"/>
  <c r="A606" i="156"/>
  <c r="A580" i="156"/>
  <c r="A547" i="156"/>
  <c r="A546" i="156"/>
  <c r="A510" i="156"/>
  <c r="A608" i="156"/>
  <c r="A514" i="156"/>
  <c r="A558" i="156"/>
  <c r="A569" i="156"/>
  <c r="A573" i="156"/>
  <c r="A528" i="156"/>
  <c r="A604" i="156"/>
  <c r="A570" i="156"/>
  <c r="A517" i="156"/>
  <c r="A552" i="156"/>
  <c r="A538" i="156"/>
  <c r="A584" i="156"/>
  <c r="A593" i="156"/>
  <c r="A597" i="156"/>
  <c r="A509" i="156"/>
  <c r="A594" i="156"/>
  <c r="A541" i="156"/>
  <c r="A519" i="156"/>
  <c r="A576" i="156"/>
  <c r="A562" i="156"/>
  <c r="A618" i="156"/>
  <c r="A543" i="156"/>
  <c r="A617" i="156"/>
  <c r="A551" i="156"/>
  <c r="A533" i="156"/>
  <c r="A586" i="156"/>
  <c r="A523" i="156"/>
  <c r="A565" i="156"/>
  <c r="A531" i="156"/>
  <c r="A600" i="156"/>
  <c r="A567" i="156"/>
  <c r="A536" i="156"/>
  <c r="A526" i="156"/>
  <c r="A557" i="156"/>
  <c r="A610" i="156"/>
  <c r="A571" i="156"/>
  <c r="A589" i="156"/>
  <c r="A578" i="156"/>
  <c r="A511" i="156"/>
  <c r="A591" i="156"/>
  <c r="A560" i="156"/>
  <c r="A550" i="156"/>
  <c r="A529" i="156"/>
  <c r="A581" i="156"/>
  <c r="A534" i="156"/>
  <c r="A613" i="156"/>
  <c r="A615" i="156"/>
  <c r="A574" i="156"/>
  <c r="A535" i="156"/>
  <c r="A520" i="156"/>
  <c r="A524" i="156"/>
  <c r="A598" i="156"/>
  <c r="A553" i="156"/>
  <c r="A605" i="156"/>
  <c r="A607" i="156"/>
  <c r="A518" i="156"/>
  <c r="A559" i="156"/>
  <c r="A544" i="156"/>
  <c r="A548" i="156"/>
  <c r="A527" i="156"/>
  <c r="A577" i="156"/>
  <c r="A513" i="156"/>
  <c r="A512" i="156"/>
  <c r="A583" i="156"/>
  <c r="A566" i="156"/>
  <c r="A530" i="156"/>
  <c r="D53" i="165"/>
  <c r="L47" i="165"/>
  <c r="L57" i="165" s="1"/>
  <c r="D57" i="165"/>
  <c r="L50" i="165"/>
  <c r="L59" i="165" s="1"/>
  <c r="AN159" i="163"/>
  <c r="H113" i="163" s="1"/>
  <c r="L51" i="165"/>
  <c r="L60" i="165" s="1"/>
  <c r="AU159" i="163"/>
  <c r="O113" i="163" s="1"/>
  <c r="L48" i="165"/>
  <c r="L53" i="165" s="1"/>
  <c r="K53" i="165"/>
  <c r="BE159" i="163"/>
  <c r="Y113" i="163" s="1"/>
  <c r="J50" i="165"/>
  <c r="J59" i="165" s="1"/>
  <c r="F49" i="165"/>
  <c r="F58" i="165" s="1"/>
  <c r="J47" i="165"/>
  <c r="J57" i="165" s="1"/>
  <c r="B53" i="165"/>
  <c r="F51" i="165"/>
  <c r="F60" i="165" s="1"/>
  <c r="G53" i="165"/>
  <c r="G57" i="165"/>
  <c r="H53" i="165"/>
  <c r="H57" i="165"/>
  <c r="C53" i="165"/>
  <c r="C57" i="165"/>
  <c r="F47" i="165"/>
  <c r="F50" i="165"/>
  <c r="F59" i="165" s="1"/>
  <c r="J49" i="165"/>
  <c r="J58" i="165" s="1"/>
  <c r="E53" i="165"/>
  <c r="J51" i="165"/>
  <c r="J60" i="165" s="1"/>
  <c r="L182" i="164"/>
  <c r="M182" i="164" s="1"/>
  <c r="N182" i="164" s="1"/>
  <c r="O182" i="164" s="1"/>
  <c r="P182" i="164" s="1"/>
  <c r="Q182" i="164" s="1"/>
  <c r="R182" i="164" s="1"/>
  <c r="S182" i="164" s="1"/>
  <c r="T182" i="164" s="1"/>
  <c r="U182" i="164" s="1"/>
  <c r="V182" i="164" s="1"/>
  <c r="W182" i="164" s="1"/>
  <c r="X182" i="164" s="1"/>
  <c r="Y182" i="164" s="1"/>
  <c r="Z182" i="164" s="1"/>
  <c r="AA182" i="164" s="1"/>
  <c r="AB182" i="164" s="1"/>
  <c r="AC182" i="164" s="1"/>
  <c r="AD182" i="164" s="1"/>
  <c r="AE182" i="164" s="1"/>
  <c r="AF182" i="164" s="1"/>
  <c r="AG182" i="164" s="1"/>
  <c r="AH182" i="164" s="1"/>
  <c r="AI182" i="164" s="1"/>
  <c r="AJ182" i="164" s="1"/>
  <c r="AK182" i="164" s="1"/>
  <c r="AL182" i="164" s="1"/>
  <c r="K183" i="164"/>
  <c r="BL159" i="163"/>
  <c r="AF113" i="163" s="1"/>
  <c r="AX159" i="163"/>
  <c r="R113" i="163" s="1"/>
  <c r="B292" i="144"/>
  <c r="B291" i="144"/>
  <c r="B290" i="144"/>
  <c r="B289" i="144"/>
  <c r="B288" i="144"/>
  <c r="B287" i="144"/>
  <c r="B286" i="144"/>
  <c r="B285" i="144"/>
  <c r="B284" i="144"/>
  <c r="B283" i="144"/>
  <c r="B282" i="144"/>
  <c r="B281" i="144"/>
  <c r="B280" i="144"/>
  <c r="A292" i="144"/>
  <c r="A281" i="144"/>
  <c r="A282" i="144"/>
  <c r="A283" i="144"/>
  <c r="A284" i="144"/>
  <c r="A285" i="144"/>
  <c r="A286" i="144"/>
  <c r="A287" i="144"/>
  <c r="A288" i="144"/>
  <c r="A289" i="144"/>
  <c r="A290" i="144"/>
  <c r="A291" i="144"/>
  <c r="A280" i="144"/>
  <c r="A244" i="144"/>
  <c r="A276" i="144" s="1"/>
  <c r="A242" i="144"/>
  <c r="A274" i="144" s="1"/>
  <c r="A241" i="144"/>
  <c r="A273" i="144" s="1"/>
  <c r="A240" i="144"/>
  <c r="A272" i="144" s="1"/>
  <c r="A239" i="144"/>
  <c r="A271" i="144" s="1"/>
  <c r="A238" i="144"/>
  <c r="A270" i="144" s="1"/>
  <c r="A237" i="144"/>
  <c r="A269" i="144" s="1"/>
  <c r="A232" i="144"/>
  <c r="A264" i="144" s="1"/>
  <c r="A227" i="144"/>
  <c r="A259" i="144" s="1"/>
  <c r="A222" i="144"/>
  <c r="A254" i="144" s="1"/>
  <c r="A221" i="144"/>
  <c r="A253" i="144" s="1"/>
  <c r="A220" i="144"/>
  <c r="A252" i="144" s="1"/>
  <c r="A219" i="144"/>
  <c r="A251" i="144" s="1"/>
  <c r="B244" i="144"/>
  <c r="B276" i="144" s="1"/>
  <c r="B238" i="144"/>
  <c r="B270" i="144" s="1"/>
  <c r="B239" i="144"/>
  <c r="B271" i="144" s="1"/>
  <c r="B240" i="144"/>
  <c r="B272" i="144" s="1"/>
  <c r="B241" i="144"/>
  <c r="B273" i="144" s="1"/>
  <c r="B242" i="144"/>
  <c r="B274" i="144" s="1"/>
  <c r="B237" i="144"/>
  <c r="B269" i="144" s="1"/>
  <c r="B232" i="144"/>
  <c r="B264" i="144" s="1"/>
  <c r="B227" i="144"/>
  <c r="B259" i="144" s="1"/>
  <c r="B220" i="144"/>
  <c r="B252" i="144" s="1"/>
  <c r="B221" i="144"/>
  <c r="B253" i="144" s="1"/>
  <c r="B222" i="144"/>
  <c r="B254" i="144" s="1"/>
  <c r="B219" i="144"/>
  <c r="B251" i="144" s="1"/>
  <c r="C95" i="155"/>
  <c r="C94" i="155"/>
  <c r="C93" i="155"/>
  <c r="C92" i="155"/>
  <c r="C91" i="155"/>
  <c r="C90" i="155"/>
  <c r="C89" i="155"/>
  <c r="C88" i="155"/>
  <c r="C87" i="155"/>
  <c r="C86" i="155"/>
  <c r="C85" i="155"/>
  <c r="C84" i="155"/>
  <c r="C83" i="155"/>
  <c r="C82" i="155"/>
  <c r="C81" i="155"/>
  <c r="C80" i="155"/>
  <c r="C79" i="155"/>
  <c r="C78" i="155"/>
  <c r="C77" i="155"/>
  <c r="C76" i="155"/>
  <c r="C75" i="155"/>
  <c r="C74" i="155"/>
  <c r="C73" i="155"/>
  <c r="C72" i="155"/>
  <c r="C71" i="155"/>
  <c r="C70" i="155"/>
  <c r="C69" i="155"/>
  <c r="A12" i="155"/>
  <c r="A69" i="155" s="1"/>
  <c r="B12" i="155"/>
  <c r="B69" i="155" s="1"/>
  <c r="A13" i="155"/>
  <c r="A70" i="155" s="1"/>
  <c r="B13" i="155"/>
  <c r="B70" i="155" s="1"/>
  <c r="A14" i="155"/>
  <c r="A71" i="155" s="1"/>
  <c r="B14" i="155"/>
  <c r="B71" i="155" s="1"/>
  <c r="A15" i="155"/>
  <c r="A72" i="155" s="1"/>
  <c r="B15" i="155"/>
  <c r="B72" i="155" s="1"/>
  <c r="A16" i="155"/>
  <c r="A77" i="155" s="1"/>
  <c r="B16" i="155"/>
  <c r="B77" i="155" s="1"/>
  <c r="A17" i="155"/>
  <c r="A82" i="155" s="1"/>
  <c r="B17" i="155"/>
  <c r="B82" i="155" s="1"/>
  <c r="A18" i="155"/>
  <c r="A87" i="155" s="1"/>
  <c r="B18" i="155"/>
  <c r="B87" i="155" s="1"/>
  <c r="A19" i="155"/>
  <c r="A88" i="155" s="1"/>
  <c r="B19" i="155"/>
  <c r="B88" i="155" s="1"/>
  <c r="A20" i="155"/>
  <c r="A89" i="155" s="1"/>
  <c r="A21" i="155"/>
  <c r="A90" i="155" s="1"/>
  <c r="B21" i="155"/>
  <c r="B90" i="155" s="1"/>
  <c r="A22" i="155"/>
  <c r="A91" i="155" s="1"/>
  <c r="B22" i="155"/>
  <c r="B91" i="155" s="1"/>
  <c r="A23" i="155"/>
  <c r="A92" i="155" s="1"/>
  <c r="B23" i="155"/>
  <c r="B92" i="155" s="1"/>
  <c r="A24" i="155"/>
  <c r="A94" i="155" s="1"/>
  <c r="B24" i="155"/>
  <c r="B94" i="155" s="1"/>
  <c r="AF210" i="144"/>
  <c r="AE210" i="144"/>
  <c r="AD210" i="144"/>
  <c r="AC210" i="144"/>
  <c r="AB210" i="144"/>
  <c r="AA210" i="144"/>
  <c r="Z210" i="144"/>
  <c r="Y210" i="144"/>
  <c r="X210" i="144"/>
  <c r="W210" i="144"/>
  <c r="V210" i="144"/>
  <c r="U210" i="144"/>
  <c r="T210" i="144"/>
  <c r="S210" i="144"/>
  <c r="R210" i="144"/>
  <c r="Q210" i="144"/>
  <c r="P210" i="144"/>
  <c r="O210" i="144"/>
  <c r="N210" i="144"/>
  <c r="M210" i="144"/>
  <c r="L210" i="144"/>
  <c r="K210" i="144"/>
  <c r="J210" i="144"/>
  <c r="I210" i="144"/>
  <c r="H210" i="144"/>
  <c r="G210" i="144"/>
  <c r="F210" i="144"/>
  <c r="E210" i="144"/>
  <c r="AF205" i="144"/>
  <c r="AE205" i="144"/>
  <c r="AD205" i="144"/>
  <c r="AC205" i="144"/>
  <c r="AB205" i="144"/>
  <c r="AA205" i="144"/>
  <c r="Z205" i="144"/>
  <c r="Y205" i="144"/>
  <c r="X205" i="144"/>
  <c r="W205" i="144"/>
  <c r="V205" i="144"/>
  <c r="U205" i="144"/>
  <c r="T205" i="144"/>
  <c r="S205" i="144"/>
  <c r="R205" i="144"/>
  <c r="Q205" i="144"/>
  <c r="P205" i="144"/>
  <c r="O205" i="144"/>
  <c r="N205" i="144"/>
  <c r="M205" i="144"/>
  <c r="L205" i="144"/>
  <c r="K205" i="144"/>
  <c r="J205" i="144"/>
  <c r="I205" i="144"/>
  <c r="H205" i="144"/>
  <c r="G205" i="144"/>
  <c r="F205" i="144"/>
  <c r="E205" i="144"/>
  <c r="AF200" i="144"/>
  <c r="AE200" i="144"/>
  <c r="AD200" i="144"/>
  <c r="AC200" i="144"/>
  <c r="AB200" i="144"/>
  <c r="AA200" i="144"/>
  <c r="Z200" i="144"/>
  <c r="Y200" i="144"/>
  <c r="X200" i="144"/>
  <c r="W200" i="144"/>
  <c r="V200" i="144"/>
  <c r="U200" i="144"/>
  <c r="T200" i="144"/>
  <c r="S200" i="144"/>
  <c r="R200" i="144"/>
  <c r="Q200" i="144"/>
  <c r="P200" i="144"/>
  <c r="O200" i="144"/>
  <c r="N200" i="144"/>
  <c r="M200" i="144"/>
  <c r="L200" i="144"/>
  <c r="K200" i="144"/>
  <c r="J200" i="144"/>
  <c r="I200" i="144"/>
  <c r="H200" i="144"/>
  <c r="G200" i="144"/>
  <c r="F200" i="144"/>
  <c r="E200" i="144"/>
  <c r="AF195" i="144"/>
  <c r="AE195" i="144"/>
  <c r="AD195" i="144"/>
  <c r="AC195" i="144"/>
  <c r="AB195" i="144"/>
  <c r="AA195" i="144"/>
  <c r="Z195" i="144"/>
  <c r="Y195" i="144"/>
  <c r="X195" i="144"/>
  <c r="W195" i="144"/>
  <c r="V195" i="144"/>
  <c r="U195" i="144"/>
  <c r="T195" i="144"/>
  <c r="S195" i="144"/>
  <c r="R195" i="144"/>
  <c r="Q195" i="144"/>
  <c r="P195" i="144"/>
  <c r="O195" i="144"/>
  <c r="N195" i="144"/>
  <c r="M195" i="144"/>
  <c r="L195" i="144"/>
  <c r="K195" i="144"/>
  <c r="J195" i="144"/>
  <c r="I195" i="144"/>
  <c r="H195" i="144"/>
  <c r="G195" i="144"/>
  <c r="F195" i="144"/>
  <c r="E195" i="144"/>
  <c r="AF190" i="144"/>
  <c r="AE190" i="144"/>
  <c r="AD190" i="144"/>
  <c r="AC190" i="144"/>
  <c r="AB190" i="144"/>
  <c r="AA190" i="144"/>
  <c r="Z190" i="144"/>
  <c r="Y190" i="144"/>
  <c r="X190" i="144"/>
  <c r="W190" i="144"/>
  <c r="V190" i="144"/>
  <c r="U190" i="144"/>
  <c r="T190" i="144"/>
  <c r="S190" i="144"/>
  <c r="R190" i="144"/>
  <c r="Q190" i="144"/>
  <c r="P190" i="144"/>
  <c r="O190" i="144"/>
  <c r="N190" i="144"/>
  <c r="M190" i="144"/>
  <c r="L190" i="144"/>
  <c r="K190" i="144"/>
  <c r="J190" i="144"/>
  <c r="I190" i="144"/>
  <c r="H190" i="144"/>
  <c r="G190" i="144"/>
  <c r="F190" i="144"/>
  <c r="E190" i="144"/>
  <c r="AF185" i="144"/>
  <c r="AE185" i="144"/>
  <c r="AD185" i="144"/>
  <c r="AC185" i="144"/>
  <c r="AB185" i="144"/>
  <c r="AA185" i="144"/>
  <c r="Z185" i="144"/>
  <c r="Y185" i="144"/>
  <c r="X185" i="144"/>
  <c r="W185" i="144"/>
  <c r="V185" i="144"/>
  <c r="U185" i="144"/>
  <c r="T185" i="144"/>
  <c r="S185" i="144"/>
  <c r="R185" i="144"/>
  <c r="Q185" i="144"/>
  <c r="P185" i="144"/>
  <c r="O185" i="144"/>
  <c r="N185" i="144"/>
  <c r="M185" i="144"/>
  <c r="L185" i="144"/>
  <c r="K185" i="144"/>
  <c r="J185" i="144"/>
  <c r="I185" i="144"/>
  <c r="H185" i="144"/>
  <c r="G185" i="144"/>
  <c r="F185" i="144"/>
  <c r="E185" i="144"/>
  <c r="O32" i="144"/>
  <c r="T64" i="155" l="1"/>
  <c r="T47" i="155"/>
  <c r="F53" i="165"/>
  <c r="F57" i="165"/>
  <c r="Z65" i="165" s="1" a="1"/>
  <c r="Z65" i="165" s="1"/>
  <c r="AF133" i="163" s="1"/>
  <c r="BL133" i="163" s="1"/>
  <c r="J53" i="165"/>
  <c r="L183" i="164"/>
  <c r="M183" i="164" s="1"/>
  <c r="N183" i="164" s="1"/>
  <c r="O183" i="164" s="1"/>
  <c r="P183" i="164" s="1"/>
  <c r="Q183" i="164" s="1"/>
  <c r="R183" i="164" s="1"/>
  <c r="S183" i="164" s="1"/>
  <c r="T183" i="164" s="1"/>
  <c r="U183" i="164" s="1"/>
  <c r="V183" i="164" s="1"/>
  <c r="W183" i="164" s="1"/>
  <c r="X183" i="164" s="1"/>
  <c r="Y183" i="164" s="1"/>
  <c r="Z183" i="164" s="1"/>
  <c r="AA183" i="164" s="1"/>
  <c r="AB183" i="164" s="1"/>
  <c r="AC183" i="164" s="1"/>
  <c r="AD183" i="164" s="1"/>
  <c r="AE183" i="164" s="1"/>
  <c r="AF183" i="164" s="1"/>
  <c r="AG183" i="164" s="1"/>
  <c r="AH183" i="164" s="1"/>
  <c r="AI183" i="164" s="1"/>
  <c r="AJ183" i="164" s="1"/>
  <c r="AK183" i="164" s="1"/>
  <c r="AL183" i="164" s="1"/>
  <c r="K184" i="164"/>
  <c r="I27" i="144"/>
  <c r="O11" i="155" s="1"/>
  <c r="C104" i="144"/>
  <c r="C122" i="144" s="1"/>
  <c r="C33" i="155" s="1"/>
  <c r="AM33" i="155" s="1"/>
  <c r="C105" i="144"/>
  <c r="C166" i="144" s="1"/>
  <c r="C106" i="144"/>
  <c r="C167" i="144" s="1"/>
  <c r="C107" i="144"/>
  <c r="C125" i="144" s="1"/>
  <c r="C36" i="155" s="1"/>
  <c r="AM36" i="155" s="1"/>
  <c r="C108" i="144"/>
  <c r="C169" i="144" s="1"/>
  <c r="C109" i="144"/>
  <c r="C170" i="144" s="1"/>
  <c r="C110" i="144"/>
  <c r="C171" i="144" s="1"/>
  <c r="C111" i="144"/>
  <c r="C148" i="144" s="1"/>
  <c r="C57" i="155" s="1"/>
  <c r="AM57" i="155" s="1"/>
  <c r="C112" i="144"/>
  <c r="C130" i="144" s="1"/>
  <c r="C41" i="155" s="1"/>
  <c r="AM41" i="155" s="1"/>
  <c r="C113" i="144"/>
  <c r="C174" i="144" s="1"/>
  <c r="C114" i="144"/>
  <c r="C175" i="144" s="1"/>
  <c r="C115" i="144"/>
  <c r="C133" i="144" s="1"/>
  <c r="C116" i="144"/>
  <c r="C153" i="144" s="1"/>
  <c r="C62" i="155" s="1"/>
  <c r="AM62" i="155" s="1"/>
  <c r="C117" i="144"/>
  <c r="C178" i="144" s="1"/>
  <c r="C103" i="144"/>
  <c r="C121" i="144" s="1"/>
  <c r="C32" i="155" s="1"/>
  <c r="AM32" i="155" s="1"/>
  <c r="B114" i="155"/>
  <c r="A114" i="155"/>
  <c r="B113" i="155"/>
  <c r="A113" i="155"/>
  <c r="C44" i="155" l="1"/>
  <c r="AM44" i="155" s="1"/>
  <c r="W68" i="165" a="1"/>
  <c r="W68" i="165" s="1"/>
  <c r="Z67" i="165" a="1"/>
  <c r="Z67" i="165" s="1"/>
  <c r="M66" i="165" a="1"/>
  <c r="M66" i="165" s="1"/>
  <c r="P65" i="165" a="1"/>
  <c r="P65" i="165" s="1"/>
  <c r="F67" i="165" a="1"/>
  <c r="F67" i="165" s="1"/>
  <c r="I66" i="165" a="1"/>
  <c r="I66" i="165" s="1"/>
  <c r="P68" i="165" a="1"/>
  <c r="P68" i="165" s="1"/>
  <c r="M67" i="165" a="1"/>
  <c r="M67" i="165" s="1"/>
  <c r="G68" i="165" a="1"/>
  <c r="G68" i="165" s="1"/>
  <c r="R67" i="165" a="1"/>
  <c r="R67" i="165" s="1"/>
  <c r="Y65" i="165" a="1"/>
  <c r="Y65" i="165" s="1"/>
  <c r="S68" i="165" a="1"/>
  <c r="S68" i="165" s="1"/>
  <c r="Z66" i="165" a="1"/>
  <c r="Z66" i="165" s="1"/>
  <c r="M65" i="165" a="1"/>
  <c r="M65" i="165" s="1"/>
  <c r="H68" i="165" a="1"/>
  <c r="H68" i="165" s="1"/>
  <c r="AB65" i="165" a="1"/>
  <c r="AB65" i="165" s="1"/>
  <c r="AA67" i="165" a="1"/>
  <c r="AA67" i="165" s="1"/>
  <c r="AG135" i="163" s="1"/>
  <c r="BM135" i="163" s="1"/>
  <c r="B67" i="165" a="1"/>
  <c r="B67" i="165" s="1"/>
  <c r="I65" i="165" a="1"/>
  <c r="I65" i="165" s="1"/>
  <c r="W67" i="165" a="1"/>
  <c r="W67" i="165" s="1"/>
  <c r="J66" i="165" a="1"/>
  <c r="J66" i="165" s="1"/>
  <c r="Y68" i="165" a="1"/>
  <c r="Y68" i="165" s="1"/>
  <c r="AB67" i="165" a="1"/>
  <c r="AB67" i="165" s="1"/>
  <c r="N68" i="165" a="1"/>
  <c r="N68" i="165" s="1"/>
  <c r="K67" i="165" a="1"/>
  <c r="K67" i="165" s="1"/>
  <c r="F66" i="165" a="1"/>
  <c r="F66" i="165" s="1"/>
  <c r="D66" i="165" a="1"/>
  <c r="D66" i="165" s="1"/>
  <c r="G67" i="165" a="1"/>
  <c r="G67" i="165" s="1"/>
  <c r="V65" i="165" a="1"/>
  <c r="V65" i="165" s="1"/>
  <c r="I68" i="165" a="1"/>
  <c r="I68" i="165" s="1"/>
  <c r="T67" i="165" a="1"/>
  <c r="T67" i="165" s="1"/>
  <c r="X66" i="165" a="1"/>
  <c r="X66" i="165" s="1"/>
  <c r="O66" i="165" a="1"/>
  <c r="O66" i="165" s="1"/>
  <c r="R65" i="165" a="1"/>
  <c r="R65" i="165" s="1"/>
  <c r="H65" i="165" a="1"/>
  <c r="H65" i="165" s="1"/>
  <c r="AA66" i="165" a="1"/>
  <c r="AA66" i="165" s="1"/>
  <c r="AG134" i="163" s="1"/>
  <c r="BM134" i="163" s="1"/>
  <c r="N65" i="165" a="1"/>
  <c r="N65" i="165" s="1"/>
  <c r="AC67" i="165" a="1"/>
  <c r="AC67" i="165" s="1"/>
  <c r="L67" i="165" a="1"/>
  <c r="L67" i="165" s="1"/>
  <c r="AC66" i="165" a="1"/>
  <c r="AC66" i="165" s="1"/>
  <c r="AA65" i="165" a="1"/>
  <c r="AA65" i="165" s="1"/>
  <c r="Y67" i="165" a="1"/>
  <c r="Y67" i="165" s="1"/>
  <c r="AB68" i="165" a="1"/>
  <c r="AB68" i="165" s="1"/>
  <c r="K66" i="165" a="1"/>
  <c r="K66" i="165" s="1"/>
  <c r="Z68" i="165" a="1"/>
  <c r="Z68" i="165" s="1"/>
  <c r="U67" i="165" a="1"/>
  <c r="U67" i="165" s="1"/>
  <c r="D67" i="165" a="1"/>
  <c r="D67" i="165" s="1"/>
  <c r="E67" i="165" a="1"/>
  <c r="E67" i="165" s="1"/>
  <c r="K65" i="165" a="1"/>
  <c r="K65" i="165" s="1"/>
  <c r="C65" i="165" a="1"/>
  <c r="C65" i="165" s="1"/>
  <c r="U66" i="165" a="1"/>
  <c r="U66" i="165" s="1"/>
  <c r="T68" i="165" a="1"/>
  <c r="T68" i="165" s="1"/>
  <c r="W65" i="165" a="1"/>
  <c r="W65" i="165" s="1"/>
  <c r="R68" i="165" a="1"/>
  <c r="R68" i="165" s="1"/>
  <c r="Y66" i="165" a="1"/>
  <c r="Y66" i="165" s="1"/>
  <c r="F68" i="165" a="1"/>
  <c r="F68" i="165" s="1"/>
  <c r="E66" i="165" a="1"/>
  <c r="E66" i="165" s="1"/>
  <c r="L68" i="165" a="1"/>
  <c r="L68" i="165" s="1"/>
  <c r="O65" i="165" a="1"/>
  <c r="O65" i="165" s="1"/>
  <c r="J68" i="165" a="1"/>
  <c r="J68" i="165" s="1"/>
  <c r="Q66" i="165" a="1"/>
  <c r="Q66" i="165" s="1"/>
  <c r="P66" i="165" a="1"/>
  <c r="P66" i="165" s="1"/>
  <c r="X65" i="165" a="1"/>
  <c r="X65" i="165" s="1"/>
  <c r="J67" i="165" a="1"/>
  <c r="J67" i="165" s="1"/>
  <c r="Q65" i="165" a="1"/>
  <c r="Q65" i="165" s="1"/>
  <c r="D68" i="165" a="1"/>
  <c r="D68" i="165" s="1"/>
  <c r="AA68" i="165" a="1"/>
  <c r="AA68" i="165" s="1"/>
  <c r="AG136" i="163" s="1"/>
  <c r="V67" i="165" a="1"/>
  <c r="V67" i="165" s="1"/>
  <c r="AC65" i="165" a="1"/>
  <c r="AC65" i="165" s="1"/>
  <c r="H66" i="165" a="1"/>
  <c r="H66" i="165" s="1"/>
  <c r="V68" i="165" a="1"/>
  <c r="V68" i="165" s="1"/>
  <c r="O68" i="165" a="1"/>
  <c r="O68" i="165" s="1"/>
  <c r="U136" i="163" s="1"/>
  <c r="BA136" i="163" s="1"/>
  <c r="V66" i="165" a="1"/>
  <c r="V66" i="165" s="1"/>
  <c r="AC68" i="165" a="1"/>
  <c r="AC68" i="165" s="1"/>
  <c r="X67" i="165" a="1"/>
  <c r="X67" i="165" s="1"/>
  <c r="K68" i="165" a="1"/>
  <c r="K68" i="165" s="1"/>
  <c r="N67" i="165" a="1"/>
  <c r="N67" i="165" s="1"/>
  <c r="U65" i="165" a="1"/>
  <c r="U65" i="165" s="1"/>
  <c r="S65" i="165" a="1"/>
  <c r="S65" i="165" s="1"/>
  <c r="S67" i="165" a="1"/>
  <c r="S67" i="165" s="1"/>
  <c r="N66" i="165" a="1"/>
  <c r="N66" i="165" s="1"/>
  <c r="U68" i="165" a="1"/>
  <c r="U68" i="165" s="1"/>
  <c r="P67" i="165" a="1"/>
  <c r="P67" i="165" s="1"/>
  <c r="C68" i="165" a="1"/>
  <c r="C68" i="165" s="1"/>
  <c r="R66" i="165" a="1"/>
  <c r="R66" i="165" s="1"/>
  <c r="E65" i="165" a="1"/>
  <c r="E65" i="165" s="1"/>
  <c r="L66" i="165" a="1"/>
  <c r="L66" i="165" s="1"/>
  <c r="C67" i="165" a="1"/>
  <c r="C67" i="165" s="1"/>
  <c r="BL37" i="163"/>
  <c r="M68" i="165" a="1"/>
  <c r="M68" i="165" s="1"/>
  <c r="H67" i="165" a="1"/>
  <c r="H67" i="165" s="1"/>
  <c r="O67" i="165" a="1"/>
  <c r="O67" i="165" s="1"/>
  <c r="U135" i="163" s="1"/>
  <c r="BA135" i="163" s="1"/>
  <c r="B66" i="165" a="1"/>
  <c r="B66" i="165" s="1"/>
  <c r="T65" i="165" a="1"/>
  <c r="T65" i="165" s="1"/>
  <c r="G65" i="165" a="1"/>
  <c r="G65" i="165" s="1"/>
  <c r="X68" i="165" a="1"/>
  <c r="X68" i="165" s="1"/>
  <c r="W66" i="165" a="1"/>
  <c r="W66" i="165" s="1"/>
  <c r="J65" i="165" a="1"/>
  <c r="J65" i="165" s="1"/>
  <c r="E68" i="165" a="1"/>
  <c r="E68" i="165" s="1"/>
  <c r="AB66" i="165" a="1"/>
  <c r="AB66" i="165" s="1"/>
  <c r="S66" i="165" a="1"/>
  <c r="S66" i="165" s="1"/>
  <c r="F65" i="165" a="1"/>
  <c r="F65" i="165" s="1"/>
  <c r="L65" i="165" a="1"/>
  <c r="L65" i="165" s="1"/>
  <c r="I67" i="165" a="1"/>
  <c r="I67" i="165" s="1"/>
  <c r="G66" i="165" a="1"/>
  <c r="G66" i="165" s="1"/>
  <c r="B65" i="165" a="1"/>
  <c r="B65" i="165" s="1"/>
  <c r="Q67" i="165" a="1"/>
  <c r="Q67" i="165" s="1"/>
  <c r="T66" i="165" a="1"/>
  <c r="T66" i="165" s="1"/>
  <c r="C66" i="165" a="1"/>
  <c r="C66" i="165" s="1"/>
  <c r="Q68" i="165" a="1"/>
  <c r="Q68" i="165" s="1"/>
  <c r="D65" i="165" a="1"/>
  <c r="D65" i="165" s="1"/>
  <c r="B68" i="165" a="1"/>
  <c r="B68" i="165" s="1"/>
  <c r="K185" i="164"/>
  <c r="L184" i="164"/>
  <c r="M184" i="164" s="1"/>
  <c r="N184" i="164" s="1"/>
  <c r="O184" i="164" s="1"/>
  <c r="P184" i="164" s="1"/>
  <c r="Q184" i="164" s="1"/>
  <c r="R184" i="164" s="1"/>
  <c r="S184" i="164" s="1"/>
  <c r="T184" i="164" s="1"/>
  <c r="U184" i="164" s="1"/>
  <c r="V184" i="164" s="1"/>
  <c r="W184" i="164" s="1"/>
  <c r="X184" i="164" s="1"/>
  <c r="Y184" i="164" s="1"/>
  <c r="Z184" i="164" s="1"/>
  <c r="AA184" i="164" s="1"/>
  <c r="AB184" i="164" s="1"/>
  <c r="AC184" i="164" s="1"/>
  <c r="AD184" i="164" s="1"/>
  <c r="AE184" i="164" s="1"/>
  <c r="AF184" i="164" s="1"/>
  <c r="AG184" i="164" s="1"/>
  <c r="AH184" i="164" s="1"/>
  <c r="AI184" i="164" s="1"/>
  <c r="AJ184" i="164" s="1"/>
  <c r="AK184" i="164" s="1"/>
  <c r="AL184" i="164" s="1"/>
  <c r="C128" i="144"/>
  <c r="C39" i="155" s="1"/>
  <c r="AM39" i="155" s="1"/>
  <c r="C135" i="144"/>
  <c r="C46" i="155" s="1"/>
  <c r="AM46" i="155" s="1"/>
  <c r="C164" i="144"/>
  <c r="C147" i="144"/>
  <c r="C56" i="155" s="1"/>
  <c r="AM56" i="155" s="1"/>
  <c r="C173" i="144"/>
  <c r="C129" i="144"/>
  <c r="C40" i="155" s="1"/>
  <c r="AM40" i="155" s="1"/>
  <c r="C127" i="144"/>
  <c r="C38" i="155" s="1"/>
  <c r="AM38" i="155" s="1"/>
  <c r="C168" i="144"/>
  <c r="C124" i="144"/>
  <c r="C35" i="155" s="1"/>
  <c r="AM35" i="155" s="1"/>
  <c r="C172" i="144"/>
  <c r="C165" i="144"/>
  <c r="C140" i="144"/>
  <c r="C49" i="155" s="1"/>
  <c r="AM49" i="155" s="1"/>
  <c r="C154" i="144"/>
  <c r="C63" i="155" s="1"/>
  <c r="AM63" i="155" s="1"/>
  <c r="C176" i="144"/>
  <c r="C132" i="144"/>
  <c r="C43" i="155" s="1"/>
  <c r="AM43" i="155" s="1"/>
  <c r="C146" i="144"/>
  <c r="C55" i="155" s="1"/>
  <c r="AM55" i="155" s="1"/>
  <c r="C134" i="144"/>
  <c r="C45" i="155" s="1"/>
  <c r="AM45" i="155" s="1"/>
  <c r="C126" i="144"/>
  <c r="C37" i="155" s="1"/>
  <c r="AM37" i="155" s="1"/>
  <c r="C152" i="144"/>
  <c r="C61" i="155" s="1"/>
  <c r="AM61" i="155" s="1"/>
  <c r="C144" i="144"/>
  <c r="C53" i="155" s="1"/>
  <c r="AM53" i="155" s="1"/>
  <c r="C145" i="144"/>
  <c r="C54" i="155" s="1"/>
  <c r="AM54" i="155" s="1"/>
  <c r="C177" i="144"/>
  <c r="C151" i="144"/>
  <c r="C60" i="155" s="1"/>
  <c r="AM60" i="155" s="1"/>
  <c r="C143" i="144"/>
  <c r="C52" i="155" s="1"/>
  <c r="AM52" i="155" s="1"/>
  <c r="C131" i="144"/>
  <c r="C42" i="155" s="1"/>
  <c r="AM42" i="155" s="1"/>
  <c r="C123" i="144"/>
  <c r="C34" i="155" s="1"/>
  <c r="AM34" i="155" s="1"/>
  <c r="C149" i="144"/>
  <c r="C58" i="155" s="1"/>
  <c r="AM58" i="155" s="1"/>
  <c r="C141" i="144"/>
  <c r="C50" i="155" s="1"/>
  <c r="AM50" i="155" s="1"/>
  <c r="C150" i="144"/>
  <c r="C59" i="155" s="1"/>
  <c r="AM59" i="155" s="1"/>
  <c r="C142" i="144"/>
  <c r="C51" i="155" s="1"/>
  <c r="AM51" i="155" s="1"/>
  <c r="N134" i="163" l="1"/>
  <c r="AT134" i="163" s="1"/>
  <c r="AT34" i="163" s="1"/>
  <c r="N32" i="163" s="1"/>
  <c r="N48" i="163" s="1"/>
  <c r="N64" i="163" s="1"/>
  <c r="N136" i="163"/>
  <c r="AT136" i="163" s="1"/>
  <c r="AT33" i="163" s="1"/>
  <c r="N31" i="163" s="1"/>
  <c r="M133" i="163"/>
  <c r="AS133" i="163" s="1"/>
  <c r="AS37" i="163" s="1"/>
  <c r="M35" i="163" s="1"/>
  <c r="M51" i="163" s="1"/>
  <c r="M67" i="163" s="1"/>
  <c r="AI133" i="163"/>
  <c r="BO133" i="163" s="1"/>
  <c r="BO37" i="163" s="1"/>
  <c r="AI35" i="163" s="1"/>
  <c r="AI51" i="163" s="1"/>
  <c r="AI67" i="163" s="1"/>
  <c r="O133" i="163"/>
  <c r="AU133" i="163" s="1"/>
  <c r="AU37" i="163" s="1"/>
  <c r="CD16" i="163" s="1"/>
  <c r="R134" i="163"/>
  <c r="AX134" i="163" s="1"/>
  <c r="AX34" i="163" s="1"/>
  <c r="CG13" i="163" s="1"/>
  <c r="AH136" i="163"/>
  <c r="BN136" i="163" s="1"/>
  <c r="BN33" i="163" s="1"/>
  <c r="AH31" i="163" s="1"/>
  <c r="W133" i="163"/>
  <c r="BC133" i="163" s="1"/>
  <c r="BC37" i="163" s="1"/>
  <c r="W35" i="163" s="1"/>
  <c r="W51" i="163" s="1"/>
  <c r="W67" i="163" s="1"/>
  <c r="I135" i="163"/>
  <c r="AO135" i="163" s="1"/>
  <c r="AO30" i="163" s="1"/>
  <c r="I28" i="163" s="1"/>
  <c r="I44" i="163" s="1"/>
  <c r="V134" i="163"/>
  <c r="BB134" i="163" s="1"/>
  <c r="BB34" i="163" s="1"/>
  <c r="V32" i="163" s="1"/>
  <c r="V48" i="163" s="1"/>
  <c r="V64" i="163" s="1"/>
  <c r="W134" i="163"/>
  <c r="BC134" i="163" s="1"/>
  <c r="BC34" i="163" s="1"/>
  <c r="W32" i="163" s="1"/>
  <c r="Y136" i="163"/>
  <c r="BE136" i="163" s="1"/>
  <c r="BE33" i="163" s="1"/>
  <c r="CN12" i="163" s="1"/>
  <c r="X133" i="163"/>
  <c r="BD133" i="163" s="1"/>
  <c r="BD37" i="163" s="1"/>
  <c r="X35" i="163" s="1"/>
  <c r="X51" i="163" s="1"/>
  <c r="X67" i="163" s="1"/>
  <c r="M134" i="163"/>
  <c r="AS134" i="163" s="1"/>
  <c r="AS34" i="163" s="1"/>
  <c r="M32" i="163" s="1"/>
  <c r="M48" i="163" s="1"/>
  <c r="M64" i="163" s="1"/>
  <c r="O135" i="163"/>
  <c r="AU135" i="163" s="1"/>
  <c r="AU30" i="163" s="1"/>
  <c r="CD9" i="163" s="1"/>
  <c r="R133" i="163"/>
  <c r="AX133" i="163" s="1"/>
  <c r="AX37" i="163" s="1"/>
  <c r="CG16" i="163" s="1"/>
  <c r="AA133" i="163"/>
  <c r="BG133" i="163" s="1"/>
  <c r="BG37" i="163" s="1"/>
  <c r="AA35" i="163" s="1"/>
  <c r="AA51" i="163" s="1"/>
  <c r="AA67" i="163" s="1"/>
  <c r="X136" i="163"/>
  <c r="BD136" i="163" s="1"/>
  <c r="BD33" i="163" s="1"/>
  <c r="X31" i="163" s="1"/>
  <c r="X47" i="163" s="1"/>
  <c r="X63" i="163" s="1"/>
  <c r="O136" i="163"/>
  <c r="AU136" i="163" s="1"/>
  <c r="AU33" i="163" s="1"/>
  <c r="CD12" i="163" s="1"/>
  <c r="O134" i="163"/>
  <c r="AU134" i="163" s="1"/>
  <c r="AU34" i="163" s="1"/>
  <c r="CD13" i="163" s="1"/>
  <c r="AA135" i="163"/>
  <c r="BG135" i="163" s="1"/>
  <c r="BG30" i="163" s="1"/>
  <c r="AA28" i="163" s="1"/>
  <c r="AA44" i="163" s="1"/>
  <c r="AC135" i="163"/>
  <c r="BI135" i="163" s="1"/>
  <c r="BI30" i="163" s="1"/>
  <c r="AC28" i="163" s="1"/>
  <c r="AG133" i="163"/>
  <c r="BM133" i="163" s="1"/>
  <c r="BM37" i="163" s="1"/>
  <c r="J133" i="163"/>
  <c r="AP133" i="163" s="1"/>
  <c r="AP37" i="163" s="1"/>
  <c r="J35" i="163" s="1"/>
  <c r="J51" i="163" s="1"/>
  <c r="J67" i="163" s="1"/>
  <c r="AI135" i="163"/>
  <c r="BO135" i="163" s="1"/>
  <c r="BO30" i="163" s="1"/>
  <c r="Z134" i="163"/>
  <c r="BF134" i="163" s="1"/>
  <c r="BF34" i="163" s="1"/>
  <c r="N133" i="163"/>
  <c r="AT133" i="163" s="1"/>
  <c r="AT37" i="163" s="1"/>
  <c r="N35" i="163" s="1"/>
  <c r="N51" i="163" s="1"/>
  <c r="N67" i="163" s="1"/>
  <c r="AC133" i="163"/>
  <c r="BI133" i="163" s="1"/>
  <c r="BI37" i="163" s="1"/>
  <c r="AC35" i="163" s="1"/>
  <c r="AC51" i="163" s="1"/>
  <c r="AC67" i="163" s="1"/>
  <c r="AE136" i="163"/>
  <c r="BK136" i="163" s="1"/>
  <c r="BK33" i="163" s="1"/>
  <c r="AE31" i="163" s="1"/>
  <c r="J136" i="163"/>
  <c r="AP136" i="163" s="1"/>
  <c r="AP33" i="163" s="1"/>
  <c r="J31" i="163" s="1"/>
  <c r="P135" i="163"/>
  <c r="AV135" i="163" s="1"/>
  <c r="AV30" i="163" s="1"/>
  <c r="P28" i="163" s="1"/>
  <c r="K133" i="163"/>
  <c r="AQ133" i="163" s="1"/>
  <c r="AQ37" i="163" s="1"/>
  <c r="K35" i="163" s="1"/>
  <c r="K51" i="163" s="1"/>
  <c r="K67" i="163" s="1"/>
  <c r="X134" i="163"/>
  <c r="BD134" i="163" s="1"/>
  <c r="BD34" i="163" s="1"/>
  <c r="X32" i="163" s="1"/>
  <c r="X48" i="163" s="1"/>
  <c r="X64" i="163" s="1"/>
  <c r="P136" i="163"/>
  <c r="AV136" i="163" s="1"/>
  <c r="AV33" i="163" s="1"/>
  <c r="P31" i="163" s="1"/>
  <c r="P47" i="163" s="1"/>
  <c r="P63" i="163" s="1"/>
  <c r="U133" i="163"/>
  <c r="BA133" i="163" s="1"/>
  <c r="BA37" i="163" s="1"/>
  <c r="U35" i="163" s="1"/>
  <c r="U51" i="163" s="1"/>
  <c r="U67" i="163" s="1"/>
  <c r="X135" i="163"/>
  <c r="BD135" i="163" s="1"/>
  <c r="BD30" i="163" s="1"/>
  <c r="X28" i="163" s="1"/>
  <c r="AD134" i="163"/>
  <c r="BJ134" i="163" s="1"/>
  <c r="BJ34" i="163" s="1"/>
  <c r="AE134" i="163"/>
  <c r="BK134" i="163" s="1"/>
  <c r="BK34" i="163" s="1"/>
  <c r="T135" i="163"/>
  <c r="AZ135" i="163" s="1"/>
  <c r="AZ30" i="163" s="1"/>
  <c r="T28" i="163" s="1"/>
  <c r="T44" i="163" s="1"/>
  <c r="L135" i="163"/>
  <c r="AR135" i="163" s="1"/>
  <c r="AR30" i="163" s="1"/>
  <c r="L28" i="163" s="1"/>
  <c r="L44" i="163" s="1"/>
  <c r="AH134" i="163"/>
  <c r="BN134" i="163" s="1"/>
  <c r="BN34" i="163" s="1"/>
  <c r="AH32" i="163" s="1"/>
  <c r="Q136" i="163"/>
  <c r="AW136" i="163" s="1"/>
  <c r="AW33" i="163" s="1"/>
  <c r="Q31" i="163" s="1"/>
  <c r="Z136" i="163"/>
  <c r="BF136" i="163" s="1"/>
  <c r="BF33" i="163" s="1"/>
  <c r="M135" i="163"/>
  <c r="AS135" i="163" s="1"/>
  <c r="AS30" i="163" s="1"/>
  <c r="M28" i="163" s="1"/>
  <c r="M44" i="163" s="1"/>
  <c r="V133" i="163"/>
  <c r="BB133" i="163" s="1"/>
  <c r="BB37" i="163" s="1"/>
  <c r="V35" i="163" s="1"/>
  <c r="V51" i="163" s="1"/>
  <c r="V67" i="163" s="1"/>
  <c r="AB136" i="163"/>
  <c r="BH136" i="163" s="1"/>
  <c r="BH33" i="163" s="1"/>
  <c r="AB31" i="163" s="1"/>
  <c r="P134" i="163"/>
  <c r="AV134" i="163" s="1"/>
  <c r="AV34" i="163" s="1"/>
  <c r="P32" i="163" s="1"/>
  <c r="P48" i="163" s="1"/>
  <c r="P64" i="163" s="1"/>
  <c r="N135" i="163"/>
  <c r="AT135" i="163" s="1"/>
  <c r="AT30" i="163" s="1"/>
  <c r="N28" i="163" s="1"/>
  <c r="N44" i="163" s="1"/>
  <c r="S136" i="163"/>
  <c r="AY136" i="163" s="1"/>
  <c r="AY33" i="163" s="1"/>
  <c r="H136" i="163"/>
  <c r="AN136" i="163" s="1"/>
  <c r="AN33" i="163" s="1"/>
  <c r="BW12" i="163" s="1"/>
  <c r="E376" i="149" s="1"/>
  <c r="AD133" i="163"/>
  <c r="BJ133" i="163" s="1"/>
  <c r="BJ37" i="163" s="1"/>
  <c r="AF134" i="163"/>
  <c r="BL134" i="163" s="1"/>
  <c r="BL34" i="163" s="1"/>
  <c r="CU13" i="163" s="1"/>
  <c r="V135" i="163"/>
  <c r="BB135" i="163" s="1"/>
  <c r="BB30" i="163" s="1"/>
  <c r="V28" i="163" s="1"/>
  <c r="V44" i="163" s="1"/>
  <c r="R136" i="163"/>
  <c r="AX136" i="163" s="1"/>
  <c r="AX33" i="163" s="1"/>
  <c r="CG12" i="163" s="1"/>
  <c r="T134" i="163"/>
  <c r="AZ134" i="163" s="1"/>
  <c r="AZ34" i="163" s="1"/>
  <c r="T32" i="163" s="1"/>
  <c r="T48" i="163" s="1"/>
  <c r="T64" i="163" s="1"/>
  <c r="L136" i="163"/>
  <c r="AR136" i="163" s="1"/>
  <c r="AR33" i="163" s="1"/>
  <c r="L31" i="163" s="1"/>
  <c r="Z135" i="163"/>
  <c r="BF135" i="163" s="1"/>
  <c r="BF30" i="163" s="1"/>
  <c r="Y134" i="163"/>
  <c r="BE134" i="163" s="1"/>
  <c r="BE34" i="163" s="1"/>
  <c r="CN13" i="163" s="1"/>
  <c r="AB133" i="163"/>
  <c r="BH133" i="163" s="1"/>
  <c r="BH37" i="163" s="1"/>
  <c r="AB35" i="163" s="1"/>
  <c r="AB51" i="163" s="1"/>
  <c r="AB67" i="163" s="1"/>
  <c r="K136" i="163"/>
  <c r="AQ136" i="163" s="1"/>
  <c r="AQ33" i="163" s="1"/>
  <c r="K31" i="163" s="1"/>
  <c r="AD135" i="163"/>
  <c r="BJ135" i="163" s="1"/>
  <c r="BJ30" i="163" s="1"/>
  <c r="AA134" i="163"/>
  <c r="BG134" i="163" s="1"/>
  <c r="BG34" i="163" s="1"/>
  <c r="AA32" i="163" s="1"/>
  <c r="AA48" i="163" s="1"/>
  <c r="AA64" i="163" s="1"/>
  <c r="J134" i="163"/>
  <c r="AP134" i="163" s="1"/>
  <c r="AP34" i="163" s="1"/>
  <c r="S134" i="163"/>
  <c r="AY134" i="163" s="1"/>
  <c r="AY34" i="163" s="1"/>
  <c r="AH135" i="163"/>
  <c r="BN135" i="163" s="1"/>
  <c r="BN30" i="163" s="1"/>
  <c r="AF136" i="163"/>
  <c r="BL136" i="163" s="1"/>
  <c r="BL33" i="163" s="1"/>
  <c r="CU12" i="163" s="1"/>
  <c r="AB135" i="163"/>
  <c r="BH135" i="163" s="1"/>
  <c r="BH30" i="163" s="1"/>
  <c r="AB28" i="163" s="1"/>
  <c r="AB44" i="163" s="1"/>
  <c r="H135" i="163"/>
  <c r="AN135" i="163" s="1"/>
  <c r="AN30" i="163" s="1"/>
  <c r="BW9" i="163" s="1"/>
  <c r="AI134" i="163"/>
  <c r="BO134" i="163" s="1"/>
  <c r="BO34" i="163" s="1"/>
  <c r="AI32" i="163" s="1"/>
  <c r="AI48" i="163" s="1"/>
  <c r="W136" i="163"/>
  <c r="BC136" i="163" s="1"/>
  <c r="BC33" i="163" s="1"/>
  <c r="W31" i="163" s="1"/>
  <c r="I134" i="163"/>
  <c r="AO134" i="163" s="1"/>
  <c r="AO34" i="163" s="1"/>
  <c r="I136" i="163"/>
  <c r="AO136" i="163" s="1"/>
  <c r="AO33" i="163" s="1"/>
  <c r="I31" i="163" s="1"/>
  <c r="AE133" i="163"/>
  <c r="BK133" i="163" s="1"/>
  <c r="BK37" i="163" s="1"/>
  <c r="Y135" i="163"/>
  <c r="BE135" i="163" s="1"/>
  <c r="BE30" i="163" s="1"/>
  <c r="CN9" i="163" s="1"/>
  <c r="Y133" i="163"/>
  <c r="BE133" i="163" s="1"/>
  <c r="BE37" i="163" s="1"/>
  <c r="CN16" i="163" s="1"/>
  <c r="L133" i="163"/>
  <c r="AR133" i="163" s="1"/>
  <c r="AR37" i="163" s="1"/>
  <c r="L35" i="163" s="1"/>
  <c r="L51" i="163" s="1"/>
  <c r="L67" i="163" s="1"/>
  <c r="AI136" i="163"/>
  <c r="BO136" i="163" s="1"/>
  <c r="BO33" i="163" s="1"/>
  <c r="AI31" i="163" s="1"/>
  <c r="I133" i="163"/>
  <c r="AO133" i="163" s="1"/>
  <c r="AO37" i="163" s="1"/>
  <c r="I35" i="163" s="1"/>
  <c r="I51" i="163" s="1"/>
  <c r="I67" i="163" s="1"/>
  <c r="L134" i="163"/>
  <c r="AR134" i="163" s="1"/>
  <c r="AR34" i="163" s="1"/>
  <c r="L32" i="163" s="1"/>
  <c r="L48" i="163" s="1"/>
  <c r="L64" i="163" s="1"/>
  <c r="AF135" i="163"/>
  <c r="BL135" i="163" s="1"/>
  <c r="BL30" i="163" s="1"/>
  <c r="CU9" i="163" s="1"/>
  <c r="Z133" i="163"/>
  <c r="BF133" i="163" s="1"/>
  <c r="BF37" i="163" s="1"/>
  <c r="Z35" i="163" s="1"/>
  <c r="Z51" i="163" s="1"/>
  <c r="R135" i="163"/>
  <c r="AX135" i="163" s="1"/>
  <c r="AX30" i="163" s="1"/>
  <c r="CG9" i="163" s="1"/>
  <c r="T133" i="163"/>
  <c r="AZ133" i="163" s="1"/>
  <c r="AZ37" i="163" s="1"/>
  <c r="T35" i="163" s="1"/>
  <c r="T51" i="163" s="1"/>
  <c r="T67" i="163" s="1"/>
  <c r="W135" i="163"/>
  <c r="BC135" i="163" s="1"/>
  <c r="BC30" i="163" s="1"/>
  <c r="W28" i="163" s="1"/>
  <c r="AA136" i="163"/>
  <c r="BG136" i="163" s="1"/>
  <c r="BG33" i="163" s="1"/>
  <c r="AA31" i="163" s="1"/>
  <c r="AA47" i="163" s="1"/>
  <c r="AA63" i="163" s="1"/>
  <c r="M136" i="163"/>
  <c r="AS136" i="163" s="1"/>
  <c r="AS33" i="163" s="1"/>
  <c r="M31" i="163" s="1"/>
  <c r="M47" i="163" s="1"/>
  <c r="M63" i="163" s="1"/>
  <c r="AB134" i="163"/>
  <c r="BH134" i="163" s="1"/>
  <c r="BH34" i="163" s="1"/>
  <c r="AB32" i="163" s="1"/>
  <c r="AB48" i="163" s="1"/>
  <c r="AB64" i="163" s="1"/>
  <c r="J135" i="163"/>
  <c r="AP135" i="163" s="1"/>
  <c r="AP30" i="163" s="1"/>
  <c r="H134" i="163"/>
  <c r="AN134" i="163" s="1"/>
  <c r="AN34" i="163" s="1"/>
  <c r="BW13" i="163" s="1"/>
  <c r="E377" i="149" s="1"/>
  <c r="Q134" i="163"/>
  <c r="AW134" i="163" s="1"/>
  <c r="AW34" i="163" s="1"/>
  <c r="Q32" i="163" s="1"/>
  <c r="Q48" i="163" s="1"/>
  <c r="Q64" i="163" s="1"/>
  <c r="AE135" i="163"/>
  <c r="BK135" i="163" s="1"/>
  <c r="BK30" i="163" s="1"/>
  <c r="AH133" i="163"/>
  <c r="BN133" i="163" s="1"/>
  <c r="BN37" i="163" s="1"/>
  <c r="AH35" i="163" s="1"/>
  <c r="AH51" i="163" s="1"/>
  <c r="AH67" i="163" s="1"/>
  <c r="S133" i="163"/>
  <c r="AY133" i="163" s="1"/>
  <c r="AY37" i="163" s="1"/>
  <c r="S35" i="163" s="1"/>
  <c r="H133" i="163"/>
  <c r="AN133" i="163" s="1"/>
  <c r="AN37" i="163" s="1"/>
  <c r="BW16" i="163" s="1"/>
  <c r="K134" i="163"/>
  <c r="AQ134" i="163" s="1"/>
  <c r="AQ34" i="163" s="1"/>
  <c r="K32" i="163" s="1"/>
  <c r="K48" i="163" s="1"/>
  <c r="K64" i="163" s="1"/>
  <c r="S135" i="163"/>
  <c r="AY135" i="163" s="1"/>
  <c r="AY30" i="163" s="1"/>
  <c r="V136" i="163"/>
  <c r="BB136" i="163" s="1"/>
  <c r="BB33" i="163" s="1"/>
  <c r="V31" i="163" s="1"/>
  <c r="V47" i="163" s="1"/>
  <c r="V63" i="163" s="1"/>
  <c r="P133" i="163"/>
  <c r="AV133" i="163" s="1"/>
  <c r="AV37" i="163" s="1"/>
  <c r="P35" i="163" s="1"/>
  <c r="P51" i="163" s="1"/>
  <c r="P67" i="163" s="1"/>
  <c r="AC134" i="163"/>
  <c r="BI134" i="163" s="1"/>
  <c r="BI34" i="163" s="1"/>
  <c r="AC32" i="163" s="1"/>
  <c r="Q133" i="163"/>
  <c r="AW133" i="163" s="1"/>
  <c r="AW37" i="163" s="1"/>
  <c r="Q35" i="163" s="1"/>
  <c r="Q51" i="163" s="1"/>
  <c r="Q67" i="163" s="1"/>
  <c r="Q135" i="163"/>
  <c r="AW135" i="163" s="1"/>
  <c r="AW30" i="163" s="1"/>
  <c r="Q28" i="163" s="1"/>
  <c r="AC136" i="163"/>
  <c r="BI136" i="163" s="1"/>
  <c r="BI33" i="163" s="1"/>
  <c r="AC31" i="163" s="1"/>
  <c r="AC47" i="163" s="1"/>
  <c r="AC63" i="163" s="1"/>
  <c r="AD136" i="163"/>
  <c r="BJ136" i="163" s="1"/>
  <c r="BJ33" i="163" s="1"/>
  <c r="AD31" i="163" s="1"/>
  <c r="AD47" i="163" s="1"/>
  <c r="K135" i="163"/>
  <c r="AQ135" i="163" s="1"/>
  <c r="AQ30" i="163" s="1"/>
  <c r="K28" i="163" s="1"/>
  <c r="K44" i="163" s="1"/>
  <c r="T136" i="163"/>
  <c r="AZ136" i="163" s="1"/>
  <c r="AZ33" i="163" s="1"/>
  <c r="T31" i="163" s="1"/>
  <c r="BM136" i="163"/>
  <c r="BM33" i="163" s="1"/>
  <c r="AG31" i="163" s="1"/>
  <c r="BA30" i="163"/>
  <c r="U28" i="163" s="1"/>
  <c r="U44" i="163" s="1"/>
  <c r="BA33" i="163"/>
  <c r="U31" i="163" s="1"/>
  <c r="U47" i="163" s="1"/>
  <c r="U63" i="163" s="1"/>
  <c r="U134" i="163"/>
  <c r="BM30" i="163"/>
  <c r="BM34" i="163"/>
  <c r="CU16" i="163"/>
  <c r="L185" i="164"/>
  <c r="M185" i="164" s="1"/>
  <c r="N185" i="164" s="1"/>
  <c r="O185" i="164" s="1"/>
  <c r="P185" i="164" s="1"/>
  <c r="Q185" i="164" s="1"/>
  <c r="R185" i="164" s="1"/>
  <c r="S185" i="164" s="1"/>
  <c r="T185" i="164" s="1"/>
  <c r="U185" i="164" s="1"/>
  <c r="V185" i="164" s="1"/>
  <c r="W185" i="164" s="1"/>
  <c r="X185" i="164" s="1"/>
  <c r="Y185" i="164" s="1"/>
  <c r="Z185" i="164" s="1"/>
  <c r="AA185" i="164" s="1"/>
  <c r="AB185" i="164" s="1"/>
  <c r="AC185" i="164" s="1"/>
  <c r="AD185" i="164" s="1"/>
  <c r="AE185" i="164" s="1"/>
  <c r="AF185" i="164" s="1"/>
  <c r="AG185" i="164" s="1"/>
  <c r="AH185" i="164" s="1"/>
  <c r="AI185" i="164" s="1"/>
  <c r="AJ185" i="164" s="1"/>
  <c r="AK185" i="164" s="1"/>
  <c r="AL185" i="164" s="1"/>
  <c r="K186" i="164"/>
  <c r="M36" i="147"/>
  <c r="L36" i="147"/>
  <c r="K36" i="147"/>
  <c r="J36" i="147"/>
  <c r="I36" i="147"/>
  <c r="H36" i="147"/>
  <c r="G36" i="147"/>
  <c r="F36" i="147"/>
  <c r="E36" i="147"/>
  <c r="D36" i="147"/>
  <c r="C36" i="147"/>
  <c r="B36" i="147"/>
  <c r="M35" i="147"/>
  <c r="L35" i="147"/>
  <c r="K35" i="147"/>
  <c r="J35" i="147"/>
  <c r="I35" i="147"/>
  <c r="H35" i="147"/>
  <c r="G35" i="147"/>
  <c r="F35" i="147"/>
  <c r="E35" i="147"/>
  <c r="D35" i="147"/>
  <c r="C35" i="147"/>
  <c r="B35" i="147"/>
  <c r="AF48" i="144"/>
  <c r="AE48" i="144"/>
  <c r="AD48" i="144"/>
  <c r="AC48" i="144"/>
  <c r="AB48" i="144"/>
  <c r="AA48" i="144"/>
  <c r="Z48" i="144"/>
  <c r="Y48" i="144"/>
  <c r="X48" i="144"/>
  <c r="W48" i="144"/>
  <c r="V48" i="144"/>
  <c r="U48" i="144"/>
  <c r="T48" i="144"/>
  <c r="S48" i="144"/>
  <c r="R48" i="144"/>
  <c r="Q48" i="144"/>
  <c r="P48" i="144"/>
  <c r="O48" i="144"/>
  <c r="N48" i="144"/>
  <c r="M48" i="144"/>
  <c r="L48" i="144"/>
  <c r="K48" i="144"/>
  <c r="J48" i="144"/>
  <c r="I48" i="144"/>
  <c r="H48" i="144"/>
  <c r="G48" i="144"/>
  <c r="F48" i="144"/>
  <c r="AF47" i="144"/>
  <c r="AE47" i="144"/>
  <c r="AD47" i="144"/>
  <c r="AC47" i="144"/>
  <c r="AB47" i="144"/>
  <c r="AA47" i="144"/>
  <c r="Z47" i="144"/>
  <c r="Y47" i="144"/>
  <c r="X47" i="144"/>
  <c r="W47" i="144"/>
  <c r="V47" i="144"/>
  <c r="U47" i="144"/>
  <c r="T47" i="144"/>
  <c r="S47" i="144"/>
  <c r="R47" i="144"/>
  <c r="Q47" i="144"/>
  <c r="P47" i="144"/>
  <c r="O47" i="144"/>
  <c r="N47" i="144"/>
  <c r="M47" i="144"/>
  <c r="L47" i="144"/>
  <c r="K47" i="144"/>
  <c r="J47" i="144"/>
  <c r="I47" i="144"/>
  <c r="H47" i="144"/>
  <c r="G47" i="144"/>
  <c r="F47" i="144"/>
  <c r="AF46" i="144"/>
  <c r="AE46" i="144"/>
  <c r="AD46" i="144"/>
  <c r="AC46" i="144"/>
  <c r="AB46" i="144"/>
  <c r="AA46" i="144"/>
  <c r="Z46" i="144"/>
  <c r="Y46" i="144"/>
  <c r="X46" i="144"/>
  <c r="W46" i="144"/>
  <c r="V46" i="144"/>
  <c r="U46" i="144"/>
  <c r="T46" i="144"/>
  <c r="S46" i="144"/>
  <c r="R46" i="144"/>
  <c r="Q46" i="144"/>
  <c r="P46" i="144"/>
  <c r="O46" i="144"/>
  <c r="N46" i="144"/>
  <c r="M46" i="144"/>
  <c r="L46" i="144"/>
  <c r="K46" i="144"/>
  <c r="J46" i="144"/>
  <c r="I46" i="144"/>
  <c r="H46" i="144"/>
  <c r="G46" i="144"/>
  <c r="F46" i="144"/>
  <c r="E48" i="144"/>
  <c r="E47" i="144"/>
  <c r="E46" i="144"/>
  <c r="E27" i="144"/>
  <c r="K11" i="155" s="1"/>
  <c r="V373" i="149" l="1"/>
  <c r="CN44" i="163"/>
  <c r="AC373" i="149"/>
  <c r="CU44" i="163"/>
  <c r="L373" i="149"/>
  <c r="CD44" i="163"/>
  <c r="E373" i="149"/>
  <c r="BW44" i="163"/>
  <c r="O373" i="149"/>
  <c r="CG44" i="163"/>
  <c r="BA134" i="163"/>
  <c r="BA34" i="163" s="1"/>
  <c r="U32" i="163" s="1"/>
  <c r="U48" i="163" s="1"/>
  <c r="CN21" i="163"/>
  <c r="CU21" i="163"/>
  <c r="CD21" i="163"/>
  <c r="CG21" i="163"/>
  <c r="BW21" i="163"/>
  <c r="L377" i="149"/>
  <c r="CD48" i="163"/>
  <c r="V376" i="149"/>
  <c r="CN47" i="163"/>
  <c r="AC377" i="149"/>
  <c r="CU48" i="163"/>
  <c r="L380" i="149"/>
  <c r="CD51" i="163"/>
  <c r="L376" i="149"/>
  <c r="CD47" i="163"/>
  <c r="AC376" i="149"/>
  <c r="CU47" i="163"/>
  <c r="O376" i="149"/>
  <c r="CG47" i="163"/>
  <c r="V380" i="149"/>
  <c r="CN51" i="163"/>
  <c r="O377" i="149"/>
  <c r="CG48" i="163"/>
  <c r="AC380" i="149"/>
  <c r="CU51" i="163"/>
  <c r="V377" i="149"/>
  <c r="CN48" i="163"/>
  <c r="O380" i="149"/>
  <c r="CG51" i="163"/>
  <c r="E380" i="149"/>
  <c r="BW51" i="163"/>
  <c r="BW47" i="163"/>
  <c r="BW48" i="163"/>
  <c r="AG47" i="163"/>
  <c r="AG63" i="163" s="1"/>
  <c r="L60" i="163"/>
  <c r="AB47" i="163"/>
  <c r="AB63" i="163" s="1"/>
  <c r="N47" i="163"/>
  <c r="BY190" i="163" s="1" a="1"/>
  <c r="BY190" i="163" s="1"/>
  <c r="M60" i="163"/>
  <c r="BX235" i="163" a="1"/>
  <c r="BX235" i="163" s="1"/>
  <c r="BX214" i="163" a="1"/>
  <c r="BX214" i="163" s="1"/>
  <c r="BX190" i="163" a="1"/>
  <c r="BX190" i="163" s="1"/>
  <c r="BX181" i="163" a="1"/>
  <c r="BX181" i="163" s="1"/>
  <c r="AS181" i="163" s="1"/>
  <c r="BX211" i="163" a="1"/>
  <c r="BX211" i="163" s="1"/>
  <c r="AS211" i="163" s="1"/>
  <c r="M212" i="163" s="1"/>
  <c r="BX217" i="163" a="1"/>
  <c r="BX217" i="163" s="1"/>
  <c r="AS217" i="163" s="1"/>
  <c r="M218" i="163" s="1"/>
  <c r="BX187" i="163" a="1"/>
  <c r="BX187" i="163" s="1"/>
  <c r="BX208" i="163" a="1"/>
  <c r="BX208" i="163" s="1"/>
  <c r="BX163" i="163" a="1"/>
  <c r="BX163" i="163" s="1"/>
  <c r="BX241" i="163" a="1"/>
  <c r="BX241" i="163" s="1"/>
  <c r="BX232" i="163" a="1"/>
  <c r="BX232" i="163" s="1"/>
  <c r="AS232" i="163" s="1"/>
  <c r="M233" i="163" s="1"/>
  <c r="BX166" i="163" a="1"/>
  <c r="BX166" i="163" s="1"/>
  <c r="BX220" i="163" a="1"/>
  <c r="BX220" i="163" s="1"/>
  <c r="AS220" i="163" s="1"/>
  <c r="M221" i="163" s="1"/>
  <c r="BX202" i="163" a="1"/>
  <c r="BX202" i="163" s="1"/>
  <c r="BX223" i="163" a="1"/>
  <c r="BX223" i="163" s="1"/>
  <c r="AS223" i="163" s="1"/>
  <c r="M224" i="163" s="1"/>
  <c r="BX184" i="163" a="1"/>
  <c r="BX184" i="163" s="1"/>
  <c r="AS184" i="163" s="1"/>
  <c r="M185" i="163" s="1"/>
  <c r="BX199" i="163" a="1"/>
  <c r="BX199" i="163" s="1"/>
  <c r="BX205" i="163" a="1"/>
  <c r="BX205" i="163" s="1"/>
  <c r="BX175" i="163" a="1"/>
  <c r="BX175" i="163" s="1"/>
  <c r="BX229" i="163" a="1"/>
  <c r="BX229" i="163" s="1"/>
  <c r="BX238" i="163" a="1"/>
  <c r="BX238" i="163" s="1"/>
  <c r="BX172" i="163" a="1"/>
  <c r="BX172" i="163" s="1"/>
  <c r="BX226" i="163" a="1"/>
  <c r="BX226" i="163" s="1"/>
  <c r="BX193" i="163" a="1"/>
  <c r="BX193" i="163" s="1"/>
  <c r="AS193" i="163" s="1"/>
  <c r="M194" i="163" s="1"/>
  <c r="BX169" i="163" a="1"/>
  <c r="BX169" i="163" s="1"/>
  <c r="V60" i="163"/>
  <c r="CG175" i="163" a="1"/>
  <c r="CG175" i="163" s="1"/>
  <c r="CG223" i="163" a="1"/>
  <c r="CG223" i="163" s="1"/>
  <c r="BB223" i="163" s="1"/>
  <c r="V224" i="163" s="1"/>
  <c r="CG181" i="163" a="1"/>
  <c r="CG181" i="163" s="1"/>
  <c r="BB181" i="163" s="1"/>
  <c r="CG217" i="163" a="1"/>
  <c r="CG217" i="163" s="1"/>
  <c r="BB217" i="163" s="1"/>
  <c r="V218" i="163" s="1"/>
  <c r="CG229" i="163" a="1"/>
  <c r="CG229" i="163" s="1"/>
  <c r="CG187" i="163" a="1"/>
  <c r="CG187" i="163" s="1"/>
  <c r="CG205" i="163" a="1"/>
  <c r="CG205" i="163" s="1"/>
  <c r="CG172" i="163" a="1"/>
  <c r="CG172" i="163" s="1"/>
  <c r="CG214" i="163" a="1"/>
  <c r="CG214" i="163" s="1"/>
  <c r="CG211" i="163" a="1"/>
  <c r="CG211" i="163" s="1"/>
  <c r="BB211" i="163" s="1"/>
  <c r="V212" i="163" s="1"/>
  <c r="CG199" i="163" a="1"/>
  <c r="CG199" i="163" s="1"/>
  <c r="CG169" i="163" a="1"/>
  <c r="CG169" i="163" s="1"/>
  <c r="CG241" i="163" a="1"/>
  <c r="CG241" i="163" s="1"/>
  <c r="CG202" i="163" a="1"/>
  <c r="CG202" i="163" s="1"/>
  <c r="CG190" i="163" a="1"/>
  <c r="CG190" i="163" s="1"/>
  <c r="CG163" i="163" a="1"/>
  <c r="CG163" i="163" s="1"/>
  <c r="CG208" i="163" a="1"/>
  <c r="CG208" i="163" s="1"/>
  <c r="CG193" i="163" a="1"/>
  <c r="CG193" i="163" s="1"/>
  <c r="BB193" i="163" s="1"/>
  <c r="V194" i="163" s="1"/>
  <c r="CG166" i="163" a="1"/>
  <c r="CG166" i="163" s="1"/>
  <c r="CG238" i="163" a="1"/>
  <c r="CG238" i="163" s="1"/>
  <c r="CG235" i="163" a="1"/>
  <c r="CG235" i="163" s="1"/>
  <c r="CG232" i="163" a="1"/>
  <c r="CG232" i="163" s="1"/>
  <c r="BB232" i="163" s="1"/>
  <c r="V233" i="163" s="1"/>
  <c r="CG220" i="163" a="1"/>
  <c r="CG220" i="163" s="1"/>
  <c r="BB220" i="163" s="1"/>
  <c r="V221" i="163" s="1"/>
  <c r="CG184" i="163" a="1"/>
  <c r="CG184" i="163" s="1"/>
  <c r="BB184" i="163" s="1"/>
  <c r="V185" i="163" s="1"/>
  <c r="CG226" i="163" a="1"/>
  <c r="CG226" i="163" s="1"/>
  <c r="AI47" i="163"/>
  <c r="S51" i="163"/>
  <c r="S67" i="163" s="1"/>
  <c r="K47" i="163"/>
  <c r="K63" i="163" s="1"/>
  <c r="Q44" i="163"/>
  <c r="Q60" i="163" s="1"/>
  <c r="AH47" i="163"/>
  <c r="AH63" i="163" s="1"/>
  <c r="AA60" i="163"/>
  <c r="CL187" i="163" a="1"/>
  <c r="CL187" i="163" s="1"/>
  <c r="CL235" i="163" a="1"/>
  <c r="CL235" i="163" s="1"/>
  <c r="CL211" i="163" a="1"/>
  <c r="CL211" i="163" s="1"/>
  <c r="BG211" i="163" s="1"/>
  <c r="AA212" i="163" s="1"/>
  <c r="CL229" i="163" a="1"/>
  <c r="CL229" i="163" s="1"/>
  <c r="CL169" i="163" a="1"/>
  <c r="CL169" i="163" s="1"/>
  <c r="CL223" i="163" a="1"/>
  <c r="CL223" i="163" s="1"/>
  <c r="BG223" i="163" s="1"/>
  <c r="AA224" i="163" s="1"/>
  <c r="CL226" i="163" a="1"/>
  <c r="CL226" i="163" s="1"/>
  <c r="CL166" i="163" a="1"/>
  <c r="CL166" i="163" s="1"/>
  <c r="CL190" i="163" a="1"/>
  <c r="CL190" i="163" s="1"/>
  <c r="CL217" i="163" a="1"/>
  <c r="CL217" i="163" s="1"/>
  <c r="BG217" i="163" s="1"/>
  <c r="AA218" i="163" s="1"/>
  <c r="CL199" i="163" a="1"/>
  <c r="CL199" i="163" s="1"/>
  <c r="CL202" i="163" a="1"/>
  <c r="CL202" i="163" s="1"/>
  <c r="CL238" i="163" a="1"/>
  <c r="CL238" i="163" s="1"/>
  <c r="CL205" i="163" a="1"/>
  <c r="CL205" i="163" s="1"/>
  <c r="CL184" i="163" a="1"/>
  <c r="CL184" i="163" s="1"/>
  <c r="BG184" i="163" s="1"/>
  <c r="AA185" i="163" s="1"/>
  <c r="CL193" i="163" a="1"/>
  <c r="CL193" i="163" s="1"/>
  <c r="BG193" i="163" s="1"/>
  <c r="AA194" i="163" s="1"/>
  <c r="CL232" i="163" a="1"/>
  <c r="CL232" i="163" s="1"/>
  <c r="BG232" i="163" s="1"/>
  <c r="AA233" i="163" s="1"/>
  <c r="CL175" i="163" a="1"/>
  <c r="CL175" i="163" s="1"/>
  <c r="CL220" i="163" a="1"/>
  <c r="CL220" i="163" s="1"/>
  <c r="BG220" i="163" s="1"/>
  <c r="AA221" i="163" s="1"/>
  <c r="CL181" i="163" a="1"/>
  <c r="CL181" i="163" s="1"/>
  <c r="BG181" i="163" s="1"/>
  <c r="CL214" i="163" a="1"/>
  <c r="CL214" i="163" s="1"/>
  <c r="CL241" i="163" a="1"/>
  <c r="CL241" i="163" s="1"/>
  <c r="CL163" i="163" a="1"/>
  <c r="CL163" i="163" s="1"/>
  <c r="CL172" i="163" a="1"/>
  <c r="CL172" i="163" s="1"/>
  <c r="CL208" i="163" a="1"/>
  <c r="CL208" i="163" s="1"/>
  <c r="Q47" i="163"/>
  <c r="Q63" i="163" s="1"/>
  <c r="J47" i="163"/>
  <c r="J63" i="163" s="1"/>
  <c r="T47" i="163"/>
  <c r="T63" i="163" s="1"/>
  <c r="K60" i="163"/>
  <c r="BV193" i="163" a="1"/>
  <c r="BV172" i="163" a="1"/>
  <c r="AC44" i="163"/>
  <c r="AC60" i="163" s="1"/>
  <c r="U60" i="163"/>
  <c r="P44" i="163"/>
  <c r="P60" i="163" s="1"/>
  <c r="AB60" i="163"/>
  <c r="Z67" i="163"/>
  <c r="CK241" i="163" a="1"/>
  <c r="CK241" i="163" s="1"/>
  <c r="CK226" i="163" a="1"/>
  <c r="CK226" i="163" s="1"/>
  <c r="CK235" i="163" a="1"/>
  <c r="CK235" i="163" s="1"/>
  <c r="CK220" i="163" a="1"/>
  <c r="CK220" i="163" s="1"/>
  <c r="BF220" i="163" s="1"/>
  <c r="Z221" i="163" s="1"/>
  <c r="CK193" i="163" a="1"/>
  <c r="CK193" i="163" s="1"/>
  <c r="BF193" i="163" s="1"/>
  <c r="Z194" i="163" s="1"/>
  <c r="CK214" i="163" a="1"/>
  <c r="CK214" i="163" s="1"/>
  <c r="CK169" i="163" a="1"/>
  <c r="CK169" i="163" s="1"/>
  <c r="CK199" i="163" a="1"/>
  <c r="CK199" i="163" s="1"/>
  <c r="CK166" i="163" a="1"/>
  <c r="CK166" i="163" s="1"/>
  <c r="CK211" i="163" a="1"/>
  <c r="CK211" i="163" s="1"/>
  <c r="BF211" i="163" s="1"/>
  <c r="Z212" i="163" s="1"/>
  <c r="CK217" i="163" a="1"/>
  <c r="CK217" i="163" s="1"/>
  <c r="BF217" i="163" s="1"/>
  <c r="Z218" i="163" s="1"/>
  <c r="CK202" i="163" a="1"/>
  <c r="CK202" i="163" s="1"/>
  <c r="CK190" i="163" a="1"/>
  <c r="CK190" i="163" s="1"/>
  <c r="CK205" i="163" a="1"/>
  <c r="CK205" i="163" s="1"/>
  <c r="CK229" i="163" a="1"/>
  <c r="CK229" i="163" s="1"/>
  <c r="CK175" i="163" a="1"/>
  <c r="CK175" i="163" s="1"/>
  <c r="CK238" i="163" a="1"/>
  <c r="CK238" i="163" s="1"/>
  <c r="CK181" i="163" a="1"/>
  <c r="CK181" i="163" s="1"/>
  <c r="BF181" i="163" s="1"/>
  <c r="CK184" i="163" a="1"/>
  <c r="CK184" i="163" s="1"/>
  <c r="BF184" i="163" s="1"/>
  <c r="Z185" i="163" s="1"/>
  <c r="CK223" i="163" a="1"/>
  <c r="CK223" i="163" s="1"/>
  <c r="BF223" i="163" s="1"/>
  <c r="Z224" i="163" s="1"/>
  <c r="CK187" i="163" a="1"/>
  <c r="CK187" i="163" s="1"/>
  <c r="CK208" i="163" a="1"/>
  <c r="CK208" i="163" s="1"/>
  <c r="CK232" i="163" a="1"/>
  <c r="CK232" i="163" s="1"/>
  <c r="BF232" i="163" s="1"/>
  <c r="Z233" i="163" s="1"/>
  <c r="CK172" i="163" a="1"/>
  <c r="CK172" i="163" s="1"/>
  <c r="CK163" i="163" a="1"/>
  <c r="CK163" i="163" s="1"/>
  <c r="L47" i="163"/>
  <c r="BW226" i="163" s="1" a="1"/>
  <c r="BW226" i="163" s="1"/>
  <c r="N60" i="163"/>
  <c r="AC48" i="163"/>
  <c r="I47" i="163"/>
  <c r="I63" i="163" s="1"/>
  <c r="X44" i="163"/>
  <c r="X60" i="163" s="1"/>
  <c r="W44" i="163"/>
  <c r="W60" i="163" s="1"/>
  <c r="W48" i="163"/>
  <c r="W64" i="163" s="1"/>
  <c r="W47" i="163"/>
  <c r="W63" i="163" s="1"/>
  <c r="I60" i="163"/>
  <c r="AD63" i="163"/>
  <c r="CO208" i="163" a="1"/>
  <c r="CO208" i="163" s="1"/>
  <c r="CO235" i="163" a="1"/>
  <c r="CO235" i="163" s="1"/>
  <c r="CO211" i="163" a="1"/>
  <c r="CO211" i="163" s="1"/>
  <c r="BJ211" i="163" s="1"/>
  <c r="AD212" i="163" s="1"/>
  <c r="CO229" i="163" a="1"/>
  <c r="CO229" i="163" s="1"/>
  <c r="CO181" i="163" a="1"/>
  <c r="CO181" i="163" s="1"/>
  <c r="BJ181" i="163" s="1"/>
  <c r="CO223" i="163" a="1"/>
  <c r="CO223" i="163" s="1"/>
  <c r="BJ223" i="163" s="1"/>
  <c r="AD224" i="163" s="1"/>
  <c r="CO238" i="163" a="1"/>
  <c r="CO238" i="163" s="1"/>
  <c r="CO217" i="163" a="1"/>
  <c r="CO217" i="163" s="1"/>
  <c r="BJ217" i="163" s="1"/>
  <c r="AD218" i="163" s="1"/>
  <c r="CO163" i="163" a="1"/>
  <c r="CO163" i="163" s="1"/>
  <c r="CO199" i="163" a="1"/>
  <c r="CO199" i="163" s="1"/>
  <c r="CO232" i="163" a="1"/>
  <c r="CO232" i="163" s="1"/>
  <c r="BJ232" i="163" s="1"/>
  <c r="AD233" i="163" s="1"/>
  <c r="CO166" i="163" a="1"/>
  <c r="CO166" i="163" s="1"/>
  <c r="CO184" i="163" a="1"/>
  <c r="CO184" i="163" s="1"/>
  <c r="BJ184" i="163" s="1"/>
  <c r="AD185" i="163" s="1"/>
  <c r="CO193" i="163" a="1"/>
  <c r="CO193" i="163" s="1"/>
  <c r="BJ193" i="163" s="1"/>
  <c r="AD194" i="163" s="1"/>
  <c r="CO226" i="163" a="1"/>
  <c r="CO226" i="163" s="1"/>
  <c r="CO175" i="163" a="1"/>
  <c r="CO175" i="163" s="1"/>
  <c r="CO214" i="163" a="1"/>
  <c r="CO214" i="163" s="1"/>
  <c r="CO172" i="163" a="1"/>
  <c r="CO172" i="163" s="1"/>
  <c r="CO205" i="163" a="1"/>
  <c r="CO205" i="163" s="1"/>
  <c r="CO190" i="163" a="1"/>
  <c r="CO190" i="163" s="1"/>
  <c r="CO169" i="163" a="1"/>
  <c r="CO169" i="163" s="1"/>
  <c r="CO220" i="163" a="1"/>
  <c r="CO220" i="163" s="1"/>
  <c r="BJ220" i="163" s="1"/>
  <c r="AD221" i="163" s="1"/>
  <c r="CO202" i="163" a="1"/>
  <c r="CO202" i="163" s="1"/>
  <c r="CO241" i="163" a="1"/>
  <c r="CO241" i="163" s="1"/>
  <c r="CO187" i="163" a="1"/>
  <c r="CO187" i="163" s="1"/>
  <c r="AH48" i="163"/>
  <c r="CS184" i="163" s="1" a="1"/>
  <c r="CS184" i="163" s="1"/>
  <c r="BN184" i="163" s="1"/>
  <c r="AH185" i="163" s="1"/>
  <c r="AE47" i="163"/>
  <c r="AE63" i="163" s="1"/>
  <c r="T60" i="163"/>
  <c r="CE175" i="163" a="1"/>
  <c r="CE205" i="163" a="1"/>
  <c r="CE184" i="163" a="1"/>
  <c r="CE190" i="163" a="1"/>
  <c r="CE235" i="163" a="1"/>
  <c r="CE211" i="163" a="1"/>
  <c r="CE211" i="163" s="1"/>
  <c r="AZ211" i="163" s="1"/>
  <c r="T212" i="163" s="1"/>
  <c r="L186" i="164"/>
  <c r="K187" i="164"/>
  <c r="AH57" i="144"/>
  <c r="T57" i="144"/>
  <c r="S57" i="144"/>
  <c r="R57" i="144"/>
  <c r="Q57" i="144"/>
  <c r="P57" i="144"/>
  <c r="O57" i="144"/>
  <c r="N57" i="144"/>
  <c r="M57" i="144"/>
  <c r="L57" i="144"/>
  <c r="K57" i="144"/>
  <c r="J57" i="144"/>
  <c r="I57" i="144"/>
  <c r="H57" i="144"/>
  <c r="G57" i="144"/>
  <c r="F57" i="144"/>
  <c r="F49" i="144"/>
  <c r="V49" i="144"/>
  <c r="J114" i="155"/>
  <c r="N49" i="144"/>
  <c r="U57" i="144"/>
  <c r="V57" i="144"/>
  <c r="W57" i="144"/>
  <c r="X57" i="144"/>
  <c r="Y57" i="144"/>
  <c r="Z57" i="144"/>
  <c r="AA57" i="144"/>
  <c r="AB57" i="144"/>
  <c r="AC57" i="144"/>
  <c r="AD57" i="144"/>
  <c r="AE57" i="144"/>
  <c r="AF57" i="144"/>
  <c r="E57" i="144"/>
  <c r="AD49" i="144"/>
  <c r="K49" i="144"/>
  <c r="S49" i="144"/>
  <c r="AA49" i="144"/>
  <c r="W49" i="144"/>
  <c r="AF49" i="144"/>
  <c r="L49" i="144"/>
  <c r="AB49" i="144"/>
  <c r="AH48" i="144"/>
  <c r="M49" i="144"/>
  <c r="E50" i="144"/>
  <c r="Z49" i="144"/>
  <c r="AH46" i="144"/>
  <c r="J49" i="144"/>
  <c r="R49" i="144"/>
  <c r="X49" i="144"/>
  <c r="U49" i="144"/>
  <c r="AC49" i="144"/>
  <c r="AE49" i="144"/>
  <c r="G49" i="144"/>
  <c r="O49" i="144"/>
  <c r="AH47" i="144"/>
  <c r="H49" i="144"/>
  <c r="P49" i="144"/>
  <c r="I49" i="144"/>
  <c r="Q49" i="144"/>
  <c r="Y49" i="144"/>
  <c r="T49" i="144"/>
  <c r="E49" i="144"/>
  <c r="B17" i="156"/>
  <c r="A17" i="156"/>
  <c r="B16" i="156"/>
  <c r="A16" i="156"/>
  <c r="B15" i="156"/>
  <c r="A15" i="156"/>
  <c r="B14" i="156"/>
  <c r="A14" i="156"/>
  <c r="B13" i="156"/>
  <c r="A13" i="156"/>
  <c r="B12" i="156"/>
  <c r="A12" i="156"/>
  <c r="B11" i="156"/>
  <c r="A11" i="156"/>
  <c r="B66" i="155"/>
  <c r="A66" i="155"/>
  <c r="B49" i="155"/>
  <c r="A49" i="155"/>
  <c r="B32" i="155"/>
  <c r="A32" i="155"/>
  <c r="B11" i="155"/>
  <c r="A11" i="155"/>
  <c r="B10" i="155"/>
  <c r="A10" i="155"/>
  <c r="B9" i="155"/>
  <c r="A9" i="155"/>
  <c r="M37" i="147"/>
  <c r="J68" i="144" s="1"/>
  <c r="L37" i="147"/>
  <c r="AF68" i="144" s="1"/>
  <c r="K37" i="147"/>
  <c r="J37" i="147"/>
  <c r="I37" i="147"/>
  <c r="V68" i="144" s="1"/>
  <c r="H37" i="147"/>
  <c r="G37" i="147"/>
  <c r="F68" i="144" s="1"/>
  <c r="F37" i="147"/>
  <c r="W68" i="144" s="1"/>
  <c r="E37" i="147"/>
  <c r="D37" i="147"/>
  <c r="C37" i="147"/>
  <c r="N68" i="144" s="1"/>
  <c r="B37" i="147"/>
  <c r="M68" i="144" s="1"/>
  <c r="CM217" i="163" l="1" a="1"/>
  <c r="CM166" i="163" a="1"/>
  <c r="CM181" i="163" a="1"/>
  <c r="CM181" i="163" s="1"/>
  <c r="BH181" i="163" s="1"/>
  <c r="AB182" i="163" s="1"/>
  <c r="BY241" i="163" a="1"/>
  <c r="BY241" i="163" s="1"/>
  <c r="CE232" i="163" a="1"/>
  <c r="CE232" i="163" s="1"/>
  <c r="AZ232" i="163" s="1"/>
  <c r="T233" i="163" s="1"/>
  <c r="CE163" i="163" a="1"/>
  <c r="BY166" i="163" a="1"/>
  <c r="BY166" i="163" s="1"/>
  <c r="AT166" i="163" s="1"/>
  <c r="N167" i="163" s="1"/>
  <c r="CE226" i="163" a="1"/>
  <c r="CE226" i="163" s="1"/>
  <c r="AZ226" i="163" s="1"/>
  <c r="T227" i="163" s="1"/>
  <c r="CE208" i="163" a="1"/>
  <c r="CE208" i="163" s="1"/>
  <c r="AZ208" i="163" s="1"/>
  <c r="T209" i="163" s="1"/>
  <c r="BY172" i="163" a="1"/>
  <c r="BY172" i="163" s="1"/>
  <c r="AT172" i="163" s="1"/>
  <c r="N173" i="163" s="1"/>
  <c r="CM163" i="163" a="1"/>
  <c r="CM163" i="163" s="1"/>
  <c r="BH163" i="163" s="1"/>
  <c r="BY232" i="163" a="1"/>
  <c r="BY232" i="163" s="1"/>
  <c r="AT232" i="163" s="1"/>
  <c r="N233" i="163" s="1"/>
  <c r="BY193" i="163" a="1"/>
  <c r="BY193" i="163" s="1"/>
  <c r="AT193" i="163" s="1"/>
  <c r="N194" i="163" s="1"/>
  <c r="BY205" i="163" a="1"/>
  <c r="BY205" i="163" s="1"/>
  <c r="AT205" i="163" s="1"/>
  <c r="N206" i="163" s="1"/>
  <c r="CM211" i="163" a="1"/>
  <c r="CM211" i="163" s="1"/>
  <c r="BH211" i="163" s="1"/>
  <c r="AB212" i="163" s="1"/>
  <c r="BY229" i="163" a="1"/>
  <c r="BY229" i="163" s="1"/>
  <c r="AT54" i="163" s="1"/>
  <c r="BY163" i="163" a="1"/>
  <c r="BY163" i="163" s="1"/>
  <c r="AT163" i="163" s="1"/>
  <c r="BY223" i="163" a="1"/>
  <c r="BY223" i="163" s="1"/>
  <c r="AT223" i="163" s="1"/>
  <c r="N224" i="163" s="1"/>
  <c r="BY217" i="163" a="1"/>
  <c r="BY217" i="163" s="1"/>
  <c r="AT217" i="163" s="1"/>
  <c r="N218" i="163" s="1"/>
  <c r="CM187" i="163" a="1"/>
  <c r="CM187" i="163" s="1"/>
  <c r="CE214" i="163" a="1"/>
  <c r="CE214" i="163" s="1"/>
  <c r="CM190" i="163" a="1"/>
  <c r="CM190" i="163" s="1"/>
  <c r="BY175" i="163" a="1"/>
  <c r="BY175" i="163" s="1"/>
  <c r="CM199" i="163" a="1"/>
  <c r="CM199" i="163" s="1"/>
  <c r="BH199" i="163" s="1"/>
  <c r="BY208" i="163" a="1"/>
  <c r="BY208" i="163" s="1"/>
  <c r="AT208" i="163" s="1"/>
  <c r="N209" i="163" s="1"/>
  <c r="BY238" i="163" a="1"/>
  <c r="BY238" i="163" s="1"/>
  <c r="AT57" i="163" s="1"/>
  <c r="CM175" i="163" a="1"/>
  <c r="BY220" i="163" a="1"/>
  <c r="BY220" i="163" s="1"/>
  <c r="AT220" i="163" s="1"/>
  <c r="N221" i="163" s="1"/>
  <c r="CE220" i="163" a="1"/>
  <c r="CE220" i="163" s="1"/>
  <c r="AZ220" i="163" s="1"/>
  <c r="T221" i="163" s="1"/>
  <c r="BY211" i="163" a="1"/>
  <c r="BY211" i="163" s="1"/>
  <c r="AT211" i="163" s="1"/>
  <c r="N212" i="163" s="1"/>
  <c r="BY235" i="163" a="1"/>
  <c r="BY235" i="163" s="1"/>
  <c r="AT235" i="163" s="1"/>
  <c r="N236" i="163" s="1"/>
  <c r="CM220" i="163" a="1"/>
  <c r="CM220" i="163" s="1"/>
  <c r="BH220" i="163" s="1"/>
  <c r="AB221" i="163" s="1"/>
  <c r="CM238" i="163" a="1"/>
  <c r="CM238" i="163" s="1"/>
  <c r="BY187" i="163" a="1"/>
  <c r="BY187" i="163" s="1"/>
  <c r="AT190" i="163" s="1"/>
  <c r="N191" i="163" s="1"/>
  <c r="BY202" i="163" a="1"/>
  <c r="BY202" i="163" s="1"/>
  <c r="AT202" i="163" s="1"/>
  <c r="N203" i="163" s="1"/>
  <c r="CE169" i="163" a="1"/>
  <c r="CE169" i="163" s="1"/>
  <c r="AZ169" i="163" s="1"/>
  <c r="T170" i="163" s="1"/>
  <c r="CM193" i="163" a="1"/>
  <c r="CM193" i="163" s="1"/>
  <c r="BH193" i="163" s="1"/>
  <c r="AB194" i="163" s="1"/>
  <c r="BY184" i="163" a="1"/>
  <c r="BY184" i="163" s="1"/>
  <c r="AT184" i="163" s="1"/>
  <c r="N185" i="163" s="1"/>
  <c r="CM172" i="163" a="1"/>
  <c r="CM172" i="163" s="1"/>
  <c r="BH172" i="163" s="1"/>
  <c r="AB173" i="163" s="1"/>
  <c r="BY226" i="163" a="1"/>
  <c r="BY226" i="163" s="1"/>
  <c r="AT226" i="163" s="1"/>
  <c r="N227" i="163" s="1"/>
  <c r="CE193" i="163" a="1"/>
  <c r="CE193" i="163" s="1"/>
  <c r="AZ193" i="163" s="1"/>
  <c r="T194" i="163" s="1"/>
  <c r="CM169" i="163" a="1"/>
  <c r="CM169" i="163" s="1"/>
  <c r="BH169" i="163" s="1"/>
  <c r="AB170" i="163" s="1"/>
  <c r="BY181" i="163" a="1"/>
  <c r="BY181" i="163" s="1"/>
  <c r="AT181" i="163" s="1"/>
  <c r="N182" i="163" s="1"/>
  <c r="CM235" i="163" a="1"/>
  <c r="CM235" i="163" s="1"/>
  <c r="BH56" i="163" s="1"/>
  <c r="CM232" i="163" a="1"/>
  <c r="CM232" i="163" s="1"/>
  <c r="BH232" i="163" s="1"/>
  <c r="AB233" i="163" s="1"/>
  <c r="BY199" i="163" a="1"/>
  <c r="BY199" i="163" s="1"/>
  <c r="AT44" i="163" s="1"/>
  <c r="CM226" i="163" a="1"/>
  <c r="CM226" i="163" s="1"/>
  <c r="BH53" i="163" s="1"/>
  <c r="BY214" i="163" a="1"/>
  <c r="BY214" i="163" s="1"/>
  <c r="AT214" i="163" s="1"/>
  <c r="N215" i="163" s="1"/>
  <c r="CE223" i="163" a="1"/>
  <c r="CE223" i="163" s="1"/>
  <c r="AZ223" i="163" s="1"/>
  <c r="T224" i="163" s="1"/>
  <c r="CM229" i="163" a="1"/>
  <c r="CM229" i="163" s="1"/>
  <c r="BH229" i="163" s="1"/>
  <c r="AB230" i="163" s="1"/>
  <c r="BY169" i="163" a="1"/>
  <c r="BY169" i="163" s="1"/>
  <c r="CM205" i="163" a="1"/>
  <c r="CM205" i="163" s="1"/>
  <c r="BH46" i="163" s="1"/>
  <c r="CF205" i="163" a="1"/>
  <c r="CF205" i="163" s="1"/>
  <c r="BA205" i="163" s="1"/>
  <c r="U206" i="163" s="1"/>
  <c r="CF220" i="163" a="1"/>
  <c r="CF220" i="163" s="1"/>
  <c r="BA220" i="163" s="1"/>
  <c r="U221" i="163" s="1"/>
  <c r="CF190" i="163" a="1"/>
  <c r="CF190" i="163" s="1"/>
  <c r="CF187" i="163" a="1"/>
  <c r="CF187" i="163" s="1"/>
  <c r="CF181" i="163" a="1"/>
  <c r="CF181" i="163" s="1"/>
  <c r="BA181" i="163" s="1"/>
  <c r="U182" i="163" s="1"/>
  <c r="CF199" i="163" a="1"/>
  <c r="CF199" i="163" s="1"/>
  <c r="BA199" i="163" s="1"/>
  <c r="CF226" i="163" a="1"/>
  <c r="CF226" i="163" s="1"/>
  <c r="BA226" i="163" s="1"/>
  <c r="U227" i="163" s="1"/>
  <c r="BV220" i="163" a="1"/>
  <c r="BV220" i="163" s="1"/>
  <c r="AQ220" i="163" s="1"/>
  <c r="K221" i="163" s="1"/>
  <c r="BV181" i="163" a="1"/>
  <c r="BV181" i="163" s="1"/>
  <c r="AQ181" i="163" s="1"/>
  <c r="K182" i="163" s="1"/>
  <c r="CE238" i="163" a="1"/>
  <c r="CE238" i="163" s="1"/>
  <c r="AZ238" i="163" s="1"/>
  <c r="T239" i="163" s="1"/>
  <c r="CE202" i="163" a="1"/>
  <c r="CE202" i="163" s="1"/>
  <c r="AZ45" i="163" s="1"/>
  <c r="CM223" i="163" a="1"/>
  <c r="CM223" i="163" s="1"/>
  <c r="BH223" i="163" s="1"/>
  <c r="AB224" i="163" s="1"/>
  <c r="CE172" i="163" a="1"/>
  <c r="CE172" i="163" s="1"/>
  <c r="AZ172" i="163" s="1"/>
  <c r="T173" i="163" s="1"/>
  <c r="CE199" i="163" a="1"/>
  <c r="CE199" i="163" s="1"/>
  <c r="AZ44" i="163" s="1"/>
  <c r="CE229" i="163" a="1"/>
  <c r="CE229" i="163" s="1"/>
  <c r="AZ229" i="163" s="1"/>
  <c r="T230" i="163" s="1"/>
  <c r="CM184" i="163" a="1"/>
  <c r="CM184" i="163" s="1"/>
  <c r="BH184" i="163" s="1"/>
  <c r="AB185" i="163" s="1"/>
  <c r="BB187" i="163"/>
  <c r="BF190" i="163"/>
  <c r="Z191" i="163" s="1"/>
  <c r="BF187" i="163"/>
  <c r="BB190" i="163"/>
  <c r="V191" i="163" s="1"/>
  <c r="BJ190" i="163"/>
  <c r="AD191" i="163" s="1"/>
  <c r="AS190" i="163"/>
  <c r="M191" i="163" s="1"/>
  <c r="AT187" i="163"/>
  <c r="BJ187" i="163"/>
  <c r="AD188" i="163" s="1"/>
  <c r="AI63" i="163"/>
  <c r="CT172" i="163" a="1"/>
  <c r="CT172" i="163" s="1"/>
  <c r="BO172" i="163" s="1"/>
  <c r="AI173" i="163" s="1"/>
  <c r="BG187" i="163"/>
  <c r="AA188" i="163" s="1"/>
  <c r="BG190" i="163"/>
  <c r="AS187" i="163"/>
  <c r="M188" i="163" s="1"/>
  <c r="BV193" i="163"/>
  <c r="AQ193" i="163" s="1"/>
  <c r="K194" i="163" s="1"/>
  <c r="BV172" i="163"/>
  <c r="AQ172" i="163" s="1"/>
  <c r="K173" i="163" s="1"/>
  <c r="CE235" i="163"/>
  <c r="AZ235" i="163" s="1"/>
  <c r="T236" i="163" s="1"/>
  <c r="CM217" i="163"/>
  <c r="BH217" i="163" s="1"/>
  <c r="AB218" i="163" s="1"/>
  <c r="CE190" i="163"/>
  <c r="CE205" i="163"/>
  <c r="AZ205" i="163" s="1"/>
  <c r="T206" i="163" s="1"/>
  <c r="CM175" i="163"/>
  <c r="BH175" i="163" s="1"/>
  <c r="AB176" i="163" s="1"/>
  <c r="CE163" i="163"/>
  <c r="AZ163" i="163" s="1"/>
  <c r="CE175" i="163"/>
  <c r="AZ175" i="163" s="1"/>
  <c r="T176" i="163" s="1"/>
  <c r="CM166" i="163"/>
  <c r="BH166" i="163" s="1"/>
  <c r="AB167" i="163" s="1"/>
  <c r="CE184" i="163"/>
  <c r="AZ184" i="163" s="1"/>
  <c r="T185" i="163" s="1"/>
  <c r="CE181" i="163" a="1"/>
  <c r="CE181" i="163" s="1"/>
  <c r="AZ181" i="163" s="1"/>
  <c r="T182" i="163" s="1"/>
  <c r="CM208" i="163" a="1"/>
  <c r="CM208" i="163" s="1"/>
  <c r="BH208" i="163" s="1"/>
  <c r="AB209" i="163" s="1"/>
  <c r="CE187" i="163" a="1"/>
  <c r="CE187" i="163" s="1"/>
  <c r="CE166" i="163" a="1"/>
  <c r="CE166" i="163" s="1"/>
  <c r="AZ166" i="163" s="1"/>
  <c r="T167" i="163" s="1"/>
  <c r="CM241" i="163" a="1"/>
  <c r="CM241" i="163" s="1"/>
  <c r="BH241" i="163" s="1"/>
  <c r="AB242" i="163" s="1"/>
  <c r="CM214" i="163" a="1"/>
  <c r="CM214" i="163" s="1"/>
  <c r="BH49" i="163" s="1"/>
  <c r="CE217" i="163" a="1"/>
  <c r="CE217" i="163" s="1"/>
  <c r="AZ217" i="163" s="1"/>
  <c r="T218" i="163" s="1"/>
  <c r="CE241" i="163" a="1"/>
  <c r="CE241" i="163" s="1"/>
  <c r="AZ241" i="163" s="1"/>
  <c r="T242" i="163" s="1"/>
  <c r="CM202" i="163" a="1"/>
  <c r="CM202" i="163" s="1"/>
  <c r="BH45" i="163" s="1"/>
  <c r="CF211" i="163" a="1"/>
  <c r="CF211" i="163" s="1"/>
  <c r="BA211" i="163" s="1"/>
  <c r="U212" i="163" s="1"/>
  <c r="CF169" i="163" a="1"/>
  <c r="CF169" i="163" s="1"/>
  <c r="BA169" i="163" s="1"/>
  <c r="U170" i="163" s="1"/>
  <c r="CF166" i="163" a="1"/>
  <c r="CF166" i="163" s="1"/>
  <c r="BA166" i="163" s="1"/>
  <c r="U167" i="163" s="1"/>
  <c r="CF208" i="163" a="1"/>
  <c r="CF208" i="163" s="1"/>
  <c r="BA47" i="163" s="1"/>
  <c r="CF175" i="163" a="1"/>
  <c r="CF175" i="163" s="1"/>
  <c r="BA175" i="163" s="1"/>
  <c r="U176" i="163" s="1"/>
  <c r="CF172" i="163" a="1"/>
  <c r="CF172" i="163" s="1"/>
  <c r="CF163" i="163" a="1"/>
  <c r="CF163" i="163" s="1"/>
  <c r="BA163" i="163" s="1"/>
  <c r="CF232" i="163" a="1"/>
  <c r="CF232" i="163" s="1"/>
  <c r="BA232" i="163" s="1"/>
  <c r="U233" i="163" s="1"/>
  <c r="CF241" i="163" a="1"/>
  <c r="CF241" i="163" s="1"/>
  <c r="BA241" i="163" s="1"/>
  <c r="U242" i="163" s="1"/>
  <c r="CF229" i="163" a="1"/>
  <c r="CF229" i="163" s="1"/>
  <c r="BA229" i="163" s="1"/>
  <c r="U230" i="163" s="1"/>
  <c r="CF235" i="163" a="1"/>
  <c r="CF235" i="163" s="1"/>
  <c r="BA235" i="163" s="1"/>
  <c r="U236" i="163" s="1"/>
  <c r="CF193" i="163" a="1"/>
  <c r="CF193" i="163" s="1"/>
  <c r="BA193" i="163" s="1"/>
  <c r="U194" i="163" s="1"/>
  <c r="CF223" i="163" a="1"/>
  <c r="CF223" i="163" s="1"/>
  <c r="BA223" i="163" s="1"/>
  <c r="U224" i="163" s="1"/>
  <c r="CF202" i="163" a="1"/>
  <c r="CF202" i="163" s="1"/>
  <c r="BA202" i="163" s="1"/>
  <c r="U203" i="163" s="1"/>
  <c r="CF184" i="163" a="1"/>
  <c r="CF184" i="163" s="1"/>
  <c r="BA184" i="163" s="1"/>
  <c r="U185" i="163" s="1"/>
  <c r="CF217" i="163" a="1"/>
  <c r="CF217" i="163" s="1"/>
  <c r="BA217" i="163" s="1"/>
  <c r="U218" i="163" s="1"/>
  <c r="CF238" i="163" a="1"/>
  <c r="CF238" i="163" s="1"/>
  <c r="BA57" i="163" s="1"/>
  <c r="CF214" i="163" a="1"/>
  <c r="CF214" i="163" s="1"/>
  <c r="BA214" i="163" s="1"/>
  <c r="U215" i="163" s="1"/>
  <c r="CT202" i="163" a="1"/>
  <c r="CT202" i="163" s="1"/>
  <c r="BO45" i="163" s="1"/>
  <c r="BT163" i="163" a="1"/>
  <c r="BT163" i="163" s="1"/>
  <c r="AO163" i="163" s="1"/>
  <c r="BV241" i="163" a="1"/>
  <c r="BV241" i="163" s="1"/>
  <c r="AQ241" i="163" s="1"/>
  <c r="K242" i="163" s="1"/>
  <c r="BV223" i="163" a="1"/>
  <c r="BV223" i="163" s="1"/>
  <c r="AQ223" i="163" s="1"/>
  <c r="K224" i="163" s="1"/>
  <c r="BV199" i="163" a="1"/>
  <c r="BV199" i="163" s="1"/>
  <c r="AQ44" i="163" s="1"/>
  <c r="BV163" i="163" a="1"/>
  <c r="BV163" i="163" s="1"/>
  <c r="AQ163" i="163" s="1"/>
  <c r="BV229" i="163" a="1"/>
  <c r="BV229" i="163" s="1"/>
  <c r="AQ229" i="163" s="1"/>
  <c r="K230" i="163" s="1"/>
  <c r="BV202" i="163" a="1"/>
  <c r="BV202" i="163" s="1"/>
  <c r="AQ202" i="163" s="1"/>
  <c r="K203" i="163" s="1"/>
  <c r="BV184" i="163" a="1"/>
  <c r="BV184" i="163" s="1"/>
  <c r="AQ184" i="163" s="1"/>
  <c r="K185" i="163" s="1"/>
  <c r="BV214" i="163" a="1"/>
  <c r="BV214" i="163" s="1"/>
  <c r="AQ214" i="163" s="1"/>
  <c r="K215" i="163" s="1"/>
  <c r="BV235" i="163" a="1"/>
  <c r="BV235" i="163" s="1"/>
  <c r="AQ235" i="163" s="1"/>
  <c r="K236" i="163" s="1"/>
  <c r="BV217" i="163" a="1"/>
  <c r="BV217" i="163" s="1"/>
  <c r="AQ217" i="163" s="1"/>
  <c r="K218" i="163" s="1"/>
  <c r="BV226" i="163" a="1"/>
  <c r="BV226" i="163" s="1"/>
  <c r="AQ226" i="163" s="1"/>
  <c r="K227" i="163" s="1"/>
  <c r="BV187" i="163" a="1"/>
  <c r="BV187" i="163" s="1"/>
  <c r="BV232" i="163" a="1"/>
  <c r="BV232" i="163" s="1"/>
  <c r="AQ232" i="163" s="1"/>
  <c r="K233" i="163" s="1"/>
  <c r="BV190" i="163" a="1"/>
  <c r="BV190" i="163" s="1"/>
  <c r="BV166" i="163" a="1"/>
  <c r="BV166" i="163" s="1"/>
  <c r="AQ166" i="163" s="1"/>
  <c r="K167" i="163" s="1"/>
  <c r="BV205" i="163" a="1"/>
  <c r="BV205" i="163" s="1"/>
  <c r="AQ46" i="163" s="1"/>
  <c r="BV169" i="163" a="1"/>
  <c r="BV169" i="163" s="1"/>
  <c r="AQ169" i="163" s="1"/>
  <c r="K170" i="163" s="1"/>
  <c r="L63" i="163"/>
  <c r="CN232" i="163" a="1"/>
  <c r="CN232" i="163" s="1"/>
  <c r="BI232" i="163" s="1"/>
  <c r="AC233" i="163" s="1"/>
  <c r="BV238" i="163" a="1"/>
  <c r="BV238" i="163" s="1"/>
  <c r="AQ57" i="163" s="1"/>
  <c r="BV175" i="163" a="1"/>
  <c r="BV175" i="163" s="1"/>
  <c r="AQ175" i="163" s="1"/>
  <c r="K176" i="163" s="1"/>
  <c r="N63" i="163"/>
  <c r="BV211" i="163" a="1"/>
  <c r="BV211" i="163" s="1"/>
  <c r="AQ211" i="163" s="1"/>
  <c r="K212" i="163" s="1"/>
  <c r="BW172" i="163" a="1"/>
  <c r="BW172" i="163" s="1"/>
  <c r="AR172" i="163" s="1"/>
  <c r="L173" i="163" s="1"/>
  <c r="BV208" i="163" a="1"/>
  <c r="BV208" i="163" s="1"/>
  <c r="AQ208" i="163" s="1"/>
  <c r="K209" i="163" s="1"/>
  <c r="AI64" i="163"/>
  <c r="AR53" i="163"/>
  <c r="AR226" i="163"/>
  <c r="L227" i="163" s="1"/>
  <c r="BJ172" i="163"/>
  <c r="AD173" i="163" s="1"/>
  <c r="BJ52" i="163"/>
  <c r="BJ235" i="163"/>
  <c r="AD236" i="163" s="1"/>
  <c r="BJ56" i="163"/>
  <c r="BT199" i="163" a="1"/>
  <c r="BT199" i="163" s="1"/>
  <c r="AC64" i="163"/>
  <c r="BG58" i="163"/>
  <c r="BG241" i="163"/>
  <c r="AA242" i="163" s="1"/>
  <c r="AS166" i="163"/>
  <c r="M167" i="163" s="1"/>
  <c r="AS50" i="163"/>
  <c r="BW184" i="163" a="1"/>
  <c r="BW184" i="163" s="1"/>
  <c r="AR184" i="163" s="1"/>
  <c r="L185" i="163" s="1"/>
  <c r="BB166" i="163"/>
  <c r="V167" i="163" s="1"/>
  <c r="BB50" i="163"/>
  <c r="BJ214" i="163"/>
  <c r="AD215" i="163" s="1"/>
  <c r="BJ49" i="163"/>
  <c r="BJ208" i="163"/>
  <c r="AD209" i="163" s="1"/>
  <c r="BJ47" i="163"/>
  <c r="BT166" i="163" a="1"/>
  <c r="BT166" i="163" s="1"/>
  <c r="BF163" i="163"/>
  <c r="BF48" i="163"/>
  <c r="BF166" i="163"/>
  <c r="Z167" i="163" s="1"/>
  <c r="BF50" i="163"/>
  <c r="BG214" i="163"/>
  <c r="AA215" i="163" s="1"/>
  <c r="BG49" i="163"/>
  <c r="BG51" i="163"/>
  <c r="BG169" i="163"/>
  <c r="AA170" i="163" s="1"/>
  <c r="BB208" i="163"/>
  <c r="V209" i="163" s="1"/>
  <c r="BB47" i="163"/>
  <c r="BB175" i="163"/>
  <c r="V176" i="163" s="1"/>
  <c r="BB55" i="163"/>
  <c r="BW223" i="163" a="1"/>
  <c r="BW223" i="163" s="1"/>
  <c r="AR223" i="163" s="1"/>
  <c r="L224" i="163" s="1"/>
  <c r="BJ175" i="163"/>
  <c r="AD176" i="163" s="1"/>
  <c r="BJ55" i="163"/>
  <c r="BT193" i="163" a="1"/>
  <c r="BT193" i="163" s="1"/>
  <c r="AO193" i="163" s="1"/>
  <c r="I194" i="163" s="1"/>
  <c r="BF172" i="163"/>
  <c r="Z173" i="163" s="1"/>
  <c r="BF52" i="163"/>
  <c r="BF199" i="163"/>
  <c r="BF44" i="163"/>
  <c r="AA182" i="163"/>
  <c r="BG229" i="163"/>
  <c r="AA230" i="163" s="1"/>
  <c r="BG54" i="163"/>
  <c r="BB48" i="163"/>
  <c r="BB163" i="163"/>
  <c r="AS241" i="163"/>
  <c r="M242" i="163" s="1"/>
  <c r="AS58" i="163"/>
  <c r="BW175" i="163" a="1"/>
  <c r="BW175" i="163" s="1"/>
  <c r="BG226" i="163"/>
  <c r="AA227" i="163" s="1"/>
  <c r="BG53" i="163"/>
  <c r="BJ53" i="163"/>
  <c r="BJ226" i="163"/>
  <c r="AD227" i="163" s="1"/>
  <c r="BT205" i="163" a="1"/>
  <c r="BT205" i="163" s="1"/>
  <c r="AT169" i="163"/>
  <c r="N170" i="163" s="1"/>
  <c r="BF169" i="163"/>
  <c r="Z170" i="163" s="1"/>
  <c r="BF51" i="163"/>
  <c r="AS169" i="163"/>
  <c r="M170" i="163" s="1"/>
  <c r="AS51" i="163"/>
  <c r="AS163" i="163"/>
  <c r="AS48" i="163"/>
  <c r="BW220" i="163" a="1"/>
  <c r="BW220" i="163" s="1"/>
  <c r="AR220" i="163" s="1"/>
  <c r="L221" i="163" s="1"/>
  <c r="BW217" i="163" a="1"/>
  <c r="BW217" i="163" s="1"/>
  <c r="AR217" i="163" s="1"/>
  <c r="L218" i="163" s="1"/>
  <c r="BT181" i="163" a="1"/>
  <c r="BT181" i="163" s="1"/>
  <c r="AO181" i="163" s="1"/>
  <c r="AT241" i="163"/>
  <c r="N242" i="163" s="1"/>
  <c r="AT58" i="163"/>
  <c r="BF208" i="163"/>
  <c r="Z209" i="163" s="1"/>
  <c r="BF47" i="163"/>
  <c r="BF214" i="163"/>
  <c r="Z215" i="163" s="1"/>
  <c r="BF49" i="163"/>
  <c r="BG175" i="163"/>
  <c r="AA176" i="163" s="1"/>
  <c r="BG55" i="163"/>
  <c r="BG56" i="163"/>
  <c r="BG235" i="163"/>
  <c r="AA236" i="163" s="1"/>
  <c r="CD211" i="163" a="1"/>
  <c r="CD211" i="163" s="1"/>
  <c r="AY211" i="163" s="1"/>
  <c r="S212" i="163" s="1"/>
  <c r="CD193" i="163" a="1"/>
  <c r="CD193" i="163" s="1"/>
  <c r="AY193" i="163" s="1"/>
  <c r="S194" i="163" s="1"/>
  <c r="CD166" i="163" a="1"/>
  <c r="CD166" i="163" s="1"/>
  <c r="CD208" i="163" a="1"/>
  <c r="CD208" i="163" s="1"/>
  <c r="CD187" i="163" a="1"/>
  <c r="CD187" i="163" s="1"/>
  <c r="CD175" i="163" a="1"/>
  <c r="CD175" i="163" s="1"/>
  <c r="CD169" i="163" a="1"/>
  <c r="CD169" i="163" s="1"/>
  <c r="CD214" i="163" a="1"/>
  <c r="CD214" i="163" s="1"/>
  <c r="CD172" i="163" a="1"/>
  <c r="CD172" i="163" s="1"/>
  <c r="CD226" i="163" a="1"/>
  <c r="CD226" i="163" s="1"/>
  <c r="CD217" i="163" a="1"/>
  <c r="CD217" i="163" s="1"/>
  <c r="AY217" i="163" s="1"/>
  <c r="S218" i="163" s="1"/>
  <c r="CD199" i="163" a="1"/>
  <c r="CD199" i="163" s="1"/>
  <c r="CD223" i="163" a="1"/>
  <c r="CD223" i="163" s="1"/>
  <c r="AY223" i="163" s="1"/>
  <c r="S224" i="163" s="1"/>
  <c r="CD184" i="163" a="1"/>
  <c r="CD184" i="163" s="1"/>
  <c r="AY184" i="163" s="1"/>
  <c r="S185" i="163" s="1"/>
  <c r="CD241" i="163" a="1"/>
  <c r="CD241" i="163" s="1"/>
  <c r="CD238" i="163" a="1"/>
  <c r="CD238" i="163" s="1"/>
  <c r="CD229" i="163" a="1"/>
  <c r="CD229" i="163" s="1"/>
  <c r="CD235" i="163" a="1"/>
  <c r="CD235" i="163" s="1"/>
  <c r="CD220" i="163" a="1"/>
  <c r="CD220" i="163" s="1"/>
  <c r="AY220" i="163" s="1"/>
  <c r="S221" i="163" s="1"/>
  <c r="CD190" i="163" a="1"/>
  <c r="CD190" i="163" s="1"/>
  <c r="CD181" i="163" a="1"/>
  <c r="CD181" i="163" s="1"/>
  <c r="AY181" i="163" s="1"/>
  <c r="CD202" i="163" a="1"/>
  <c r="CD202" i="163" s="1"/>
  <c r="CD232" i="163" a="1"/>
  <c r="CD232" i="163" s="1"/>
  <c r="AY232" i="163" s="1"/>
  <c r="S233" i="163" s="1"/>
  <c r="CD205" i="163" a="1"/>
  <c r="CD205" i="163" s="1"/>
  <c r="CD163" i="163" a="1"/>
  <c r="CD163" i="163" s="1"/>
  <c r="BB202" i="163"/>
  <c r="V203" i="163" s="1"/>
  <c r="BB45" i="163"/>
  <c r="AS208" i="163"/>
  <c r="M209" i="163" s="1"/>
  <c r="AS47" i="163"/>
  <c r="BW241" i="163" a="1"/>
  <c r="BW241" i="163" s="1"/>
  <c r="BW214" i="163" a="1"/>
  <c r="BW214" i="163" s="1"/>
  <c r="BG163" i="163"/>
  <c r="BG48" i="163"/>
  <c r="BT187" i="163" a="1"/>
  <c r="BT187" i="163" s="1"/>
  <c r="BT190" i="163" a="1"/>
  <c r="BT190" i="163" s="1"/>
  <c r="BB241" i="163"/>
  <c r="V242" i="163" s="1"/>
  <c r="BB58" i="163"/>
  <c r="AS226" i="163"/>
  <c r="M227" i="163" s="1"/>
  <c r="AS53" i="163"/>
  <c r="BW187" i="163" a="1"/>
  <c r="BW187" i="163" s="1"/>
  <c r="BW181" i="163" a="1"/>
  <c r="BW181" i="163" s="1"/>
  <c r="AR181" i="163" s="1"/>
  <c r="CP208" i="163" a="1"/>
  <c r="CP208" i="163" s="1"/>
  <c r="CP232" i="163" a="1"/>
  <c r="CP232" i="163" s="1"/>
  <c r="BK232" i="163" s="1"/>
  <c r="AE233" i="163" s="1"/>
  <c r="CP175" i="163" a="1"/>
  <c r="CP175" i="163" s="1"/>
  <c r="CP235" i="163" a="1"/>
  <c r="CP235" i="163" s="1"/>
  <c r="CP238" i="163" a="1"/>
  <c r="CP238" i="163" s="1"/>
  <c r="CP229" i="163" a="1"/>
  <c r="CP229" i="163" s="1"/>
  <c r="CP199" i="163" a="1"/>
  <c r="CP199" i="163" s="1"/>
  <c r="CP223" i="163" a="1"/>
  <c r="CP223" i="163" s="1"/>
  <c r="BK223" i="163" s="1"/>
  <c r="AE224" i="163" s="1"/>
  <c r="CP226" i="163" a="1"/>
  <c r="CP226" i="163" s="1"/>
  <c r="CP193" i="163" a="1"/>
  <c r="CP193" i="163" s="1"/>
  <c r="BK193" i="163" s="1"/>
  <c r="AE194" i="163" s="1"/>
  <c r="CP172" i="163" a="1"/>
  <c r="CP172" i="163" s="1"/>
  <c r="CP169" i="163" a="1"/>
  <c r="CP169" i="163" s="1"/>
  <c r="CP163" i="163" a="1"/>
  <c r="CP163" i="163" s="1"/>
  <c r="CP184" i="163" a="1"/>
  <c r="CP184" i="163" s="1"/>
  <c r="BK184" i="163" s="1"/>
  <c r="AE185" i="163" s="1"/>
  <c r="CP220" i="163" a="1"/>
  <c r="CP220" i="163" s="1"/>
  <c r="BK220" i="163" s="1"/>
  <c r="AE221" i="163" s="1"/>
  <c r="CP166" i="163" a="1"/>
  <c r="CP166" i="163" s="1"/>
  <c r="CP214" i="163" a="1"/>
  <c r="CP214" i="163" s="1"/>
  <c r="CP217" i="163" a="1"/>
  <c r="CP217" i="163" s="1"/>
  <c r="BK217" i="163" s="1"/>
  <c r="AE218" i="163" s="1"/>
  <c r="CP187" i="163" a="1"/>
  <c r="CP187" i="163" s="1"/>
  <c r="CP190" i="163" a="1"/>
  <c r="CP190" i="163" s="1"/>
  <c r="CP205" i="163" a="1"/>
  <c r="CP205" i="163" s="1"/>
  <c r="CP211" i="163" a="1"/>
  <c r="CP211" i="163" s="1"/>
  <c r="BK211" i="163" s="1"/>
  <c r="AE212" i="163" s="1"/>
  <c r="CP202" i="163" a="1"/>
  <c r="CP202" i="163" s="1"/>
  <c r="CP241" i="163" a="1"/>
  <c r="CP241" i="163" s="1"/>
  <c r="CP181" i="163" a="1"/>
  <c r="CP181" i="163" s="1"/>
  <c r="BK181" i="163" s="1"/>
  <c r="BJ166" i="163"/>
  <c r="AD167" i="163" s="1"/>
  <c r="BJ50" i="163"/>
  <c r="BT217" i="163" a="1"/>
  <c r="BT217" i="163" s="1"/>
  <c r="AO217" i="163" s="1"/>
  <c r="I218" i="163" s="1"/>
  <c r="BT229" i="163" a="1"/>
  <c r="BT229" i="163" s="1"/>
  <c r="CH193" i="163" a="1"/>
  <c r="CH193" i="163" s="1"/>
  <c r="BC193" i="163" s="1"/>
  <c r="W194" i="163" s="1"/>
  <c r="CH232" i="163" a="1"/>
  <c r="CH232" i="163" s="1"/>
  <c r="BC232" i="163" s="1"/>
  <c r="W233" i="163" s="1"/>
  <c r="CH238" i="163" a="1"/>
  <c r="CH238" i="163" s="1"/>
  <c r="CH223" i="163" a="1"/>
  <c r="CH223" i="163" s="1"/>
  <c r="BC223" i="163" s="1"/>
  <c r="W224" i="163" s="1"/>
  <c r="CH202" i="163" a="1"/>
  <c r="CH202" i="163" s="1"/>
  <c r="CH163" i="163" a="1"/>
  <c r="CH163" i="163" s="1"/>
  <c r="CH211" i="163" a="1"/>
  <c r="CH211" i="163" s="1"/>
  <c r="BC211" i="163" s="1"/>
  <c r="W212" i="163" s="1"/>
  <c r="CH235" i="163" a="1"/>
  <c r="CH235" i="163" s="1"/>
  <c r="CH241" i="163" a="1"/>
  <c r="CH241" i="163" s="1"/>
  <c r="CH169" i="163" a="1"/>
  <c r="CH169" i="163" s="1"/>
  <c r="CH172" i="163" a="1"/>
  <c r="CH172" i="163" s="1"/>
  <c r="CH166" i="163" a="1"/>
  <c r="CH166" i="163" s="1"/>
  <c r="CH214" i="163" a="1"/>
  <c r="CH214" i="163" s="1"/>
  <c r="CH229" i="163" a="1"/>
  <c r="CH229" i="163" s="1"/>
  <c r="CH208" i="163" a="1"/>
  <c r="CH208" i="163" s="1"/>
  <c r="CH184" i="163" a="1"/>
  <c r="CH184" i="163" s="1"/>
  <c r="BC184" i="163" s="1"/>
  <c r="W185" i="163" s="1"/>
  <c r="CH226" i="163" a="1"/>
  <c r="CH226" i="163" s="1"/>
  <c r="CH199" i="163" a="1"/>
  <c r="CH199" i="163" s="1"/>
  <c r="CH217" i="163" a="1"/>
  <c r="CH217" i="163" s="1"/>
  <c r="BC217" i="163" s="1"/>
  <c r="W218" i="163" s="1"/>
  <c r="CH175" i="163" a="1"/>
  <c r="CH175" i="163" s="1"/>
  <c r="CH190" i="163" a="1"/>
  <c r="CH190" i="163" s="1"/>
  <c r="CH205" i="163" a="1"/>
  <c r="CH205" i="163" s="1"/>
  <c r="CH187" i="163" a="1"/>
  <c r="CH187" i="163" s="1"/>
  <c r="CH181" i="163" a="1"/>
  <c r="CH181" i="163" s="1"/>
  <c r="BC181" i="163" s="1"/>
  <c r="CH220" i="163" a="1"/>
  <c r="CH220" i="163" s="1"/>
  <c r="BC220" i="163" s="1"/>
  <c r="W221" i="163" s="1"/>
  <c r="CT241" i="163" a="1"/>
  <c r="CT241" i="163" s="1"/>
  <c r="CT163" i="163" a="1"/>
  <c r="CT163" i="163" s="1"/>
  <c r="CT226" i="163" a="1"/>
  <c r="CT226" i="163" s="1"/>
  <c r="CT229" i="163" a="1"/>
  <c r="CT229" i="163" s="1"/>
  <c r="CT208" i="163" a="1"/>
  <c r="CT208" i="163" s="1"/>
  <c r="CT211" i="163" a="1"/>
  <c r="CT211" i="163" s="1"/>
  <c r="BO211" i="163" s="1"/>
  <c r="AI212" i="163" s="1"/>
  <c r="CT181" i="163" a="1"/>
  <c r="CT181" i="163" s="1"/>
  <c r="BO181" i="163" s="1"/>
  <c r="CT169" i="163" a="1"/>
  <c r="CT169" i="163" s="1"/>
  <c r="CT214" i="163" a="1"/>
  <c r="CT214" i="163" s="1"/>
  <c r="CT175" i="163" a="1"/>
  <c r="CT175" i="163" s="1"/>
  <c r="CT199" i="163" a="1"/>
  <c r="CT199" i="163" s="1"/>
  <c r="CT238" i="163" a="1"/>
  <c r="CT238" i="163" s="1"/>
  <c r="CT190" i="163" a="1"/>
  <c r="CT190" i="163" s="1"/>
  <c r="BO187" i="163" s="1"/>
  <c r="AI188" i="163" s="1"/>
  <c r="CT205" i="163" a="1"/>
  <c r="CT205" i="163" s="1"/>
  <c r="CT184" i="163" a="1"/>
  <c r="CT184" i="163" s="1"/>
  <c r="BO184" i="163" s="1"/>
  <c r="AI185" i="163" s="1"/>
  <c r="CT193" i="163" a="1"/>
  <c r="CT193" i="163" s="1"/>
  <c r="BO193" i="163" s="1"/>
  <c r="AI194" i="163" s="1"/>
  <c r="CT166" i="163" a="1"/>
  <c r="CT166" i="163" s="1"/>
  <c r="CT223" i="163" a="1"/>
  <c r="CT223" i="163" s="1"/>
  <c r="BO223" i="163" s="1"/>
  <c r="AI224" i="163" s="1"/>
  <c r="CT187" i="163" a="1"/>
  <c r="CT187" i="163" s="1"/>
  <c r="BO190" i="163" s="1"/>
  <c r="AI191" i="163" s="1"/>
  <c r="CT232" i="163" a="1"/>
  <c r="CT232" i="163" s="1"/>
  <c r="BO232" i="163" s="1"/>
  <c r="AI233" i="163" s="1"/>
  <c r="CT217" i="163" a="1"/>
  <c r="CT217" i="163" s="1"/>
  <c r="BO217" i="163" s="1"/>
  <c r="AI218" i="163" s="1"/>
  <c r="CT235" i="163" a="1"/>
  <c r="CT235" i="163" s="1"/>
  <c r="CT220" i="163" a="1"/>
  <c r="CT220" i="163" s="1"/>
  <c r="BO220" i="163" s="1"/>
  <c r="AI221" i="163" s="1"/>
  <c r="BB169" i="163"/>
  <c r="V170" i="163" s="1"/>
  <c r="BB51" i="163"/>
  <c r="AS172" i="163"/>
  <c r="M173" i="163" s="1"/>
  <c r="AS52" i="163"/>
  <c r="BW232" i="163" a="1"/>
  <c r="BW232" i="163" s="1"/>
  <c r="AR232" i="163" s="1"/>
  <c r="L233" i="163" s="1"/>
  <c r="BW199" i="163" a="1"/>
  <c r="BW199" i="163" s="1"/>
  <c r="AH64" i="163"/>
  <c r="BT214" i="163" a="1"/>
  <c r="BT214" i="163" s="1"/>
  <c r="BT202" i="163" a="1"/>
  <c r="BT202" i="163" s="1"/>
  <c r="BF235" i="163"/>
  <c r="Z236" i="163" s="1"/>
  <c r="BF56" i="163"/>
  <c r="BB199" i="163"/>
  <c r="BB44" i="163"/>
  <c r="AS238" i="163"/>
  <c r="M239" i="163" s="1"/>
  <c r="AS57" i="163"/>
  <c r="BW229" i="163" a="1"/>
  <c r="BW229" i="163" s="1"/>
  <c r="BW169" i="163" a="1"/>
  <c r="BW169" i="163" s="1"/>
  <c r="BJ199" i="163"/>
  <c r="BJ44" i="163"/>
  <c r="BT172" i="163" a="1"/>
  <c r="BT172" i="163" s="1"/>
  <c r="BT175" i="163" a="1"/>
  <c r="BT175" i="163" s="1"/>
  <c r="CI184" i="163" a="1"/>
  <c r="CI184" i="163" s="1"/>
  <c r="BD184" i="163" s="1"/>
  <c r="X185" i="163" s="1"/>
  <c r="CI241" i="163" a="1"/>
  <c r="CI241" i="163" s="1"/>
  <c r="CI205" i="163" a="1"/>
  <c r="CI205" i="163" s="1"/>
  <c r="CI175" i="163" a="1"/>
  <c r="CI175" i="163" s="1"/>
  <c r="CI208" i="163" a="1"/>
  <c r="CI208" i="163" s="1"/>
  <c r="CI169" i="163" a="1"/>
  <c r="CI169" i="163" s="1"/>
  <c r="CI235" i="163" a="1"/>
  <c r="CI235" i="163" s="1"/>
  <c r="CI202" i="163" a="1"/>
  <c r="CI202" i="163" s="1"/>
  <c r="CI181" i="163" a="1"/>
  <c r="CI181" i="163" s="1"/>
  <c r="BD181" i="163" s="1"/>
  <c r="CI166" i="163" a="1"/>
  <c r="CI166" i="163" s="1"/>
  <c r="CI229" i="163" a="1"/>
  <c r="CI229" i="163" s="1"/>
  <c r="CI211" i="163" a="1"/>
  <c r="CI211" i="163" s="1"/>
  <c r="BD211" i="163" s="1"/>
  <c r="X212" i="163" s="1"/>
  <c r="CI172" i="163" a="1"/>
  <c r="CI172" i="163" s="1"/>
  <c r="CI163" i="163" a="1"/>
  <c r="CI163" i="163" s="1"/>
  <c r="CI223" i="163" a="1"/>
  <c r="CI223" i="163" s="1"/>
  <c r="BD223" i="163" s="1"/>
  <c r="X224" i="163" s="1"/>
  <c r="CI193" i="163" a="1"/>
  <c r="CI193" i="163" s="1"/>
  <c r="BD193" i="163" s="1"/>
  <c r="X194" i="163" s="1"/>
  <c r="CI199" i="163" a="1"/>
  <c r="CI199" i="163" s="1"/>
  <c r="CI226" i="163" a="1"/>
  <c r="CI226" i="163" s="1"/>
  <c r="CI217" i="163" a="1"/>
  <c r="CI217" i="163" s="1"/>
  <c r="BD217" i="163" s="1"/>
  <c r="X218" i="163" s="1"/>
  <c r="CI238" i="163" a="1"/>
  <c r="CI238" i="163" s="1"/>
  <c r="CI190" i="163" a="1"/>
  <c r="CI190" i="163" s="1"/>
  <c r="CI232" i="163" a="1"/>
  <c r="CI232" i="163" s="1"/>
  <c r="BD232" i="163" s="1"/>
  <c r="X233" i="163" s="1"/>
  <c r="CI220" i="163" a="1"/>
  <c r="CI220" i="163" s="1"/>
  <c r="BD220" i="163" s="1"/>
  <c r="X221" i="163" s="1"/>
  <c r="CI214" i="163" a="1"/>
  <c r="CI214" i="163" s="1"/>
  <c r="CI187" i="163" a="1"/>
  <c r="CI187" i="163" s="1"/>
  <c r="Z182" i="163"/>
  <c r="BF226" i="163"/>
  <c r="Z227" i="163" s="1"/>
  <c r="BF53" i="163"/>
  <c r="CA211" i="163" a="1"/>
  <c r="CA211" i="163" s="1"/>
  <c r="AV211" i="163" s="1"/>
  <c r="P212" i="163" s="1"/>
  <c r="CA226" i="163" a="1"/>
  <c r="CA226" i="163" s="1"/>
  <c r="CA241" i="163" a="1"/>
  <c r="CA241" i="163" s="1"/>
  <c r="CA184" i="163" a="1"/>
  <c r="CA184" i="163" s="1"/>
  <c r="AV184" i="163" s="1"/>
  <c r="P185" i="163" s="1"/>
  <c r="CA208" i="163" a="1"/>
  <c r="CA208" i="163" s="1"/>
  <c r="CA190" i="163" a="1"/>
  <c r="CA190" i="163" s="1"/>
  <c r="CA217" i="163" a="1"/>
  <c r="CA217" i="163" s="1"/>
  <c r="AV217" i="163" s="1"/>
  <c r="P218" i="163" s="1"/>
  <c r="CA235" i="163" a="1"/>
  <c r="CA235" i="163" s="1"/>
  <c r="CA187" i="163" a="1"/>
  <c r="CA187" i="163" s="1"/>
  <c r="CA229" i="163" a="1"/>
  <c r="CA229" i="163" s="1"/>
  <c r="CA238" i="163" a="1"/>
  <c r="CA238" i="163" s="1"/>
  <c r="CA181" i="163" a="1"/>
  <c r="CA181" i="163" s="1"/>
  <c r="AV181" i="163" s="1"/>
  <c r="CA163" i="163" a="1"/>
  <c r="CA163" i="163" s="1"/>
  <c r="AV163" i="163" s="1"/>
  <c r="CA232" i="163" a="1"/>
  <c r="CA232" i="163" s="1"/>
  <c r="AV232" i="163" s="1"/>
  <c r="P233" i="163" s="1"/>
  <c r="CA166" i="163" a="1"/>
  <c r="CA166" i="163" s="1"/>
  <c r="CA169" i="163" a="1"/>
  <c r="CA169" i="163" s="1"/>
  <c r="CA202" i="163" a="1"/>
  <c r="CA202" i="163" s="1"/>
  <c r="CA193" i="163" a="1"/>
  <c r="CA193" i="163" s="1"/>
  <c r="AV193" i="163" s="1"/>
  <c r="P194" i="163" s="1"/>
  <c r="CA214" i="163" a="1"/>
  <c r="CA214" i="163" s="1"/>
  <c r="CA199" i="163" a="1"/>
  <c r="CA199" i="163" s="1"/>
  <c r="CA205" i="163" a="1"/>
  <c r="CA205" i="163" s="1"/>
  <c r="CA220" i="163" a="1"/>
  <c r="CA220" i="163" s="1"/>
  <c r="AV220" i="163" s="1"/>
  <c r="P221" i="163" s="1"/>
  <c r="CA223" i="163" a="1"/>
  <c r="CA223" i="163" s="1"/>
  <c r="AV223" i="163" s="1"/>
  <c r="P224" i="163" s="1"/>
  <c r="CA175" i="163" a="1"/>
  <c r="CA175" i="163" s="1"/>
  <c r="CA172" i="163" a="1"/>
  <c r="CA172" i="163" s="1"/>
  <c r="BG205" i="163"/>
  <c r="AA206" i="163" s="1"/>
  <c r="BG46" i="163"/>
  <c r="CS235" i="163" a="1"/>
  <c r="CS235" i="163" s="1"/>
  <c r="CS217" i="163" a="1"/>
  <c r="CS217" i="163" s="1"/>
  <c r="BN217" i="163" s="1"/>
  <c r="AH218" i="163" s="1"/>
  <c r="CS190" i="163" a="1"/>
  <c r="CS190" i="163" s="1"/>
  <c r="CS238" i="163" a="1"/>
  <c r="CS238" i="163" s="1"/>
  <c r="CS193" i="163" a="1"/>
  <c r="CS193" i="163" s="1"/>
  <c r="BN193" i="163" s="1"/>
  <c r="AH194" i="163" s="1"/>
  <c r="CS163" i="163" a="1"/>
  <c r="CS163" i="163" s="1"/>
  <c r="CS223" i="163" a="1"/>
  <c r="CS223" i="163" s="1"/>
  <c r="BN223" i="163" s="1"/>
  <c r="AH224" i="163" s="1"/>
  <c r="CS202" i="163" a="1"/>
  <c r="CS202" i="163" s="1"/>
  <c r="CS208" i="163" a="1"/>
  <c r="CS208" i="163" s="1"/>
  <c r="CS175" i="163" a="1"/>
  <c r="CS175" i="163" s="1"/>
  <c r="CS226" i="163" a="1"/>
  <c r="CS226" i="163" s="1"/>
  <c r="CS241" i="163" a="1"/>
  <c r="CS241" i="163" s="1"/>
  <c r="CS166" i="163" a="1"/>
  <c r="CS166" i="163" s="1"/>
  <c r="CS172" i="163" a="1"/>
  <c r="CS172" i="163" s="1"/>
  <c r="CS214" i="163" a="1"/>
  <c r="CS214" i="163" s="1"/>
  <c r="CS199" i="163" a="1"/>
  <c r="CS199" i="163" s="1"/>
  <c r="CS205" i="163" a="1"/>
  <c r="CS205" i="163" s="1"/>
  <c r="CS181" i="163" a="1"/>
  <c r="CS181" i="163" s="1"/>
  <c r="BN181" i="163" s="1"/>
  <c r="CS187" i="163" a="1"/>
  <c r="CS187" i="163" s="1"/>
  <c r="CS169" i="163" a="1"/>
  <c r="CS169" i="163" s="1"/>
  <c r="CS232" i="163" a="1"/>
  <c r="CS232" i="163" s="1"/>
  <c r="BN232" i="163" s="1"/>
  <c r="AH233" i="163" s="1"/>
  <c r="CS220" i="163" a="1"/>
  <c r="CS220" i="163" s="1"/>
  <c r="BN220" i="163" s="1"/>
  <c r="AH221" i="163" s="1"/>
  <c r="CS229" i="163" a="1"/>
  <c r="CS229" i="163" s="1"/>
  <c r="CS211" i="163" a="1"/>
  <c r="CS211" i="163" s="1"/>
  <c r="BN211" i="163" s="1"/>
  <c r="AH212" i="163" s="1"/>
  <c r="AS229" i="163"/>
  <c r="M230" i="163" s="1"/>
  <c r="AS54" i="163"/>
  <c r="M182" i="163"/>
  <c r="BW163" i="163" a="1"/>
  <c r="BW163" i="163" s="1"/>
  <c r="BW238" i="163" a="1"/>
  <c r="BW238" i="163" s="1"/>
  <c r="BJ163" i="163"/>
  <c r="BJ48" i="163"/>
  <c r="BT208" i="163" a="1"/>
  <c r="BT208" i="163" s="1"/>
  <c r="BT169" i="163" a="1"/>
  <c r="BT169" i="163" s="1"/>
  <c r="BF238" i="163"/>
  <c r="Z239" i="163" s="1"/>
  <c r="BF57" i="163"/>
  <c r="BF241" i="163"/>
  <c r="Z242" i="163" s="1"/>
  <c r="BF58" i="163"/>
  <c r="BG238" i="163"/>
  <c r="AA239" i="163" s="1"/>
  <c r="BG57" i="163"/>
  <c r="BB226" i="163"/>
  <c r="V227" i="163" s="1"/>
  <c r="BB53" i="163"/>
  <c r="BB214" i="163"/>
  <c r="V215" i="163" s="1"/>
  <c r="BB49" i="163"/>
  <c r="AS175" i="163"/>
  <c r="M176" i="163" s="1"/>
  <c r="AS55" i="163"/>
  <c r="BW211" i="163" a="1"/>
  <c r="BW211" i="163" s="1"/>
  <c r="AR211" i="163" s="1"/>
  <c r="L212" i="163" s="1"/>
  <c r="BW208" i="163" a="1"/>
  <c r="BW208" i="163" s="1"/>
  <c r="BJ241" i="163"/>
  <c r="AD242" i="163" s="1"/>
  <c r="BJ58" i="163"/>
  <c r="BT220" i="163" a="1"/>
  <c r="BT220" i="163" s="1"/>
  <c r="AO220" i="163" s="1"/>
  <c r="I221" i="163" s="1"/>
  <c r="BT235" i="163" a="1"/>
  <c r="BT235" i="163" s="1"/>
  <c r="BF175" i="163"/>
  <c r="Z176" i="163" s="1"/>
  <c r="BF55" i="163"/>
  <c r="BU238" i="163" a="1"/>
  <c r="BU238" i="163" s="1"/>
  <c r="BU169" i="163" a="1"/>
  <c r="BU169" i="163" s="1"/>
  <c r="BU184" i="163" a="1"/>
  <c r="BU184" i="163" s="1"/>
  <c r="AP184" i="163" s="1"/>
  <c r="J185" i="163" s="1"/>
  <c r="BU193" i="163" a="1"/>
  <c r="BU193" i="163" s="1"/>
  <c r="AP193" i="163" s="1"/>
  <c r="J194" i="163" s="1"/>
  <c r="BU232" i="163" a="1"/>
  <c r="BU232" i="163" s="1"/>
  <c r="AP232" i="163" s="1"/>
  <c r="J233" i="163" s="1"/>
  <c r="BU166" i="163" a="1"/>
  <c r="BU166" i="163" s="1"/>
  <c r="BU163" i="163" a="1"/>
  <c r="BU163" i="163" s="1"/>
  <c r="BU199" i="163" a="1"/>
  <c r="BU199" i="163" s="1"/>
  <c r="BU226" i="163" a="1"/>
  <c r="BU226" i="163" s="1"/>
  <c r="BU217" i="163" a="1"/>
  <c r="BU217" i="163" s="1"/>
  <c r="AP217" i="163" s="1"/>
  <c r="J218" i="163" s="1"/>
  <c r="BU214" i="163" a="1"/>
  <c r="BU214" i="163" s="1"/>
  <c r="BU220" i="163" a="1"/>
  <c r="BU220" i="163" s="1"/>
  <c r="AP220" i="163" s="1"/>
  <c r="J221" i="163" s="1"/>
  <c r="BU205" i="163" a="1"/>
  <c r="BU205" i="163" s="1"/>
  <c r="BU175" i="163" a="1"/>
  <c r="BU175" i="163" s="1"/>
  <c r="BU181" i="163" a="1"/>
  <c r="BU181" i="163" s="1"/>
  <c r="AP181" i="163" s="1"/>
  <c r="BU172" i="163" a="1"/>
  <c r="BU172" i="163" s="1"/>
  <c r="BU208" i="163" a="1"/>
  <c r="BU208" i="163" s="1"/>
  <c r="BU190" i="163" a="1"/>
  <c r="BU190" i="163" s="1"/>
  <c r="BU223" i="163" a="1"/>
  <c r="BU223" i="163" s="1"/>
  <c r="AP223" i="163" s="1"/>
  <c r="J224" i="163" s="1"/>
  <c r="BU229" i="163" a="1"/>
  <c r="BU229" i="163" s="1"/>
  <c r="BU202" i="163" a="1"/>
  <c r="BU202" i="163" s="1"/>
  <c r="BU211" i="163" a="1"/>
  <c r="BU211" i="163" s="1"/>
  <c r="AP211" i="163" s="1"/>
  <c r="J212" i="163" s="1"/>
  <c r="BU235" i="163" a="1"/>
  <c r="BU235" i="163" s="1"/>
  <c r="BU187" i="163" a="1"/>
  <c r="BU187" i="163" s="1"/>
  <c r="BU241" i="163" a="1"/>
  <c r="BU241" i="163" s="1"/>
  <c r="BG202" i="163"/>
  <c r="AA203" i="163" s="1"/>
  <c r="BG45" i="163"/>
  <c r="CB190" i="163" a="1"/>
  <c r="CB190" i="163" s="1"/>
  <c r="CB163" i="163" a="1"/>
  <c r="CB163" i="163" s="1"/>
  <c r="CB241" i="163" a="1"/>
  <c r="CB241" i="163" s="1"/>
  <c r="CB199" i="163" a="1"/>
  <c r="CB199" i="163" s="1"/>
  <c r="CB193" i="163" a="1"/>
  <c r="CB193" i="163" s="1"/>
  <c r="AW193" i="163" s="1"/>
  <c r="Q194" i="163" s="1"/>
  <c r="CB184" i="163" a="1"/>
  <c r="CB184" i="163" s="1"/>
  <c r="AW184" i="163" s="1"/>
  <c r="Q185" i="163" s="1"/>
  <c r="CB235" i="163" a="1"/>
  <c r="CB235" i="163" s="1"/>
  <c r="CB238" i="163" a="1"/>
  <c r="CB238" i="163" s="1"/>
  <c r="CB229" i="163" a="1"/>
  <c r="CB229" i="163" s="1"/>
  <c r="CB175" i="163" a="1"/>
  <c r="CB175" i="163" s="1"/>
  <c r="CB223" i="163" a="1"/>
  <c r="CB223" i="163" s="1"/>
  <c r="AW223" i="163" s="1"/>
  <c r="Q224" i="163" s="1"/>
  <c r="CB232" i="163" a="1"/>
  <c r="CB232" i="163" s="1"/>
  <c r="AW232" i="163" s="1"/>
  <c r="Q233" i="163" s="1"/>
  <c r="CB217" i="163" a="1"/>
  <c r="CB217" i="163" s="1"/>
  <c r="AW217" i="163" s="1"/>
  <c r="Q218" i="163" s="1"/>
  <c r="CB181" i="163" a="1"/>
  <c r="CB181" i="163" s="1"/>
  <c r="AW181" i="163" s="1"/>
  <c r="CB187" i="163" a="1"/>
  <c r="CB187" i="163" s="1"/>
  <c r="CB226" i="163" a="1"/>
  <c r="CB226" i="163" s="1"/>
  <c r="CB205" i="163" a="1"/>
  <c r="CB205" i="163" s="1"/>
  <c r="CB208" i="163" a="1"/>
  <c r="CB208" i="163" s="1"/>
  <c r="CB220" i="163" a="1"/>
  <c r="CB220" i="163" s="1"/>
  <c r="AW220" i="163" s="1"/>
  <c r="Q221" i="163" s="1"/>
  <c r="CB172" i="163" a="1"/>
  <c r="CB172" i="163" s="1"/>
  <c r="CB214" i="163" a="1"/>
  <c r="CB214" i="163" s="1"/>
  <c r="CB169" i="163" a="1"/>
  <c r="CB169" i="163" s="1"/>
  <c r="CB202" i="163" a="1"/>
  <c r="CB202" i="163" s="1"/>
  <c r="CB211" i="163" a="1"/>
  <c r="CB211" i="163" s="1"/>
  <c r="AW211" i="163" s="1"/>
  <c r="Q212" i="163" s="1"/>
  <c r="CB166" i="163" a="1"/>
  <c r="CB166" i="163" s="1"/>
  <c r="BB172" i="163"/>
  <c r="V173" i="163" s="1"/>
  <c r="BB52" i="163"/>
  <c r="AS205" i="163"/>
  <c r="M206" i="163" s="1"/>
  <c r="AS46" i="163"/>
  <c r="AS214" i="163"/>
  <c r="M215" i="163" s="1"/>
  <c r="AS49" i="163"/>
  <c r="BW202" i="163" a="1"/>
  <c r="BW202" i="163" s="1"/>
  <c r="BW205" i="163" a="1"/>
  <c r="BW205" i="163" s="1"/>
  <c r="BJ205" i="163"/>
  <c r="AD206" i="163" s="1"/>
  <c r="BJ46" i="163"/>
  <c r="BJ202" i="163"/>
  <c r="AD203" i="163" s="1"/>
  <c r="BJ45" i="163"/>
  <c r="BJ238" i="163"/>
  <c r="AD239" i="163" s="1"/>
  <c r="BJ57" i="163"/>
  <c r="BT223" i="163" a="1"/>
  <c r="BT223" i="163" s="1"/>
  <c r="AO223" i="163" s="1"/>
  <c r="I224" i="163" s="1"/>
  <c r="BT241" i="163" a="1"/>
  <c r="BT241" i="163" s="1"/>
  <c r="BF229" i="163"/>
  <c r="Z230" i="163" s="1"/>
  <c r="BF54" i="163"/>
  <c r="BG199" i="163"/>
  <c r="BG44" i="163"/>
  <c r="BB205" i="163"/>
  <c r="V206" i="163" s="1"/>
  <c r="BB46" i="163"/>
  <c r="AS199" i="163"/>
  <c r="AS44" i="163"/>
  <c r="AS235" i="163"/>
  <c r="M236" i="163" s="1"/>
  <c r="AS56" i="163"/>
  <c r="BW166" i="163" a="1"/>
  <c r="BW166" i="163" s="1"/>
  <c r="BW190" i="163" a="1"/>
  <c r="BW190" i="163" s="1"/>
  <c r="V182" i="163"/>
  <c r="BT226" i="163" a="1"/>
  <c r="BT226" i="163" s="1"/>
  <c r="BT184" i="163" a="1"/>
  <c r="BT184" i="163" s="1"/>
  <c r="AO184" i="163" s="1"/>
  <c r="I185" i="163" s="1"/>
  <c r="BF46" i="163"/>
  <c r="BF205" i="163"/>
  <c r="Z206" i="163" s="1"/>
  <c r="CN211" i="163" a="1"/>
  <c r="CN211" i="163" s="1"/>
  <c r="BI211" i="163" s="1"/>
  <c r="AC212" i="163" s="1"/>
  <c r="CN163" i="163" a="1"/>
  <c r="CN163" i="163" s="1"/>
  <c r="CN238" i="163" a="1"/>
  <c r="CN238" i="163" s="1"/>
  <c r="CN199" i="163" a="1"/>
  <c r="CN199" i="163" s="1"/>
  <c r="CN166" i="163" a="1"/>
  <c r="CN166" i="163" s="1"/>
  <c r="CN190" i="163" a="1"/>
  <c r="CN190" i="163" s="1"/>
  <c r="CN220" i="163" a="1"/>
  <c r="CN220" i="163" s="1"/>
  <c r="BI220" i="163" s="1"/>
  <c r="AC221" i="163" s="1"/>
  <c r="CN226" i="163" a="1"/>
  <c r="CN226" i="163" s="1"/>
  <c r="CN184" i="163" a="1"/>
  <c r="CN184" i="163" s="1"/>
  <c r="BI184" i="163" s="1"/>
  <c r="AC185" i="163" s="1"/>
  <c r="CN217" i="163" a="1"/>
  <c r="CN217" i="163" s="1"/>
  <c r="BI217" i="163" s="1"/>
  <c r="AC218" i="163" s="1"/>
  <c r="CN181" i="163" a="1"/>
  <c r="CN181" i="163" s="1"/>
  <c r="BI181" i="163" s="1"/>
  <c r="CN235" i="163" a="1"/>
  <c r="CN235" i="163" s="1"/>
  <c r="CN223" i="163" a="1"/>
  <c r="CN223" i="163" s="1"/>
  <c r="BI223" i="163" s="1"/>
  <c r="AC224" i="163" s="1"/>
  <c r="CN187" i="163" a="1"/>
  <c r="CN187" i="163" s="1"/>
  <c r="CN205" i="163" a="1"/>
  <c r="CN205" i="163" s="1"/>
  <c r="CN208" i="163" a="1"/>
  <c r="CN208" i="163" s="1"/>
  <c r="CN214" i="163" a="1"/>
  <c r="CN214" i="163" s="1"/>
  <c r="CN172" i="163" a="1"/>
  <c r="CN172" i="163" s="1"/>
  <c r="CN229" i="163" a="1"/>
  <c r="CN229" i="163" s="1"/>
  <c r="CN241" i="163" a="1"/>
  <c r="CN241" i="163" s="1"/>
  <c r="CN193" i="163" a="1"/>
  <c r="CN193" i="163" s="1"/>
  <c r="BI193" i="163" s="1"/>
  <c r="AC194" i="163" s="1"/>
  <c r="CN175" i="163" a="1"/>
  <c r="CN175" i="163" s="1"/>
  <c r="CN169" i="163" a="1"/>
  <c r="CN169" i="163" s="1"/>
  <c r="CN202" i="163" a="1"/>
  <c r="CN202" i="163" s="1"/>
  <c r="BW235" i="163" a="1"/>
  <c r="BW235" i="163" s="1"/>
  <c r="BJ169" i="163"/>
  <c r="AD170" i="163" s="1"/>
  <c r="BJ51" i="163"/>
  <c r="AD182" i="163"/>
  <c r="BT232" i="163" a="1"/>
  <c r="BT232" i="163" s="1"/>
  <c r="AO232" i="163" s="1"/>
  <c r="I233" i="163" s="1"/>
  <c r="BT211" i="163" a="1"/>
  <c r="BT211" i="163" s="1"/>
  <c r="AO211" i="163" s="1"/>
  <c r="I212" i="163" s="1"/>
  <c r="BG47" i="163"/>
  <c r="BG208" i="163"/>
  <c r="AA209" i="163" s="1"/>
  <c r="U64" i="163"/>
  <c r="BB235" i="163"/>
  <c r="V236" i="163" s="1"/>
  <c r="BB56" i="163"/>
  <c r="BB229" i="163"/>
  <c r="V230" i="163" s="1"/>
  <c r="BB54" i="163"/>
  <c r="BW193" i="163" a="1"/>
  <c r="BW193" i="163" s="1"/>
  <c r="AR193" i="163" s="1"/>
  <c r="L194" i="163" s="1"/>
  <c r="BJ229" i="163"/>
  <c r="AD230" i="163" s="1"/>
  <c r="BJ54" i="163"/>
  <c r="BT238" i="163" a="1"/>
  <c r="BT238" i="163" s="1"/>
  <c r="BF202" i="163"/>
  <c r="Z203" i="163" s="1"/>
  <c r="BF45" i="163"/>
  <c r="BH205" i="163"/>
  <c r="AB206" i="163" s="1"/>
  <c r="BG172" i="163"/>
  <c r="AA173" i="163" s="1"/>
  <c r="BG52" i="163"/>
  <c r="BG166" i="163"/>
  <c r="AA167" i="163" s="1"/>
  <c r="BG50" i="163"/>
  <c r="BB57" i="163"/>
  <c r="BB238" i="163"/>
  <c r="V239" i="163" s="1"/>
  <c r="AS202" i="163"/>
  <c r="M203" i="163" s="1"/>
  <c r="AS45" i="163"/>
  <c r="CR169" i="163" a="1"/>
  <c r="CR169" i="163" s="1"/>
  <c r="CR235" i="163" a="1"/>
  <c r="CR235" i="163" s="1"/>
  <c r="CR214" i="163" a="1"/>
  <c r="CR214" i="163" s="1"/>
  <c r="CR190" i="163" a="1"/>
  <c r="CR190" i="163" s="1"/>
  <c r="CR208" i="163" a="1"/>
  <c r="CR208" i="163" s="1"/>
  <c r="CR199" i="163" a="1"/>
  <c r="CR199" i="163" s="1"/>
  <c r="CR232" i="163" a="1"/>
  <c r="CR232" i="163" s="1"/>
  <c r="BM232" i="163" s="1"/>
  <c r="AG233" i="163" s="1"/>
  <c r="CR217" i="163" a="1"/>
  <c r="CR217" i="163" s="1"/>
  <c r="BM217" i="163" s="1"/>
  <c r="AG218" i="163" s="1"/>
  <c r="CR205" i="163" a="1"/>
  <c r="CR205" i="163" s="1"/>
  <c r="CR184" i="163" a="1"/>
  <c r="CR184" i="163" s="1"/>
  <c r="BM184" i="163" s="1"/>
  <c r="AG185" i="163" s="1"/>
  <c r="CR226" i="163" a="1"/>
  <c r="CR226" i="163" s="1"/>
  <c r="CR229" i="163" a="1"/>
  <c r="CR229" i="163" s="1"/>
  <c r="CR181" i="163" a="1"/>
  <c r="CR181" i="163" s="1"/>
  <c r="BM181" i="163" s="1"/>
  <c r="CR163" i="163" a="1"/>
  <c r="CR163" i="163" s="1"/>
  <c r="CR220" i="163" a="1"/>
  <c r="CR220" i="163" s="1"/>
  <c r="BM220" i="163" s="1"/>
  <c r="AG221" i="163" s="1"/>
  <c r="CR172" i="163" a="1"/>
  <c r="CR172" i="163" s="1"/>
  <c r="CR175" i="163" a="1"/>
  <c r="CR175" i="163" s="1"/>
  <c r="CR187" i="163" a="1"/>
  <c r="CR187" i="163" s="1"/>
  <c r="CR166" i="163" a="1"/>
  <c r="CR166" i="163" s="1"/>
  <c r="CR241" i="163" a="1"/>
  <c r="CR241" i="163" s="1"/>
  <c r="CR223" i="163" a="1"/>
  <c r="CR223" i="163" s="1"/>
  <c r="BM223" i="163" s="1"/>
  <c r="AG224" i="163" s="1"/>
  <c r="CR211" i="163" a="1"/>
  <c r="CR211" i="163" s="1"/>
  <c r="BM211" i="163" s="1"/>
  <c r="AG212" i="163" s="1"/>
  <c r="CR238" i="163" a="1"/>
  <c r="CR238" i="163" s="1"/>
  <c r="CR193" i="163" a="1"/>
  <c r="CR193" i="163" s="1"/>
  <c r="BM193" i="163" s="1"/>
  <c r="AG194" i="163" s="1"/>
  <c r="CR202" i="163" a="1"/>
  <c r="CR202" i="163" s="1"/>
  <c r="M186" i="164"/>
  <c r="L187" i="164"/>
  <c r="R68" i="144"/>
  <c r="U68" i="144"/>
  <c r="T68" i="144"/>
  <c r="S68" i="144"/>
  <c r="Q68" i="144"/>
  <c r="X68" i="144"/>
  <c r="AE68" i="144"/>
  <c r="Y68" i="144"/>
  <c r="O68" i="144"/>
  <c r="A69" i="156"/>
  <c r="A129" i="156"/>
  <c r="A119" i="156"/>
  <c r="B69" i="156"/>
  <c r="B129" i="156"/>
  <c r="B119" i="156"/>
  <c r="A75" i="156"/>
  <c r="A130" i="156"/>
  <c r="A120" i="156"/>
  <c r="B75" i="156"/>
  <c r="B130" i="156"/>
  <c r="B120" i="156"/>
  <c r="A81" i="156"/>
  <c r="A131" i="156"/>
  <c r="A121" i="156"/>
  <c r="B81" i="156"/>
  <c r="B131" i="156"/>
  <c r="B121" i="156"/>
  <c r="A87" i="156"/>
  <c r="A132" i="156"/>
  <c r="A122" i="156"/>
  <c r="B87" i="156"/>
  <c r="B132" i="156"/>
  <c r="B122" i="156"/>
  <c r="A93" i="156"/>
  <c r="A133" i="156"/>
  <c r="A123" i="156"/>
  <c r="B93" i="156"/>
  <c r="B133" i="156"/>
  <c r="B123" i="156"/>
  <c r="A100" i="156"/>
  <c r="A134" i="156"/>
  <c r="A125" i="156"/>
  <c r="B100" i="156"/>
  <c r="B134" i="156"/>
  <c r="B125" i="156"/>
  <c r="A107" i="156"/>
  <c r="A135" i="156"/>
  <c r="A127" i="156"/>
  <c r="B107" i="156"/>
  <c r="B135" i="156"/>
  <c r="B127" i="156"/>
  <c r="P68" i="144"/>
  <c r="AA68" i="144"/>
  <c r="AC68" i="144"/>
  <c r="AD68" i="144"/>
  <c r="L68" i="144"/>
  <c r="AB68" i="144"/>
  <c r="K68" i="144"/>
  <c r="Z68" i="144"/>
  <c r="G68" i="144"/>
  <c r="H68" i="144"/>
  <c r="I68" i="144"/>
  <c r="E68" i="144"/>
  <c r="E69" i="144" s="1"/>
  <c r="E110" i="144" s="1"/>
  <c r="AH49" i="144"/>
  <c r="AT51" i="163" l="1"/>
  <c r="BB195" i="163"/>
  <c r="BB156" i="163" s="1"/>
  <c r="E158" i="144"/>
  <c r="AT55" i="163"/>
  <c r="CC16" i="163" s="1"/>
  <c r="AT53" i="163"/>
  <c r="CC14" i="163" s="1"/>
  <c r="AT229" i="163"/>
  <c r="N230" i="163" s="1"/>
  <c r="AT45" i="163"/>
  <c r="AQ199" i="163"/>
  <c r="AZ47" i="163"/>
  <c r="T8" i="163" s="1"/>
  <c r="AZ57" i="163"/>
  <c r="CI18" i="163" s="1"/>
  <c r="V188" i="163"/>
  <c r="BH202" i="163"/>
  <c r="AB203" i="163" s="1"/>
  <c r="AT48" i="163"/>
  <c r="CC9" i="163" s="1"/>
  <c r="AT199" i="163"/>
  <c r="N200" i="163" s="1"/>
  <c r="AT238" i="163"/>
  <c r="N239" i="163" s="1"/>
  <c r="AT46" i="163"/>
  <c r="N7" i="163" s="1"/>
  <c r="AZ58" i="163"/>
  <c r="T19" i="163" s="1"/>
  <c r="AT175" i="163"/>
  <c r="N176" i="163" s="1"/>
  <c r="AT47" i="163"/>
  <c r="N8" i="163" s="1"/>
  <c r="BH238" i="163"/>
  <c r="AB239" i="163" s="1"/>
  <c r="BH57" i="163"/>
  <c r="AB18" i="163" s="1"/>
  <c r="AZ214" i="163"/>
  <c r="T215" i="163" s="1"/>
  <c r="AZ49" i="163"/>
  <c r="T10" i="163" s="1"/>
  <c r="AS195" i="163"/>
  <c r="AS156" i="163" s="1"/>
  <c r="AQ238" i="163"/>
  <c r="K239" i="163" s="1"/>
  <c r="AZ46" i="163"/>
  <c r="CI7" i="163" s="1"/>
  <c r="BF195" i="163"/>
  <c r="BF156" i="163" s="1"/>
  <c r="Z156" i="163" s="1"/>
  <c r="BA49" i="163"/>
  <c r="CJ10" i="163" s="1"/>
  <c r="AT52" i="163"/>
  <c r="CC13" i="163" s="1"/>
  <c r="AT49" i="163"/>
  <c r="CC10" i="163" s="1"/>
  <c r="BA46" i="163"/>
  <c r="U7" i="163" s="1"/>
  <c r="AT56" i="163"/>
  <c r="CC17" i="163" s="1"/>
  <c r="AT50" i="163"/>
  <c r="N11" i="163" s="1"/>
  <c r="BG195" i="163"/>
  <c r="BG156" i="163" s="1"/>
  <c r="BH235" i="163"/>
  <c r="AB236" i="163" s="1"/>
  <c r="AZ199" i="163"/>
  <c r="T200" i="163" s="1"/>
  <c r="BH44" i="163"/>
  <c r="AB5" i="163" s="1"/>
  <c r="AZ56" i="163"/>
  <c r="T17" i="163" s="1"/>
  <c r="AT195" i="163"/>
  <c r="AT156" i="163" s="1"/>
  <c r="N156" i="163" s="1"/>
  <c r="BJ195" i="163"/>
  <c r="BJ156" i="163" s="1"/>
  <c r="AD156" i="163" s="1"/>
  <c r="BI187" i="163"/>
  <c r="AC188" i="163" s="1"/>
  <c r="AO190" i="163"/>
  <c r="I191" i="163" s="1"/>
  <c r="AV187" i="163"/>
  <c r="AQ190" i="163"/>
  <c r="K191" i="163" s="1"/>
  <c r="AZ190" i="163"/>
  <c r="T191" i="163" s="1"/>
  <c r="BH48" i="163"/>
  <c r="CQ9" i="163" s="1"/>
  <c r="BA190" i="163"/>
  <c r="U191" i="163" s="1"/>
  <c r="AW187" i="163"/>
  <c r="Q188" i="163" s="1"/>
  <c r="AR190" i="163"/>
  <c r="L191" i="163" s="1"/>
  <c r="BA187" i="163"/>
  <c r="U188" i="163" s="1"/>
  <c r="AA191" i="163"/>
  <c r="Z188" i="163"/>
  <c r="BN187" i="163"/>
  <c r="AH188" i="163" s="1"/>
  <c r="BD187" i="163"/>
  <c r="X188" i="163" s="1"/>
  <c r="AQ45" i="163"/>
  <c r="BZ6" i="163" s="1"/>
  <c r="BH190" i="163"/>
  <c r="AB191" i="163" s="1"/>
  <c r="BH187" i="163"/>
  <c r="AB188" i="163" s="1"/>
  <c r="AR187" i="163"/>
  <c r="L188" i="163" s="1"/>
  <c r="AW190" i="163"/>
  <c r="Q191" i="163" s="1"/>
  <c r="AP187" i="163"/>
  <c r="J188" i="163" s="1"/>
  <c r="BC190" i="163"/>
  <c r="W191" i="163" s="1"/>
  <c r="BK187" i="163"/>
  <c r="AE188" i="163" s="1"/>
  <c r="AY190" i="163"/>
  <c r="S191" i="163" s="1"/>
  <c r="BH47" i="163"/>
  <c r="AB8" i="163" s="1"/>
  <c r="AZ187" i="163"/>
  <c r="T188" i="163" s="1"/>
  <c r="N188" i="163"/>
  <c r="BM190" i="163"/>
  <c r="BI190" i="163"/>
  <c r="AC191" i="163" s="1"/>
  <c r="AQ187" i="163"/>
  <c r="K188" i="163" s="1"/>
  <c r="BM187" i="163"/>
  <c r="AG188" i="163" s="1"/>
  <c r="AQ54" i="163"/>
  <c r="BZ15" i="163" s="1"/>
  <c r="BA238" i="163"/>
  <c r="U239" i="163" s="1"/>
  <c r="BK190" i="163"/>
  <c r="AE191" i="163" s="1"/>
  <c r="AY187" i="163"/>
  <c r="S188" i="163" s="1"/>
  <c r="BA44" i="163"/>
  <c r="CJ5" i="163" s="1"/>
  <c r="BD190" i="163"/>
  <c r="X191" i="163" s="1"/>
  <c r="BN190" i="163"/>
  <c r="AH191" i="163" s="1"/>
  <c r="AP190" i="163"/>
  <c r="J191" i="163" s="1"/>
  <c r="AV190" i="163"/>
  <c r="P191" i="163" s="1"/>
  <c r="BC187" i="163"/>
  <c r="W188" i="163" s="1"/>
  <c r="AO187" i="163"/>
  <c r="I188" i="163" s="1"/>
  <c r="BA53" i="163"/>
  <c r="U14" i="163" s="1"/>
  <c r="BA58" i="163"/>
  <c r="U19" i="163" s="1"/>
  <c r="BA54" i="163"/>
  <c r="U15" i="163" s="1"/>
  <c r="AZ48" i="163"/>
  <c r="T9" i="163" s="1"/>
  <c r="BH52" i="163"/>
  <c r="AB13" i="163" s="1"/>
  <c r="AZ202" i="163"/>
  <c r="T203" i="163" s="1"/>
  <c r="BO202" i="163"/>
  <c r="AI203" i="163" s="1"/>
  <c r="AQ49" i="163"/>
  <c r="BZ10" i="163" s="1"/>
  <c r="BH54" i="163"/>
  <c r="CQ15" i="163" s="1"/>
  <c r="AZ53" i="163"/>
  <c r="T14" i="163" s="1"/>
  <c r="AZ52" i="163"/>
  <c r="T13" i="163" s="1"/>
  <c r="BA208" i="163"/>
  <c r="U209" i="163" s="1"/>
  <c r="AZ55" i="163"/>
  <c r="T16" i="163" s="1"/>
  <c r="AQ56" i="163"/>
  <c r="BZ17" i="163" s="1"/>
  <c r="BA51" i="163"/>
  <c r="U12" i="163" s="1"/>
  <c r="BH50" i="163"/>
  <c r="AB11" i="163" s="1"/>
  <c r="AZ54" i="163"/>
  <c r="CI15" i="163" s="1"/>
  <c r="BA56" i="163"/>
  <c r="CJ17" i="163" s="1"/>
  <c r="BH55" i="163"/>
  <c r="CQ16" i="163" s="1"/>
  <c r="BH226" i="163"/>
  <c r="AB227" i="163" s="1"/>
  <c r="BH214" i="163"/>
  <c r="AB215" i="163" s="1"/>
  <c r="BH51" i="163"/>
  <c r="CQ12" i="163" s="1"/>
  <c r="AQ58" i="163"/>
  <c r="K19" i="163" s="1"/>
  <c r="AZ51" i="163"/>
  <c r="CI12" i="163" s="1"/>
  <c r="AZ50" i="163"/>
  <c r="T11" i="163" s="1"/>
  <c r="M6" i="163"/>
  <c r="CB6" i="163"/>
  <c r="V18" i="163"/>
  <c r="CK18" i="163"/>
  <c r="AA11" i="163"/>
  <c r="CP11" i="163"/>
  <c r="AA13" i="163"/>
  <c r="CP13" i="163"/>
  <c r="AB7" i="163"/>
  <c r="CQ7" i="163"/>
  <c r="AD15" i="163"/>
  <c r="CS15" i="163"/>
  <c r="V15" i="163"/>
  <c r="CK15" i="163"/>
  <c r="V17" i="163"/>
  <c r="CK17" i="163"/>
  <c r="AA8" i="163"/>
  <c r="CP8" i="163"/>
  <c r="AB14" i="163"/>
  <c r="CQ14" i="163"/>
  <c r="CS12" i="163"/>
  <c r="T6" i="163"/>
  <c r="CI6" i="163"/>
  <c r="AB17" i="163"/>
  <c r="CQ17" i="163"/>
  <c r="N18" i="163"/>
  <c r="CC18" i="163"/>
  <c r="T5" i="163"/>
  <c r="CI5" i="163"/>
  <c r="M17" i="163"/>
  <c r="CB17" i="163"/>
  <c r="M5" i="163"/>
  <c r="CB5" i="163"/>
  <c r="V7" i="163"/>
  <c r="CK7" i="163"/>
  <c r="AA5" i="163"/>
  <c r="CP5" i="163"/>
  <c r="AD18" i="163"/>
  <c r="CS18" i="163"/>
  <c r="AD6" i="163"/>
  <c r="CS6" i="163"/>
  <c r="AD7" i="163"/>
  <c r="CS7" i="163"/>
  <c r="M10" i="163"/>
  <c r="CB10" i="163"/>
  <c r="M7" i="163"/>
  <c r="CB7" i="163"/>
  <c r="V13" i="163"/>
  <c r="CK13" i="163"/>
  <c r="AA6" i="163"/>
  <c r="CP6" i="163"/>
  <c r="U8" i="163"/>
  <c r="CJ8" i="163"/>
  <c r="N6" i="163"/>
  <c r="CC6" i="163"/>
  <c r="AD19" i="163"/>
  <c r="CS19" i="163"/>
  <c r="M16" i="163"/>
  <c r="CB16" i="163"/>
  <c r="V10" i="163"/>
  <c r="CK10" i="163"/>
  <c r="V14" i="163"/>
  <c r="CK14" i="163"/>
  <c r="AA18" i="163"/>
  <c r="CP18" i="163"/>
  <c r="N15" i="163"/>
  <c r="CC15" i="163"/>
  <c r="AD9" i="163"/>
  <c r="CS9" i="163"/>
  <c r="M15" i="163"/>
  <c r="CB15" i="163"/>
  <c r="AA7" i="163"/>
  <c r="CP7" i="163"/>
  <c r="N14" i="163"/>
  <c r="AD5" i="163"/>
  <c r="CS5" i="163"/>
  <c r="M18" i="163"/>
  <c r="CB18" i="163"/>
  <c r="V5" i="163"/>
  <c r="CK5" i="163"/>
  <c r="K18" i="163"/>
  <c r="BZ18" i="163"/>
  <c r="U10" i="163"/>
  <c r="M13" i="163"/>
  <c r="CB13" i="163"/>
  <c r="V12" i="163"/>
  <c r="CK12" i="163"/>
  <c r="U18" i="163"/>
  <c r="CJ18" i="163"/>
  <c r="AD11" i="163"/>
  <c r="CS11" i="163"/>
  <c r="M14" i="163"/>
  <c r="CB14" i="163"/>
  <c r="V19" i="163"/>
  <c r="CK19" i="163"/>
  <c r="AB6" i="163"/>
  <c r="CQ6" i="163"/>
  <c r="AA9" i="163"/>
  <c r="CP9" i="163"/>
  <c r="M8" i="163"/>
  <c r="CB8" i="163"/>
  <c r="V6" i="163"/>
  <c r="CK6" i="163"/>
  <c r="AA17" i="163"/>
  <c r="CP17" i="163"/>
  <c r="AA16" i="163"/>
  <c r="CP16" i="163"/>
  <c r="AB10" i="163"/>
  <c r="CQ10" i="163"/>
  <c r="N19" i="163"/>
  <c r="CC19" i="163"/>
  <c r="M9" i="163"/>
  <c r="CB9" i="163"/>
  <c r="M12" i="163"/>
  <c r="CB12" i="163"/>
  <c r="AI6" i="163"/>
  <c r="CX6" i="163"/>
  <c r="CC12" i="163"/>
  <c r="AD14" i="163"/>
  <c r="CS14" i="163"/>
  <c r="AA14" i="163"/>
  <c r="CP14" i="163"/>
  <c r="M19" i="163"/>
  <c r="CB19" i="163"/>
  <c r="V9" i="163"/>
  <c r="CK9" i="163"/>
  <c r="AA15" i="163"/>
  <c r="CP15" i="163"/>
  <c r="N5" i="163"/>
  <c r="CC5" i="163"/>
  <c r="AD16" i="163"/>
  <c r="CS16" i="163"/>
  <c r="V16" i="163"/>
  <c r="CK16" i="163"/>
  <c r="V8" i="163"/>
  <c r="CK8" i="163"/>
  <c r="AA12" i="163"/>
  <c r="CP12" i="163"/>
  <c r="AA10" i="163"/>
  <c r="CP10" i="163"/>
  <c r="AD8" i="163"/>
  <c r="CS8" i="163"/>
  <c r="AD10" i="163"/>
  <c r="CS10" i="163"/>
  <c r="V11" i="163"/>
  <c r="CK11" i="163"/>
  <c r="M11" i="163"/>
  <c r="CB11" i="163"/>
  <c r="AA19" i="163"/>
  <c r="CP19" i="163"/>
  <c r="AD17" i="163"/>
  <c r="CS17" i="163"/>
  <c r="CS13" i="163"/>
  <c r="L14" i="163"/>
  <c r="CA14" i="163"/>
  <c r="K7" i="163"/>
  <c r="BZ7" i="163"/>
  <c r="K5" i="163"/>
  <c r="BZ5" i="163"/>
  <c r="BA52" i="163"/>
  <c r="Z17" i="163"/>
  <c r="CO17" i="163"/>
  <c r="Z5" i="163"/>
  <c r="CO5" i="163"/>
  <c r="Z6" i="163"/>
  <c r="CO6" i="163"/>
  <c r="Z7" i="163"/>
  <c r="CO7" i="163"/>
  <c r="Z19" i="163"/>
  <c r="CO19" i="163"/>
  <c r="CO12" i="163"/>
  <c r="CO13" i="163"/>
  <c r="Z14" i="163"/>
  <c r="CO14" i="163"/>
  <c r="Z10" i="163"/>
  <c r="CO10" i="163"/>
  <c r="Z11" i="163"/>
  <c r="CO11" i="163"/>
  <c r="Z15" i="163"/>
  <c r="CO15" i="163"/>
  <c r="CO16" i="163"/>
  <c r="Z18" i="163"/>
  <c r="CO18" i="163"/>
  <c r="Z8" i="163"/>
  <c r="CO8" i="163"/>
  <c r="CO9" i="163"/>
  <c r="BA172" i="163"/>
  <c r="U173" i="163" s="1"/>
  <c r="AQ48" i="163"/>
  <c r="BA48" i="163"/>
  <c r="BH58" i="163"/>
  <c r="BA45" i="163"/>
  <c r="BA55" i="163"/>
  <c r="AQ53" i="163"/>
  <c r="AQ51" i="163"/>
  <c r="BA50" i="163"/>
  <c r="AQ55" i="163"/>
  <c r="AQ52" i="163"/>
  <c r="AQ205" i="163"/>
  <c r="K206" i="163" s="1"/>
  <c r="AQ50" i="163"/>
  <c r="AO48" i="163"/>
  <c r="AQ47" i="163"/>
  <c r="BM163" i="163"/>
  <c r="BM48" i="163"/>
  <c r="AR205" i="163"/>
  <c r="L206" i="163" s="1"/>
  <c r="AR46" i="163"/>
  <c r="AW205" i="163"/>
  <c r="Q206" i="163" s="1"/>
  <c r="AW46" i="163"/>
  <c r="AH182" i="163"/>
  <c r="AV202" i="163"/>
  <c r="P203" i="163" s="1"/>
  <c r="AV45" i="163"/>
  <c r="BD226" i="163"/>
  <c r="X227" i="163" s="1"/>
  <c r="BD53" i="163"/>
  <c r="BD58" i="163"/>
  <c r="BD241" i="163"/>
  <c r="X242" i="163" s="1"/>
  <c r="BO55" i="163"/>
  <c r="BO175" i="163"/>
  <c r="AI176" i="163" s="1"/>
  <c r="BC51" i="163"/>
  <c r="BC169" i="163"/>
  <c r="W170" i="163" s="1"/>
  <c r="BK202" i="163"/>
  <c r="AE203" i="163" s="1"/>
  <c r="BK45" i="163"/>
  <c r="BK199" i="163"/>
  <c r="BK44" i="163"/>
  <c r="AY53" i="163"/>
  <c r="AY226" i="163"/>
  <c r="S227" i="163" s="1"/>
  <c r="M164" i="163"/>
  <c r="AS177" i="163"/>
  <c r="AS155" i="163" s="1"/>
  <c r="AW208" i="163"/>
  <c r="Q209" i="163" s="1"/>
  <c r="AW47" i="163"/>
  <c r="BD205" i="163"/>
  <c r="X206" i="163" s="1"/>
  <c r="BD46" i="163"/>
  <c r="AG182" i="163"/>
  <c r="AR166" i="163"/>
  <c r="L167" i="163" s="1"/>
  <c r="AR50" i="163"/>
  <c r="AR202" i="163"/>
  <c r="L203" i="163" s="1"/>
  <c r="AR45" i="163"/>
  <c r="AW226" i="163"/>
  <c r="Q227" i="163" s="1"/>
  <c r="AW53" i="163"/>
  <c r="AP49" i="163"/>
  <c r="AP214" i="163"/>
  <c r="J215" i="163" s="1"/>
  <c r="AD164" i="163"/>
  <c r="BJ177" i="163"/>
  <c r="BJ155" i="163" s="1"/>
  <c r="AD155" i="163" s="1"/>
  <c r="BN46" i="163"/>
  <c r="BN205" i="163"/>
  <c r="AH206" i="163" s="1"/>
  <c r="BN235" i="163"/>
  <c r="AH236" i="163" s="1"/>
  <c r="BN56" i="163"/>
  <c r="AV169" i="163"/>
  <c r="P170" i="163" s="1"/>
  <c r="AV51" i="163"/>
  <c r="BD199" i="163"/>
  <c r="BD44" i="163"/>
  <c r="BB243" i="163"/>
  <c r="BB157" i="163" s="1"/>
  <c r="V200" i="163"/>
  <c r="BO214" i="163"/>
  <c r="AI215" i="163" s="1"/>
  <c r="BO49" i="163"/>
  <c r="BC241" i="163"/>
  <c r="W242" i="163" s="1"/>
  <c r="BC58" i="163"/>
  <c r="BK229" i="163"/>
  <c r="AE230" i="163" s="1"/>
  <c r="BK54" i="163"/>
  <c r="AY163" i="163"/>
  <c r="AY48" i="163"/>
  <c r="AY172" i="163"/>
  <c r="S173" i="163" s="1"/>
  <c r="AY52" i="163"/>
  <c r="AO241" i="163"/>
  <c r="I242" i="163" s="1"/>
  <c r="AO58" i="163"/>
  <c r="BN199" i="163"/>
  <c r="BN44" i="163"/>
  <c r="AV166" i="163"/>
  <c r="P167" i="163" s="1"/>
  <c r="AV50" i="163"/>
  <c r="AB200" i="163"/>
  <c r="AO175" i="163"/>
  <c r="I176" i="163" s="1"/>
  <c r="AO55" i="163"/>
  <c r="BO169" i="163"/>
  <c r="AI170" i="163" s="1"/>
  <c r="BO51" i="163"/>
  <c r="W182" i="163"/>
  <c r="BC235" i="163"/>
  <c r="W236" i="163" s="1"/>
  <c r="BC56" i="163"/>
  <c r="BK205" i="163"/>
  <c r="AE206" i="163" s="1"/>
  <c r="BK46" i="163"/>
  <c r="BK57" i="163"/>
  <c r="BK238" i="163"/>
  <c r="AE239" i="163" s="1"/>
  <c r="AY205" i="163"/>
  <c r="S206" i="163" s="1"/>
  <c r="AY46" i="163"/>
  <c r="AY214" i="163"/>
  <c r="S215" i="163" s="1"/>
  <c r="AY49" i="163"/>
  <c r="N164" i="163"/>
  <c r="K200" i="163"/>
  <c r="AO199" i="163"/>
  <c r="AO44" i="163"/>
  <c r="AP205" i="163"/>
  <c r="J206" i="163" s="1"/>
  <c r="AP46" i="163"/>
  <c r="BI235" i="163"/>
  <c r="AC236" i="163" s="1"/>
  <c r="BI56" i="163"/>
  <c r="BM226" i="163"/>
  <c r="AG227" i="163" s="1"/>
  <c r="BM53" i="163"/>
  <c r="AR235" i="163"/>
  <c r="L236" i="163" s="1"/>
  <c r="AR56" i="163"/>
  <c r="AC182" i="163"/>
  <c r="Q182" i="163"/>
  <c r="AP241" i="163"/>
  <c r="J242" i="163" s="1"/>
  <c r="AP58" i="163"/>
  <c r="AP226" i="163"/>
  <c r="J227" i="163" s="1"/>
  <c r="AP53" i="163"/>
  <c r="BN214" i="163"/>
  <c r="AH215" i="163" s="1"/>
  <c r="BN49" i="163"/>
  <c r="AO172" i="163"/>
  <c r="I173" i="163" s="1"/>
  <c r="AO52" i="163"/>
  <c r="BO195" i="163"/>
  <c r="BO156" i="163" s="1"/>
  <c r="AI182" i="163"/>
  <c r="BK235" i="163"/>
  <c r="AE236" i="163" s="1"/>
  <c r="BK56" i="163"/>
  <c r="AY169" i="163"/>
  <c r="S170" i="163" s="1"/>
  <c r="AY51" i="163"/>
  <c r="AO205" i="163"/>
  <c r="I206" i="163" s="1"/>
  <c r="AO46" i="163"/>
  <c r="BC172" i="163"/>
  <c r="W173" i="163" s="1"/>
  <c r="BC52" i="163"/>
  <c r="AO57" i="163"/>
  <c r="AO238" i="163"/>
  <c r="I239" i="163" s="1"/>
  <c r="AP199" i="163"/>
  <c r="AP44" i="163"/>
  <c r="AR238" i="163"/>
  <c r="L239" i="163" s="1"/>
  <c r="AR57" i="163"/>
  <c r="BN172" i="163"/>
  <c r="AH173" i="163" s="1"/>
  <c r="BN52" i="163"/>
  <c r="AV48" i="163"/>
  <c r="BD163" i="163"/>
  <c r="BD48" i="163"/>
  <c r="BO235" i="163"/>
  <c r="AI236" i="163" s="1"/>
  <c r="BO56" i="163"/>
  <c r="BC205" i="163"/>
  <c r="W206" i="163" s="1"/>
  <c r="BC46" i="163"/>
  <c r="BC163" i="163"/>
  <c r="BC48" i="163"/>
  <c r="BK175" i="163"/>
  <c r="AE176" i="163" s="1"/>
  <c r="BK55" i="163"/>
  <c r="AY202" i="163"/>
  <c r="S203" i="163" s="1"/>
  <c r="AY45" i="163"/>
  <c r="AY175" i="163"/>
  <c r="S176" i="163" s="1"/>
  <c r="AY55" i="163"/>
  <c r="K164" i="163"/>
  <c r="AQ177" i="163"/>
  <c r="AQ155" i="163" s="1"/>
  <c r="BI205" i="163"/>
  <c r="AC206" i="163" s="1"/>
  <c r="BI46" i="163"/>
  <c r="AV226" i="163"/>
  <c r="P227" i="163" s="1"/>
  <c r="AV53" i="163"/>
  <c r="BM229" i="163"/>
  <c r="AG230" i="163" s="1"/>
  <c r="BM54" i="163"/>
  <c r="BM202" i="163"/>
  <c r="AG203" i="163" s="1"/>
  <c r="BM45" i="163"/>
  <c r="BM46" i="163"/>
  <c r="BM205" i="163"/>
  <c r="AG206" i="163" s="1"/>
  <c r="AS243" i="163"/>
  <c r="AS157" i="163" s="1"/>
  <c r="M200" i="163"/>
  <c r="AP235" i="163"/>
  <c r="J236" i="163" s="1"/>
  <c r="AP56" i="163"/>
  <c r="AP163" i="163"/>
  <c r="AP48" i="163"/>
  <c r="AR163" i="163"/>
  <c r="AR48" i="163"/>
  <c r="BN166" i="163"/>
  <c r="AH167" i="163" s="1"/>
  <c r="BN50" i="163"/>
  <c r="P182" i="163"/>
  <c r="BD172" i="163"/>
  <c r="X173" i="163" s="1"/>
  <c r="BD52" i="163"/>
  <c r="BJ243" i="163"/>
  <c r="BJ157" i="163" s="1"/>
  <c r="AD157" i="163" s="1"/>
  <c r="AD200" i="163"/>
  <c r="BO52" i="163"/>
  <c r="BC202" i="163"/>
  <c r="W203" i="163" s="1"/>
  <c r="BC45" i="163"/>
  <c r="S182" i="163"/>
  <c r="AW163" i="163"/>
  <c r="AW48" i="163"/>
  <c r="U164" i="163"/>
  <c r="BI202" i="163"/>
  <c r="AC203" i="163" s="1"/>
  <c r="BI45" i="163"/>
  <c r="BI226" i="163"/>
  <c r="AC227" i="163" s="1"/>
  <c r="BI53" i="163"/>
  <c r="AP166" i="163"/>
  <c r="J167" i="163" s="1"/>
  <c r="AP50" i="163"/>
  <c r="AO235" i="163"/>
  <c r="I236" i="163" s="1"/>
  <c r="AO56" i="163"/>
  <c r="BN241" i="163"/>
  <c r="AH242" i="163" s="1"/>
  <c r="BN58" i="163"/>
  <c r="AV57" i="163"/>
  <c r="AV238" i="163"/>
  <c r="P239" i="163" s="1"/>
  <c r="BO208" i="163"/>
  <c r="AI209" i="163" s="1"/>
  <c r="BO47" i="163"/>
  <c r="BC175" i="163"/>
  <c r="W176" i="163" s="1"/>
  <c r="BC55" i="163"/>
  <c r="BK214" i="163"/>
  <c r="AE215" i="163" s="1"/>
  <c r="BK49" i="163"/>
  <c r="BK208" i="163"/>
  <c r="AE209" i="163" s="1"/>
  <c r="BK47" i="163"/>
  <c r="AY208" i="163"/>
  <c r="S209" i="163" s="1"/>
  <c r="AY47" i="163"/>
  <c r="BM57" i="163"/>
  <c r="BM238" i="163"/>
  <c r="AG239" i="163" s="1"/>
  <c r="BI169" i="163"/>
  <c r="AC170" i="163" s="1"/>
  <c r="BI51" i="163"/>
  <c r="AW55" i="163"/>
  <c r="AW175" i="163"/>
  <c r="Q176" i="163" s="1"/>
  <c r="AP202" i="163"/>
  <c r="J203" i="163" s="1"/>
  <c r="AP45" i="163"/>
  <c r="BN226" i="163"/>
  <c r="AH227" i="163" s="1"/>
  <c r="BN53" i="163"/>
  <c r="AV229" i="163"/>
  <c r="P230" i="163" s="1"/>
  <c r="AV54" i="163"/>
  <c r="BD229" i="163"/>
  <c r="X230" i="163" s="1"/>
  <c r="BD54" i="163"/>
  <c r="BO229" i="163"/>
  <c r="AI230" i="163" s="1"/>
  <c r="BO54" i="163"/>
  <c r="BC238" i="163"/>
  <c r="W239" i="163" s="1"/>
  <c r="BC57" i="163"/>
  <c r="BK166" i="163"/>
  <c r="AE167" i="163" s="1"/>
  <c r="BK50" i="163"/>
  <c r="AY50" i="163"/>
  <c r="AY166" i="163"/>
  <c r="S167" i="163" s="1"/>
  <c r="BM199" i="163"/>
  <c r="BM44" i="163"/>
  <c r="BI55" i="163"/>
  <c r="BI175" i="163"/>
  <c r="AC176" i="163" s="1"/>
  <c r="AW166" i="163"/>
  <c r="Q167" i="163" s="1"/>
  <c r="AW50" i="163"/>
  <c r="AW54" i="163"/>
  <c r="AW229" i="163"/>
  <c r="Q230" i="163" s="1"/>
  <c r="AP229" i="163"/>
  <c r="J230" i="163" s="1"/>
  <c r="AP54" i="163"/>
  <c r="BN55" i="163"/>
  <c r="BN175" i="163"/>
  <c r="AH176" i="163" s="1"/>
  <c r="AV172" i="163"/>
  <c r="P173" i="163" s="1"/>
  <c r="AV52" i="163"/>
  <c r="BD166" i="163"/>
  <c r="X167" i="163" s="1"/>
  <c r="BD50" i="163"/>
  <c r="AO202" i="163"/>
  <c r="I203" i="163" s="1"/>
  <c r="AO45" i="163"/>
  <c r="BO226" i="163"/>
  <c r="AI227" i="163" s="1"/>
  <c r="BO53" i="163"/>
  <c r="BC199" i="163"/>
  <c r="BC44" i="163"/>
  <c r="AY235" i="163"/>
  <c r="S236" i="163" s="1"/>
  <c r="AY56" i="163"/>
  <c r="BM47" i="163"/>
  <c r="BM208" i="163"/>
  <c r="AG209" i="163" s="1"/>
  <c r="BI50" i="163"/>
  <c r="BI166" i="163"/>
  <c r="AC167" i="163" s="1"/>
  <c r="AO226" i="163"/>
  <c r="I227" i="163" s="1"/>
  <c r="AO53" i="163"/>
  <c r="BG243" i="163"/>
  <c r="BG157" i="163" s="1"/>
  <c r="AA200" i="163"/>
  <c r="AW238" i="163"/>
  <c r="Q239" i="163" s="1"/>
  <c r="AW57" i="163"/>
  <c r="BN208" i="163"/>
  <c r="AH209" i="163" s="1"/>
  <c r="BN47" i="163"/>
  <c r="AV55" i="163"/>
  <c r="AV175" i="163"/>
  <c r="P176" i="163" s="1"/>
  <c r="AV235" i="163"/>
  <c r="P236" i="163" s="1"/>
  <c r="AV56" i="163"/>
  <c r="X182" i="163"/>
  <c r="AO49" i="163"/>
  <c r="AO214" i="163"/>
  <c r="I215" i="163" s="1"/>
  <c r="BO166" i="163"/>
  <c r="AI167" i="163" s="1"/>
  <c r="BO50" i="163"/>
  <c r="BO163" i="163"/>
  <c r="BO48" i="163"/>
  <c r="BC226" i="163"/>
  <c r="W227" i="163" s="1"/>
  <c r="BC53" i="163"/>
  <c r="L182" i="163"/>
  <c r="AY229" i="163"/>
  <c r="S230" i="163" s="1"/>
  <c r="AY54" i="163"/>
  <c r="BO199" i="163"/>
  <c r="BO44" i="163"/>
  <c r="I164" i="163"/>
  <c r="BI241" i="163"/>
  <c r="AC242" i="163" s="1"/>
  <c r="BI58" i="163"/>
  <c r="BI199" i="163"/>
  <c r="BI44" i="163"/>
  <c r="AW202" i="163"/>
  <c r="Q203" i="163" s="1"/>
  <c r="AW45" i="163"/>
  <c r="AW235" i="163"/>
  <c r="Q236" i="163" s="1"/>
  <c r="AW56" i="163"/>
  <c r="AP169" i="163"/>
  <c r="J170" i="163" s="1"/>
  <c r="AP51" i="163"/>
  <c r="BN202" i="163"/>
  <c r="AH203" i="163" s="1"/>
  <c r="BN45" i="163"/>
  <c r="BD214" i="163"/>
  <c r="X215" i="163" s="1"/>
  <c r="BD49" i="163"/>
  <c r="BD202" i="163"/>
  <c r="X203" i="163" s="1"/>
  <c r="BD45" i="163"/>
  <c r="BO241" i="163"/>
  <c r="AI242" i="163" s="1"/>
  <c r="BO58" i="163"/>
  <c r="AO229" i="163"/>
  <c r="I230" i="163" s="1"/>
  <c r="AO54" i="163"/>
  <c r="BK48" i="163"/>
  <c r="BK163" i="163"/>
  <c r="AA164" i="163"/>
  <c r="BG177" i="163"/>
  <c r="BG155" i="163" s="1"/>
  <c r="AY238" i="163"/>
  <c r="S239" i="163" s="1"/>
  <c r="AY57" i="163"/>
  <c r="I182" i="163"/>
  <c r="U200" i="163"/>
  <c r="AR175" i="163"/>
  <c r="L176" i="163" s="1"/>
  <c r="AR55" i="163"/>
  <c r="BF177" i="163"/>
  <c r="BF155" i="163" s="1"/>
  <c r="Z155" i="163" s="1"/>
  <c r="Z164" i="163"/>
  <c r="AO208" i="163"/>
  <c r="I209" i="163" s="1"/>
  <c r="AO47" i="163"/>
  <c r="BM166" i="163"/>
  <c r="AG167" i="163" s="1"/>
  <c r="BM50" i="163"/>
  <c r="BM214" i="163"/>
  <c r="AG215" i="163" s="1"/>
  <c r="BM49" i="163"/>
  <c r="BI229" i="163"/>
  <c r="AC230" i="163" s="1"/>
  <c r="BI54" i="163"/>
  <c r="BI238" i="163"/>
  <c r="AC239" i="163" s="1"/>
  <c r="BI57" i="163"/>
  <c r="AW169" i="163"/>
  <c r="Q170" i="163" s="1"/>
  <c r="AW51" i="163"/>
  <c r="AP208" i="163"/>
  <c r="J209" i="163" s="1"/>
  <c r="AP47" i="163"/>
  <c r="AP238" i="163"/>
  <c r="J239" i="163" s="1"/>
  <c r="AP57" i="163"/>
  <c r="BN229" i="163"/>
  <c r="AH230" i="163" s="1"/>
  <c r="BN54" i="163"/>
  <c r="BD235" i="163"/>
  <c r="X236" i="163" s="1"/>
  <c r="BD56" i="163"/>
  <c r="T164" i="163"/>
  <c r="AZ177" i="163"/>
  <c r="AZ155" i="163" s="1"/>
  <c r="BC208" i="163"/>
  <c r="W209" i="163" s="1"/>
  <c r="BC47" i="163"/>
  <c r="BK169" i="163"/>
  <c r="AE170" i="163" s="1"/>
  <c r="BK51" i="163"/>
  <c r="AR214" i="163"/>
  <c r="L215" i="163" s="1"/>
  <c r="AR49" i="163"/>
  <c r="AY241" i="163"/>
  <c r="S242" i="163" s="1"/>
  <c r="AY58" i="163"/>
  <c r="BK58" i="163"/>
  <c r="BK241" i="163"/>
  <c r="AE242" i="163" s="1"/>
  <c r="BM241" i="163"/>
  <c r="AG242" i="163" s="1"/>
  <c r="BM58" i="163"/>
  <c r="BM235" i="163"/>
  <c r="AG236" i="163" s="1"/>
  <c r="BM56" i="163"/>
  <c r="BI172" i="163"/>
  <c r="AC173" i="163" s="1"/>
  <c r="BI52" i="163"/>
  <c r="BI163" i="163"/>
  <c r="BI48" i="163"/>
  <c r="AW214" i="163"/>
  <c r="Q215" i="163" s="1"/>
  <c r="AW49" i="163"/>
  <c r="AP172" i="163"/>
  <c r="J173" i="163" s="1"/>
  <c r="AP52" i="163"/>
  <c r="AR47" i="163"/>
  <c r="AR208" i="163"/>
  <c r="L209" i="163" s="1"/>
  <c r="BN163" i="163"/>
  <c r="BN48" i="163"/>
  <c r="AV205" i="163"/>
  <c r="P206" i="163" s="1"/>
  <c r="AV46" i="163"/>
  <c r="AV208" i="163"/>
  <c r="P209" i="163" s="1"/>
  <c r="AV47" i="163"/>
  <c r="BD169" i="163"/>
  <c r="X170" i="163" s="1"/>
  <c r="BD51" i="163"/>
  <c r="AR169" i="163"/>
  <c r="L170" i="163" s="1"/>
  <c r="AR51" i="163"/>
  <c r="BO205" i="163"/>
  <c r="AI206" i="163" s="1"/>
  <c r="BO46" i="163"/>
  <c r="BC54" i="163"/>
  <c r="BC229" i="163"/>
  <c r="W230" i="163" s="1"/>
  <c r="BK172" i="163"/>
  <c r="AE173" i="163" s="1"/>
  <c r="BK52" i="163"/>
  <c r="AR241" i="163"/>
  <c r="L242" i="163" s="1"/>
  <c r="AR58" i="163"/>
  <c r="Z200" i="163"/>
  <c r="BF243" i="163"/>
  <c r="BF157" i="163" s="1"/>
  <c r="Z157" i="163" s="1"/>
  <c r="AR52" i="163"/>
  <c r="BM175" i="163"/>
  <c r="AG176" i="163" s="1"/>
  <c r="BM55" i="163"/>
  <c r="BM169" i="163"/>
  <c r="AG170" i="163" s="1"/>
  <c r="BM51" i="163"/>
  <c r="BI214" i="163"/>
  <c r="AC215" i="163" s="1"/>
  <c r="BI49" i="163"/>
  <c r="AW172" i="163"/>
  <c r="Q173" i="163" s="1"/>
  <c r="AW52" i="163"/>
  <c r="AW199" i="163"/>
  <c r="AW44" i="163"/>
  <c r="J182" i="163"/>
  <c r="AV199" i="163"/>
  <c r="AV44" i="163"/>
  <c r="BD208" i="163"/>
  <c r="X209" i="163" s="1"/>
  <c r="BD47" i="163"/>
  <c r="AR229" i="163"/>
  <c r="L230" i="163" s="1"/>
  <c r="AR54" i="163"/>
  <c r="AR199" i="163"/>
  <c r="AR44" i="163"/>
  <c r="BC214" i="163"/>
  <c r="W215" i="163" s="1"/>
  <c r="BC49" i="163"/>
  <c r="BB177" i="163"/>
  <c r="BB155" i="163" s="1"/>
  <c r="V164" i="163"/>
  <c r="AO166" i="163"/>
  <c r="I167" i="163" s="1"/>
  <c r="AO50" i="163"/>
  <c r="AB164" i="163"/>
  <c r="BH177" i="163"/>
  <c r="BH155" i="163" s="1"/>
  <c r="BM172" i="163"/>
  <c r="AG173" i="163" s="1"/>
  <c r="BM52" i="163"/>
  <c r="BI208" i="163"/>
  <c r="AC209" i="163" s="1"/>
  <c r="BI47" i="163"/>
  <c r="AW58" i="163"/>
  <c r="AW241" i="163"/>
  <c r="Q242" i="163" s="1"/>
  <c r="AP175" i="163"/>
  <c r="J176" i="163" s="1"/>
  <c r="AP55" i="163"/>
  <c r="AO169" i="163"/>
  <c r="I170" i="163" s="1"/>
  <c r="AO51" i="163"/>
  <c r="BN169" i="163"/>
  <c r="AH170" i="163" s="1"/>
  <c r="BN51" i="163"/>
  <c r="BN238" i="163"/>
  <c r="AH239" i="163" s="1"/>
  <c r="BN57" i="163"/>
  <c r="AV214" i="163"/>
  <c r="P215" i="163" s="1"/>
  <c r="AV49" i="163"/>
  <c r="AV58" i="163"/>
  <c r="AV241" i="163"/>
  <c r="P242" i="163" s="1"/>
  <c r="BD238" i="163"/>
  <c r="X239" i="163" s="1"/>
  <c r="BD57" i="163"/>
  <c r="BD175" i="163"/>
  <c r="X176" i="163" s="1"/>
  <c r="BD55" i="163"/>
  <c r="BO238" i="163"/>
  <c r="AI239" i="163" s="1"/>
  <c r="BO57" i="163"/>
  <c r="BC166" i="163"/>
  <c r="W167" i="163" s="1"/>
  <c r="BC50" i="163"/>
  <c r="AE182" i="163"/>
  <c r="BK53" i="163"/>
  <c r="BK226" i="163"/>
  <c r="AE227" i="163" s="1"/>
  <c r="AY199" i="163"/>
  <c r="AY44" i="163"/>
  <c r="N186" i="164"/>
  <c r="M187" i="164"/>
  <c r="AL58" i="138"/>
  <c r="AL54" i="138"/>
  <c r="AL61" i="138"/>
  <c r="AL50" i="138"/>
  <c r="AM58" i="128"/>
  <c r="AM54" i="128"/>
  <c r="AL93" i="138" s="1"/>
  <c r="AM49" i="128"/>
  <c r="C128" i="138"/>
  <c r="C127" i="138"/>
  <c r="C126" i="138"/>
  <c r="C125" i="138"/>
  <c r="C121" i="138"/>
  <c r="C120" i="138"/>
  <c r="C119" i="138"/>
  <c r="C118" i="138"/>
  <c r="C117" i="138"/>
  <c r="A112" i="138"/>
  <c r="A125" i="138" s="1"/>
  <c r="B112" i="138"/>
  <c r="B125" i="138" s="1"/>
  <c r="A113" i="138"/>
  <c r="A126" i="138" s="1"/>
  <c r="B113" i="138"/>
  <c r="B126" i="138" s="1"/>
  <c r="A114" i="138"/>
  <c r="A127" i="138" s="1"/>
  <c r="B114" i="138"/>
  <c r="B127" i="138" s="1"/>
  <c r="A115" i="138"/>
  <c r="A128" i="138" s="1"/>
  <c r="B115" i="138"/>
  <c r="B128" i="138" s="1"/>
  <c r="AK92" i="138"/>
  <c r="AE92" i="138" s="1"/>
  <c r="AK95" i="138"/>
  <c r="AK90" i="138"/>
  <c r="AE90" i="138" s="1"/>
  <c r="AK87" i="138"/>
  <c r="AK79" i="138"/>
  <c r="AC79" i="138" s="1"/>
  <c r="AK85" i="138"/>
  <c r="R85" i="138" s="1"/>
  <c r="AK73" i="138"/>
  <c r="AG73" i="138" s="1"/>
  <c r="AD63" i="138"/>
  <c r="AK64" i="138"/>
  <c r="AH64" i="138" s="1"/>
  <c r="AK65" i="138"/>
  <c r="AD65" i="138" s="1"/>
  <c r="AK66" i="138"/>
  <c r="AG66" i="138" s="1"/>
  <c r="AK67" i="138"/>
  <c r="AC67" i="138" s="1"/>
  <c r="AK68" i="138"/>
  <c r="AG68" i="138" s="1"/>
  <c r="AK69" i="138"/>
  <c r="C87" i="138"/>
  <c r="C90" i="138"/>
  <c r="C91" i="138"/>
  <c r="C92" i="138"/>
  <c r="C95" i="138"/>
  <c r="C86" i="138"/>
  <c r="C74" i="138"/>
  <c r="C75" i="138"/>
  <c r="C76" i="138"/>
  <c r="C77" i="138"/>
  <c r="C78" i="138"/>
  <c r="C79" i="138"/>
  <c r="C80" i="138"/>
  <c r="C81" i="138"/>
  <c r="C85" i="138"/>
  <c r="C73" i="138"/>
  <c r="C63" i="138"/>
  <c r="C64" i="138"/>
  <c r="C65" i="138"/>
  <c r="C66" i="138"/>
  <c r="C67" i="138"/>
  <c r="C68" i="138"/>
  <c r="C69" i="138"/>
  <c r="B17" i="138"/>
  <c r="B63" i="138" s="1"/>
  <c r="A17" i="138"/>
  <c r="A63" i="138" s="1"/>
  <c r="A18" i="138"/>
  <c r="A74" i="138" s="1"/>
  <c r="B18" i="138"/>
  <c r="B74" i="138" s="1"/>
  <c r="A19" i="138"/>
  <c r="A86" i="138" s="1"/>
  <c r="B19" i="138"/>
  <c r="B86" i="138" s="1"/>
  <c r="A20" i="138"/>
  <c r="A91" i="138" s="1"/>
  <c r="B20" i="138"/>
  <c r="B91" i="138" s="1"/>
  <c r="L7" i="153"/>
  <c r="K7" i="153"/>
  <c r="J7" i="153"/>
  <c r="A105" i="138"/>
  <c r="A118" i="138" s="1"/>
  <c r="B105" i="138"/>
  <c r="B118" i="138" s="1"/>
  <c r="A106" i="138"/>
  <c r="A119" i="138" s="1"/>
  <c r="B106" i="138"/>
  <c r="B119" i="138" s="1"/>
  <c r="A107" i="138"/>
  <c r="A120" i="138" s="1"/>
  <c r="B107" i="138"/>
  <c r="B120" i="138" s="1"/>
  <c r="A108" i="138"/>
  <c r="A121" i="138" s="1"/>
  <c r="B108" i="138"/>
  <c r="B121" i="138" s="1"/>
  <c r="A111" i="138"/>
  <c r="A124" i="138" s="1"/>
  <c r="B111" i="138"/>
  <c r="B124" i="138" s="1"/>
  <c r="B104" i="138"/>
  <c r="B117" i="138" s="1"/>
  <c r="A104" i="138"/>
  <c r="A117" i="138" s="1"/>
  <c r="T18" i="163" l="1"/>
  <c r="CI8" i="163"/>
  <c r="N10" i="163"/>
  <c r="CQ5" i="163"/>
  <c r="CC8" i="163"/>
  <c r="K372" i="149" s="1"/>
  <c r="N17" i="163"/>
  <c r="CQ18" i="163"/>
  <c r="Y382" i="149" s="1"/>
  <c r="AT243" i="163"/>
  <c r="AT157" i="163" s="1"/>
  <c r="CC7" i="163"/>
  <c r="K371" i="149" s="1"/>
  <c r="T7" i="163"/>
  <c r="CI19" i="163"/>
  <c r="Q383" i="149" s="1"/>
  <c r="BA177" i="163"/>
  <c r="BA155" i="163" s="1"/>
  <c r="CI10" i="163"/>
  <c r="Q374" i="149" s="1"/>
  <c r="BC195" i="163"/>
  <c r="BC156" i="163" s="1"/>
  <c r="CQ8" i="163"/>
  <c r="CQ43" i="163" s="1"/>
  <c r="AV195" i="163"/>
  <c r="AV156" i="163" s="1"/>
  <c r="CC11" i="163"/>
  <c r="AT177" i="163"/>
  <c r="AT155" i="163" s="1"/>
  <c r="N155" i="163" s="1"/>
  <c r="AP195" i="163"/>
  <c r="AP156" i="163" s="1"/>
  <c r="AZ243" i="163"/>
  <c r="AZ157" i="163" s="1"/>
  <c r="BH195" i="163"/>
  <c r="BH156" i="163" s="1"/>
  <c r="AB156" i="163" s="1"/>
  <c r="CI9" i="163"/>
  <c r="Q373" i="149" s="1"/>
  <c r="AO195" i="163"/>
  <c r="AO156" i="163" s="1"/>
  <c r="CI17" i="163"/>
  <c r="Q381" i="149" s="1"/>
  <c r="CJ7" i="163"/>
  <c r="CJ42" i="163" s="1"/>
  <c r="K6" i="163"/>
  <c r="BA195" i="163"/>
  <c r="BA156" i="163" s="1"/>
  <c r="AR195" i="163"/>
  <c r="AR156" i="163" s="1"/>
  <c r="U5" i="163"/>
  <c r="K15" i="163"/>
  <c r="AY195" i="163"/>
  <c r="AY156" i="163" s="1"/>
  <c r="CQ13" i="163"/>
  <c r="Y377" i="149" s="1"/>
  <c r="BK195" i="163"/>
  <c r="BK156" i="163" s="1"/>
  <c r="AW195" i="163"/>
  <c r="AW156" i="163" s="1"/>
  <c r="BN195" i="163"/>
  <c r="BN156" i="163" s="1"/>
  <c r="CJ14" i="163"/>
  <c r="R378" i="149" s="1"/>
  <c r="AB15" i="163"/>
  <c r="P188" i="163"/>
  <c r="BD195" i="163"/>
  <c r="BD156" i="163" s="1"/>
  <c r="BI195" i="163"/>
  <c r="BI156" i="163" s="1"/>
  <c r="CQ11" i="163"/>
  <c r="Y375" i="149" s="1"/>
  <c r="AZ195" i="163"/>
  <c r="AZ156" i="163" s="1"/>
  <c r="BM195" i="163"/>
  <c r="BM156" i="163" s="1"/>
  <c r="AQ195" i="163"/>
  <c r="AQ156" i="163" s="1"/>
  <c r="AG191" i="163"/>
  <c r="AH93" i="138"/>
  <c r="Z93" i="138"/>
  <c r="R93" i="138"/>
  <c r="J93" i="138"/>
  <c r="Y93" i="138"/>
  <c r="Q93" i="138"/>
  <c r="I93" i="138"/>
  <c r="AG93" i="138"/>
  <c r="AF93" i="138"/>
  <c r="X93" i="138"/>
  <c r="P93" i="138"/>
  <c r="H93" i="138"/>
  <c r="M93" i="138"/>
  <c r="AE93" i="138"/>
  <c r="W93" i="138"/>
  <c r="O93" i="138"/>
  <c r="AD93" i="138"/>
  <c r="V93" i="138"/>
  <c r="N93" i="138"/>
  <c r="U93" i="138"/>
  <c r="AC93" i="138"/>
  <c r="AB93" i="138"/>
  <c r="T93" i="138"/>
  <c r="L93" i="138"/>
  <c r="AI93" i="138"/>
  <c r="AA93" i="138"/>
  <c r="S93" i="138"/>
  <c r="K93" i="138"/>
  <c r="K10" i="163"/>
  <c r="M50" i="138"/>
  <c r="U50" i="138"/>
  <c r="AC50" i="138"/>
  <c r="J50" i="138"/>
  <c r="N50" i="138"/>
  <c r="V50" i="138"/>
  <c r="AD50" i="138"/>
  <c r="AH50" i="138"/>
  <c r="O50" i="138"/>
  <c r="W50" i="138"/>
  <c r="AE50" i="138"/>
  <c r="AG50" i="138"/>
  <c r="P50" i="138"/>
  <c r="X50" i="138"/>
  <c r="AF50" i="138"/>
  <c r="Q50" i="138"/>
  <c r="R50" i="138"/>
  <c r="K50" i="138"/>
  <c r="S50" i="138"/>
  <c r="AA50" i="138"/>
  <c r="AI50" i="138"/>
  <c r="Y50" i="138"/>
  <c r="Z50" i="138"/>
  <c r="L50" i="138"/>
  <c r="T50" i="138"/>
  <c r="AB50" i="138"/>
  <c r="H50" i="138"/>
  <c r="I50" i="138"/>
  <c r="I61" i="138"/>
  <c r="Q61" i="138"/>
  <c r="Y61" i="138"/>
  <c r="AG61" i="138"/>
  <c r="N61" i="138"/>
  <c r="J61" i="138"/>
  <c r="R61" i="138"/>
  <c r="Z61" i="138"/>
  <c r="AH61" i="138"/>
  <c r="K61" i="138"/>
  <c r="S61" i="138"/>
  <c r="AA61" i="138"/>
  <c r="AI61" i="138"/>
  <c r="AC61" i="138"/>
  <c r="L61" i="138"/>
  <c r="T61" i="138"/>
  <c r="AB61" i="138"/>
  <c r="H61" i="138"/>
  <c r="U61" i="138"/>
  <c r="M61" i="138"/>
  <c r="O61" i="138"/>
  <c r="W61" i="138"/>
  <c r="AE61" i="138"/>
  <c r="V61" i="138"/>
  <c r="P61" i="138"/>
  <c r="X61" i="138"/>
  <c r="AF61" i="138"/>
  <c r="AD61" i="138"/>
  <c r="I54" i="138"/>
  <c r="Q54" i="138"/>
  <c r="Y54" i="138"/>
  <c r="AG54" i="138"/>
  <c r="J54" i="138"/>
  <c r="R54" i="138"/>
  <c r="Z54" i="138"/>
  <c r="AH54" i="138"/>
  <c r="N54" i="138"/>
  <c r="K54" i="138"/>
  <c r="S54" i="138"/>
  <c r="AA54" i="138"/>
  <c r="AI54" i="138"/>
  <c r="U54" i="138"/>
  <c r="V54" i="138"/>
  <c r="L54" i="138"/>
  <c r="T54" i="138"/>
  <c r="AB54" i="138"/>
  <c r="H54" i="138"/>
  <c r="O54" i="138"/>
  <c r="W54" i="138"/>
  <c r="AE54" i="138"/>
  <c r="AC54" i="138"/>
  <c r="P54" i="138"/>
  <c r="X54" i="138"/>
  <c r="AF54" i="138"/>
  <c r="M54" i="138"/>
  <c r="AD54" i="138"/>
  <c r="M58" i="138"/>
  <c r="U58" i="138"/>
  <c r="AC58" i="138"/>
  <c r="Z58" i="138"/>
  <c r="N58" i="138"/>
  <c r="V58" i="138"/>
  <c r="AD58" i="138"/>
  <c r="J58" i="138"/>
  <c r="O58" i="138"/>
  <c r="W58" i="138"/>
  <c r="AE58" i="138"/>
  <c r="P58" i="138"/>
  <c r="X58" i="138"/>
  <c r="AF58" i="138"/>
  <c r="R58" i="138"/>
  <c r="AH58" i="138"/>
  <c r="K58" i="138"/>
  <c r="S58" i="138"/>
  <c r="AA58" i="138"/>
  <c r="AI58" i="138"/>
  <c r="Q58" i="138"/>
  <c r="AG58" i="138"/>
  <c r="L58" i="138"/>
  <c r="T58" i="138"/>
  <c r="AB58" i="138"/>
  <c r="H58" i="138"/>
  <c r="I58" i="138"/>
  <c r="Y58" i="138"/>
  <c r="AL88" i="138"/>
  <c r="AH49" i="128"/>
  <c r="AI49" i="128"/>
  <c r="AJ49" i="128"/>
  <c r="AK49" i="128"/>
  <c r="J49" i="128"/>
  <c r="M49" i="128"/>
  <c r="AF49" i="128"/>
  <c r="K49" i="128"/>
  <c r="Y49" i="128"/>
  <c r="P49" i="128"/>
  <c r="AG49" i="128"/>
  <c r="L49" i="128"/>
  <c r="O49" i="128"/>
  <c r="N49" i="128"/>
  <c r="Q49" i="128"/>
  <c r="R49" i="128"/>
  <c r="AE49" i="128"/>
  <c r="S49" i="128"/>
  <c r="T49" i="128"/>
  <c r="V49" i="128"/>
  <c r="W49" i="128"/>
  <c r="U49" i="128"/>
  <c r="Z49" i="128"/>
  <c r="AC49" i="128"/>
  <c r="X49" i="128"/>
  <c r="AA49" i="128"/>
  <c r="AD49" i="128"/>
  <c r="AB49" i="128"/>
  <c r="AH54" i="128"/>
  <c r="K54" i="128"/>
  <c r="P54" i="128"/>
  <c r="AI54" i="128"/>
  <c r="AK54" i="128"/>
  <c r="J54" i="128"/>
  <c r="Z54" i="128"/>
  <c r="AG54" i="128"/>
  <c r="AJ54" i="128"/>
  <c r="Y54" i="128"/>
  <c r="L54" i="128"/>
  <c r="M54" i="128"/>
  <c r="O54" i="128"/>
  <c r="AE54" i="128"/>
  <c r="N54" i="128"/>
  <c r="Q54" i="128"/>
  <c r="R54" i="128"/>
  <c r="S54" i="128"/>
  <c r="T54" i="128"/>
  <c r="U54" i="128"/>
  <c r="V54" i="128"/>
  <c r="W54" i="128"/>
  <c r="X54" i="128"/>
  <c r="AF54" i="128"/>
  <c r="AA54" i="128"/>
  <c r="AB54" i="128"/>
  <c r="AC54" i="128"/>
  <c r="AD54" i="128"/>
  <c r="AH58" i="128"/>
  <c r="AI58" i="128"/>
  <c r="AJ58" i="128"/>
  <c r="AK58" i="128"/>
  <c r="K58" i="128"/>
  <c r="M58" i="128"/>
  <c r="P58" i="128"/>
  <c r="J58" i="128"/>
  <c r="L58" i="128"/>
  <c r="AC58" i="128"/>
  <c r="N58" i="128"/>
  <c r="O58" i="128"/>
  <c r="Y58" i="128"/>
  <c r="Q58" i="128"/>
  <c r="R58" i="128"/>
  <c r="S58" i="128"/>
  <c r="T58" i="128"/>
  <c r="U58" i="128"/>
  <c r="V58" i="128"/>
  <c r="X58" i="128"/>
  <c r="AD58" i="128"/>
  <c r="AG58" i="128"/>
  <c r="W58" i="128"/>
  <c r="Z58" i="128"/>
  <c r="AA58" i="128"/>
  <c r="AB58" i="128"/>
  <c r="AE58" i="128"/>
  <c r="AF58" i="128"/>
  <c r="CJ19" i="163"/>
  <c r="CJ54" i="163" s="1"/>
  <c r="CJ15" i="163"/>
  <c r="R379" i="149" s="1"/>
  <c r="BA243" i="163"/>
  <c r="BA157" i="163" s="1"/>
  <c r="BZ19" i="163"/>
  <c r="H383" i="149" s="1"/>
  <c r="CJ12" i="163"/>
  <c r="R376" i="149" s="1"/>
  <c r="U17" i="163"/>
  <c r="CI13" i="163"/>
  <c r="Q377" i="149" s="1"/>
  <c r="CI16" i="163"/>
  <c r="CI51" i="163" s="1"/>
  <c r="CI14" i="163"/>
  <c r="Q378" i="149" s="1"/>
  <c r="T15" i="163"/>
  <c r="K17" i="163"/>
  <c r="T12" i="163"/>
  <c r="BH243" i="163"/>
  <c r="BH157" i="163" s="1"/>
  <c r="CI11" i="163"/>
  <c r="Q375" i="149" s="1"/>
  <c r="S5" i="163"/>
  <c r="CH5" i="163"/>
  <c r="AE14" i="163"/>
  <c r="CT14" i="163"/>
  <c r="W11" i="163"/>
  <c r="CL11" i="163"/>
  <c r="AI18" i="163"/>
  <c r="CX18" i="163"/>
  <c r="X16" i="163"/>
  <c r="CM16" i="163"/>
  <c r="X18" i="163"/>
  <c r="CM18" i="163"/>
  <c r="P19" i="163"/>
  <c r="CE19" i="163"/>
  <c r="P10" i="163"/>
  <c r="CE10" i="163"/>
  <c r="AH18" i="163"/>
  <c r="CW18" i="163"/>
  <c r="AH12" i="163"/>
  <c r="CW12" i="163"/>
  <c r="BX12" i="163"/>
  <c r="J16" i="163"/>
  <c r="BY16" i="163"/>
  <c r="Q19" i="163"/>
  <c r="CF19" i="163"/>
  <c r="AC8" i="163"/>
  <c r="CR8" i="163"/>
  <c r="CV13" i="163"/>
  <c r="I11" i="163"/>
  <c r="BX11" i="163"/>
  <c r="W10" i="163"/>
  <c r="CL10" i="163"/>
  <c r="L5" i="163"/>
  <c r="CA5" i="163"/>
  <c r="L15" i="163"/>
  <c r="CA15" i="163"/>
  <c r="X8" i="163"/>
  <c r="CM8" i="163"/>
  <c r="P5" i="163"/>
  <c r="CE5" i="163"/>
  <c r="Q5" i="163"/>
  <c r="CF5" i="163"/>
  <c r="Q13" i="163"/>
  <c r="CF13" i="163"/>
  <c r="AC10" i="163"/>
  <c r="CR10" i="163"/>
  <c r="AG12" i="163"/>
  <c r="CV12" i="163"/>
  <c r="CV16" i="163"/>
  <c r="L13" i="163"/>
  <c r="CA13" i="163"/>
  <c r="L19" i="163"/>
  <c r="CA19" i="163"/>
  <c r="CT13" i="163"/>
  <c r="W15" i="163"/>
  <c r="CL15" i="163"/>
  <c r="AI7" i="163"/>
  <c r="CX7" i="163"/>
  <c r="L12" i="163"/>
  <c r="CA12" i="163"/>
  <c r="X12" i="163"/>
  <c r="CM12" i="163"/>
  <c r="P8" i="163"/>
  <c r="CE8" i="163"/>
  <c r="P7" i="163"/>
  <c r="CE7" i="163"/>
  <c r="AH9" i="163"/>
  <c r="CW9" i="163"/>
  <c r="L8" i="163"/>
  <c r="CA8" i="163"/>
  <c r="BY13" i="163"/>
  <c r="Q10" i="163"/>
  <c r="CF10" i="163"/>
  <c r="AC9" i="163"/>
  <c r="CR9" i="163"/>
  <c r="AC13" i="163"/>
  <c r="CR13" i="163"/>
  <c r="AG17" i="163"/>
  <c r="CV17" i="163"/>
  <c r="AG19" i="163"/>
  <c r="CV19" i="163"/>
  <c r="AE19" i="163"/>
  <c r="CT19" i="163"/>
  <c r="S19" i="163"/>
  <c r="CH19" i="163"/>
  <c r="L10" i="163"/>
  <c r="CA10" i="163"/>
  <c r="AE12" i="163"/>
  <c r="CT12" i="163"/>
  <c r="W8" i="163"/>
  <c r="CL8" i="163"/>
  <c r="X17" i="163"/>
  <c r="CM17" i="163"/>
  <c r="AH15" i="163"/>
  <c r="CW15" i="163"/>
  <c r="J18" i="163"/>
  <c r="BY18" i="163"/>
  <c r="J8" i="163"/>
  <c r="BY8" i="163"/>
  <c r="Q12" i="163"/>
  <c r="CF12" i="163"/>
  <c r="AC18" i="163"/>
  <c r="CR18" i="163"/>
  <c r="AC15" i="163"/>
  <c r="CR15" i="163"/>
  <c r="AG10" i="163"/>
  <c r="CV10" i="163"/>
  <c r="AG11" i="163"/>
  <c r="CV11" i="163"/>
  <c r="I8" i="163"/>
  <c r="BX8" i="163"/>
  <c r="L16" i="163"/>
  <c r="CA16" i="163"/>
  <c r="S18" i="163"/>
  <c r="CH18" i="163"/>
  <c r="AE9" i="163"/>
  <c r="CT9" i="163"/>
  <c r="I15" i="163"/>
  <c r="BX15" i="163"/>
  <c r="AI19" i="163"/>
  <c r="CX19" i="163"/>
  <c r="X6" i="163"/>
  <c r="CM6" i="163"/>
  <c r="X10" i="163"/>
  <c r="CM10" i="163"/>
  <c r="AH6" i="163"/>
  <c r="CW6" i="163"/>
  <c r="BY12" i="163"/>
  <c r="Q17" i="163"/>
  <c r="CF17" i="163"/>
  <c r="Q6" i="163"/>
  <c r="CF6" i="163"/>
  <c r="AC5" i="163"/>
  <c r="CR5" i="163"/>
  <c r="AC19" i="163"/>
  <c r="CR19" i="163"/>
  <c r="AI5" i="163"/>
  <c r="CX5" i="163"/>
  <c r="S15" i="163"/>
  <c r="CH15" i="163"/>
  <c r="W14" i="163"/>
  <c r="CL14" i="163"/>
  <c r="AI9" i="163"/>
  <c r="CX9" i="163"/>
  <c r="AI11" i="163"/>
  <c r="CX11" i="163"/>
  <c r="I10" i="163"/>
  <c r="BX10" i="163"/>
  <c r="P17" i="163"/>
  <c r="CE17" i="163"/>
  <c r="P16" i="163"/>
  <c r="CE16" i="163"/>
  <c r="AH8" i="163"/>
  <c r="CW8" i="163"/>
  <c r="Q18" i="163"/>
  <c r="CF18" i="163"/>
  <c r="I14" i="163"/>
  <c r="BX14" i="163"/>
  <c r="AC11" i="163"/>
  <c r="CR11" i="163"/>
  <c r="AG8" i="163"/>
  <c r="CV8" i="163"/>
  <c r="S17" i="163"/>
  <c r="CH17" i="163"/>
  <c r="W5" i="163"/>
  <c r="CL5" i="163"/>
  <c r="AI14" i="163"/>
  <c r="CX14" i="163"/>
  <c r="I6" i="163"/>
  <c r="BX6" i="163"/>
  <c r="X11" i="163"/>
  <c r="CM11" i="163"/>
  <c r="P13" i="163"/>
  <c r="CE13" i="163"/>
  <c r="AH16" i="163"/>
  <c r="CW16" i="163"/>
  <c r="J15" i="163"/>
  <c r="BY15" i="163"/>
  <c r="Q15" i="163"/>
  <c r="CF15" i="163"/>
  <c r="Q11" i="163"/>
  <c r="CF11" i="163"/>
  <c r="CR16" i="163"/>
  <c r="AG5" i="163"/>
  <c r="CV5" i="163"/>
  <c r="S11" i="163"/>
  <c r="CH11" i="163"/>
  <c r="AE11" i="163"/>
  <c r="CT11" i="163"/>
  <c r="W18" i="163"/>
  <c r="CL18" i="163"/>
  <c r="AI15" i="163"/>
  <c r="CX15" i="163"/>
  <c r="X15" i="163"/>
  <c r="CM15" i="163"/>
  <c r="P15" i="163"/>
  <c r="CE15" i="163"/>
  <c r="AH14" i="163"/>
  <c r="CW14" i="163"/>
  <c r="J6" i="163"/>
  <c r="BY6" i="163"/>
  <c r="Q16" i="163"/>
  <c r="CF16" i="163"/>
  <c r="AC12" i="163"/>
  <c r="CR12" i="163"/>
  <c r="AG18" i="163"/>
  <c r="CV18" i="163"/>
  <c r="S8" i="163"/>
  <c r="CH8" i="163"/>
  <c r="AE8" i="163"/>
  <c r="CT8" i="163"/>
  <c r="AE10" i="163"/>
  <c r="CT10" i="163"/>
  <c r="W16" i="163"/>
  <c r="CL16" i="163"/>
  <c r="AI8" i="163"/>
  <c r="CX8" i="163"/>
  <c r="P18" i="163"/>
  <c r="CE18" i="163"/>
  <c r="AH19" i="163"/>
  <c r="CW19" i="163"/>
  <c r="I17" i="163"/>
  <c r="BX17" i="163"/>
  <c r="J11" i="163"/>
  <c r="BY11" i="163"/>
  <c r="AC14" i="163"/>
  <c r="CR14" i="163"/>
  <c r="AC6" i="163"/>
  <c r="CR6" i="163"/>
  <c r="Q9" i="163"/>
  <c r="CF9" i="163"/>
  <c r="W6" i="163"/>
  <c r="CL6" i="163"/>
  <c r="AI13" i="163"/>
  <c r="CX13" i="163"/>
  <c r="X13" i="163"/>
  <c r="CM13" i="163"/>
  <c r="AH11" i="163"/>
  <c r="CW11" i="163"/>
  <c r="L9" i="163"/>
  <c r="CA9" i="163"/>
  <c r="BY9" i="163"/>
  <c r="J17" i="163"/>
  <c r="BY17" i="163"/>
  <c r="AG7" i="163"/>
  <c r="CV7" i="163"/>
  <c r="AG6" i="163"/>
  <c r="CV6" i="163"/>
  <c r="AG15" i="163"/>
  <c r="CV15" i="163"/>
  <c r="P14" i="163"/>
  <c r="CE14" i="163"/>
  <c r="AC7" i="163"/>
  <c r="CR7" i="163"/>
  <c r="S16" i="163"/>
  <c r="CH16" i="163"/>
  <c r="S6" i="163"/>
  <c r="CH6" i="163"/>
  <c r="AE16" i="163"/>
  <c r="CT16" i="163"/>
  <c r="W9" i="163"/>
  <c r="CL9" i="163"/>
  <c r="W7" i="163"/>
  <c r="CL7" i="163"/>
  <c r="AI17" i="163"/>
  <c r="CX17" i="163"/>
  <c r="X9" i="163"/>
  <c r="CM9" i="163"/>
  <c r="P9" i="163"/>
  <c r="CE9" i="163"/>
  <c r="AH13" i="163"/>
  <c r="CW13" i="163"/>
  <c r="L18" i="163"/>
  <c r="CA18" i="163"/>
  <c r="J5" i="163"/>
  <c r="BY5" i="163"/>
  <c r="I18" i="163"/>
  <c r="BX18" i="163"/>
  <c r="W13" i="163"/>
  <c r="CL13" i="163"/>
  <c r="I7" i="163"/>
  <c r="BX7" i="163"/>
  <c r="CH12" i="163"/>
  <c r="AE17" i="163"/>
  <c r="CT17" i="163"/>
  <c r="BX13" i="163"/>
  <c r="AH10" i="163"/>
  <c r="CW10" i="163"/>
  <c r="J14" i="163"/>
  <c r="BY14" i="163"/>
  <c r="J19" i="163"/>
  <c r="BY19" i="163"/>
  <c r="L17" i="163"/>
  <c r="CA17" i="163"/>
  <c r="AG14" i="163"/>
  <c r="CV14" i="163"/>
  <c r="AC17" i="163"/>
  <c r="CR17" i="163"/>
  <c r="J7" i="163"/>
  <c r="BY7" i="163"/>
  <c r="I5" i="163"/>
  <c r="BX5" i="163"/>
  <c r="S10" i="163"/>
  <c r="CH10" i="163"/>
  <c r="S7" i="163"/>
  <c r="CH7" i="163"/>
  <c r="AE18" i="163"/>
  <c r="CT18" i="163"/>
  <c r="AE7" i="163"/>
  <c r="CT7" i="163"/>
  <c r="W17" i="163"/>
  <c r="CL17" i="163"/>
  <c r="AI12" i="163"/>
  <c r="CX12" i="163"/>
  <c r="I16" i="163"/>
  <c r="BX16" i="163"/>
  <c r="P11" i="163"/>
  <c r="CE11" i="163"/>
  <c r="AH5" i="163"/>
  <c r="CW5" i="163"/>
  <c r="I19" i="163"/>
  <c r="BX19" i="163"/>
  <c r="CH13" i="163"/>
  <c r="CH9" i="163"/>
  <c r="AE15" i="163"/>
  <c r="CT15" i="163"/>
  <c r="W19" i="163"/>
  <c r="CL19" i="163"/>
  <c r="AI10" i="163"/>
  <c r="CX10" i="163"/>
  <c r="X5" i="163"/>
  <c r="CM5" i="163"/>
  <c r="P12" i="163"/>
  <c r="CE12" i="163"/>
  <c r="AH17" i="163"/>
  <c r="CW17" i="163"/>
  <c r="AH7" i="163"/>
  <c r="CW7" i="163"/>
  <c r="J10" i="163"/>
  <c r="BY10" i="163"/>
  <c r="Q14" i="163"/>
  <c r="CF14" i="163"/>
  <c r="L6" i="163"/>
  <c r="CA6" i="163"/>
  <c r="L11" i="163"/>
  <c r="CA11" i="163"/>
  <c r="X7" i="163"/>
  <c r="CM7" i="163"/>
  <c r="Q8" i="163"/>
  <c r="CF8" i="163"/>
  <c r="S14" i="163"/>
  <c r="CH14" i="163"/>
  <c r="AE5" i="163"/>
  <c r="CT5" i="163"/>
  <c r="AE6" i="163"/>
  <c r="CT6" i="163"/>
  <c r="W12" i="163"/>
  <c r="CL12" i="163"/>
  <c r="AI16" i="163"/>
  <c r="CX16" i="163"/>
  <c r="X19" i="163"/>
  <c r="CM19" i="163"/>
  <c r="X14" i="163"/>
  <c r="CM14" i="163"/>
  <c r="P6" i="163"/>
  <c r="CE6" i="163"/>
  <c r="Q7" i="163"/>
  <c r="CF7" i="163"/>
  <c r="L7" i="163"/>
  <c r="CA7" i="163"/>
  <c r="CV9" i="163"/>
  <c r="K8" i="163"/>
  <c r="BZ8" i="163"/>
  <c r="I9" i="163"/>
  <c r="BX9" i="163"/>
  <c r="K11" i="163"/>
  <c r="BZ11" i="163"/>
  <c r="BZ13" i="163"/>
  <c r="BZ16" i="163"/>
  <c r="U11" i="163"/>
  <c r="CJ11" i="163"/>
  <c r="K12" i="163"/>
  <c r="BZ12" i="163"/>
  <c r="K14" i="163"/>
  <c r="BZ14" i="163"/>
  <c r="U16" i="163"/>
  <c r="CJ16" i="163"/>
  <c r="U6" i="163"/>
  <c r="CJ6" i="163"/>
  <c r="AB19" i="163"/>
  <c r="CQ19" i="163"/>
  <c r="U9" i="163"/>
  <c r="CJ9" i="163"/>
  <c r="K9" i="163"/>
  <c r="BZ9" i="163"/>
  <c r="CJ13" i="163"/>
  <c r="H369" i="149"/>
  <c r="BZ40" i="163"/>
  <c r="H371" i="149"/>
  <c r="BZ42" i="163"/>
  <c r="I378" i="149"/>
  <c r="CA49" i="163"/>
  <c r="AA377" i="149"/>
  <c r="CS48" i="163"/>
  <c r="AD13" i="163" s="1"/>
  <c r="AA381" i="149"/>
  <c r="CS52" i="163"/>
  <c r="Y376" i="149"/>
  <c r="CQ47" i="163"/>
  <c r="AB12" i="163" s="1"/>
  <c r="Y373" i="149"/>
  <c r="CQ44" i="163"/>
  <c r="AB9" i="163" s="1"/>
  <c r="X383" i="149"/>
  <c r="CP54" i="163"/>
  <c r="J375" i="149"/>
  <c r="CB46" i="163"/>
  <c r="S375" i="149"/>
  <c r="CK46" i="163"/>
  <c r="Q372" i="149"/>
  <c r="CI43" i="163"/>
  <c r="AA374" i="149"/>
  <c r="CS45" i="163"/>
  <c r="AA372" i="149"/>
  <c r="CS43" i="163"/>
  <c r="Y379" i="149"/>
  <c r="CQ50" i="163"/>
  <c r="H381" i="149"/>
  <c r="BZ52" i="163"/>
  <c r="X374" i="149"/>
  <c r="CP45" i="163"/>
  <c r="X376" i="149"/>
  <c r="CP47" i="163"/>
  <c r="S372" i="149"/>
  <c r="CK43" i="163"/>
  <c r="S380" i="149"/>
  <c r="CK51" i="163"/>
  <c r="Q376" i="149"/>
  <c r="CI47" i="163"/>
  <c r="AA380" i="149"/>
  <c r="CS51" i="163"/>
  <c r="K373" i="149"/>
  <c r="CC44" i="163"/>
  <c r="N9" i="163" s="1"/>
  <c r="K369" i="149"/>
  <c r="CC40" i="163"/>
  <c r="X379" i="149"/>
  <c r="CP50" i="163"/>
  <c r="S373" i="149"/>
  <c r="CK44" i="163"/>
  <c r="J383" i="149"/>
  <c r="CB54" i="163"/>
  <c r="X378" i="149"/>
  <c r="CP49" i="163"/>
  <c r="AA378" i="149"/>
  <c r="CS49" i="163"/>
  <c r="K376" i="149"/>
  <c r="CC47" i="163"/>
  <c r="N12" i="163" s="1"/>
  <c r="R369" i="149"/>
  <c r="CJ40" i="163"/>
  <c r="AF370" i="149"/>
  <c r="CX41" i="163"/>
  <c r="H370" i="149"/>
  <c r="BZ41" i="163"/>
  <c r="J376" i="149"/>
  <c r="CB47" i="163"/>
  <c r="J373" i="149"/>
  <c r="CB44" i="163"/>
  <c r="K383" i="149"/>
  <c r="CC54" i="163"/>
  <c r="Y374" i="149"/>
  <c r="CQ45" i="163"/>
  <c r="H374" i="149"/>
  <c r="BZ45" i="163"/>
  <c r="X380" i="149"/>
  <c r="CP51" i="163"/>
  <c r="X381" i="149"/>
  <c r="CP52" i="163"/>
  <c r="S370" i="149"/>
  <c r="CK41" i="163"/>
  <c r="J372" i="149"/>
  <c r="CB43" i="163"/>
  <c r="X373" i="149"/>
  <c r="CP44" i="163"/>
  <c r="K374" i="149"/>
  <c r="CC45" i="163"/>
  <c r="K377" i="149"/>
  <c r="CC48" i="163"/>
  <c r="N13" i="163" s="1"/>
  <c r="Y370" i="149"/>
  <c r="CQ41" i="163"/>
  <c r="S383" i="149"/>
  <c r="CK54" i="163"/>
  <c r="J378" i="149"/>
  <c r="CB49" i="163"/>
  <c r="Q371" i="149"/>
  <c r="CI42" i="163"/>
  <c r="AA375" i="149"/>
  <c r="CS46" i="163"/>
  <c r="R382" i="149"/>
  <c r="CJ53" i="163"/>
  <c r="S376" i="149"/>
  <c r="CK47" i="163"/>
  <c r="J377" i="149"/>
  <c r="CB48" i="163"/>
  <c r="K381" i="149"/>
  <c r="CC52" i="163"/>
  <c r="R374" i="149"/>
  <c r="CJ45" i="163"/>
  <c r="H382" i="149"/>
  <c r="BZ53" i="163"/>
  <c r="S369" i="149"/>
  <c r="CK40" i="163"/>
  <c r="CK21" i="163"/>
  <c r="J382" i="149"/>
  <c r="CB53" i="163"/>
  <c r="H379" i="149"/>
  <c r="BZ50" i="163"/>
  <c r="AA369" i="149"/>
  <c r="CS40" i="163"/>
  <c r="CS21" i="163"/>
  <c r="K378" i="149"/>
  <c r="CC49" i="163"/>
  <c r="Y369" i="149"/>
  <c r="CQ40" i="163"/>
  <c r="X371" i="149"/>
  <c r="CP42" i="163"/>
  <c r="J379" i="149"/>
  <c r="CB50" i="163"/>
  <c r="AA373" i="149"/>
  <c r="CS44" i="163"/>
  <c r="K379" i="149"/>
  <c r="CC50" i="163"/>
  <c r="X382" i="149"/>
  <c r="CP53" i="163"/>
  <c r="S378" i="149"/>
  <c r="CK49" i="163"/>
  <c r="S374" i="149"/>
  <c r="CK45" i="163"/>
  <c r="J380" i="149"/>
  <c r="CB51" i="163"/>
  <c r="Q382" i="149"/>
  <c r="CI53" i="163"/>
  <c r="AA383" i="149"/>
  <c r="CS54" i="163"/>
  <c r="K370" i="149"/>
  <c r="CC41" i="163"/>
  <c r="R372" i="149"/>
  <c r="CJ43" i="163"/>
  <c r="X370" i="149"/>
  <c r="CP41" i="163"/>
  <c r="S377" i="149"/>
  <c r="CK48" i="163"/>
  <c r="J371" i="149"/>
  <c r="CB42" i="163"/>
  <c r="J374" i="149"/>
  <c r="CB45" i="163"/>
  <c r="AA371" i="149"/>
  <c r="CS42" i="163"/>
  <c r="R381" i="149"/>
  <c r="CJ52" i="163"/>
  <c r="AA370" i="149"/>
  <c r="CS41" i="163"/>
  <c r="AA382" i="149"/>
  <c r="CS53" i="163"/>
  <c r="X369" i="149"/>
  <c r="CP40" i="163"/>
  <c r="CP21" i="163"/>
  <c r="S371" i="149"/>
  <c r="CK42" i="163"/>
  <c r="J369" i="149"/>
  <c r="CB40" i="163"/>
  <c r="CB21" i="163"/>
  <c r="J381" i="149"/>
  <c r="CB52" i="163"/>
  <c r="Q369" i="149"/>
  <c r="CI40" i="163"/>
  <c r="K382" i="149"/>
  <c r="CC53" i="163"/>
  <c r="Y381" i="149"/>
  <c r="CQ52" i="163"/>
  <c r="Q370" i="149"/>
  <c r="CI41" i="163"/>
  <c r="AA376" i="149"/>
  <c r="CS47" i="163"/>
  <c r="AD12" i="163" s="1"/>
  <c r="K380" i="149"/>
  <c r="CC51" i="163"/>
  <c r="N16" i="163" s="1"/>
  <c r="Y378" i="149"/>
  <c r="CQ49" i="163"/>
  <c r="X372" i="149"/>
  <c r="CP43" i="163"/>
  <c r="S381" i="149"/>
  <c r="CK52" i="163"/>
  <c r="S379" i="149"/>
  <c r="CK50" i="163"/>
  <c r="Q379" i="149"/>
  <c r="CI50" i="163"/>
  <c r="AA379" i="149"/>
  <c r="CS50" i="163"/>
  <c r="Y380" i="149"/>
  <c r="CQ51" i="163"/>
  <c r="AB16" i="163" s="1"/>
  <c r="Y371" i="149"/>
  <c r="CQ42" i="163"/>
  <c r="X377" i="149"/>
  <c r="CP48" i="163"/>
  <c r="X375" i="149"/>
  <c r="CP46" i="163"/>
  <c r="S382" i="149"/>
  <c r="CK53" i="163"/>
  <c r="J370" i="149"/>
  <c r="CB41" i="163"/>
  <c r="W371" i="149"/>
  <c r="CO42" i="163"/>
  <c r="W380" i="149"/>
  <c r="CO51" i="163"/>
  <c r="Z16" i="163" s="1"/>
  <c r="W378" i="149"/>
  <c r="CO49" i="163"/>
  <c r="W373" i="149"/>
  <c r="CO44" i="163"/>
  <c r="Z9" i="163" s="1"/>
  <c r="W379" i="149"/>
  <c r="CO50" i="163"/>
  <c r="W377" i="149"/>
  <c r="CO48" i="163"/>
  <c r="Z13" i="163" s="1"/>
  <c r="W370" i="149"/>
  <c r="CO41" i="163"/>
  <c r="W372" i="149"/>
  <c r="CO43" i="163"/>
  <c r="W375" i="149"/>
  <c r="CO46" i="163"/>
  <c r="W376" i="149"/>
  <c r="CO47" i="163"/>
  <c r="Z12" i="163" s="1"/>
  <c r="W369" i="149"/>
  <c r="CO40" i="163"/>
  <c r="CO21" i="163"/>
  <c r="W382" i="149"/>
  <c r="CO53" i="163"/>
  <c r="W374" i="149"/>
  <c r="CO45" i="163"/>
  <c r="W383" i="149"/>
  <c r="CO54" i="163"/>
  <c r="W381" i="149"/>
  <c r="CO52" i="163"/>
  <c r="AQ243" i="163"/>
  <c r="AQ157" i="163" s="1"/>
  <c r="BB159" i="163"/>
  <c r="V156" i="163" s="1"/>
  <c r="BC243" i="163"/>
  <c r="BC157" i="163" s="1"/>
  <c r="W200" i="163"/>
  <c r="AC164" i="163"/>
  <c r="BI177" i="163"/>
  <c r="BI155" i="163" s="1"/>
  <c r="W164" i="163"/>
  <c r="BC177" i="163"/>
  <c r="BC155" i="163" s="1"/>
  <c r="AO243" i="163"/>
  <c r="AO157" i="163" s="1"/>
  <c r="I200" i="163"/>
  <c r="L200" i="163"/>
  <c r="AR243" i="163"/>
  <c r="AR157" i="163" s="1"/>
  <c r="AY177" i="163"/>
  <c r="AY155" i="163" s="1"/>
  <c r="S164" i="163"/>
  <c r="BG159" i="163"/>
  <c r="AA157" i="163" s="1"/>
  <c r="BJ159" i="163"/>
  <c r="AD113" i="163" s="1"/>
  <c r="BK177" i="163"/>
  <c r="BK155" i="163" s="1"/>
  <c r="AE164" i="163"/>
  <c r="BM243" i="163"/>
  <c r="BM157" i="163" s="1"/>
  <c r="AG200" i="163"/>
  <c r="AP243" i="163"/>
  <c r="AP157" i="163" s="1"/>
  <c r="J200" i="163"/>
  <c r="AV243" i="163"/>
  <c r="AV157" i="163" s="1"/>
  <c r="P200" i="163"/>
  <c r="BO177" i="163"/>
  <c r="BO155" i="163" s="1"/>
  <c r="AI164" i="163"/>
  <c r="AS159" i="163"/>
  <c r="M156" i="163" s="1"/>
  <c r="AY243" i="163"/>
  <c r="AY157" i="163" s="1"/>
  <c r="S200" i="163"/>
  <c r="BI243" i="163"/>
  <c r="BI157" i="163" s="1"/>
  <c r="AC200" i="163"/>
  <c r="Q164" i="163"/>
  <c r="AW177" i="163"/>
  <c r="AW155" i="163" s="1"/>
  <c r="L164" i="163"/>
  <c r="AR177" i="163"/>
  <c r="AR155" i="163" s="1"/>
  <c r="X164" i="163"/>
  <c r="BD177" i="163"/>
  <c r="BD155" i="163" s="1"/>
  <c r="AV177" i="163"/>
  <c r="AV155" i="163" s="1"/>
  <c r="P164" i="163"/>
  <c r="AW243" i="163"/>
  <c r="AW157" i="163" s="1"/>
  <c r="Q200" i="163"/>
  <c r="BN177" i="163"/>
  <c r="BN155" i="163" s="1"/>
  <c r="AH164" i="163"/>
  <c r="BF159" i="163"/>
  <c r="Z113" i="163" s="1"/>
  <c r="AP177" i="163"/>
  <c r="AP155" i="163" s="1"/>
  <c r="J164" i="163"/>
  <c r="BK243" i="163"/>
  <c r="BK157" i="163" s="1"/>
  <c r="AE200" i="163"/>
  <c r="AO177" i="163"/>
  <c r="AO155" i="163" s="1"/>
  <c r="BN243" i="163"/>
  <c r="BN157" i="163" s="1"/>
  <c r="AH200" i="163"/>
  <c r="BD243" i="163"/>
  <c r="BD157" i="163" s="1"/>
  <c r="X200" i="163"/>
  <c r="BO243" i="163"/>
  <c r="BO157" i="163" s="1"/>
  <c r="AI200" i="163"/>
  <c r="BM177" i="163"/>
  <c r="BM155" i="163" s="1"/>
  <c r="AG164" i="163"/>
  <c r="O186" i="164"/>
  <c r="N187" i="164"/>
  <c r="AI87" i="138"/>
  <c r="AK96" i="138"/>
  <c r="AI95" i="138"/>
  <c r="AC95" i="138"/>
  <c r="AI64" i="138"/>
  <c r="AD79" i="138"/>
  <c r="AA73" i="138"/>
  <c r="AE79" i="138"/>
  <c r="L87" i="138"/>
  <c r="H92" i="138"/>
  <c r="Y92" i="138"/>
  <c r="P87" i="138"/>
  <c r="I92" i="138"/>
  <c r="AF92" i="138"/>
  <c r="H95" i="138"/>
  <c r="AF90" i="138"/>
  <c r="AG90" i="138"/>
  <c r="L92" i="138"/>
  <c r="P92" i="138"/>
  <c r="X95" i="138"/>
  <c r="M87" i="138"/>
  <c r="AF87" i="138"/>
  <c r="AB92" i="138"/>
  <c r="AB95" i="138"/>
  <c r="O65" i="138"/>
  <c r="W65" i="138"/>
  <c r="AB66" i="138"/>
  <c r="AC87" i="138"/>
  <c r="AG92" i="138"/>
  <c r="AE66" i="138"/>
  <c r="H90" i="138"/>
  <c r="P95" i="138"/>
  <c r="AD66" i="138"/>
  <c r="N67" i="138"/>
  <c r="I90" i="138"/>
  <c r="Q92" i="138"/>
  <c r="T95" i="138"/>
  <c r="AA68" i="138"/>
  <c r="H87" i="138"/>
  <c r="P90" i="138"/>
  <c r="X92" i="138"/>
  <c r="U95" i="138"/>
  <c r="J73" i="138"/>
  <c r="AB73" i="138"/>
  <c r="K73" i="138"/>
  <c r="AH73" i="138"/>
  <c r="J85" i="138"/>
  <c r="L73" i="138"/>
  <c r="AI73" i="138"/>
  <c r="AH85" i="138"/>
  <c r="O67" i="138"/>
  <c r="R73" i="138"/>
  <c r="N79" i="138"/>
  <c r="T87" i="138"/>
  <c r="O66" i="138"/>
  <c r="Z67" i="138"/>
  <c r="S73" i="138"/>
  <c r="O79" i="138"/>
  <c r="U87" i="138"/>
  <c r="Q90" i="138"/>
  <c r="R66" i="138"/>
  <c r="AA67" i="138"/>
  <c r="T73" i="138"/>
  <c r="V79" i="138"/>
  <c r="X87" i="138"/>
  <c r="X90" i="138"/>
  <c r="L95" i="138"/>
  <c r="AF95" i="138"/>
  <c r="S66" i="138"/>
  <c r="K68" i="138"/>
  <c r="Z73" i="138"/>
  <c r="W79" i="138"/>
  <c r="AB87" i="138"/>
  <c r="Y90" i="138"/>
  <c r="T92" i="138"/>
  <c r="M95" i="138"/>
  <c r="AD69" i="138"/>
  <c r="O69" i="138"/>
  <c r="N69" i="138"/>
  <c r="V69" i="138"/>
  <c r="AF69" i="138"/>
  <c r="H69" i="138"/>
  <c r="AE69" i="138"/>
  <c r="W69" i="138"/>
  <c r="X69" i="138"/>
  <c r="AG85" i="138"/>
  <c r="Y85" i="138"/>
  <c r="Q85" i="138"/>
  <c r="I85" i="138"/>
  <c r="AF85" i="138"/>
  <c r="X85" i="138"/>
  <c r="P85" i="138"/>
  <c r="H85" i="138"/>
  <c r="S85" i="138"/>
  <c r="AE85" i="138"/>
  <c r="W85" i="138"/>
  <c r="O85" i="138"/>
  <c r="AA85" i="138"/>
  <c r="AD85" i="138"/>
  <c r="V85" i="138"/>
  <c r="N85" i="138"/>
  <c r="AI85" i="138"/>
  <c r="AC85" i="138"/>
  <c r="U85" i="138"/>
  <c r="M85" i="138"/>
  <c r="K85" i="138"/>
  <c r="AB85" i="138"/>
  <c r="T85" i="138"/>
  <c r="L85" i="138"/>
  <c r="P69" i="138"/>
  <c r="Z85" i="138"/>
  <c r="H79" i="138"/>
  <c r="P79" i="138"/>
  <c r="X79" i="138"/>
  <c r="AF79" i="138"/>
  <c r="N87" i="138"/>
  <c r="V87" i="138"/>
  <c r="AD87" i="138"/>
  <c r="J90" i="138"/>
  <c r="R90" i="138"/>
  <c r="Z90" i="138"/>
  <c r="AH90" i="138"/>
  <c r="J92" i="138"/>
  <c r="R92" i="138"/>
  <c r="Z92" i="138"/>
  <c r="AH92" i="138"/>
  <c r="N95" i="138"/>
  <c r="V95" i="138"/>
  <c r="AD95" i="138"/>
  <c r="AE65" i="138"/>
  <c r="T66" i="138"/>
  <c r="AH66" i="138"/>
  <c r="R67" i="138"/>
  <c r="AE67" i="138"/>
  <c r="R68" i="138"/>
  <c r="AH68" i="138"/>
  <c r="M73" i="138"/>
  <c r="U73" i="138"/>
  <c r="AC73" i="138"/>
  <c r="I79" i="138"/>
  <c r="Q79" i="138"/>
  <c r="Y79" i="138"/>
  <c r="AG79" i="138"/>
  <c r="O87" i="138"/>
  <c r="W87" i="138"/>
  <c r="AE87" i="138"/>
  <c r="K90" i="138"/>
  <c r="S90" i="138"/>
  <c r="AA90" i="138"/>
  <c r="AI90" i="138"/>
  <c r="K92" i="138"/>
  <c r="S92" i="138"/>
  <c r="AA92" i="138"/>
  <c r="AI92" i="138"/>
  <c r="O95" i="138"/>
  <c r="W95" i="138"/>
  <c r="AE95" i="138"/>
  <c r="AB68" i="138"/>
  <c r="P67" i="138"/>
  <c r="N68" i="138"/>
  <c r="J66" i="138"/>
  <c r="V66" i="138"/>
  <c r="AI66" i="138"/>
  <c r="S67" i="138"/>
  <c r="AF67" i="138"/>
  <c r="S68" i="138"/>
  <c r="AI68" i="138"/>
  <c r="N73" i="138"/>
  <c r="V73" i="138"/>
  <c r="AD73" i="138"/>
  <c r="J79" i="138"/>
  <c r="R79" i="138"/>
  <c r="Z79" i="138"/>
  <c r="AH79" i="138"/>
  <c r="L90" i="138"/>
  <c r="T90" i="138"/>
  <c r="AB90" i="138"/>
  <c r="L68" i="138"/>
  <c r="AD67" i="138"/>
  <c r="AD68" i="138"/>
  <c r="O63" i="138"/>
  <c r="K66" i="138"/>
  <c r="W66" i="138"/>
  <c r="H67" i="138"/>
  <c r="V67" i="138"/>
  <c r="AH67" i="138"/>
  <c r="T68" i="138"/>
  <c r="O73" i="138"/>
  <c r="W73" i="138"/>
  <c r="AE73" i="138"/>
  <c r="K79" i="138"/>
  <c r="S79" i="138"/>
  <c r="AA79" i="138"/>
  <c r="AI79" i="138"/>
  <c r="I87" i="138"/>
  <c r="Q87" i="138"/>
  <c r="Y87" i="138"/>
  <c r="AG87" i="138"/>
  <c r="M90" i="138"/>
  <c r="U90" i="138"/>
  <c r="AC90" i="138"/>
  <c r="M92" i="138"/>
  <c r="U92" i="138"/>
  <c r="AC92" i="138"/>
  <c r="I95" i="138"/>
  <c r="Q95" i="138"/>
  <c r="Y95" i="138"/>
  <c r="AG95" i="138"/>
  <c r="W63" i="138"/>
  <c r="L66" i="138"/>
  <c r="Z66" i="138"/>
  <c r="J67" i="138"/>
  <c r="W67" i="138"/>
  <c r="AI67" i="138"/>
  <c r="V68" i="138"/>
  <c r="H73" i="138"/>
  <c r="P73" i="138"/>
  <c r="X73" i="138"/>
  <c r="AF73" i="138"/>
  <c r="L79" i="138"/>
  <c r="T79" i="138"/>
  <c r="AB79" i="138"/>
  <c r="J87" i="138"/>
  <c r="R87" i="138"/>
  <c r="Z87" i="138"/>
  <c r="AH87" i="138"/>
  <c r="N90" i="138"/>
  <c r="V90" i="138"/>
  <c r="AD90" i="138"/>
  <c r="N92" i="138"/>
  <c r="V92" i="138"/>
  <c r="AD92" i="138"/>
  <c r="J95" i="138"/>
  <c r="R95" i="138"/>
  <c r="Z95" i="138"/>
  <c r="AH95" i="138"/>
  <c r="AE63" i="138"/>
  <c r="N66" i="138"/>
  <c r="AA66" i="138"/>
  <c r="K67" i="138"/>
  <c r="X67" i="138"/>
  <c r="J68" i="138"/>
  <c r="Z68" i="138"/>
  <c r="I73" i="138"/>
  <c r="Q73" i="138"/>
  <c r="Y73" i="138"/>
  <c r="M79" i="138"/>
  <c r="U79" i="138"/>
  <c r="K87" i="138"/>
  <c r="S87" i="138"/>
  <c r="AA87" i="138"/>
  <c r="O90" i="138"/>
  <c r="W90" i="138"/>
  <c r="O92" i="138"/>
  <c r="W92" i="138"/>
  <c r="K95" i="138"/>
  <c r="S95" i="138"/>
  <c r="AA95" i="138"/>
  <c r="I63" i="138"/>
  <c r="Q63" i="138"/>
  <c r="Y63" i="138"/>
  <c r="AG63" i="138"/>
  <c r="M64" i="138"/>
  <c r="U64" i="138"/>
  <c r="AC64" i="138"/>
  <c r="I65" i="138"/>
  <c r="Q65" i="138"/>
  <c r="Y65" i="138"/>
  <c r="AG65" i="138"/>
  <c r="M66" i="138"/>
  <c r="U66" i="138"/>
  <c r="AC66" i="138"/>
  <c r="I67" i="138"/>
  <c r="Q67" i="138"/>
  <c r="Y67" i="138"/>
  <c r="AG67" i="138"/>
  <c r="M68" i="138"/>
  <c r="U68" i="138"/>
  <c r="AC68" i="138"/>
  <c r="I69" i="138"/>
  <c r="Q69" i="138"/>
  <c r="Y69" i="138"/>
  <c r="AG69" i="138"/>
  <c r="S64" i="138"/>
  <c r="P63" i="138"/>
  <c r="T64" i="138"/>
  <c r="J69" i="138"/>
  <c r="H63" i="138"/>
  <c r="AF63" i="138"/>
  <c r="AB64" i="138"/>
  <c r="P65" i="138"/>
  <c r="AF65" i="138"/>
  <c r="R63" i="138"/>
  <c r="AH63" i="138"/>
  <c r="AD64" i="138"/>
  <c r="AH65" i="138"/>
  <c r="Z69" i="138"/>
  <c r="S63" i="138"/>
  <c r="O64" i="138"/>
  <c r="AE64" i="138"/>
  <c r="AA65" i="138"/>
  <c r="AA69" i="138"/>
  <c r="L63" i="138"/>
  <c r="T63" i="138"/>
  <c r="AB63" i="138"/>
  <c r="H64" i="138"/>
  <c r="P64" i="138"/>
  <c r="X64" i="138"/>
  <c r="AF64" i="138"/>
  <c r="L65" i="138"/>
  <c r="T65" i="138"/>
  <c r="AB65" i="138"/>
  <c r="H66" i="138"/>
  <c r="P66" i="138"/>
  <c r="X66" i="138"/>
  <c r="AF66" i="138"/>
  <c r="L67" i="138"/>
  <c r="T67" i="138"/>
  <c r="AB67" i="138"/>
  <c r="H68" i="138"/>
  <c r="P68" i="138"/>
  <c r="X68" i="138"/>
  <c r="AF68" i="138"/>
  <c r="L69" i="138"/>
  <c r="T69" i="138"/>
  <c r="AB69" i="138"/>
  <c r="AA64" i="138"/>
  <c r="X63" i="138"/>
  <c r="L64" i="138"/>
  <c r="H65" i="138"/>
  <c r="X65" i="138"/>
  <c r="J63" i="138"/>
  <c r="Z63" i="138"/>
  <c r="N64" i="138"/>
  <c r="V64" i="138"/>
  <c r="J65" i="138"/>
  <c r="R65" i="138"/>
  <c r="Z65" i="138"/>
  <c r="R69" i="138"/>
  <c r="AH69" i="138"/>
  <c r="K63" i="138"/>
  <c r="AA63" i="138"/>
  <c r="AI63" i="138"/>
  <c r="W64" i="138"/>
  <c r="K65" i="138"/>
  <c r="S65" i="138"/>
  <c r="AI65" i="138"/>
  <c r="O68" i="138"/>
  <c r="W68" i="138"/>
  <c r="AE68" i="138"/>
  <c r="K69" i="138"/>
  <c r="S69" i="138"/>
  <c r="AI69" i="138"/>
  <c r="M63" i="138"/>
  <c r="U63" i="138"/>
  <c r="AC63" i="138"/>
  <c r="I64" i="138"/>
  <c r="Q64" i="138"/>
  <c r="Y64" i="138"/>
  <c r="AG64" i="138"/>
  <c r="M65" i="138"/>
  <c r="U65" i="138"/>
  <c r="AC65" i="138"/>
  <c r="I66" i="138"/>
  <c r="Q66" i="138"/>
  <c r="Y66" i="138"/>
  <c r="M67" i="138"/>
  <c r="U67" i="138"/>
  <c r="I68" i="138"/>
  <c r="Q68" i="138"/>
  <c r="Y68" i="138"/>
  <c r="M69" i="138"/>
  <c r="U69" i="138"/>
  <c r="AC69" i="138"/>
  <c r="K64" i="138"/>
  <c r="N63" i="138"/>
  <c r="V63" i="138"/>
  <c r="J64" i="138"/>
  <c r="R64" i="138"/>
  <c r="Z64" i="138"/>
  <c r="N65" i="138"/>
  <c r="V65" i="138"/>
  <c r="CC43" i="163" l="1"/>
  <c r="CC42" i="163"/>
  <c r="CI45" i="163"/>
  <c r="CC21" i="163"/>
  <c r="CQ53" i="163"/>
  <c r="CI54" i="163"/>
  <c r="AZ159" i="163"/>
  <c r="T155" i="163" s="1"/>
  <c r="AT159" i="163"/>
  <c r="N113" i="163" s="1"/>
  <c r="CQ46" i="163"/>
  <c r="Y372" i="149"/>
  <c r="CC46" i="163"/>
  <c r="K375" i="149"/>
  <c r="CI44" i="163"/>
  <c r="R371" i="149"/>
  <c r="CI52" i="163"/>
  <c r="BZ54" i="163"/>
  <c r="N157" i="163"/>
  <c r="T157" i="163"/>
  <c r="CQ48" i="163"/>
  <c r="AA155" i="163"/>
  <c r="R383" i="149"/>
  <c r="CQ21" i="163"/>
  <c r="CJ47" i="163"/>
  <c r="CJ50" i="163"/>
  <c r="AQ159" i="163"/>
  <c r="K155" i="163" s="1"/>
  <c r="BH159" i="163"/>
  <c r="AB157" i="163" s="1"/>
  <c r="AA156" i="163"/>
  <c r="V155" i="163"/>
  <c r="CI46" i="163"/>
  <c r="V157" i="163"/>
  <c r="M157" i="163"/>
  <c r="CJ49" i="163"/>
  <c r="M155" i="163"/>
  <c r="BA159" i="163"/>
  <c r="U155" i="163" s="1"/>
  <c r="AE72" i="138"/>
  <c r="T72" i="138"/>
  <c r="AA70" i="138"/>
  <c r="AF72" i="138"/>
  <c r="H72" i="138"/>
  <c r="H70" i="138"/>
  <c r="U70" i="138"/>
  <c r="I70" i="138"/>
  <c r="N70" i="138"/>
  <c r="AD72" i="138"/>
  <c r="AG72" i="138"/>
  <c r="AH72" i="138"/>
  <c r="W70" i="138"/>
  <c r="M70" i="138"/>
  <c r="V70" i="138"/>
  <c r="AI72" i="138"/>
  <c r="AB70" i="138"/>
  <c r="U72" i="138"/>
  <c r="X70" i="138"/>
  <c r="J70" i="138"/>
  <c r="Y70" i="138"/>
  <c r="K70" i="138"/>
  <c r="O72" i="138"/>
  <c r="AA72" i="138"/>
  <c r="Z70" i="138"/>
  <c r="L70" i="138"/>
  <c r="AC70" i="138"/>
  <c r="O70" i="138"/>
  <c r="AD70" i="138"/>
  <c r="P70" i="138"/>
  <c r="K72" i="138"/>
  <c r="AE70" i="138"/>
  <c r="Q70" i="138"/>
  <c r="AF70" i="138"/>
  <c r="R70" i="138"/>
  <c r="J72" i="138"/>
  <c r="AG70" i="138"/>
  <c r="S70" i="138"/>
  <c r="AH70" i="138"/>
  <c r="T70" i="138"/>
  <c r="Z72" i="138"/>
  <c r="AI70" i="138"/>
  <c r="I72" i="138"/>
  <c r="V72" i="138"/>
  <c r="W72" i="138"/>
  <c r="L72" i="138"/>
  <c r="X72" i="138"/>
  <c r="M72" i="138"/>
  <c r="Y72" i="138"/>
  <c r="N72" i="138"/>
  <c r="P72" i="138"/>
  <c r="S72" i="138"/>
  <c r="AB72" i="138"/>
  <c r="Q72" i="138"/>
  <c r="AC72" i="138"/>
  <c r="R72" i="138"/>
  <c r="AH82" i="138"/>
  <c r="AI84" i="138"/>
  <c r="P82" i="138"/>
  <c r="AI82" i="138"/>
  <c r="H84" i="138"/>
  <c r="I82" i="138"/>
  <c r="J84" i="138"/>
  <c r="L84" i="138"/>
  <c r="O82" i="138"/>
  <c r="Q84" i="138"/>
  <c r="AE84" i="138"/>
  <c r="I84" i="138"/>
  <c r="H82" i="138"/>
  <c r="J82" i="138"/>
  <c r="K84" i="138"/>
  <c r="K82" i="138"/>
  <c r="L82" i="138"/>
  <c r="M84" i="138"/>
  <c r="M82" i="138"/>
  <c r="N84" i="138"/>
  <c r="Y82" i="138"/>
  <c r="AD84" i="138"/>
  <c r="N82" i="138"/>
  <c r="O84" i="138"/>
  <c r="P84" i="138"/>
  <c r="Y84" i="138"/>
  <c r="Q82" i="138"/>
  <c r="R84" i="138"/>
  <c r="R82" i="138"/>
  <c r="S84" i="138"/>
  <c r="S82" i="138"/>
  <c r="T84" i="138"/>
  <c r="W82" i="138"/>
  <c r="T82" i="138"/>
  <c r="U84" i="138"/>
  <c r="U82" i="138"/>
  <c r="V84" i="138"/>
  <c r="V82" i="138"/>
  <c r="W84" i="138"/>
  <c r="AH84" i="138"/>
  <c r="Z84" i="138"/>
  <c r="X84" i="138"/>
  <c r="X82" i="138"/>
  <c r="Z82" i="138"/>
  <c r="AA84" i="138"/>
  <c r="AG82" i="138"/>
  <c r="AA82" i="138"/>
  <c r="AB84" i="138"/>
  <c r="AC82" i="138"/>
  <c r="AB82" i="138"/>
  <c r="AC84" i="138"/>
  <c r="AD82" i="138"/>
  <c r="AE82" i="138"/>
  <c r="AF84" i="138"/>
  <c r="AF82" i="138"/>
  <c r="AG84" i="138"/>
  <c r="AH88" i="138"/>
  <c r="AI89" i="138"/>
  <c r="J89" i="138"/>
  <c r="Y89" i="138"/>
  <c r="AI88" i="138"/>
  <c r="H89" i="138"/>
  <c r="H88" i="138"/>
  <c r="I88" i="138"/>
  <c r="K88" i="138"/>
  <c r="Z89" i="138"/>
  <c r="AH89" i="138"/>
  <c r="I89" i="138"/>
  <c r="L89" i="138"/>
  <c r="Q89" i="138"/>
  <c r="J88" i="138"/>
  <c r="K89" i="138"/>
  <c r="L88" i="138"/>
  <c r="M89" i="138"/>
  <c r="M88" i="138"/>
  <c r="N89" i="138"/>
  <c r="P88" i="138"/>
  <c r="N88" i="138"/>
  <c r="O89" i="138"/>
  <c r="O88" i="138"/>
  <c r="P89" i="138"/>
  <c r="Q88" i="138"/>
  <c r="R89" i="138"/>
  <c r="R88" i="138"/>
  <c r="S89" i="138"/>
  <c r="S88" i="138"/>
  <c r="T89" i="138"/>
  <c r="T88" i="138"/>
  <c r="U89" i="138"/>
  <c r="U88" i="138"/>
  <c r="V89" i="138"/>
  <c r="V88" i="138"/>
  <c r="X88" i="138"/>
  <c r="AE89" i="138"/>
  <c r="W89" i="138"/>
  <c r="W88" i="138"/>
  <c r="X89" i="138"/>
  <c r="Y88" i="138"/>
  <c r="Z88" i="138"/>
  <c r="AA89" i="138"/>
  <c r="AA88" i="138"/>
  <c r="AB89" i="138"/>
  <c r="AB88" i="138"/>
  <c r="AC89" i="138"/>
  <c r="AD89" i="138"/>
  <c r="AC88" i="138"/>
  <c r="AD88" i="138"/>
  <c r="AE88" i="138"/>
  <c r="AF89" i="138"/>
  <c r="AF88" i="138"/>
  <c r="AG89" i="138"/>
  <c r="AG88" i="138"/>
  <c r="AI94" i="138"/>
  <c r="AH94" i="138"/>
  <c r="AG94" i="138"/>
  <c r="AF94" i="138"/>
  <c r="AE94" i="138"/>
  <c r="AD94" i="138"/>
  <c r="AC94" i="138"/>
  <c r="AB94" i="138"/>
  <c r="AA94" i="138"/>
  <c r="Z94" i="138"/>
  <c r="Y94" i="138"/>
  <c r="X94" i="138"/>
  <c r="W94" i="138"/>
  <c r="V94" i="138"/>
  <c r="U94" i="138"/>
  <c r="T94" i="138"/>
  <c r="S94" i="138"/>
  <c r="R94" i="138"/>
  <c r="Q94" i="138"/>
  <c r="P94" i="138"/>
  <c r="O94" i="138"/>
  <c r="N94" i="138"/>
  <c r="M94" i="138"/>
  <c r="L94" i="138"/>
  <c r="K94" i="138"/>
  <c r="J94" i="138"/>
  <c r="I94" i="138"/>
  <c r="H94" i="138"/>
  <c r="Q380" i="149"/>
  <c r="CI49" i="163"/>
  <c r="CI48" i="163"/>
  <c r="CI21" i="163"/>
  <c r="CJ21" i="163"/>
  <c r="V113" i="163"/>
  <c r="BZ21" i="163"/>
  <c r="R377" i="149"/>
  <c r="CJ48" i="163"/>
  <c r="U13" i="163" s="1"/>
  <c r="H373" i="149"/>
  <c r="BZ44" i="163"/>
  <c r="R373" i="149"/>
  <c r="CJ44" i="163"/>
  <c r="Y383" i="149"/>
  <c r="CQ54" i="163"/>
  <c r="R370" i="149"/>
  <c r="CJ41" i="163"/>
  <c r="R380" i="149"/>
  <c r="CJ51" i="163"/>
  <c r="H378" i="149"/>
  <c r="BZ49" i="163"/>
  <c r="H376" i="149"/>
  <c r="BZ47" i="163"/>
  <c r="R375" i="149"/>
  <c r="CJ46" i="163"/>
  <c r="H380" i="149"/>
  <c r="BZ51" i="163"/>
  <c r="K16" i="163" s="1"/>
  <c r="H377" i="149"/>
  <c r="BZ48" i="163"/>
  <c r="K13" i="163" s="1"/>
  <c r="H375" i="149"/>
  <c r="BZ46" i="163"/>
  <c r="F373" i="149"/>
  <c r="BX44" i="163"/>
  <c r="H372" i="149"/>
  <c r="BZ43" i="163"/>
  <c r="AD373" i="149"/>
  <c r="CV44" i="163"/>
  <c r="AG9" i="163" s="1"/>
  <c r="I371" i="149"/>
  <c r="CA42" i="163"/>
  <c r="N371" i="149"/>
  <c r="CF42" i="163"/>
  <c r="M370" i="149"/>
  <c r="CE41" i="163"/>
  <c r="U378" i="149"/>
  <c r="CM49" i="163"/>
  <c r="U383" i="149"/>
  <c r="CM54" i="163"/>
  <c r="AF380" i="149"/>
  <c r="CX51" i="163"/>
  <c r="T376" i="149"/>
  <c r="CL47" i="163"/>
  <c r="AB370" i="149"/>
  <c r="CT41" i="163"/>
  <c r="AB369" i="149"/>
  <c r="CT40" i="163"/>
  <c r="CT21" i="163"/>
  <c r="P378" i="149"/>
  <c r="CH49" i="163"/>
  <c r="N372" i="149"/>
  <c r="CF43" i="163"/>
  <c r="U371" i="149"/>
  <c r="CM42" i="163"/>
  <c r="I375" i="149"/>
  <c r="CA46" i="163"/>
  <c r="I370" i="149"/>
  <c r="CA41" i="163"/>
  <c r="N378" i="149"/>
  <c r="CF49" i="163"/>
  <c r="G374" i="149"/>
  <c r="BY45" i="163"/>
  <c r="AE371" i="149"/>
  <c r="CW42" i="163"/>
  <c r="AE381" i="149"/>
  <c r="CW52" i="163"/>
  <c r="M376" i="149"/>
  <c r="CE47" i="163"/>
  <c r="U369" i="149"/>
  <c r="CM40" i="163"/>
  <c r="CM21" i="163"/>
  <c r="AF374" i="149"/>
  <c r="CX45" i="163"/>
  <c r="T383" i="149"/>
  <c r="CL54" i="163"/>
  <c r="AB379" i="149"/>
  <c r="CT50" i="163"/>
  <c r="P373" i="149"/>
  <c r="CH44" i="163"/>
  <c r="S9" i="163" s="1"/>
  <c r="P377" i="149"/>
  <c r="CH48" i="163"/>
  <c r="S13" i="163" s="1"/>
  <c r="F383" i="149"/>
  <c r="BX54" i="163"/>
  <c r="AE369" i="149"/>
  <c r="CW40" i="163"/>
  <c r="CW21" i="163"/>
  <c r="M375" i="149"/>
  <c r="CE46" i="163"/>
  <c r="F380" i="149"/>
  <c r="BX51" i="163"/>
  <c r="AF376" i="149"/>
  <c r="CX47" i="163"/>
  <c r="T381" i="149"/>
  <c r="CL52" i="163"/>
  <c r="AB371" i="149"/>
  <c r="CT42" i="163"/>
  <c r="AB382" i="149"/>
  <c r="CT53" i="163"/>
  <c r="P371" i="149"/>
  <c r="CH42" i="163"/>
  <c r="P374" i="149"/>
  <c r="CH45" i="163"/>
  <c r="F369" i="149"/>
  <c r="BX40" i="163"/>
  <c r="BX21" i="163"/>
  <c r="G371" i="149"/>
  <c r="BY42" i="163"/>
  <c r="Z381" i="149"/>
  <c r="CR52" i="163"/>
  <c r="AD378" i="149"/>
  <c r="CV49" i="163"/>
  <c r="I381" i="149"/>
  <c r="CA52" i="163"/>
  <c r="G383" i="149"/>
  <c r="BY54" i="163"/>
  <c r="G378" i="149"/>
  <c r="BY49" i="163"/>
  <c r="AE374" i="149"/>
  <c r="CW45" i="163"/>
  <c r="F377" i="149"/>
  <c r="BX48" i="163"/>
  <c r="I13" i="163" s="1"/>
  <c r="AB381" i="149"/>
  <c r="CT52" i="163"/>
  <c r="P376" i="149"/>
  <c r="CH47" i="163"/>
  <c r="S12" i="163" s="1"/>
  <c r="F371" i="149"/>
  <c r="BX42" i="163"/>
  <c r="T377" i="149"/>
  <c r="CL48" i="163"/>
  <c r="F382" i="149"/>
  <c r="BX53" i="163"/>
  <c r="G369" i="149"/>
  <c r="BY40" i="163"/>
  <c r="BY21" i="163"/>
  <c r="I382" i="149"/>
  <c r="CA53" i="163"/>
  <c r="AE377" i="149"/>
  <c r="CW48" i="163"/>
  <c r="M373" i="149"/>
  <c r="CE44" i="163"/>
  <c r="U373" i="149"/>
  <c r="CM44" i="163"/>
  <c r="AF381" i="149"/>
  <c r="CX52" i="163"/>
  <c r="T371" i="149"/>
  <c r="CL42" i="163"/>
  <c r="T373" i="149"/>
  <c r="CL44" i="163"/>
  <c r="AB380" i="149"/>
  <c r="CT51" i="163"/>
  <c r="P370" i="149"/>
  <c r="CH41" i="163"/>
  <c r="P380" i="149"/>
  <c r="CH51" i="163"/>
  <c r="Z371" i="149"/>
  <c r="CR42" i="163"/>
  <c r="M378" i="149"/>
  <c r="CE49" i="163"/>
  <c r="AD379" i="149"/>
  <c r="CV50" i="163"/>
  <c r="AD370" i="149"/>
  <c r="CV41" i="163"/>
  <c r="AD371" i="149"/>
  <c r="CV42" i="163"/>
  <c r="G381" i="149"/>
  <c r="BY52" i="163"/>
  <c r="G373" i="149"/>
  <c r="BY44" i="163"/>
  <c r="J9" i="163" s="1"/>
  <c r="I373" i="149"/>
  <c r="CA44" i="163"/>
  <c r="AE375" i="149"/>
  <c r="CW46" i="163"/>
  <c r="U377" i="149"/>
  <c r="CM48" i="163"/>
  <c r="AF377" i="149"/>
  <c r="CX48" i="163"/>
  <c r="T370" i="149"/>
  <c r="CL41" i="163"/>
  <c r="N373" i="149"/>
  <c r="CF44" i="163"/>
  <c r="Z370" i="149"/>
  <c r="CR41" i="163"/>
  <c r="Z378" i="149"/>
  <c r="CR49" i="163"/>
  <c r="G375" i="149"/>
  <c r="BY46" i="163"/>
  <c r="F381" i="149"/>
  <c r="BX52" i="163"/>
  <c r="AE383" i="149"/>
  <c r="CW54" i="163"/>
  <c r="M382" i="149"/>
  <c r="CE53" i="163"/>
  <c r="AF372" i="149"/>
  <c r="CX43" i="163"/>
  <c r="T380" i="149"/>
  <c r="CL51" i="163"/>
  <c r="AB374" i="149"/>
  <c r="CT45" i="163"/>
  <c r="AB372" i="149"/>
  <c r="CT43" i="163"/>
  <c r="P372" i="149"/>
  <c r="CH43" i="163"/>
  <c r="AD382" i="149"/>
  <c r="CV53" i="163"/>
  <c r="Z376" i="149"/>
  <c r="CR47" i="163"/>
  <c r="N380" i="149"/>
  <c r="CF51" i="163"/>
  <c r="G370" i="149"/>
  <c r="BY41" i="163"/>
  <c r="AE378" i="149"/>
  <c r="CW49" i="163"/>
  <c r="M379" i="149"/>
  <c r="CE50" i="163"/>
  <c r="U379" i="149"/>
  <c r="CM50" i="163"/>
  <c r="AF379" i="149"/>
  <c r="CX50" i="163"/>
  <c r="T382" i="149"/>
  <c r="CL53" i="163"/>
  <c r="AB375" i="149"/>
  <c r="CT46" i="163"/>
  <c r="P375" i="149"/>
  <c r="CH46" i="163"/>
  <c r="AD369" i="149"/>
  <c r="CV40" i="163"/>
  <c r="CV21" i="163"/>
  <c r="Z380" i="149"/>
  <c r="CR51" i="163"/>
  <c r="AC16" i="163" s="1"/>
  <c r="N375" i="149"/>
  <c r="CF46" i="163"/>
  <c r="N379" i="149"/>
  <c r="CF50" i="163"/>
  <c r="G379" i="149"/>
  <c r="BY50" i="163"/>
  <c r="AE380" i="149"/>
  <c r="CW51" i="163"/>
  <c r="M377" i="149"/>
  <c r="CE48" i="163"/>
  <c r="U375" i="149"/>
  <c r="CM46" i="163"/>
  <c r="F370" i="149"/>
  <c r="BX41" i="163"/>
  <c r="AF378" i="149"/>
  <c r="CX49" i="163"/>
  <c r="T369" i="149"/>
  <c r="CL40" i="163"/>
  <c r="CL21" i="163"/>
  <c r="P381" i="149"/>
  <c r="CH52" i="163"/>
  <c r="AD372" i="149"/>
  <c r="CV43" i="163"/>
  <c r="Z375" i="149"/>
  <c r="CR46" i="163"/>
  <c r="F378" i="149"/>
  <c r="BX49" i="163"/>
  <c r="N382" i="149"/>
  <c r="CF53" i="163"/>
  <c r="AE372" i="149"/>
  <c r="CW43" i="163"/>
  <c r="M380" i="149"/>
  <c r="CE51" i="163"/>
  <c r="M381" i="149"/>
  <c r="CE52" i="163"/>
  <c r="F374" i="149"/>
  <c r="BX45" i="163"/>
  <c r="AF375" i="149"/>
  <c r="CX46" i="163"/>
  <c r="AF373" i="149"/>
  <c r="CX44" i="163"/>
  <c r="T378" i="149"/>
  <c r="CL49" i="163"/>
  <c r="P379" i="149"/>
  <c r="CH50" i="163"/>
  <c r="AF369" i="149"/>
  <c r="CX40" i="163"/>
  <c r="CX21" i="163"/>
  <c r="Z383" i="149"/>
  <c r="CR54" i="163"/>
  <c r="Z369" i="149"/>
  <c r="CR40" i="163"/>
  <c r="CR21" i="163"/>
  <c r="N370" i="149"/>
  <c r="CF41" i="163"/>
  <c r="N381" i="149"/>
  <c r="CF52" i="163"/>
  <c r="G376" i="149"/>
  <c r="BY47" i="163"/>
  <c r="J12" i="163" s="1"/>
  <c r="AE370" i="149"/>
  <c r="CW41" i="163"/>
  <c r="U374" i="149"/>
  <c r="CM45" i="163"/>
  <c r="U370" i="149"/>
  <c r="CM41" i="163"/>
  <c r="AF383" i="149"/>
  <c r="CX54" i="163"/>
  <c r="F379" i="149"/>
  <c r="BX50" i="163"/>
  <c r="AB373" i="149"/>
  <c r="CT44" i="163"/>
  <c r="P382" i="149"/>
  <c r="CH53" i="163"/>
  <c r="I380" i="149"/>
  <c r="CA51" i="163"/>
  <c r="F372" i="149"/>
  <c r="BX43" i="163"/>
  <c r="AD375" i="149"/>
  <c r="CV46" i="163"/>
  <c r="AD374" i="149"/>
  <c r="CV45" i="163"/>
  <c r="Z379" i="149"/>
  <c r="CR50" i="163"/>
  <c r="Z382" i="149"/>
  <c r="CR53" i="163"/>
  <c r="N376" i="149"/>
  <c r="CF47" i="163"/>
  <c r="G372" i="149"/>
  <c r="BY43" i="163"/>
  <c r="G382" i="149"/>
  <c r="BY53" i="163"/>
  <c r="AE379" i="149"/>
  <c r="CW50" i="163"/>
  <c r="U381" i="149"/>
  <c r="CM52" i="163"/>
  <c r="T372" i="149"/>
  <c r="CL43" i="163"/>
  <c r="AB376" i="149"/>
  <c r="CT47" i="163"/>
  <c r="I374" i="149"/>
  <c r="CA45" i="163"/>
  <c r="P383" i="149"/>
  <c r="CH54" i="163"/>
  <c r="AB383" i="149"/>
  <c r="CT54" i="163"/>
  <c r="AD383" i="149"/>
  <c r="CV54" i="163"/>
  <c r="AD381" i="149"/>
  <c r="CV52" i="163"/>
  <c r="Z377" i="149"/>
  <c r="CR48" i="163"/>
  <c r="Z373" i="149"/>
  <c r="CR44" i="163"/>
  <c r="N374" i="149"/>
  <c r="CF45" i="163"/>
  <c r="G377" i="149"/>
  <c r="BY48" i="163"/>
  <c r="J13" i="163" s="1"/>
  <c r="I372" i="149"/>
  <c r="CA43" i="163"/>
  <c r="AE373" i="149"/>
  <c r="CW44" i="163"/>
  <c r="M371" i="149"/>
  <c r="CE42" i="163"/>
  <c r="M372" i="149"/>
  <c r="CE43" i="163"/>
  <c r="U376" i="149"/>
  <c r="CM47" i="163"/>
  <c r="I376" i="149"/>
  <c r="CA47" i="163"/>
  <c r="AF371" i="149"/>
  <c r="CX42" i="163"/>
  <c r="T379" i="149"/>
  <c r="CL50" i="163"/>
  <c r="AB377" i="149"/>
  <c r="CT48" i="163"/>
  <c r="AE13" i="163" s="1"/>
  <c r="I383" i="149"/>
  <c r="CA54" i="163"/>
  <c r="I377" i="149"/>
  <c r="CA48" i="163"/>
  <c r="AD380" i="149"/>
  <c r="CV51" i="163"/>
  <c r="AG16" i="163" s="1"/>
  <c r="AD376" i="149"/>
  <c r="CV47" i="163"/>
  <c r="Z374" i="149"/>
  <c r="CR45" i="163"/>
  <c r="N377" i="149"/>
  <c r="CF48" i="163"/>
  <c r="N369" i="149"/>
  <c r="CF40" i="163"/>
  <c r="CF21" i="163"/>
  <c r="M369" i="149"/>
  <c r="CE40" i="163"/>
  <c r="CE21" i="163"/>
  <c r="U372" i="149"/>
  <c r="CM43" i="163"/>
  <c r="I379" i="149"/>
  <c r="CA50" i="163"/>
  <c r="I369" i="149"/>
  <c r="CA40" i="163"/>
  <c r="CA21" i="163"/>
  <c r="T374" i="149"/>
  <c r="CL45" i="163"/>
  <c r="F375" i="149"/>
  <c r="BX46" i="163"/>
  <c r="AD377" i="149"/>
  <c r="CV48" i="163"/>
  <c r="AG13" i="163" s="1"/>
  <c r="Z372" i="149"/>
  <c r="CR43" i="163"/>
  <c r="N383" i="149"/>
  <c r="CF54" i="163"/>
  <c r="G380" i="149"/>
  <c r="BY51" i="163"/>
  <c r="F376" i="149"/>
  <c r="BX47" i="163"/>
  <c r="I12" i="163" s="1"/>
  <c r="AE376" i="149"/>
  <c r="CW47" i="163"/>
  <c r="AE382" i="149"/>
  <c r="CW53" i="163"/>
  <c r="M374" i="149"/>
  <c r="CE45" i="163"/>
  <c r="M383" i="149"/>
  <c r="CE54" i="163"/>
  <c r="U382" i="149"/>
  <c r="CM53" i="163"/>
  <c r="U380" i="149"/>
  <c r="CM51" i="163"/>
  <c r="AF382" i="149"/>
  <c r="CX53" i="163"/>
  <c r="T375" i="149"/>
  <c r="CL46" i="163"/>
  <c r="AB378" i="149"/>
  <c r="CT49" i="163"/>
  <c r="P369" i="149"/>
  <c r="CH40" i="163"/>
  <c r="CH21" i="163"/>
  <c r="AO159" i="163"/>
  <c r="I157" i="163" s="1"/>
  <c r="BN159" i="163"/>
  <c r="AH156" i="163" s="1"/>
  <c r="T113" i="163"/>
  <c r="AY159" i="163"/>
  <c r="S113" i="163" s="1"/>
  <c r="AV159" i="163"/>
  <c r="P156" i="163" s="1"/>
  <c r="M113" i="163"/>
  <c r="BM159" i="163"/>
  <c r="AG155" i="163" s="1"/>
  <c r="BK159" i="163"/>
  <c r="AE157" i="163" s="1"/>
  <c r="BC159" i="163"/>
  <c r="W156" i="163" s="1"/>
  <c r="BD159" i="163"/>
  <c r="X156" i="163" s="1"/>
  <c r="BI159" i="163"/>
  <c r="AC155" i="163" s="1"/>
  <c r="AP159" i="163"/>
  <c r="J113" i="163" s="1"/>
  <c r="AR159" i="163"/>
  <c r="L156" i="163" s="1"/>
  <c r="BO159" i="163"/>
  <c r="AI156" i="163" s="1"/>
  <c r="AW159" i="163"/>
  <c r="Q156" i="163" s="1"/>
  <c r="AA113" i="163"/>
  <c r="P186" i="164"/>
  <c r="O187" i="164"/>
  <c r="AI96" i="138"/>
  <c r="AH96" i="138"/>
  <c r="AG96" i="138"/>
  <c r="AF96" i="138"/>
  <c r="AE96" i="138"/>
  <c r="AD96" i="138"/>
  <c r="AC96" i="138"/>
  <c r="AB96" i="138"/>
  <c r="AA96" i="138"/>
  <c r="Z96" i="138"/>
  <c r="Y96" i="138"/>
  <c r="X96" i="138"/>
  <c r="W96" i="138"/>
  <c r="V96" i="138"/>
  <c r="U96" i="138"/>
  <c r="T96" i="138"/>
  <c r="S96" i="138"/>
  <c r="R96" i="138"/>
  <c r="Q96" i="138"/>
  <c r="P96" i="138"/>
  <c r="O96" i="138"/>
  <c r="N96" i="138"/>
  <c r="M96" i="138"/>
  <c r="L96" i="138"/>
  <c r="K96" i="138"/>
  <c r="J96" i="138"/>
  <c r="I96" i="138"/>
  <c r="H96" i="138"/>
  <c r="H62" i="138"/>
  <c r="I62" i="138"/>
  <c r="J62" i="138"/>
  <c r="K62" i="138"/>
  <c r="L62" i="138"/>
  <c r="M62" i="138"/>
  <c r="N62" i="138"/>
  <c r="O62" i="138"/>
  <c r="P62" i="138"/>
  <c r="Q62" i="138"/>
  <c r="R62" i="138"/>
  <c r="S62" i="138"/>
  <c r="T62" i="138"/>
  <c r="U62" i="138"/>
  <c r="V62" i="138"/>
  <c r="W62" i="138"/>
  <c r="X62" i="138"/>
  <c r="Y62" i="138"/>
  <c r="Z62" i="138"/>
  <c r="AA62" i="138"/>
  <c r="AB62" i="138"/>
  <c r="AC62" i="138"/>
  <c r="AD62" i="138"/>
  <c r="AE62" i="138"/>
  <c r="AF62" i="138"/>
  <c r="AG62" i="138"/>
  <c r="AH62" i="138"/>
  <c r="AI62" i="138"/>
  <c r="H60" i="138"/>
  <c r="I60" i="138"/>
  <c r="J60" i="138"/>
  <c r="K60" i="138"/>
  <c r="L60" i="138"/>
  <c r="M60" i="138"/>
  <c r="N60" i="138"/>
  <c r="O60" i="138"/>
  <c r="P60" i="138"/>
  <c r="Q60" i="138"/>
  <c r="R60" i="138"/>
  <c r="S60" i="138"/>
  <c r="T60" i="138"/>
  <c r="U60" i="138"/>
  <c r="V60" i="138"/>
  <c r="W60" i="138"/>
  <c r="X60" i="138"/>
  <c r="Y60" i="138"/>
  <c r="Z60" i="138"/>
  <c r="AA60" i="138"/>
  <c r="AB60" i="138"/>
  <c r="AC60" i="138"/>
  <c r="AD60" i="138"/>
  <c r="AE60" i="138"/>
  <c r="AF60" i="138"/>
  <c r="AG60" i="138"/>
  <c r="AH60" i="138"/>
  <c r="AI60" i="138"/>
  <c r="H59" i="138"/>
  <c r="I59" i="138"/>
  <c r="J59" i="138"/>
  <c r="K59" i="138"/>
  <c r="L59" i="138"/>
  <c r="M59" i="138"/>
  <c r="N59" i="138"/>
  <c r="O59" i="138"/>
  <c r="P59" i="138"/>
  <c r="Q59" i="138"/>
  <c r="R59" i="138"/>
  <c r="S59" i="138"/>
  <c r="T59" i="138"/>
  <c r="U59" i="138"/>
  <c r="V59" i="138"/>
  <c r="W59" i="138"/>
  <c r="X59" i="138"/>
  <c r="Y59" i="138"/>
  <c r="Z59" i="138"/>
  <c r="AA59" i="138"/>
  <c r="AB59" i="138"/>
  <c r="AC59" i="138"/>
  <c r="AD59" i="138"/>
  <c r="AE59" i="138"/>
  <c r="AF59" i="138"/>
  <c r="AG59" i="138"/>
  <c r="AH59" i="138"/>
  <c r="AI59" i="138"/>
  <c r="H57" i="138"/>
  <c r="I57" i="138"/>
  <c r="J57" i="138"/>
  <c r="K57" i="138"/>
  <c r="L57" i="138"/>
  <c r="M57" i="138"/>
  <c r="N57" i="138"/>
  <c r="O57" i="138"/>
  <c r="P57" i="138"/>
  <c r="Q57" i="138"/>
  <c r="R57" i="138"/>
  <c r="S57" i="138"/>
  <c r="T57" i="138"/>
  <c r="U57" i="138"/>
  <c r="V57" i="138"/>
  <c r="W57" i="138"/>
  <c r="X57" i="138"/>
  <c r="Y57" i="138"/>
  <c r="Z57" i="138"/>
  <c r="AA57" i="138"/>
  <c r="AB57" i="138"/>
  <c r="AC57" i="138"/>
  <c r="AD57" i="138"/>
  <c r="AE57" i="138"/>
  <c r="AF57" i="138"/>
  <c r="AG57" i="138"/>
  <c r="AH57" i="138"/>
  <c r="AI57" i="138"/>
  <c r="H56" i="138"/>
  <c r="I56" i="138"/>
  <c r="J56" i="138"/>
  <c r="K56" i="138"/>
  <c r="L56" i="138"/>
  <c r="M56" i="138"/>
  <c r="N56" i="138"/>
  <c r="O56" i="138"/>
  <c r="P56" i="138"/>
  <c r="Q56" i="138"/>
  <c r="R56" i="138"/>
  <c r="S56" i="138"/>
  <c r="T56" i="138"/>
  <c r="U56" i="138"/>
  <c r="V56" i="138"/>
  <c r="W56" i="138"/>
  <c r="X56" i="138"/>
  <c r="Y56" i="138"/>
  <c r="Z56" i="138"/>
  <c r="AA56" i="138"/>
  <c r="AB56" i="138"/>
  <c r="AC56" i="138"/>
  <c r="AD56" i="138"/>
  <c r="AE56" i="138"/>
  <c r="AF56" i="138"/>
  <c r="AG56" i="138"/>
  <c r="AH56" i="138"/>
  <c r="AI56" i="138"/>
  <c r="AI55" i="138"/>
  <c r="AH55" i="138"/>
  <c r="AG55" i="138"/>
  <c r="AF55" i="138"/>
  <c r="AE55" i="138"/>
  <c r="AD55" i="138"/>
  <c r="AC55" i="138"/>
  <c r="AB55" i="138"/>
  <c r="AA55" i="138"/>
  <c r="Z55" i="138"/>
  <c r="Y55" i="138"/>
  <c r="X55" i="138"/>
  <c r="W55" i="138"/>
  <c r="V55" i="138"/>
  <c r="U55" i="138"/>
  <c r="T55" i="138"/>
  <c r="S55" i="138"/>
  <c r="R55" i="138"/>
  <c r="Q55" i="138"/>
  <c r="P55" i="138"/>
  <c r="O55" i="138"/>
  <c r="N55" i="138"/>
  <c r="M55" i="138"/>
  <c r="L55" i="138"/>
  <c r="K55" i="138"/>
  <c r="J55" i="138"/>
  <c r="I55" i="138"/>
  <c r="H55" i="138"/>
  <c r="AI53" i="138"/>
  <c r="AH53" i="138"/>
  <c r="AG53" i="138"/>
  <c r="AF53" i="138"/>
  <c r="AE53" i="138"/>
  <c r="AD53" i="138"/>
  <c r="AC53" i="138"/>
  <c r="AB53" i="138"/>
  <c r="AA53" i="138"/>
  <c r="Z53" i="138"/>
  <c r="Y53" i="138"/>
  <c r="X53" i="138"/>
  <c r="W53" i="138"/>
  <c r="V53" i="138"/>
  <c r="U53" i="138"/>
  <c r="T53" i="138"/>
  <c r="S53" i="138"/>
  <c r="R53" i="138"/>
  <c r="Q53" i="138"/>
  <c r="P53" i="138"/>
  <c r="O53" i="138"/>
  <c r="N53" i="138"/>
  <c r="M53" i="138"/>
  <c r="L53" i="138"/>
  <c r="K53" i="138"/>
  <c r="J53" i="138"/>
  <c r="I53" i="138"/>
  <c r="H53" i="138"/>
  <c r="AK52" i="138"/>
  <c r="AK48" i="138"/>
  <c r="AI51" i="138"/>
  <c r="AH51" i="138"/>
  <c r="AG51" i="138"/>
  <c r="AF51" i="138"/>
  <c r="AE51" i="138"/>
  <c r="AD51" i="138"/>
  <c r="AC51" i="138"/>
  <c r="AB51" i="138"/>
  <c r="AA51" i="138"/>
  <c r="Z51" i="138"/>
  <c r="Y51" i="138"/>
  <c r="X51" i="138"/>
  <c r="W51" i="138"/>
  <c r="V51" i="138"/>
  <c r="U51" i="138"/>
  <c r="T51" i="138"/>
  <c r="S51" i="138"/>
  <c r="R51" i="138"/>
  <c r="Q51" i="138"/>
  <c r="P51" i="138"/>
  <c r="O51" i="138"/>
  <c r="N51" i="138"/>
  <c r="M51" i="138"/>
  <c r="L51" i="138"/>
  <c r="K51" i="138"/>
  <c r="J51" i="138"/>
  <c r="I51" i="138"/>
  <c r="AI49" i="138"/>
  <c r="AH49" i="138"/>
  <c r="AG49" i="138"/>
  <c r="AF49" i="138"/>
  <c r="AE49" i="138"/>
  <c r="AD49" i="138"/>
  <c r="AC49" i="138"/>
  <c r="AB49" i="138"/>
  <c r="AA49" i="138"/>
  <c r="Z49" i="138"/>
  <c r="Y49" i="138"/>
  <c r="X49" i="138"/>
  <c r="W49" i="138"/>
  <c r="V49" i="138"/>
  <c r="U49" i="138"/>
  <c r="T49" i="138"/>
  <c r="S49" i="138"/>
  <c r="R49" i="138"/>
  <c r="Q49" i="138"/>
  <c r="P49" i="138"/>
  <c r="O49" i="138"/>
  <c r="N49" i="138"/>
  <c r="M49" i="138"/>
  <c r="L49" i="138"/>
  <c r="K49" i="138"/>
  <c r="J49" i="138"/>
  <c r="I49" i="138"/>
  <c r="H51" i="138"/>
  <c r="H49" i="138"/>
  <c r="AI47" i="138"/>
  <c r="AH47" i="138"/>
  <c r="AG47" i="138"/>
  <c r="AF47" i="138"/>
  <c r="AE47" i="138"/>
  <c r="AD47" i="138"/>
  <c r="AC47" i="138"/>
  <c r="AB47" i="138"/>
  <c r="AA47" i="138"/>
  <c r="Z47" i="138"/>
  <c r="Y47" i="138"/>
  <c r="X47" i="138"/>
  <c r="W47" i="138"/>
  <c r="V47" i="138"/>
  <c r="U47" i="138"/>
  <c r="T47" i="138"/>
  <c r="S47" i="138"/>
  <c r="R47" i="138"/>
  <c r="Q47" i="138"/>
  <c r="P47" i="138"/>
  <c r="O47" i="138"/>
  <c r="N47" i="138"/>
  <c r="M47" i="138"/>
  <c r="L47" i="138"/>
  <c r="K47" i="138"/>
  <c r="J47" i="138"/>
  <c r="I47" i="138"/>
  <c r="AI42" i="138"/>
  <c r="AH42" i="138"/>
  <c r="AG42" i="138"/>
  <c r="AF42" i="138"/>
  <c r="AE42" i="138"/>
  <c r="AD42" i="138"/>
  <c r="AC42" i="138"/>
  <c r="AB42" i="138"/>
  <c r="AA42" i="138"/>
  <c r="Z42" i="138"/>
  <c r="Y42" i="138"/>
  <c r="X42" i="138"/>
  <c r="W42" i="138"/>
  <c r="V42" i="138"/>
  <c r="U42" i="138"/>
  <c r="T42" i="138"/>
  <c r="S42" i="138"/>
  <c r="R42" i="138"/>
  <c r="Q42" i="138"/>
  <c r="P42" i="138"/>
  <c r="O42" i="138"/>
  <c r="N42" i="138"/>
  <c r="M42" i="138"/>
  <c r="L42" i="138"/>
  <c r="K42" i="138"/>
  <c r="J42" i="138"/>
  <c r="I42" i="138"/>
  <c r="H47" i="138"/>
  <c r="H42" i="138"/>
  <c r="AK44" i="138"/>
  <c r="AK43" i="138"/>
  <c r="AK37" i="138"/>
  <c r="AK38" i="138"/>
  <c r="AK39" i="138"/>
  <c r="AK40" i="138"/>
  <c r="AK41" i="138"/>
  <c r="B12" i="138"/>
  <c r="AI36" i="138"/>
  <c r="AH36" i="138"/>
  <c r="AG36" i="138"/>
  <c r="AF36" i="138"/>
  <c r="AE36" i="138"/>
  <c r="AD36" i="138"/>
  <c r="AC36" i="138"/>
  <c r="AB36" i="138"/>
  <c r="AA36" i="138"/>
  <c r="Z36" i="138"/>
  <c r="Y36" i="138"/>
  <c r="X36" i="138"/>
  <c r="W36" i="138"/>
  <c r="V36" i="138"/>
  <c r="U36" i="138"/>
  <c r="T36" i="138"/>
  <c r="S36" i="138"/>
  <c r="R36" i="138"/>
  <c r="Q36" i="138"/>
  <c r="P36" i="138"/>
  <c r="O36" i="138"/>
  <c r="N36" i="138"/>
  <c r="M36" i="138"/>
  <c r="L36" i="138"/>
  <c r="K36" i="138"/>
  <c r="J36" i="138"/>
  <c r="I36" i="138"/>
  <c r="AI33" i="138"/>
  <c r="AH33" i="138"/>
  <c r="AG33" i="138"/>
  <c r="AF33" i="138"/>
  <c r="AE33" i="138"/>
  <c r="AD33" i="138"/>
  <c r="AC33" i="138"/>
  <c r="AB33" i="138"/>
  <c r="AA33" i="138"/>
  <c r="Z33" i="138"/>
  <c r="Y33" i="138"/>
  <c r="X33" i="138"/>
  <c r="W33" i="138"/>
  <c r="V33" i="138"/>
  <c r="U33" i="138"/>
  <c r="T33" i="138"/>
  <c r="S33" i="138"/>
  <c r="R33" i="138"/>
  <c r="Q33" i="138"/>
  <c r="P33" i="138"/>
  <c r="O33" i="138"/>
  <c r="N33" i="138"/>
  <c r="M33" i="138"/>
  <c r="L33" i="138"/>
  <c r="K33" i="138"/>
  <c r="J33" i="138"/>
  <c r="I33" i="138"/>
  <c r="AI32" i="138"/>
  <c r="AH32" i="138"/>
  <c r="AG32" i="138"/>
  <c r="AF32" i="138"/>
  <c r="AE32" i="138"/>
  <c r="AD32" i="138"/>
  <c r="AC32" i="138"/>
  <c r="AB32" i="138"/>
  <c r="AA32" i="138"/>
  <c r="Z32" i="138"/>
  <c r="Y32" i="138"/>
  <c r="X32" i="138"/>
  <c r="W32" i="138"/>
  <c r="V32" i="138"/>
  <c r="U32" i="138"/>
  <c r="T32" i="138"/>
  <c r="S32" i="138"/>
  <c r="R32" i="138"/>
  <c r="Q32" i="138"/>
  <c r="P32" i="138"/>
  <c r="O32" i="138"/>
  <c r="N32" i="138"/>
  <c r="M32" i="138"/>
  <c r="L32" i="138"/>
  <c r="K32" i="138"/>
  <c r="J32" i="138"/>
  <c r="I32" i="138"/>
  <c r="AI31" i="138"/>
  <c r="AH31" i="138"/>
  <c r="AG31" i="138"/>
  <c r="AF31" i="138"/>
  <c r="AE31" i="138"/>
  <c r="AD31" i="138"/>
  <c r="AC31" i="138"/>
  <c r="AB31" i="138"/>
  <c r="AA31" i="138"/>
  <c r="Z31" i="138"/>
  <c r="Y31" i="138"/>
  <c r="X31" i="138"/>
  <c r="W31" i="138"/>
  <c r="V31" i="138"/>
  <c r="U31" i="138"/>
  <c r="T31" i="138"/>
  <c r="S31" i="138"/>
  <c r="R31" i="138"/>
  <c r="Q31" i="138"/>
  <c r="P31" i="138"/>
  <c r="O31" i="138"/>
  <c r="N31" i="138"/>
  <c r="M31" i="138"/>
  <c r="L31" i="138"/>
  <c r="K31" i="138"/>
  <c r="J31" i="138"/>
  <c r="I31" i="138"/>
  <c r="AI30" i="138"/>
  <c r="AH30" i="138"/>
  <c r="AG30" i="138"/>
  <c r="AF30" i="138"/>
  <c r="AE30" i="138"/>
  <c r="AD30" i="138"/>
  <c r="AC30" i="138"/>
  <c r="AB30" i="138"/>
  <c r="AA30" i="138"/>
  <c r="Z30" i="138"/>
  <c r="Y30" i="138"/>
  <c r="X30" i="138"/>
  <c r="W30" i="138"/>
  <c r="V30" i="138"/>
  <c r="U30" i="138"/>
  <c r="T30" i="138"/>
  <c r="S30" i="138"/>
  <c r="R30" i="138"/>
  <c r="Q30" i="138"/>
  <c r="P30" i="138"/>
  <c r="O30" i="138"/>
  <c r="N30" i="138"/>
  <c r="M30" i="138"/>
  <c r="L30" i="138"/>
  <c r="K30" i="138"/>
  <c r="J30" i="138"/>
  <c r="I30" i="138"/>
  <c r="AI29" i="138"/>
  <c r="AH29" i="138"/>
  <c r="AG29" i="138"/>
  <c r="AF29" i="138"/>
  <c r="AE29" i="138"/>
  <c r="AD29" i="138"/>
  <c r="AC29" i="138"/>
  <c r="AB29" i="138"/>
  <c r="AA29" i="138"/>
  <c r="Z29" i="138"/>
  <c r="Y29" i="138"/>
  <c r="X29" i="138"/>
  <c r="W29" i="138"/>
  <c r="V29" i="138"/>
  <c r="U29" i="138"/>
  <c r="T29" i="138"/>
  <c r="S29" i="138"/>
  <c r="R29" i="138"/>
  <c r="Q29" i="138"/>
  <c r="P29" i="138"/>
  <c r="O29" i="138"/>
  <c r="N29" i="138"/>
  <c r="M29" i="138"/>
  <c r="L29" i="138"/>
  <c r="K29" i="138"/>
  <c r="J29" i="138"/>
  <c r="I29" i="138"/>
  <c r="AI28" i="138"/>
  <c r="AH28" i="138"/>
  <c r="AG28" i="138"/>
  <c r="AF28" i="138"/>
  <c r="AE28" i="138"/>
  <c r="AD28" i="138"/>
  <c r="AC28" i="138"/>
  <c r="AB28" i="138"/>
  <c r="AA28" i="138"/>
  <c r="Z28" i="138"/>
  <c r="Y28" i="138"/>
  <c r="X28" i="138"/>
  <c r="W28" i="138"/>
  <c r="V28" i="138"/>
  <c r="U28" i="138"/>
  <c r="T28" i="138"/>
  <c r="S28" i="138"/>
  <c r="R28" i="138"/>
  <c r="Q28" i="138"/>
  <c r="P28" i="138"/>
  <c r="O28" i="138"/>
  <c r="N28" i="138"/>
  <c r="M28" i="138"/>
  <c r="L28" i="138"/>
  <c r="K28" i="138"/>
  <c r="J28" i="138"/>
  <c r="I28" i="138"/>
  <c r="AI27" i="138"/>
  <c r="AH27" i="138"/>
  <c r="AG27" i="138"/>
  <c r="AF27" i="138"/>
  <c r="AE27" i="138"/>
  <c r="AD27" i="138"/>
  <c r="AC27" i="138"/>
  <c r="AB27" i="138"/>
  <c r="AA27" i="138"/>
  <c r="Z27" i="138"/>
  <c r="Y27" i="138"/>
  <c r="X27" i="138"/>
  <c r="W27" i="138"/>
  <c r="V27" i="138"/>
  <c r="U27" i="138"/>
  <c r="T27" i="138"/>
  <c r="S27" i="138"/>
  <c r="R27" i="138"/>
  <c r="Q27" i="138"/>
  <c r="P27" i="138"/>
  <c r="O27" i="138"/>
  <c r="N27" i="138"/>
  <c r="M27" i="138"/>
  <c r="L27" i="138"/>
  <c r="K27" i="138"/>
  <c r="J27" i="138"/>
  <c r="I27" i="138"/>
  <c r="H27" i="138"/>
  <c r="H28" i="138"/>
  <c r="H29" i="138"/>
  <c r="H30" i="138"/>
  <c r="H31" i="138"/>
  <c r="H32" i="138"/>
  <c r="H33" i="138"/>
  <c r="H36" i="138"/>
  <c r="T156" i="163" l="1"/>
  <c r="S156" i="163"/>
  <c r="J156" i="163"/>
  <c r="I156" i="163"/>
  <c r="U157" i="163"/>
  <c r="U113" i="163"/>
  <c r="U156" i="163"/>
  <c r="K113" i="163"/>
  <c r="Q155" i="163"/>
  <c r="J155" i="163"/>
  <c r="Q157" i="163"/>
  <c r="AG157" i="163"/>
  <c r="J157" i="163"/>
  <c r="AG156" i="163"/>
  <c r="AH157" i="163"/>
  <c r="AC157" i="163"/>
  <c r="L157" i="163"/>
  <c r="K156" i="163"/>
  <c r="P155" i="163"/>
  <c r="AB113" i="163"/>
  <c r="AB155" i="163"/>
  <c r="S155" i="163"/>
  <c r="W157" i="163"/>
  <c r="L155" i="163"/>
  <c r="AE156" i="163"/>
  <c r="AE155" i="163"/>
  <c r="K157" i="163"/>
  <c r="AI155" i="163"/>
  <c r="P157" i="163"/>
  <c r="AC156" i="163"/>
  <c r="AH155" i="163"/>
  <c r="S157" i="163"/>
  <c r="X155" i="163"/>
  <c r="X157" i="163"/>
  <c r="I155" i="163"/>
  <c r="W155" i="163"/>
  <c r="AI157" i="163"/>
  <c r="I113" i="163"/>
  <c r="AH113" i="163"/>
  <c r="W113" i="163"/>
  <c r="Q113" i="163"/>
  <c r="AE113" i="163"/>
  <c r="AI113" i="163"/>
  <c r="L113" i="163"/>
  <c r="AG113" i="163"/>
  <c r="AC113" i="163"/>
  <c r="X113" i="163"/>
  <c r="P113" i="163"/>
  <c r="Q186" i="164"/>
  <c r="P187" i="164"/>
  <c r="AE41" i="138"/>
  <c r="AK78" i="138"/>
  <c r="AB52" i="138"/>
  <c r="AK91" i="138"/>
  <c r="AD44" i="138"/>
  <c r="AK81" i="138"/>
  <c r="AF48" i="138"/>
  <c r="AK86" i="138"/>
  <c r="AH40" i="138"/>
  <c r="AK77" i="138"/>
  <c r="AC39" i="138"/>
  <c r="AK76" i="138"/>
  <c r="AF38" i="138"/>
  <c r="AK75" i="138"/>
  <c r="AI37" i="138"/>
  <c r="AK74" i="138"/>
  <c r="AG43" i="138"/>
  <c r="AK80" i="138"/>
  <c r="T37" i="138"/>
  <c r="M52" i="138"/>
  <c r="N52" i="138"/>
  <c r="U52" i="138"/>
  <c r="V52" i="138"/>
  <c r="AC52" i="138"/>
  <c r="AD52" i="138"/>
  <c r="W52" i="138"/>
  <c r="H52" i="138"/>
  <c r="P52" i="138"/>
  <c r="X52" i="138"/>
  <c r="AF52" i="138"/>
  <c r="O52" i="138"/>
  <c r="AE52" i="138"/>
  <c r="I52" i="138"/>
  <c r="Q52" i="138"/>
  <c r="Y52" i="138"/>
  <c r="AG52" i="138"/>
  <c r="J52" i="138"/>
  <c r="R52" i="138"/>
  <c r="Z52" i="138"/>
  <c r="AH52" i="138"/>
  <c r="K52" i="138"/>
  <c r="S52" i="138"/>
  <c r="AA52" i="138"/>
  <c r="AI52" i="138"/>
  <c r="L52" i="138"/>
  <c r="T52" i="138"/>
  <c r="AD48" i="138"/>
  <c r="T48" i="138"/>
  <c r="AB37" i="138"/>
  <c r="R38" i="138"/>
  <c r="AG48" i="138"/>
  <c r="AA39" i="138"/>
  <c r="H48" i="138"/>
  <c r="L48" i="138"/>
  <c r="N48" i="138"/>
  <c r="L40" i="138"/>
  <c r="K43" i="138"/>
  <c r="O48" i="138"/>
  <c r="AI39" i="138"/>
  <c r="J43" i="138"/>
  <c r="AC37" i="138"/>
  <c r="T40" i="138"/>
  <c r="O43" i="138"/>
  <c r="Q48" i="138"/>
  <c r="N39" i="138"/>
  <c r="AI40" i="138"/>
  <c r="Z43" i="138"/>
  <c r="V48" i="138"/>
  <c r="S43" i="138"/>
  <c r="S39" i="138"/>
  <c r="AA43" i="138"/>
  <c r="Y48" i="138"/>
  <c r="AB40" i="138"/>
  <c r="H43" i="138"/>
  <c r="V39" i="138"/>
  <c r="AH43" i="138"/>
  <c r="I48" i="138"/>
  <c r="AB48" i="138"/>
  <c r="J38" i="138"/>
  <c r="L37" i="138"/>
  <c r="N38" i="138"/>
  <c r="AH38" i="138"/>
  <c r="AD39" i="138"/>
  <c r="X40" i="138"/>
  <c r="Q43" i="138"/>
  <c r="AI43" i="138"/>
  <c r="J48" i="138"/>
  <c r="R48" i="138"/>
  <c r="Z48" i="138"/>
  <c r="AH48" i="138"/>
  <c r="M37" i="138"/>
  <c r="Q38" i="138"/>
  <c r="K39" i="138"/>
  <c r="AE39" i="138"/>
  <c r="AA40" i="138"/>
  <c r="R43" i="138"/>
  <c r="L44" i="138"/>
  <c r="K48" i="138"/>
  <c r="S48" i="138"/>
  <c r="AA48" i="138"/>
  <c r="AI48" i="138"/>
  <c r="O44" i="138"/>
  <c r="H37" i="138"/>
  <c r="U37" i="138"/>
  <c r="V38" i="138"/>
  <c r="O39" i="138"/>
  <c r="K40" i="138"/>
  <c r="AF40" i="138"/>
  <c r="I43" i="138"/>
  <c r="W43" i="138"/>
  <c r="P44" i="138"/>
  <c r="M48" i="138"/>
  <c r="U48" i="138"/>
  <c r="AC48" i="138"/>
  <c r="Y38" i="138"/>
  <c r="T44" i="138"/>
  <c r="Z38" i="138"/>
  <c r="P40" i="138"/>
  <c r="P41" i="138"/>
  <c r="W44" i="138"/>
  <c r="W48" i="138"/>
  <c r="AE48" i="138"/>
  <c r="H44" i="138"/>
  <c r="I38" i="138"/>
  <c r="AD38" i="138"/>
  <c r="W39" i="138"/>
  <c r="S40" i="138"/>
  <c r="X41" i="138"/>
  <c r="M43" i="138"/>
  <c r="AE43" i="138"/>
  <c r="X44" i="138"/>
  <c r="P48" i="138"/>
  <c r="X48" i="138"/>
  <c r="AG38" i="138"/>
  <c r="AF41" i="138"/>
  <c r="AE44" i="138"/>
  <c r="I41" i="138"/>
  <c r="AF44" i="138"/>
  <c r="Y41" i="138"/>
  <c r="H38" i="138"/>
  <c r="N37" i="138"/>
  <c r="V37" i="138"/>
  <c r="AD37" i="138"/>
  <c r="K38" i="138"/>
  <c r="S38" i="138"/>
  <c r="AA38" i="138"/>
  <c r="AI38" i="138"/>
  <c r="P39" i="138"/>
  <c r="X39" i="138"/>
  <c r="AF39" i="138"/>
  <c r="M40" i="138"/>
  <c r="U40" i="138"/>
  <c r="AC40" i="138"/>
  <c r="J41" i="138"/>
  <c r="R41" i="138"/>
  <c r="Z41" i="138"/>
  <c r="AH41" i="138"/>
  <c r="L43" i="138"/>
  <c r="T43" i="138"/>
  <c r="AB43" i="138"/>
  <c r="I44" i="138"/>
  <c r="Q44" i="138"/>
  <c r="Y44" i="138"/>
  <c r="AG44" i="138"/>
  <c r="Q41" i="138"/>
  <c r="AG41" i="138"/>
  <c r="H39" i="138"/>
  <c r="O37" i="138"/>
  <c r="W37" i="138"/>
  <c r="AE37" i="138"/>
  <c r="L38" i="138"/>
  <c r="T38" i="138"/>
  <c r="AB38" i="138"/>
  <c r="I39" i="138"/>
  <c r="Q39" i="138"/>
  <c r="Y39" i="138"/>
  <c r="AG39" i="138"/>
  <c r="N40" i="138"/>
  <c r="V40" i="138"/>
  <c r="AD40" i="138"/>
  <c r="K41" i="138"/>
  <c r="S41" i="138"/>
  <c r="AA41" i="138"/>
  <c r="AI41" i="138"/>
  <c r="U43" i="138"/>
  <c r="AC43" i="138"/>
  <c r="J44" i="138"/>
  <c r="R44" i="138"/>
  <c r="Z44" i="138"/>
  <c r="AH44" i="138"/>
  <c r="H40" i="138"/>
  <c r="P37" i="138"/>
  <c r="X37" i="138"/>
  <c r="AF37" i="138"/>
  <c r="M38" i="138"/>
  <c r="U38" i="138"/>
  <c r="AC38" i="138"/>
  <c r="J39" i="138"/>
  <c r="R39" i="138"/>
  <c r="Z39" i="138"/>
  <c r="AH39" i="138"/>
  <c r="O40" i="138"/>
  <c r="W40" i="138"/>
  <c r="AE40" i="138"/>
  <c r="L41" i="138"/>
  <c r="T41" i="138"/>
  <c r="AB41" i="138"/>
  <c r="N43" i="138"/>
  <c r="V43" i="138"/>
  <c r="AD43" i="138"/>
  <c r="K44" i="138"/>
  <c r="S44" i="138"/>
  <c r="AA44" i="138"/>
  <c r="AI44" i="138"/>
  <c r="AB44" i="138"/>
  <c r="H41" i="138"/>
  <c r="I37" i="138"/>
  <c r="Q37" i="138"/>
  <c r="Y37" i="138"/>
  <c r="AG37" i="138"/>
  <c r="M41" i="138"/>
  <c r="U41" i="138"/>
  <c r="AC41" i="138"/>
  <c r="J37" i="138"/>
  <c r="R37" i="138"/>
  <c r="Z37" i="138"/>
  <c r="AH37" i="138"/>
  <c r="O38" i="138"/>
  <c r="W38" i="138"/>
  <c r="AE38" i="138"/>
  <c r="L39" i="138"/>
  <c r="T39" i="138"/>
  <c r="AB39" i="138"/>
  <c r="I40" i="138"/>
  <c r="Q40" i="138"/>
  <c r="Y40" i="138"/>
  <c r="AG40" i="138"/>
  <c r="N41" i="138"/>
  <c r="V41" i="138"/>
  <c r="AD41" i="138"/>
  <c r="P43" i="138"/>
  <c r="X43" i="138"/>
  <c r="AF43" i="138"/>
  <c r="M44" i="138"/>
  <c r="U44" i="138"/>
  <c r="AC44" i="138"/>
  <c r="K37" i="138"/>
  <c r="S37" i="138"/>
  <c r="AA37" i="138"/>
  <c r="P38" i="138"/>
  <c r="X38" i="138"/>
  <c r="M39" i="138"/>
  <c r="U39" i="138"/>
  <c r="J40" i="138"/>
  <c r="R40" i="138"/>
  <c r="Z40" i="138"/>
  <c r="O41" i="138"/>
  <c r="W41" i="138"/>
  <c r="Y43" i="138"/>
  <c r="N44" i="138"/>
  <c r="V44" i="138"/>
  <c r="AK113" i="163" l="1"/>
  <c r="R186" i="164"/>
  <c r="Q187" i="164"/>
  <c r="AC75" i="138"/>
  <c r="U75" i="138"/>
  <c r="M75" i="138"/>
  <c r="AE75" i="138"/>
  <c r="AB75" i="138"/>
  <c r="T75" i="138"/>
  <c r="L75" i="138"/>
  <c r="AI75" i="138"/>
  <c r="AA75" i="138"/>
  <c r="S75" i="138"/>
  <c r="K75" i="138"/>
  <c r="X75" i="138"/>
  <c r="H75" i="138"/>
  <c r="AH75" i="138"/>
  <c r="Z75" i="138"/>
  <c r="R75" i="138"/>
  <c r="J75" i="138"/>
  <c r="P75" i="138"/>
  <c r="W75" i="138"/>
  <c r="AG75" i="138"/>
  <c r="Y75" i="138"/>
  <c r="Q75" i="138"/>
  <c r="I75" i="138"/>
  <c r="O75" i="138"/>
  <c r="AF75" i="138"/>
  <c r="V75" i="138"/>
  <c r="AD75" i="138"/>
  <c r="N75" i="138"/>
  <c r="AG76" i="138"/>
  <c r="Y76" i="138"/>
  <c r="Q76" i="138"/>
  <c r="I76" i="138"/>
  <c r="AA76" i="138"/>
  <c r="AF76" i="138"/>
  <c r="X76" i="138"/>
  <c r="P76" i="138"/>
  <c r="H76" i="138"/>
  <c r="S76" i="138"/>
  <c r="AE76" i="138"/>
  <c r="W76" i="138"/>
  <c r="O76" i="138"/>
  <c r="K76" i="138"/>
  <c r="AD76" i="138"/>
  <c r="V76" i="138"/>
  <c r="N76" i="138"/>
  <c r="AC76" i="138"/>
  <c r="U76" i="138"/>
  <c r="M76" i="138"/>
  <c r="AI76" i="138"/>
  <c r="AB76" i="138"/>
  <c r="T76" i="138"/>
  <c r="L76" i="138"/>
  <c r="Z76" i="138"/>
  <c r="AH76" i="138"/>
  <c r="R76" i="138"/>
  <c r="J76" i="138"/>
  <c r="AI91" i="138"/>
  <c r="AA91" i="138"/>
  <c r="S91" i="138"/>
  <c r="K91" i="138"/>
  <c r="AH91" i="138"/>
  <c r="Z91" i="138"/>
  <c r="R91" i="138"/>
  <c r="J91" i="138"/>
  <c r="AC91" i="138"/>
  <c r="AG91" i="138"/>
  <c r="Y91" i="138"/>
  <c r="Q91" i="138"/>
  <c r="I91" i="138"/>
  <c r="AB91" i="138"/>
  <c r="AF91" i="138"/>
  <c r="X91" i="138"/>
  <c r="P91" i="138"/>
  <c r="H91" i="138"/>
  <c r="U91" i="138"/>
  <c r="AE91" i="138"/>
  <c r="W91" i="138"/>
  <c r="O91" i="138"/>
  <c r="M91" i="138"/>
  <c r="T91" i="138"/>
  <c r="L91" i="138"/>
  <c r="AD91" i="138"/>
  <c r="V91" i="138"/>
  <c r="N91" i="138"/>
  <c r="AG80" i="138"/>
  <c r="Y80" i="138"/>
  <c r="Q80" i="138"/>
  <c r="I80" i="138"/>
  <c r="K80" i="138"/>
  <c r="AF80" i="138"/>
  <c r="X80" i="138"/>
  <c r="P80" i="138"/>
  <c r="H80" i="138"/>
  <c r="AE80" i="138"/>
  <c r="W80" i="138"/>
  <c r="O80" i="138"/>
  <c r="AI80" i="138"/>
  <c r="AD80" i="138"/>
  <c r="V80" i="138"/>
  <c r="N80" i="138"/>
  <c r="S80" i="138"/>
  <c r="AC80" i="138"/>
  <c r="U80" i="138"/>
  <c r="M80" i="138"/>
  <c r="AA80" i="138"/>
  <c r="AB80" i="138"/>
  <c r="T80" i="138"/>
  <c r="L80" i="138"/>
  <c r="R80" i="138"/>
  <c r="J80" i="138"/>
  <c r="AH80" i="138"/>
  <c r="Z80" i="138"/>
  <c r="AC77" i="138"/>
  <c r="U77" i="138"/>
  <c r="M77" i="138"/>
  <c r="W77" i="138"/>
  <c r="AB77" i="138"/>
  <c r="T77" i="138"/>
  <c r="L77" i="138"/>
  <c r="AI77" i="138"/>
  <c r="AA77" i="138"/>
  <c r="S77" i="138"/>
  <c r="K77" i="138"/>
  <c r="AE77" i="138"/>
  <c r="AH77" i="138"/>
  <c r="Z77" i="138"/>
  <c r="R77" i="138"/>
  <c r="J77" i="138"/>
  <c r="O77" i="138"/>
  <c r="AG77" i="138"/>
  <c r="Y77" i="138"/>
  <c r="Q77" i="138"/>
  <c r="I77" i="138"/>
  <c r="AF77" i="138"/>
  <c r="X77" i="138"/>
  <c r="P77" i="138"/>
  <c r="H77" i="138"/>
  <c r="AD77" i="138"/>
  <c r="V77" i="138"/>
  <c r="N77" i="138"/>
  <c r="AG78" i="138"/>
  <c r="Y78" i="138"/>
  <c r="Q78" i="138"/>
  <c r="I78" i="138"/>
  <c r="AI78" i="138"/>
  <c r="AF78" i="138"/>
  <c r="X78" i="138"/>
  <c r="P78" i="138"/>
  <c r="H78" i="138"/>
  <c r="S78" i="138"/>
  <c r="AE78" i="138"/>
  <c r="W78" i="138"/>
  <c r="O78" i="138"/>
  <c r="AD78" i="138"/>
  <c r="V78" i="138"/>
  <c r="N78" i="138"/>
  <c r="AA78" i="138"/>
  <c r="AC78" i="138"/>
  <c r="U78" i="138"/>
  <c r="M78" i="138"/>
  <c r="K78" i="138"/>
  <c r="AB78" i="138"/>
  <c r="T78" i="138"/>
  <c r="L78" i="138"/>
  <c r="AH78" i="138"/>
  <c r="Z78" i="138"/>
  <c r="R78" i="138"/>
  <c r="J78" i="138"/>
  <c r="AC81" i="138"/>
  <c r="U81" i="138"/>
  <c r="M81" i="138"/>
  <c r="W81" i="138"/>
  <c r="AB81" i="138"/>
  <c r="T81" i="138"/>
  <c r="L81" i="138"/>
  <c r="O81" i="138"/>
  <c r="AI81" i="138"/>
  <c r="AA81" i="138"/>
  <c r="S81" i="138"/>
  <c r="K81" i="138"/>
  <c r="AH81" i="138"/>
  <c r="Z81" i="138"/>
  <c r="R81" i="138"/>
  <c r="J81" i="138"/>
  <c r="AE81" i="138"/>
  <c r="AG81" i="138"/>
  <c r="Y81" i="138"/>
  <c r="Q81" i="138"/>
  <c r="I81" i="138"/>
  <c r="AF81" i="138"/>
  <c r="X81" i="138"/>
  <c r="P81" i="138"/>
  <c r="H81" i="138"/>
  <c r="AD81" i="138"/>
  <c r="V81" i="138"/>
  <c r="N81" i="138"/>
  <c r="AG74" i="138"/>
  <c r="Y74" i="138"/>
  <c r="Q74" i="138"/>
  <c r="I74" i="138"/>
  <c r="AI74" i="138"/>
  <c r="AF74" i="138"/>
  <c r="X74" i="138"/>
  <c r="P74" i="138"/>
  <c r="H74" i="138"/>
  <c r="AA74" i="138"/>
  <c r="AE74" i="138"/>
  <c r="W74" i="138"/>
  <c r="O74" i="138"/>
  <c r="AB74" i="138"/>
  <c r="L74" i="138"/>
  <c r="S74" i="138"/>
  <c r="AD74" i="138"/>
  <c r="V74" i="138"/>
  <c r="N74" i="138"/>
  <c r="T74" i="138"/>
  <c r="K74" i="138"/>
  <c r="AC74" i="138"/>
  <c r="U74" i="138"/>
  <c r="M74" i="138"/>
  <c r="R74" i="138"/>
  <c r="J74" i="138"/>
  <c r="AH74" i="138"/>
  <c r="Z74" i="138"/>
  <c r="AE86" i="138"/>
  <c r="W86" i="138"/>
  <c r="O86" i="138"/>
  <c r="Q86" i="138"/>
  <c r="AD86" i="138"/>
  <c r="V86" i="138"/>
  <c r="N86" i="138"/>
  <c r="Y86" i="138"/>
  <c r="AC86" i="138"/>
  <c r="U86" i="138"/>
  <c r="M86" i="138"/>
  <c r="AB86" i="138"/>
  <c r="T86" i="138"/>
  <c r="L86" i="138"/>
  <c r="AG86" i="138"/>
  <c r="AI86" i="138"/>
  <c r="AA86" i="138"/>
  <c r="S86" i="138"/>
  <c r="K86" i="138"/>
  <c r="I86" i="138"/>
  <c r="AH86" i="138"/>
  <c r="Z86" i="138"/>
  <c r="R86" i="138"/>
  <c r="J86" i="138"/>
  <c r="X86" i="138"/>
  <c r="P86" i="138"/>
  <c r="H86" i="138"/>
  <c r="AF86" i="138"/>
  <c r="R187" i="164" l="1"/>
  <c r="S186" i="164"/>
  <c r="O13" i="150"/>
  <c r="O14" i="150"/>
  <c r="O12" i="150"/>
  <c r="S187" i="164" l="1"/>
  <c r="T186" i="164"/>
  <c r="B8" i="72"/>
  <c r="A37" i="138"/>
  <c r="B37" i="138"/>
  <c r="A48" i="138"/>
  <c r="B48" i="138"/>
  <c r="A52" i="138"/>
  <c r="B52" i="138"/>
  <c r="A56" i="138"/>
  <c r="B56" i="138"/>
  <c r="A60" i="138"/>
  <c r="B60" i="138"/>
  <c r="B27" i="138"/>
  <c r="A27" i="138"/>
  <c r="F6" i="153"/>
  <c r="F7" i="153"/>
  <c r="F8" i="153"/>
  <c r="F9" i="153"/>
  <c r="F10" i="153"/>
  <c r="F5" i="153"/>
  <c r="T187" i="164" l="1"/>
  <c r="U186" i="164"/>
  <c r="AK112" i="138"/>
  <c r="J112" i="138" s="1"/>
  <c r="J125" i="138" s="1"/>
  <c r="AK104" i="138"/>
  <c r="H104" i="138" s="1"/>
  <c r="H117" i="138" s="1"/>
  <c r="AK114" i="138"/>
  <c r="AC114" i="138" s="1"/>
  <c r="AC127" i="138" s="1"/>
  <c r="AK111" i="138"/>
  <c r="AC111" i="138" s="1"/>
  <c r="AC124" i="138" s="1"/>
  <c r="AK106" i="138"/>
  <c r="M106" i="138" s="1"/>
  <c r="M119" i="138" s="1"/>
  <c r="AC104" i="138" l="1"/>
  <c r="AC117" i="138" s="1"/>
  <c r="U104" i="138"/>
  <c r="U117" i="138" s="1"/>
  <c r="Y112" i="138"/>
  <c r="Y125" i="138" s="1"/>
  <c r="AF112" i="138"/>
  <c r="AF125" i="138" s="1"/>
  <c r="N112" i="138"/>
  <c r="N125" i="138" s="1"/>
  <c r="AI112" i="138"/>
  <c r="AI125" i="138" s="1"/>
  <c r="U112" i="138"/>
  <c r="U125" i="138" s="1"/>
  <c r="AA112" i="138"/>
  <c r="AA125" i="138" s="1"/>
  <c r="AI114" i="138"/>
  <c r="AI127" i="138" s="1"/>
  <c r="Y104" i="138"/>
  <c r="Y117" i="138" s="1"/>
  <c r="I104" i="138"/>
  <c r="I117" i="138" s="1"/>
  <c r="K104" i="138"/>
  <c r="K117" i="138" s="1"/>
  <c r="J114" i="138"/>
  <c r="J127" i="138" s="1"/>
  <c r="P114" i="138"/>
  <c r="P127" i="138" s="1"/>
  <c r="AH104" i="138"/>
  <c r="AH117" i="138" s="1"/>
  <c r="AB104" i="138"/>
  <c r="AB117" i="138" s="1"/>
  <c r="AA104" i="138"/>
  <c r="AA117" i="138" s="1"/>
  <c r="AG104" i="138"/>
  <c r="AG117" i="138" s="1"/>
  <c r="R104" i="138"/>
  <c r="R117" i="138" s="1"/>
  <c r="P104" i="138"/>
  <c r="P117" i="138" s="1"/>
  <c r="N104" i="138"/>
  <c r="N117" i="138" s="1"/>
  <c r="AK105" i="138"/>
  <c r="T105" i="138" s="1"/>
  <c r="T118" i="138" s="1"/>
  <c r="M104" i="138"/>
  <c r="M117" i="138" s="1"/>
  <c r="AI104" i="138"/>
  <c r="AI117" i="138" s="1"/>
  <c r="AD104" i="138"/>
  <c r="AD117" i="138" s="1"/>
  <c r="AE112" i="138"/>
  <c r="AE125" i="138" s="1"/>
  <c r="I112" i="138"/>
  <c r="I125" i="138" s="1"/>
  <c r="W112" i="138"/>
  <c r="W125" i="138" s="1"/>
  <c r="X104" i="138"/>
  <c r="X117" i="138" s="1"/>
  <c r="K112" i="138"/>
  <c r="K125" i="138" s="1"/>
  <c r="L104" i="138"/>
  <c r="L117" i="138" s="1"/>
  <c r="AC112" i="138"/>
  <c r="AC125" i="138" s="1"/>
  <c r="V104" i="138"/>
  <c r="V117" i="138" s="1"/>
  <c r="AB112" i="138"/>
  <c r="AB125" i="138" s="1"/>
  <c r="U187" i="164"/>
  <c r="V186" i="164"/>
  <c r="AA111" i="138"/>
  <c r="AA124" i="138" s="1"/>
  <c r="T111" i="138"/>
  <c r="T124" i="138" s="1"/>
  <c r="K111" i="138"/>
  <c r="K124" i="138" s="1"/>
  <c r="Y111" i="138"/>
  <c r="Y124" i="138" s="1"/>
  <c r="AH111" i="138"/>
  <c r="AH124" i="138" s="1"/>
  <c r="M111" i="138"/>
  <c r="M124" i="138" s="1"/>
  <c r="AE111" i="138"/>
  <c r="AE124" i="138" s="1"/>
  <c r="X111" i="138"/>
  <c r="X124" i="138" s="1"/>
  <c r="AG111" i="138"/>
  <c r="AG124" i="138" s="1"/>
  <c r="S111" i="138"/>
  <c r="S124" i="138" s="1"/>
  <c r="AD114" i="138"/>
  <c r="AD127" i="138" s="1"/>
  <c r="I111" i="138"/>
  <c r="I124" i="138" s="1"/>
  <c r="Z111" i="138"/>
  <c r="Z124" i="138" s="1"/>
  <c r="AB111" i="138"/>
  <c r="AB124" i="138" s="1"/>
  <c r="L111" i="138"/>
  <c r="L124" i="138" s="1"/>
  <c r="X112" i="138"/>
  <c r="X125" i="138" s="1"/>
  <c r="AH112" i="138"/>
  <c r="AH125" i="138" s="1"/>
  <c r="H112" i="138"/>
  <c r="H125" i="138" s="1"/>
  <c r="Q104" i="138"/>
  <c r="Q117" i="138" s="1"/>
  <c r="S104" i="138"/>
  <c r="S117" i="138" s="1"/>
  <c r="O104" i="138"/>
  <c r="O117" i="138" s="1"/>
  <c r="AE104" i="138"/>
  <c r="AE117" i="138" s="1"/>
  <c r="T112" i="138"/>
  <c r="T125" i="138" s="1"/>
  <c r="AK113" i="138"/>
  <c r="O113" i="138" s="1"/>
  <c r="O126" i="138" s="1"/>
  <c r="AG112" i="138"/>
  <c r="AG125" i="138" s="1"/>
  <c r="J104" i="138"/>
  <c r="J117" i="138" s="1"/>
  <c r="W104" i="138"/>
  <c r="W117" i="138" s="1"/>
  <c r="T104" i="138"/>
  <c r="T117" i="138" s="1"/>
  <c r="R112" i="138"/>
  <c r="R125" i="138" s="1"/>
  <c r="L112" i="138"/>
  <c r="L125" i="138" s="1"/>
  <c r="AD112" i="138"/>
  <c r="AD125" i="138" s="1"/>
  <c r="P112" i="138"/>
  <c r="P125" i="138" s="1"/>
  <c r="O112" i="138"/>
  <c r="O125" i="138" s="1"/>
  <c r="S112" i="138"/>
  <c r="S125" i="138" s="1"/>
  <c r="M112" i="138"/>
  <c r="M125" i="138" s="1"/>
  <c r="AF104" i="138"/>
  <c r="AF117" i="138" s="1"/>
  <c r="Z104" i="138"/>
  <c r="Z117" i="138" s="1"/>
  <c r="Z112" i="138"/>
  <c r="Z125" i="138" s="1"/>
  <c r="Q112" i="138"/>
  <c r="Q125" i="138" s="1"/>
  <c r="V112" i="138"/>
  <c r="V125" i="138" s="1"/>
  <c r="M114" i="138"/>
  <c r="M127" i="138" s="1"/>
  <c r="K114" i="138"/>
  <c r="K127" i="138" s="1"/>
  <c r="I106" i="138"/>
  <c r="I119" i="138" s="1"/>
  <c r="Q114" i="138"/>
  <c r="Q127" i="138" s="1"/>
  <c r="P106" i="138"/>
  <c r="P119" i="138" s="1"/>
  <c r="N114" i="138"/>
  <c r="N127" i="138" s="1"/>
  <c r="Y114" i="138"/>
  <c r="Y127" i="138" s="1"/>
  <c r="L114" i="138"/>
  <c r="L127" i="138" s="1"/>
  <c r="AE114" i="138"/>
  <c r="AE127" i="138" s="1"/>
  <c r="Z114" i="138"/>
  <c r="Z127" i="138" s="1"/>
  <c r="X114" i="138"/>
  <c r="X127" i="138" s="1"/>
  <c r="AA106" i="138"/>
  <c r="AA119" i="138" s="1"/>
  <c r="AF114" i="138"/>
  <c r="AF127" i="138" s="1"/>
  <c r="W111" i="138"/>
  <c r="W124" i="138" s="1"/>
  <c r="U111" i="138"/>
  <c r="U124" i="138" s="1"/>
  <c r="I114" i="138"/>
  <c r="I127" i="138" s="1"/>
  <c r="T114" i="138"/>
  <c r="T127" i="138" s="1"/>
  <c r="AB106" i="138"/>
  <c r="AB119" i="138" s="1"/>
  <c r="Q106" i="138"/>
  <c r="Q119" i="138" s="1"/>
  <c r="U106" i="138"/>
  <c r="U119" i="138" s="1"/>
  <c r="Z106" i="138"/>
  <c r="Z119" i="138" s="1"/>
  <c r="T106" i="138"/>
  <c r="T119" i="138" s="1"/>
  <c r="AI106" i="138"/>
  <c r="AI119" i="138" s="1"/>
  <c r="AK107" i="138"/>
  <c r="AC107" i="138" s="1"/>
  <c r="AC120" i="138" s="1"/>
  <c r="AF111" i="138"/>
  <c r="AF124" i="138" s="1"/>
  <c r="J111" i="138"/>
  <c r="J124" i="138" s="1"/>
  <c r="X106" i="138"/>
  <c r="X119" i="138" s="1"/>
  <c r="R114" i="138"/>
  <c r="R127" i="138" s="1"/>
  <c r="AK115" i="138"/>
  <c r="U115" i="138" s="1"/>
  <c r="U128" i="138" s="1"/>
  <c r="H114" i="138"/>
  <c r="H127" i="138" s="1"/>
  <c r="AC106" i="138"/>
  <c r="AC119" i="138" s="1"/>
  <c r="AD111" i="138"/>
  <c r="AD124" i="138" s="1"/>
  <c r="R111" i="138"/>
  <c r="R124" i="138" s="1"/>
  <c r="O106" i="138"/>
  <c r="O119" i="138" s="1"/>
  <c r="R106" i="138"/>
  <c r="R119" i="138" s="1"/>
  <c r="V114" i="138"/>
  <c r="V127" i="138" s="1"/>
  <c r="W114" i="138"/>
  <c r="W127" i="138" s="1"/>
  <c r="AG114" i="138"/>
  <c r="AG127" i="138" s="1"/>
  <c r="N111" i="138"/>
  <c r="N124" i="138" s="1"/>
  <c r="H111" i="138"/>
  <c r="H124" i="138" s="1"/>
  <c r="S106" i="138"/>
  <c r="S119" i="138" s="1"/>
  <c r="Y106" i="138"/>
  <c r="Y119" i="138" s="1"/>
  <c r="AH114" i="138"/>
  <c r="AH127" i="138" s="1"/>
  <c r="S114" i="138"/>
  <c r="S127" i="138" s="1"/>
  <c r="U114" i="138"/>
  <c r="U127" i="138" s="1"/>
  <c r="AB114" i="138"/>
  <c r="AB127" i="138" s="1"/>
  <c r="AF106" i="138"/>
  <c r="AF119" i="138" s="1"/>
  <c r="N106" i="138"/>
  <c r="N119" i="138" s="1"/>
  <c r="AD106" i="138"/>
  <c r="AD119" i="138" s="1"/>
  <c r="J106" i="138"/>
  <c r="J119" i="138" s="1"/>
  <c r="V106" i="138"/>
  <c r="V119" i="138" s="1"/>
  <c r="W106" i="138"/>
  <c r="W119" i="138" s="1"/>
  <c r="AE106" i="138"/>
  <c r="AE119" i="138" s="1"/>
  <c r="P111" i="138"/>
  <c r="P124" i="138" s="1"/>
  <c r="AH106" i="138"/>
  <c r="AH119" i="138" s="1"/>
  <c r="V111" i="138"/>
  <c r="V124" i="138" s="1"/>
  <c r="H106" i="138"/>
  <c r="H119" i="138" s="1"/>
  <c r="AI111" i="138"/>
  <c r="AI124" i="138" s="1"/>
  <c r="K106" i="138"/>
  <c r="K119" i="138" s="1"/>
  <c r="AA114" i="138"/>
  <c r="AA127" i="138" s="1"/>
  <c r="O111" i="138"/>
  <c r="O124" i="138" s="1"/>
  <c r="L106" i="138"/>
  <c r="L119" i="138" s="1"/>
  <c r="O114" i="138"/>
  <c r="O127" i="138" s="1"/>
  <c r="Q111" i="138"/>
  <c r="Q124" i="138" s="1"/>
  <c r="AG106" i="138"/>
  <c r="AG119" i="138" s="1"/>
  <c r="AK41" i="128"/>
  <c r="AJ41" i="128"/>
  <c r="AI41" i="128"/>
  <c r="AG41" i="128"/>
  <c r="AF41" i="128"/>
  <c r="AE41" i="128"/>
  <c r="AD41" i="128"/>
  <c r="AC41" i="128"/>
  <c r="AB41" i="128"/>
  <c r="AA41" i="128"/>
  <c r="Z41" i="128"/>
  <c r="Y41" i="128"/>
  <c r="X41" i="128"/>
  <c r="W41" i="128"/>
  <c r="V41" i="128"/>
  <c r="U41" i="128"/>
  <c r="T41" i="128"/>
  <c r="S41" i="128"/>
  <c r="R41" i="128"/>
  <c r="P41" i="128"/>
  <c r="O41" i="128"/>
  <c r="N41" i="128"/>
  <c r="M41" i="128"/>
  <c r="K41" i="128"/>
  <c r="AK53" i="128"/>
  <c r="AJ53" i="128"/>
  <c r="AI53" i="128"/>
  <c r="AH53" i="128"/>
  <c r="AG53" i="128"/>
  <c r="AF53" i="128"/>
  <c r="AE53" i="128"/>
  <c r="AD53" i="128"/>
  <c r="AC53" i="128"/>
  <c r="AB53" i="128"/>
  <c r="AA53" i="128"/>
  <c r="Z53" i="128"/>
  <c r="Y53" i="128"/>
  <c r="X53" i="128"/>
  <c r="W53" i="128"/>
  <c r="V53" i="128"/>
  <c r="U53" i="128"/>
  <c r="T53" i="128"/>
  <c r="S53" i="128"/>
  <c r="R53" i="128"/>
  <c r="Q53" i="128"/>
  <c r="P53" i="128"/>
  <c r="O53" i="128"/>
  <c r="N53" i="128"/>
  <c r="M53" i="128"/>
  <c r="L53" i="128"/>
  <c r="K53" i="128"/>
  <c r="J53" i="128"/>
  <c r="J48" i="128"/>
  <c r="AK48" i="128"/>
  <c r="AJ48" i="128"/>
  <c r="AI48" i="128"/>
  <c r="AH48" i="128"/>
  <c r="AG48" i="128"/>
  <c r="AF48" i="128"/>
  <c r="AE48" i="128"/>
  <c r="AD48" i="128"/>
  <c r="AC48" i="128"/>
  <c r="AB48" i="128"/>
  <c r="AA48" i="128"/>
  <c r="Z48" i="128"/>
  <c r="Y48" i="128"/>
  <c r="X48" i="128"/>
  <c r="W48" i="128"/>
  <c r="V48" i="128"/>
  <c r="U48" i="128"/>
  <c r="T48" i="128"/>
  <c r="S48" i="128"/>
  <c r="R48" i="128"/>
  <c r="Q48" i="128"/>
  <c r="P48" i="128"/>
  <c r="O48" i="128"/>
  <c r="N48" i="128"/>
  <c r="M48" i="128"/>
  <c r="L48" i="128"/>
  <c r="K48" i="128"/>
  <c r="AK57" i="128"/>
  <c r="AJ57" i="128"/>
  <c r="AI57" i="128"/>
  <c r="AH57" i="128"/>
  <c r="AG57" i="128"/>
  <c r="AF57" i="128"/>
  <c r="AE57" i="128"/>
  <c r="AD57" i="128"/>
  <c r="AC57" i="128"/>
  <c r="AB57" i="128"/>
  <c r="AA57" i="128"/>
  <c r="Z57" i="128"/>
  <c r="Y57" i="128"/>
  <c r="X57" i="128"/>
  <c r="W57" i="128"/>
  <c r="V57" i="128"/>
  <c r="U57" i="128"/>
  <c r="T57" i="128"/>
  <c r="S57" i="128"/>
  <c r="R57" i="128"/>
  <c r="Q57" i="128"/>
  <c r="P57" i="128"/>
  <c r="O57" i="128"/>
  <c r="N57" i="128"/>
  <c r="M57" i="128"/>
  <c r="L57" i="128"/>
  <c r="K57" i="128"/>
  <c r="J57" i="128"/>
  <c r="H105" i="138" l="1"/>
  <c r="H118" i="138" s="1"/>
  <c r="AA105" i="138"/>
  <c r="AA118" i="138" s="1"/>
  <c r="Z105" i="138"/>
  <c r="Z118" i="138" s="1"/>
  <c r="X105" i="138"/>
  <c r="X118" i="138" s="1"/>
  <c r="R105" i="138"/>
  <c r="R118" i="138" s="1"/>
  <c r="AB105" i="138"/>
  <c r="AB118" i="138" s="1"/>
  <c r="J105" i="138"/>
  <c r="J118" i="138" s="1"/>
  <c r="S105" i="138"/>
  <c r="S118" i="138" s="1"/>
  <c r="AF105" i="138"/>
  <c r="AF118" i="138" s="1"/>
  <c r="I105" i="138"/>
  <c r="I118" i="138" s="1"/>
  <c r="N105" i="138"/>
  <c r="N118" i="138" s="1"/>
  <c r="Y105" i="138"/>
  <c r="Y118" i="138" s="1"/>
  <c r="AD105" i="138"/>
  <c r="AD118" i="138" s="1"/>
  <c r="W105" i="138"/>
  <c r="W118" i="138" s="1"/>
  <c r="AE105" i="138"/>
  <c r="AE118" i="138" s="1"/>
  <c r="L105" i="138"/>
  <c r="L118" i="138" s="1"/>
  <c r="AC105" i="138"/>
  <c r="AC118" i="138" s="1"/>
  <c r="AI105" i="138"/>
  <c r="AI118" i="138" s="1"/>
  <c r="K105" i="138"/>
  <c r="K118" i="138" s="1"/>
  <c r="V105" i="138"/>
  <c r="V118" i="138" s="1"/>
  <c r="AH105" i="138"/>
  <c r="AH118" i="138" s="1"/>
  <c r="AB115" i="138"/>
  <c r="AB128" i="138" s="1"/>
  <c r="U105" i="138"/>
  <c r="U118" i="138" s="1"/>
  <c r="O105" i="138"/>
  <c r="O118" i="138" s="1"/>
  <c r="Q105" i="138"/>
  <c r="Q118" i="138" s="1"/>
  <c r="P105" i="138"/>
  <c r="P118" i="138" s="1"/>
  <c r="M105" i="138"/>
  <c r="M118" i="138" s="1"/>
  <c r="AG105" i="138"/>
  <c r="AG118" i="138" s="1"/>
  <c r="AH115" i="138"/>
  <c r="AH128" i="138" s="1"/>
  <c r="U113" i="138"/>
  <c r="U126" i="138" s="1"/>
  <c r="V187" i="164"/>
  <c r="W186" i="164"/>
  <c r="I107" i="138"/>
  <c r="I120" i="138" s="1"/>
  <c r="AD113" i="138"/>
  <c r="AD126" i="138" s="1"/>
  <c r="AE107" i="138"/>
  <c r="AE120" i="138" s="1"/>
  <c r="J113" i="138"/>
  <c r="J126" i="138" s="1"/>
  <c r="AF113" i="138"/>
  <c r="AF126" i="138" s="1"/>
  <c r="Z107" i="138"/>
  <c r="Z120" i="138" s="1"/>
  <c r="M113" i="138"/>
  <c r="M126" i="138" s="1"/>
  <c r="AA113" i="138"/>
  <c r="AA126" i="138" s="1"/>
  <c r="S113" i="138"/>
  <c r="S126" i="138" s="1"/>
  <c r="N113" i="138"/>
  <c r="N126" i="138" s="1"/>
  <c r="AB113" i="138"/>
  <c r="AB126" i="138" s="1"/>
  <c r="X113" i="138"/>
  <c r="X126" i="138" s="1"/>
  <c r="I113" i="138"/>
  <c r="I126" i="138" s="1"/>
  <c r="Q113" i="138"/>
  <c r="Q126" i="138" s="1"/>
  <c r="U107" i="138"/>
  <c r="U120" i="138" s="1"/>
  <c r="AG113" i="138"/>
  <c r="AG126" i="138" s="1"/>
  <c r="Z113" i="138"/>
  <c r="Z126" i="138" s="1"/>
  <c r="AD107" i="138"/>
  <c r="AD120" i="138" s="1"/>
  <c r="AH113" i="138"/>
  <c r="AH126" i="138" s="1"/>
  <c r="L113" i="138"/>
  <c r="L126" i="138" s="1"/>
  <c r="AE113" i="138"/>
  <c r="AE126" i="138" s="1"/>
  <c r="R115" i="138"/>
  <c r="R128" i="138" s="1"/>
  <c r="AH107" i="138"/>
  <c r="AH120" i="138" s="1"/>
  <c r="Q107" i="138"/>
  <c r="Q120" i="138" s="1"/>
  <c r="P113" i="138"/>
  <c r="P126" i="138" s="1"/>
  <c r="R113" i="138"/>
  <c r="R126" i="138" s="1"/>
  <c r="W113" i="138"/>
  <c r="W126" i="138" s="1"/>
  <c r="M115" i="138"/>
  <c r="M128" i="138" s="1"/>
  <c r="N107" i="138"/>
  <c r="N120" i="138" s="1"/>
  <c r="AI113" i="138"/>
  <c r="AI126" i="138" s="1"/>
  <c r="T113" i="138"/>
  <c r="T126" i="138" s="1"/>
  <c r="Y113" i="138"/>
  <c r="Y126" i="138" s="1"/>
  <c r="AC113" i="138"/>
  <c r="AC126" i="138" s="1"/>
  <c r="H115" i="138"/>
  <c r="H128" i="138" s="1"/>
  <c r="K113" i="138"/>
  <c r="K126" i="138" s="1"/>
  <c r="H113" i="138"/>
  <c r="H126" i="138" s="1"/>
  <c r="V113" i="138"/>
  <c r="V126" i="138" s="1"/>
  <c r="I115" i="138"/>
  <c r="I128" i="138" s="1"/>
  <c r="Y115" i="138"/>
  <c r="Y128" i="138" s="1"/>
  <c r="S115" i="138"/>
  <c r="S128" i="138" s="1"/>
  <c r="T115" i="138"/>
  <c r="T128" i="138" s="1"/>
  <c r="X115" i="138"/>
  <c r="X128" i="138" s="1"/>
  <c r="K107" i="138"/>
  <c r="K120" i="138" s="1"/>
  <c r="AK108" i="138"/>
  <c r="W108" i="138" s="1"/>
  <c r="W121" i="138" s="1"/>
  <c r="R107" i="138"/>
  <c r="R120" i="138" s="1"/>
  <c r="AI107" i="138"/>
  <c r="AI120" i="138" s="1"/>
  <c r="AG115" i="138"/>
  <c r="AG128" i="138" s="1"/>
  <c r="AC115" i="138"/>
  <c r="AC128" i="138" s="1"/>
  <c r="O115" i="138"/>
  <c r="O128" i="138" s="1"/>
  <c r="J107" i="138"/>
  <c r="J120" i="138" s="1"/>
  <c r="L107" i="138"/>
  <c r="L120" i="138" s="1"/>
  <c r="Z115" i="138"/>
  <c r="Z128" i="138" s="1"/>
  <c r="AD115" i="138"/>
  <c r="AD128" i="138" s="1"/>
  <c r="W115" i="138"/>
  <c r="W128" i="138" s="1"/>
  <c r="H107" i="138"/>
  <c r="H120" i="138" s="1"/>
  <c r="AA107" i="138"/>
  <c r="AA120" i="138" s="1"/>
  <c r="T107" i="138"/>
  <c r="T120" i="138" s="1"/>
  <c r="L115" i="138"/>
  <c r="L128" i="138" s="1"/>
  <c r="AE115" i="138"/>
  <c r="AE128" i="138" s="1"/>
  <c r="K115" i="138"/>
  <c r="K128" i="138" s="1"/>
  <c r="S107" i="138"/>
  <c r="S120" i="138" s="1"/>
  <c r="M107" i="138"/>
  <c r="M120" i="138" s="1"/>
  <c r="V115" i="138"/>
  <c r="V128" i="138" s="1"/>
  <c r="AA115" i="138"/>
  <c r="AA128" i="138" s="1"/>
  <c r="P115" i="138"/>
  <c r="P128" i="138" s="1"/>
  <c r="AF107" i="138"/>
  <c r="AF120" i="138" s="1"/>
  <c r="AB107" i="138"/>
  <c r="AB120" i="138" s="1"/>
  <c r="J115" i="138"/>
  <c r="J128" i="138" s="1"/>
  <c r="AF115" i="138"/>
  <c r="AF128" i="138" s="1"/>
  <c r="Q115" i="138"/>
  <c r="Q128" i="138" s="1"/>
  <c r="AK109" i="138"/>
  <c r="AK116" i="138" s="1"/>
  <c r="AG107" i="138"/>
  <c r="AG120" i="138" s="1"/>
  <c r="P107" i="138"/>
  <c r="P120" i="138" s="1"/>
  <c r="V107" i="138"/>
  <c r="V120" i="138" s="1"/>
  <c r="AK110" i="138"/>
  <c r="X110" i="138" s="1"/>
  <c r="X123" i="138" s="1"/>
  <c r="X107" i="138"/>
  <c r="X120" i="138" s="1"/>
  <c r="AI115" i="138"/>
  <c r="AI128" i="138" s="1"/>
  <c r="N115" i="138"/>
  <c r="N128" i="138" s="1"/>
  <c r="Y107" i="138"/>
  <c r="Y120" i="138" s="1"/>
  <c r="O107" i="138"/>
  <c r="O120" i="138" s="1"/>
  <c r="W107" i="138"/>
  <c r="W120" i="138" s="1"/>
  <c r="B60" i="128"/>
  <c r="A60" i="128"/>
  <c r="B68" i="128"/>
  <c r="A68" i="128"/>
  <c r="AH108" i="138" l="1"/>
  <c r="AH121" i="138" s="1"/>
  <c r="AC108" i="138"/>
  <c r="AC121" i="138" s="1"/>
  <c r="AE110" i="138"/>
  <c r="AE123" i="138" s="1"/>
  <c r="S110" i="138"/>
  <c r="S123" i="138" s="1"/>
  <c r="AG110" i="138"/>
  <c r="AG123" i="138" s="1"/>
  <c r="X186" i="164"/>
  <c r="W187" i="164"/>
  <c r="L110" i="138"/>
  <c r="L123" i="138" s="1"/>
  <c r="X108" i="138"/>
  <c r="X121" i="138" s="1"/>
  <c r="Z110" i="138"/>
  <c r="Z123" i="138" s="1"/>
  <c r="AF108" i="138"/>
  <c r="AF121" i="138" s="1"/>
  <c r="K108" i="138"/>
  <c r="K121" i="138" s="1"/>
  <c r="O110" i="138"/>
  <c r="O123" i="138" s="1"/>
  <c r="R110" i="138"/>
  <c r="R123" i="138" s="1"/>
  <c r="O108" i="138"/>
  <c r="O121" i="138" s="1"/>
  <c r="AH110" i="138"/>
  <c r="AH123" i="138" s="1"/>
  <c r="R108" i="138"/>
  <c r="R121" i="138" s="1"/>
  <c r="AI110" i="138"/>
  <c r="AI123" i="138" s="1"/>
  <c r="T110" i="138"/>
  <c r="T123" i="138" s="1"/>
  <c r="AC110" i="138"/>
  <c r="AC123" i="138" s="1"/>
  <c r="AD110" i="138"/>
  <c r="AD123" i="138" s="1"/>
  <c r="U108" i="138"/>
  <c r="U121" i="138" s="1"/>
  <c r="W110" i="138"/>
  <c r="W123" i="138" s="1"/>
  <c r="N110" i="138"/>
  <c r="N123" i="138" s="1"/>
  <c r="AG108" i="138"/>
  <c r="AG121" i="138" s="1"/>
  <c r="AB108" i="138"/>
  <c r="AB121" i="138" s="1"/>
  <c r="AA108" i="138"/>
  <c r="AA121" i="138" s="1"/>
  <c r="AE108" i="138"/>
  <c r="AE121" i="138" s="1"/>
  <c r="M109" i="138"/>
  <c r="M122" i="138" s="1"/>
  <c r="R109" i="138"/>
  <c r="R122" i="138" s="1"/>
  <c r="AF109" i="138"/>
  <c r="AF122" i="138" s="1"/>
  <c r="AI109" i="138"/>
  <c r="AI122" i="138" s="1"/>
  <c r="W109" i="138"/>
  <c r="W122" i="138" s="1"/>
  <c r="X109" i="138"/>
  <c r="X116" i="138" s="1"/>
  <c r="X129" i="138" s="1"/>
  <c r="I108" i="138"/>
  <c r="I121" i="138" s="1"/>
  <c r="AI108" i="138"/>
  <c r="AI121" i="138" s="1"/>
  <c r="S108" i="138"/>
  <c r="S121" i="138" s="1"/>
  <c r="H110" i="138"/>
  <c r="H123" i="138" s="1"/>
  <c r="U110" i="138"/>
  <c r="U123" i="138" s="1"/>
  <c r="Y109" i="138"/>
  <c r="Y122" i="138" s="1"/>
  <c r="H108" i="138"/>
  <c r="H121" i="138" s="1"/>
  <c r="Y108" i="138"/>
  <c r="Y121" i="138" s="1"/>
  <c r="K110" i="138"/>
  <c r="K123" i="138" s="1"/>
  <c r="I110" i="138"/>
  <c r="I123" i="138" s="1"/>
  <c r="AF110" i="138"/>
  <c r="AF123" i="138" s="1"/>
  <c r="AD109" i="138"/>
  <c r="AD122" i="138" s="1"/>
  <c r="S109" i="138"/>
  <c r="S122" i="138" s="1"/>
  <c r="M108" i="138"/>
  <c r="M121" i="138" s="1"/>
  <c r="N108" i="138"/>
  <c r="N121" i="138" s="1"/>
  <c r="AD108" i="138"/>
  <c r="AD121" i="138" s="1"/>
  <c r="Q110" i="138"/>
  <c r="Q123" i="138" s="1"/>
  <c r="M110" i="138"/>
  <c r="M123" i="138" s="1"/>
  <c r="AC109" i="138"/>
  <c r="AC122" i="138" s="1"/>
  <c r="AG109" i="138"/>
  <c r="AG116" i="138" s="1"/>
  <c r="AG129" i="138" s="1"/>
  <c r="Q108" i="138"/>
  <c r="Q121" i="138" s="1"/>
  <c r="Z108" i="138"/>
  <c r="Z121" i="138" s="1"/>
  <c r="J110" i="138"/>
  <c r="J123" i="138" s="1"/>
  <c r="J109" i="138"/>
  <c r="J116" i="138" s="1"/>
  <c r="J129" i="138" s="1"/>
  <c r="J108" i="138"/>
  <c r="J121" i="138" s="1"/>
  <c r="L108" i="138"/>
  <c r="L121" i="138" s="1"/>
  <c r="V108" i="138"/>
  <c r="V121" i="138" s="1"/>
  <c r="T108" i="138"/>
  <c r="T121" i="138" s="1"/>
  <c r="P108" i="138"/>
  <c r="P121" i="138" s="1"/>
  <c r="Y110" i="138"/>
  <c r="Y123" i="138" s="1"/>
  <c r="P110" i="138"/>
  <c r="P123" i="138" s="1"/>
  <c r="AB110" i="138"/>
  <c r="AB123" i="138" s="1"/>
  <c r="Z109" i="138"/>
  <c r="Z116" i="138" s="1"/>
  <c r="Z129" i="138" s="1"/>
  <c r="H109" i="138"/>
  <c r="AB109" i="138"/>
  <c r="AH109" i="138"/>
  <c r="AE109" i="138"/>
  <c r="U109" i="138"/>
  <c r="Q109" i="138"/>
  <c r="I109" i="138"/>
  <c r="AA109" i="138"/>
  <c r="K109" i="138"/>
  <c r="V109" i="138"/>
  <c r="N109" i="138"/>
  <c r="P109" i="138"/>
  <c r="O109" i="138"/>
  <c r="T109" i="138"/>
  <c r="L109" i="138"/>
  <c r="V110" i="138"/>
  <c r="V123" i="138" s="1"/>
  <c r="AA110" i="138"/>
  <c r="AA123" i="138" s="1"/>
  <c r="AE82" i="139"/>
  <c r="AD82" i="139"/>
  <c r="AC82" i="139"/>
  <c r="AB82" i="139"/>
  <c r="AA82" i="139"/>
  <c r="G82" i="139"/>
  <c r="H82" i="139"/>
  <c r="I82" i="139"/>
  <c r="J82" i="139"/>
  <c r="K82" i="139"/>
  <c r="L82" i="139"/>
  <c r="M82" i="139"/>
  <c r="N82" i="139"/>
  <c r="O82" i="139"/>
  <c r="E82" i="139"/>
  <c r="AF200" i="139"/>
  <c r="AE200" i="139"/>
  <c r="AD200" i="139"/>
  <c r="AC200" i="139"/>
  <c r="AB200" i="139"/>
  <c r="AA200" i="139"/>
  <c r="Z200" i="139"/>
  <c r="Y200" i="139"/>
  <c r="X200" i="139"/>
  <c r="W200" i="139"/>
  <c r="V200" i="139"/>
  <c r="U200" i="139"/>
  <c r="T200" i="139"/>
  <c r="S200" i="139"/>
  <c r="R200" i="139"/>
  <c r="Q200" i="139"/>
  <c r="P200" i="139"/>
  <c r="O200" i="139"/>
  <c r="N200" i="139"/>
  <c r="M200" i="139"/>
  <c r="L200" i="139"/>
  <c r="K200" i="139"/>
  <c r="J200" i="139"/>
  <c r="I200" i="139"/>
  <c r="H200" i="139"/>
  <c r="G200" i="139"/>
  <c r="F200" i="139"/>
  <c r="E200" i="139"/>
  <c r="B405" i="149"/>
  <c r="B425" i="149" s="1"/>
  <c r="B404" i="149"/>
  <c r="B424" i="149" s="1"/>
  <c r="B403" i="149"/>
  <c r="B423" i="149" s="1"/>
  <c r="B402" i="149"/>
  <c r="B422" i="149" s="1"/>
  <c r="B401" i="149"/>
  <c r="B421" i="149" s="1"/>
  <c r="B400" i="149"/>
  <c r="B420" i="149" s="1"/>
  <c r="B399" i="149"/>
  <c r="B419" i="149" s="1"/>
  <c r="B398" i="149"/>
  <c r="B418" i="149" s="1"/>
  <c r="B397" i="149"/>
  <c r="B417" i="149" s="1"/>
  <c r="B396" i="149"/>
  <c r="B416" i="149" s="1"/>
  <c r="B395" i="149"/>
  <c r="B415" i="149" s="1"/>
  <c r="B394" i="149"/>
  <c r="B414" i="149" s="1"/>
  <c r="B393" i="149"/>
  <c r="B413" i="149" s="1"/>
  <c r="B392" i="149"/>
  <c r="B412" i="149" s="1"/>
  <c r="B391" i="149"/>
  <c r="B411" i="149" s="1"/>
  <c r="C392" i="149"/>
  <c r="C412" i="149" s="1"/>
  <c r="C393" i="149"/>
  <c r="C413" i="149" s="1"/>
  <c r="C394" i="149"/>
  <c r="C414" i="149" s="1"/>
  <c r="C395" i="149"/>
  <c r="C415" i="149" s="1"/>
  <c r="C396" i="149"/>
  <c r="C416" i="149" s="1"/>
  <c r="C397" i="149"/>
  <c r="C417" i="149" s="1"/>
  <c r="C398" i="149"/>
  <c r="C418" i="149" s="1"/>
  <c r="C399" i="149"/>
  <c r="C419" i="149" s="1"/>
  <c r="C400" i="149"/>
  <c r="C420" i="149" s="1"/>
  <c r="C401" i="149"/>
  <c r="C421" i="149" s="1"/>
  <c r="C402" i="149"/>
  <c r="C422" i="149" s="1"/>
  <c r="C403" i="149"/>
  <c r="C423" i="149" s="1"/>
  <c r="C404" i="149"/>
  <c r="C424" i="149" s="1"/>
  <c r="C405" i="149"/>
  <c r="C425" i="149" s="1"/>
  <c r="C391" i="149"/>
  <c r="C411" i="149" s="1"/>
  <c r="AF405" i="149"/>
  <c r="AE405" i="149"/>
  <c r="AD405" i="149"/>
  <c r="AC405" i="149"/>
  <c r="AB405" i="149"/>
  <c r="AA405" i="149"/>
  <c r="Z405" i="149"/>
  <c r="Y405" i="149"/>
  <c r="X405" i="149"/>
  <c r="W405" i="149"/>
  <c r="V405" i="149"/>
  <c r="U405" i="149"/>
  <c r="T405" i="149"/>
  <c r="S405" i="149"/>
  <c r="R405" i="149"/>
  <c r="Q405" i="149"/>
  <c r="P405" i="149"/>
  <c r="O405" i="149"/>
  <c r="N405" i="149"/>
  <c r="M405" i="149"/>
  <c r="L405" i="149"/>
  <c r="K405" i="149"/>
  <c r="J405" i="149"/>
  <c r="I405" i="149"/>
  <c r="H405" i="149"/>
  <c r="G405" i="149"/>
  <c r="F405" i="149"/>
  <c r="AF404" i="149"/>
  <c r="AE404" i="149"/>
  <c r="AD404" i="149"/>
  <c r="AC404" i="149"/>
  <c r="AB404" i="149"/>
  <c r="AA404" i="149"/>
  <c r="Z404" i="149"/>
  <c r="Y404" i="149"/>
  <c r="X404" i="149"/>
  <c r="W404" i="149"/>
  <c r="V404" i="149"/>
  <c r="U404" i="149"/>
  <c r="T404" i="149"/>
  <c r="S404" i="149"/>
  <c r="R404" i="149"/>
  <c r="Q404" i="149"/>
  <c r="P404" i="149"/>
  <c r="O404" i="149"/>
  <c r="N404" i="149"/>
  <c r="M404" i="149"/>
  <c r="L404" i="149"/>
  <c r="K404" i="149"/>
  <c r="J404" i="149"/>
  <c r="I404" i="149"/>
  <c r="H404" i="149"/>
  <c r="G404" i="149"/>
  <c r="F404" i="149"/>
  <c r="AF403" i="149"/>
  <c r="AE403" i="149"/>
  <c r="AD403" i="149"/>
  <c r="AC403" i="149"/>
  <c r="AB403" i="149"/>
  <c r="AA403" i="149"/>
  <c r="Z403" i="149"/>
  <c r="Y403" i="149"/>
  <c r="X403" i="149"/>
  <c r="W403" i="149"/>
  <c r="V403" i="149"/>
  <c r="U403" i="149"/>
  <c r="T403" i="149"/>
  <c r="S403" i="149"/>
  <c r="R403" i="149"/>
  <c r="Q403" i="149"/>
  <c r="P403" i="149"/>
  <c r="O403" i="149"/>
  <c r="N403" i="149"/>
  <c r="M403" i="149"/>
  <c r="L403" i="149"/>
  <c r="K403" i="149"/>
  <c r="J403" i="149"/>
  <c r="I403" i="149"/>
  <c r="H403" i="149"/>
  <c r="G403" i="149"/>
  <c r="F403" i="149"/>
  <c r="AF402" i="149"/>
  <c r="AE402" i="149"/>
  <c r="AD402" i="149"/>
  <c r="AC402" i="149"/>
  <c r="AB402" i="149"/>
  <c r="AA402" i="149"/>
  <c r="Z402" i="149"/>
  <c r="Y402" i="149"/>
  <c r="X402" i="149"/>
  <c r="W402" i="149"/>
  <c r="V402" i="149"/>
  <c r="U402" i="149"/>
  <c r="T402" i="149"/>
  <c r="S402" i="149"/>
  <c r="R402" i="149"/>
  <c r="Q402" i="149"/>
  <c r="P402" i="149"/>
  <c r="O402" i="149"/>
  <c r="N402" i="149"/>
  <c r="M402" i="149"/>
  <c r="L402" i="149"/>
  <c r="K402" i="149"/>
  <c r="J402" i="149"/>
  <c r="I402" i="149"/>
  <c r="H402" i="149"/>
  <c r="G402" i="149"/>
  <c r="F402" i="149"/>
  <c r="AF401" i="149"/>
  <c r="AE401" i="149"/>
  <c r="AD401" i="149"/>
  <c r="AC401" i="149"/>
  <c r="AB401" i="149"/>
  <c r="AA401" i="149"/>
  <c r="Z401" i="149"/>
  <c r="Y401" i="149"/>
  <c r="X401" i="149"/>
  <c r="W401" i="149"/>
  <c r="V401" i="149"/>
  <c r="U401" i="149"/>
  <c r="T401" i="149"/>
  <c r="S401" i="149"/>
  <c r="R401" i="149"/>
  <c r="Q401" i="149"/>
  <c r="P401" i="149"/>
  <c r="O401" i="149"/>
  <c r="N401" i="149"/>
  <c r="M401" i="149"/>
  <c r="L401" i="149"/>
  <c r="K401" i="149"/>
  <c r="J401" i="149"/>
  <c r="I401" i="149"/>
  <c r="H401" i="149"/>
  <c r="G401" i="149"/>
  <c r="F401" i="149"/>
  <c r="AF400" i="149"/>
  <c r="AE400" i="149"/>
  <c r="AD400" i="149"/>
  <c r="AC400" i="149"/>
  <c r="AB400" i="149"/>
  <c r="AA400" i="149"/>
  <c r="Z400" i="149"/>
  <c r="Y400" i="149"/>
  <c r="X400" i="149"/>
  <c r="W400" i="149"/>
  <c r="V400" i="149"/>
  <c r="U400" i="149"/>
  <c r="T400" i="149"/>
  <c r="S400" i="149"/>
  <c r="R400" i="149"/>
  <c r="Q400" i="149"/>
  <c r="P400" i="149"/>
  <c r="O400" i="149"/>
  <c r="N400" i="149"/>
  <c r="M400" i="149"/>
  <c r="L400" i="149"/>
  <c r="K400" i="149"/>
  <c r="J400" i="149"/>
  <c r="I400" i="149"/>
  <c r="H400" i="149"/>
  <c r="G400" i="149"/>
  <c r="F400" i="149"/>
  <c r="AF399" i="149"/>
  <c r="AE399" i="149"/>
  <c r="AD399" i="149"/>
  <c r="AC399" i="149"/>
  <c r="AB399" i="149"/>
  <c r="AA399" i="149"/>
  <c r="Z399" i="149"/>
  <c r="Y399" i="149"/>
  <c r="X399" i="149"/>
  <c r="W399" i="149"/>
  <c r="V399" i="149"/>
  <c r="U399" i="149"/>
  <c r="T399" i="149"/>
  <c r="S399" i="149"/>
  <c r="R399" i="149"/>
  <c r="Q399" i="149"/>
  <c r="P399" i="149"/>
  <c r="O399" i="149"/>
  <c r="N399" i="149"/>
  <c r="M399" i="149"/>
  <c r="L399" i="149"/>
  <c r="K399" i="149"/>
  <c r="J399" i="149"/>
  <c r="I399" i="149"/>
  <c r="H399" i="149"/>
  <c r="G399" i="149"/>
  <c r="F399" i="149"/>
  <c r="AF398" i="149"/>
  <c r="AE398" i="149"/>
  <c r="AD398" i="149"/>
  <c r="AC398" i="149"/>
  <c r="AB398" i="149"/>
  <c r="AA398" i="149"/>
  <c r="Z398" i="149"/>
  <c r="Y398" i="149"/>
  <c r="X398" i="149"/>
  <c r="W398" i="149"/>
  <c r="V398" i="149"/>
  <c r="U398" i="149"/>
  <c r="T398" i="149"/>
  <c r="S398" i="149"/>
  <c r="R398" i="149"/>
  <c r="Q398" i="149"/>
  <c r="P398" i="149"/>
  <c r="O398" i="149"/>
  <c r="N398" i="149"/>
  <c r="M398" i="149"/>
  <c r="L398" i="149"/>
  <c r="K398" i="149"/>
  <c r="J398" i="149"/>
  <c r="I398" i="149"/>
  <c r="H398" i="149"/>
  <c r="G398" i="149"/>
  <c r="F398" i="149"/>
  <c r="AF397" i="149"/>
  <c r="AE397" i="149"/>
  <c r="AD397" i="149"/>
  <c r="AC397" i="149"/>
  <c r="AB397" i="149"/>
  <c r="AA397" i="149"/>
  <c r="Z397" i="149"/>
  <c r="Y397" i="149"/>
  <c r="X397" i="149"/>
  <c r="W397" i="149"/>
  <c r="V397" i="149"/>
  <c r="U397" i="149"/>
  <c r="T397" i="149"/>
  <c r="S397" i="149"/>
  <c r="R397" i="149"/>
  <c r="Q397" i="149"/>
  <c r="P397" i="149"/>
  <c r="O397" i="149"/>
  <c r="N397" i="149"/>
  <c r="M397" i="149"/>
  <c r="L397" i="149"/>
  <c r="K397" i="149"/>
  <c r="J397" i="149"/>
  <c r="I397" i="149"/>
  <c r="H397" i="149"/>
  <c r="G397" i="149"/>
  <c r="F397" i="149"/>
  <c r="AF396" i="149"/>
  <c r="AE396" i="149"/>
  <c r="AD396" i="149"/>
  <c r="AC396" i="149"/>
  <c r="AB396" i="149"/>
  <c r="AA396" i="149"/>
  <c r="Z396" i="149"/>
  <c r="Y396" i="149"/>
  <c r="X396" i="149"/>
  <c r="W396" i="149"/>
  <c r="V396" i="149"/>
  <c r="U396" i="149"/>
  <c r="T396" i="149"/>
  <c r="S396" i="149"/>
  <c r="R396" i="149"/>
  <c r="Q396" i="149"/>
  <c r="P396" i="149"/>
  <c r="O396" i="149"/>
  <c r="N396" i="149"/>
  <c r="M396" i="149"/>
  <c r="L396" i="149"/>
  <c r="K396" i="149"/>
  <c r="J396" i="149"/>
  <c r="I396" i="149"/>
  <c r="H396" i="149"/>
  <c r="G396" i="149"/>
  <c r="F396" i="149"/>
  <c r="AF395" i="149"/>
  <c r="AE395" i="149"/>
  <c r="AD395" i="149"/>
  <c r="AC395" i="149"/>
  <c r="AB395" i="149"/>
  <c r="AA395" i="149"/>
  <c r="Z395" i="149"/>
  <c r="Y395" i="149"/>
  <c r="X395" i="149"/>
  <c r="W395" i="149"/>
  <c r="V395" i="149"/>
  <c r="U395" i="149"/>
  <c r="T395" i="149"/>
  <c r="S395" i="149"/>
  <c r="R395" i="149"/>
  <c r="Q395" i="149"/>
  <c r="P395" i="149"/>
  <c r="O395" i="149"/>
  <c r="N395" i="149"/>
  <c r="M395" i="149"/>
  <c r="L395" i="149"/>
  <c r="K395" i="149"/>
  <c r="J395" i="149"/>
  <c r="I395" i="149"/>
  <c r="H395" i="149"/>
  <c r="G395" i="149"/>
  <c r="F395" i="149"/>
  <c r="AF394" i="149"/>
  <c r="AE394" i="149"/>
  <c r="AD394" i="149"/>
  <c r="AC394" i="149"/>
  <c r="AB394" i="149"/>
  <c r="AA394" i="149"/>
  <c r="Z394" i="149"/>
  <c r="Y394" i="149"/>
  <c r="X394" i="149"/>
  <c r="W394" i="149"/>
  <c r="V394" i="149"/>
  <c r="U394" i="149"/>
  <c r="T394" i="149"/>
  <c r="S394" i="149"/>
  <c r="R394" i="149"/>
  <c r="Q394" i="149"/>
  <c r="P394" i="149"/>
  <c r="O394" i="149"/>
  <c r="N394" i="149"/>
  <c r="M394" i="149"/>
  <c r="L394" i="149"/>
  <c r="K394" i="149"/>
  <c r="J394" i="149"/>
  <c r="I394" i="149"/>
  <c r="H394" i="149"/>
  <c r="G394" i="149"/>
  <c r="F394" i="149"/>
  <c r="AF393" i="149"/>
  <c r="AE393" i="149"/>
  <c r="AD393" i="149"/>
  <c r="AC393" i="149"/>
  <c r="AB393" i="149"/>
  <c r="AA393" i="149"/>
  <c r="Z393" i="149"/>
  <c r="Y393" i="149"/>
  <c r="X393" i="149"/>
  <c r="W393" i="149"/>
  <c r="V393" i="149"/>
  <c r="U393" i="149"/>
  <c r="T393" i="149"/>
  <c r="S393" i="149"/>
  <c r="R393" i="149"/>
  <c r="Q393" i="149"/>
  <c r="P393" i="149"/>
  <c r="O393" i="149"/>
  <c r="N393" i="149"/>
  <c r="M393" i="149"/>
  <c r="L393" i="149"/>
  <c r="K393" i="149"/>
  <c r="J393" i="149"/>
  <c r="I393" i="149"/>
  <c r="H393" i="149"/>
  <c r="G393" i="149"/>
  <c r="F393" i="149"/>
  <c r="AF392" i="149"/>
  <c r="AE392" i="149"/>
  <c r="AD392" i="149"/>
  <c r="AC392" i="149"/>
  <c r="AB392" i="149"/>
  <c r="AA392" i="149"/>
  <c r="Z392" i="149"/>
  <c r="Y392" i="149"/>
  <c r="X392" i="149"/>
  <c r="W392" i="149"/>
  <c r="V392" i="149"/>
  <c r="U392" i="149"/>
  <c r="T392" i="149"/>
  <c r="S392" i="149"/>
  <c r="R392" i="149"/>
  <c r="Q392" i="149"/>
  <c r="P392" i="149"/>
  <c r="O392" i="149"/>
  <c r="N392" i="149"/>
  <c r="M392" i="149"/>
  <c r="L392" i="149"/>
  <c r="K392" i="149"/>
  <c r="J392" i="149"/>
  <c r="I392" i="149"/>
  <c r="H392" i="149"/>
  <c r="G392" i="149"/>
  <c r="F392" i="149"/>
  <c r="AF391" i="149"/>
  <c r="AE391" i="149"/>
  <c r="AD391" i="149"/>
  <c r="AC391" i="149"/>
  <c r="AB391" i="149"/>
  <c r="AA391" i="149"/>
  <c r="Z391" i="149"/>
  <c r="Y391" i="149"/>
  <c r="X391" i="149"/>
  <c r="W391" i="149"/>
  <c r="V391" i="149"/>
  <c r="U391" i="149"/>
  <c r="T391" i="149"/>
  <c r="S391" i="149"/>
  <c r="R391" i="149"/>
  <c r="Q391" i="149"/>
  <c r="P391" i="149"/>
  <c r="O391" i="149"/>
  <c r="N391" i="149"/>
  <c r="M391" i="149"/>
  <c r="L391" i="149"/>
  <c r="K391" i="149"/>
  <c r="J391" i="149"/>
  <c r="I391" i="149"/>
  <c r="H391" i="149"/>
  <c r="G391" i="149"/>
  <c r="F391" i="149"/>
  <c r="E392" i="149"/>
  <c r="E393" i="149"/>
  <c r="E394" i="149"/>
  <c r="E395" i="149"/>
  <c r="E396" i="149"/>
  <c r="E397" i="149"/>
  <c r="E398" i="149"/>
  <c r="E399" i="149"/>
  <c r="E400" i="149"/>
  <c r="E401" i="149"/>
  <c r="E402" i="149"/>
  <c r="E403" i="149"/>
  <c r="E404" i="149"/>
  <c r="E405" i="149"/>
  <c r="E391" i="149"/>
  <c r="M116" i="138" l="1"/>
  <c r="M129" i="138" s="1"/>
  <c r="Y186" i="164"/>
  <c r="X187" i="164"/>
  <c r="AF116" i="138"/>
  <c r="AF129" i="138" s="1"/>
  <c r="X122" i="138"/>
  <c r="W116" i="138"/>
  <c r="W129" i="138" s="1"/>
  <c r="AG122" i="138"/>
  <c r="Z122" i="138"/>
  <c r="AD116" i="138"/>
  <c r="AD129" i="138" s="1"/>
  <c r="R116" i="138"/>
  <c r="R129" i="138" s="1"/>
  <c r="Y116" i="138"/>
  <c r="Y129" i="138" s="1"/>
  <c r="S116" i="138"/>
  <c r="S129" i="138" s="1"/>
  <c r="AI116" i="138"/>
  <c r="AI129" i="138" s="1"/>
  <c r="J122" i="138"/>
  <c r="AC116" i="138"/>
  <c r="AC129" i="138" s="1"/>
  <c r="O122" i="138"/>
  <c r="O116" i="138"/>
  <c r="O129" i="138" s="1"/>
  <c r="N122" i="138"/>
  <c r="N116" i="138"/>
  <c r="N129" i="138" s="1"/>
  <c r="I122" i="138"/>
  <c r="I116" i="138"/>
  <c r="I129" i="138" s="1"/>
  <c r="H122" i="138"/>
  <c r="H116" i="138"/>
  <c r="H129" i="138" s="1"/>
  <c r="T122" i="138"/>
  <c r="T116" i="138"/>
  <c r="T129" i="138" s="1"/>
  <c r="P122" i="138"/>
  <c r="P116" i="138"/>
  <c r="P129" i="138" s="1"/>
  <c r="V122" i="138"/>
  <c r="V116" i="138"/>
  <c r="V129" i="138" s="1"/>
  <c r="Q122" i="138"/>
  <c r="Q116" i="138"/>
  <c r="Q129" i="138" s="1"/>
  <c r="K122" i="138"/>
  <c r="K116" i="138"/>
  <c r="K129" i="138" s="1"/>
  <c r="U122" i="138"/>
  <c r="U116" i="138"/>
  <c r="U129" i="138" s="1"/>
  <c r="AB122" i="138"/>
  <c r="AB116" i="138"/>
  <c r="AB129" i="138" s="1"/>
  <c r="AA122" i="138"/>
  <c r="AA116" i="138"/>
  <c r="AA129" i="138" s="1"/>
  <c r="AE122" i="138"/>
  <c r="AE116" i="138"/>
  <c r="AE129" i="138" s="1"/>
  <c r="L122" i="138"/>
  <c r="L116" i="138"/>
  <c r="L129" i="138" s="1"/>
  <c r="AH122" i="138"/>
  <c r="AH116" i="138"/>
  <c r="AH129" i="138" s="1"/>
  <c r="W9" i="140"/>
  <c r="Z186" i="164" l="1"/>
  <c r="Y187" i="164"/>
  <c r="AA186" i="164" l="1"/>
  <c r="Z187" i="164"/>
  <c r="AB186" i="164" l="1"/>
  <c r="AA187" i="164"/>
  <c r="AF25" i="144"/>
  <c r="AE25" i="144"/>
  <c r="AD25" i="144"/>
  <c r="AC25" i="144"/>
  <c r="AB25" i="144"/>
  <c r="AA25" i="144"/>
  <c r="Z25" i="144"/>
  <c r="Y25" i="144"/>
  <c r="X25" i="144"/>
  <c r="W25" i="144"/>
  <c r="V25" i="144"/>
  <c r="U25" i="144"/>
  <c r="T25" i="144"/>
  <c r="S25" i="144"/>
  <c r="R25" i="144"/>
  <c r="Q25" i="144"/>
  <c r="P25" i="144"/>
  <c r="O25" i="144"/>
  <c r="N25" i="144"/>
  <c r="M25" i="144"/>
  <c r="L25" i="144"/>
  <c r="K25" i="144"/>
  <c r="J25" i="144"/>
  <c r="I25" i="144"/>
  <c r="H25" i="144"/>
  <c r="G25" i="144"/>
  <c r="F25" i="144"/>
  <c r="E25" i="144"/>
  <c r="AF56" i="144"/>
  <c r="V56" i="144"/>
  <c r="F56" i="144"/>
  <c r="W56" i="144"/>
  <c r="N56" i="144"/>
  <c r="M56" i="144"/>
  <c r="AC186" i="164" l="1"/>
  <c r="AB187" i="164"/>
  <c r="U56" i="144"/>
  <c r="T56" i="144"/>
  <c r="S56" i="144"/>
  <c r="R56" i="144"/>
  <c r="Q56" i="144"/>
  <c r="X56" i="144"/>
  <c r="AE56" i="144"/>
  <c r="Y56" i="144"/>
  <c r="O56" i="144"/>
  <c r="AH56" i="144"/>
  <c r="AD56" i="144"/>
  <c r="AC56" i="144"/>
  <c r="AB56" i="144"/>
  <c r="AA56" i="144"/>
  <c r="Z56" i="144"/>
  <c r="P56" i="144"/>
  <c r="L56" i="144"/>
  <c r="K56" i="144"/>
  <c r="J56" i="144"/>
  <c r="I56" i="144"/>
  <c r="H56" i="144"/>
  <c r="G56" i="144"/>
  <c r="E56" i="144"/>
  <c r="AB37" i="145"/>
  <c r="AB28" i="145"/>
  <c r="AB18" i="145"/>
  <c r="AD186" i="164" l="1"/>
  <c r="AC187" i="164"/>
  <c r="AL87" i="156"/>
  <c r="AL81" i="156"/>
  <c r="AL69" i="156"/>
  <c r="AF21" i="144"/>
  <c r="AE21" i="144"/>
  <c r="AD21" i="144"/>
  <c r="AC21" i="144"/>
  <c r="AB21" i="144"/>
  <c r="AA21" i="144"/>
  <c r="Z21" i="144"/>
  <c r="Y21" i="144"/>
  <c r="X21" i="144"/>
  <c r="W21" i="144"/>
  <c r="V21" i="144"/>
  <c r="U21" i="144"/>
  <c r="T21" i="144"/>
  <c r="S21" i="144"/>
  <c r="R21" i="144"/>
  <c r="Q21" i="144"/>
  <c r="P21" i="144"/>
  <c r="P95" i="144" s="1"/>
  <c r="P117" i="144" s="1"/>
  <c r="O21" i="144"/>
  <c r="N21" i="144"/>
  <c r="M21" i="144"/>
  <c r="L21" i="144"/>
  <c r="K21" i="144"/>
  <c r="J21" i="144"/>
  <c r="I21" i="144"/>
  <c r="H21" i="144"/>
  <c r="G21" i="144"/>
  <c r="F21" i="144"/>
  <c r="AF20" i="144"/>
  <c r="AE20" i="144"/>
  <c r="AD20" i="144"/>
  <c r="AC20" i="144"/>
  <c r="AB20" i="144"/>
  <c r="AA20" i="144"/>
  <c r="Z20" i="144"/>
  <c r="Y20" i="144"/>
  <c r="X20" i="144"/>
  <c r="W20" i="144"/>
  <c r="V20" i="144"/>
  <c r="U20" i="144"/>
  <c r="T20" i="144"/>
  <c r="S20" i="144"/>
  <c r="R20" i="144"/>
  <c r="Q20" i="144"/>
  <c r="P20" i="144"/>
  <c r="P94" i="144" s="1"/>
  <c r="P116" i="144" s="1"/>
  <c r="O20" i="144"/>
  <c r="N20" i="144"/>
  <c r="M20" i="144"/>
  <c r="L20" i="144"/>
  <c r="K20" i="144"/>
  <c r="J20" i="144"/>
  <c r="I20" i="144"/>
  <c r="H20" i="144"/>
  <c r="G20" i="144"/>
  <c r="F20" i="144"/>
  <c r="AF19" i="144"/>
  <c r="AE19" i="144"/>
  <c r="AD19" i="144"/>
  <c r="AC19" i="144"/>
  <c r="AB19" i="144"/>
  <c r="AA19" i="144"/>
  <c r="Z19" i="144"/>
  <c r="Y19" i="144"/>
  <c r="X19" i="144"/>
  <c r="W19" i="144"/>
  <c r="V19" i="144"/>
  <c r="U19" i="144"/>
  <c r="T19" i="144"/>
  <c r="S19" i="144"/>
  <c r="R19" i="144"/>
  <c r="Q19" i="144"/>
  <c r="P19" i="144"/>
  <c r="P93" i="144" s="1"/>
  <c r="P115" i="144" s="1"/>
  <c r="O19" i="144"/>
  <c r="N19" i="144"/>
  <c r="M19" i="144"/>
  <c r="L19" i="144"/>
  <c r="K19" i="144"/>
  <c r="J19" i="144"/>
  <c r="I19" i="144"/>
  <c r="H19" i="144"/>
  <c r="G19" i="144"/>
  <c r="F19" i="144"/>
  <c r="AF18" i="144"/>
  <c r="AE18" i="144"/>
  <c r="AD18" i="144"/>
  <c r="AC18" i="144"/>
  <c r="AB18" i="144"/>
  <c r="AA18" i="144"/>
  <c r="Z18" i="144"/>
  <c r="Y18" i="144"/>
  <c r="X18" i="144"/>
  <c r="W18" i="144"/>
  <c r="V18" i="144"/>
  <c r="U18" i="144"/>
  <c r="T18" i="144"/>
  <c r="S18" i="144"/>
  <c r="R18" i="144"/>
  <c r="Q18" i="144"/>
  <c r="P18" i="144"/>
  <c r="P92" i="144" s="1"/>
  <c r="P114" i="144" s="1"/>
  <c r="O18" i="144"/>
  <c r="N18" i="144"/>
  <c r="M18" i="144"/>
  <c r="L18" i="144"/>
  <c r="K18" i="144"/>
  <c r="J18" i="144"/>
  <c r="I18" i="144"/>
  <c r="H18" i="144"/>
  <c r="G18" i="144"/>
  <c r="F18" i="144"/>
  <c r="AF17" i="144"/>
  <c r="AE17" i="144"/>
  <c r="AD17" i="144"/>
  <c r="AC17" i="144"/>
  <c r="AB17" i="144"/>
  <c r="AA17" i="144"/>
  <c r="Z17" i="144"/>
  <c r="Y17" i="144"/>
  <c r="X17" i="144"/>
  <c r="W17" i="144"/>
  <c r="V17" i="144"/>
  <c r="U17" i="144"/>
  <c r="T17" i="144"/>
  <c r="S17" i="144"/>
  <c r="R17" i="144"/>
  <c r="Q17" i="144"/>
  <c r="P17" i="144"/>
  <c r="P91" i="144" s="1"/>
  <c r="P113" i="144" s="1"/>
  <c r="O17" i="144"/>
  <c r="N17" i="144"/>
  <c r="M17" i="144"/>
  <c r="L17" i="144"/>
  <c r="K17" i="144"/>
  <c r="J17" i="144"/>
  <c r="I17" i="144"/>
  <c r="H17" i="144"/>
  <c r="G17" i="144"/>
  <c r="F17" i="144"/>
  <c r="AF16" i="144"/>
  <c r="AE16" i="144"/>
  <c r="AD16" i="144"/>
  <c r="AC16" i="144"/>
  <c r="AB16" i="144"/>
  <c r="AA16" i="144"/>
  <c r="Z16" i="144"/>
  <c r="Y16" i="144"/>
  <c r="X16" i="144"/>
  <c r="W16" i="144"/>
  <c r="V16" i="144"/>
  <c r="U16" i="144"/>
  <c r="T16" i="144"/>
  <c r="S16" i="144"/>
  <c r="R16" i="144"/>
  <c r="Q16" i="144"/>
  <c r="P16" i="144"/>
  <c r="P90" i="144" s="1"/>
  <c r="P112" i="144" s="1"/>
  <c r="O16" i="144"/>
  <c r="N16" i="144"/>
  <c r="M16" i="144"/>
  <c r="L16" i="144"/>
  <c r="K16" i="144"/>
  <c r="J16" i="144"/>
  <c r="I16" i="144"/>
  <c r="H16" i="144"/>
  <c r="G16" i="144"/>
  <c r="F16" i="144"/>
  <c r="AF15" i="144"/>
  <c r="AE15" i="144"/>
  <c r="AD15" i="144"/>
  <c r="AC15" i="144"/>
  <c r="AB15" i="144"/>
  <c r="AA15" i="144"/>
  <c r="Z15" i="144"/>
  <c r="Y15" i="144"/>
  <c r="X15" i="144"/>
  <c r="W15" i="144"/>
  <c r="V15" i="144"/>
  <c r="U15" i="144"/>
  <c r="T15" i="144"/>
  <c r="S15" i="144"/>
  <c r="R15" i="144"/>
  <c r="Q15" i="144"/>
  <c r="P15" i="144"/>
  <c r="P89" i="144" s="1"/>
  <c r="P111" i="144" s="1"/>
  <c r="O15" i="144"/>
  <c r="N15" i="144"/>
  <c r="M15" i="144"/>
  <c r="L15" i="144"/>
  <c r="K15" i="144"/>
  <c r="J15" i="144"/>
  <c r="I15" i="144"/>
  <c r="H15" i="144"/>
  <c r="G15" i="144"/>
  <c r="F15" i="144"/>
  <c r="AF14" i="144"/>
  <c r="AE14" i="144"/>
  <c r="AD14" i="144"/>
  <c r="AC14" i="144"/>
  <c r="AB14" i="144"/>
  <c r="AA14" i="144"/>
  <c r="Z14" i="144"/>
  <c r="Y14" i="144"/>
  <c r="X14" i="144"/>
  <c r="W14" i="144"/>
  <c r="V14" i="144"/>
  <c r="U14" i="144"/>
  <c r="T14" i="144"/>
  <c r="S14" i="144"/>
  <c r="R14" i="144"/>
  <c r="Q14" i="144"/>
  <c r="P14" i="144"/>
  <c r="O14" i="144"/>
  <c r="N14" i="144"/>
  <c r="M14" i="144"/>
  <c r="L14" i="144"/>
  <c r="K14" i="144"/>
  <c r="J14" i="144"/>
  <c r="I14" i="144"/>
  <c r="H14" i="144"/>
  <c r="G14" i="144"/>
  <c r="F14" i="144"/>
  <c r="AF13" i="144"/>
  <c r="AE13" i="144"/>
  <c r="AD13" i="144"/>
  <c r="AC13" i="144"/>
  <c r="AB13" i="144"/>
  <c r="AA13" i="144"/>
  <c r="Z13" i="144"/>
  <c r="Y13" i="144"/>
  <c r="X13" i="144"/>
  <c r="W13" i="144"/>
  <c r="V13" i="144"/>
  <c r="U13" i="144"/>
  <c r="T13" i="144"/>
  <c r="S13" i="144"/>
  <c r="R13" i="144"/>
  <c r="Q13" i="144"/>
  <c r="P13" i="144"/>
  <c r="P87" i="144" s="1"/>
  <c r="P109" i="144" s="1"/>
  <c r="O13" i="144"/>
  <c r="N13" i="144"/>
  <c r="M13" i="144"/>
  <c r="L13" i="144"/>
  <c r="K13" i="144"/>
  <c r="J13" i="144"/>
  <c r="I13" i="144"/>
  <c r="H13" i="144"/>
  <c r="G13" i="144"/>
  <c r="F13" i="144"/>
  <c r="AF12" i="144"/>
  <c r="AE12" i="144"/>
  <c r="AD12" i="144"/>
  <c r="AC12" i="144"/>
  <c r="AB12" i="144"/>
  <c r="AA12" i="144"/>
  <c r="Z12" i="144"/>
  <c r="Y12" i="144"/>
  <c r="X12" i="144"/>
  <c r="W12" i="144"/>
  <c r="V12" i="144"/>
  <c r="U12" i="144"/>
  <c r="T12" i="144"/>
  <c r="S12" i="144"/>
  <c r="R12" i="144"/>
  <c r="Q12" i="144"/>
  <c r="P12" i="144"/>
  <c r="P86" i="144" s="1"/>
  <c r="P108" i="144" s="1"/>
  <c r="O12" i="144"/>
  <c r="N12" i="144"/>
  <c r="M12" i="144"/>
  <c r="L12" i="144"/>
  <c r="K12" i="144"/>
  <c r="J12" i="144"/>
  <c r="I12" i="144"/>
  <c r="H12" i="144"/>
  <c r="G12" i="144"/>
  <c r="F12" i="144"/>
  <c r="AF11" i="144"/>
  <c r="AE11" i="144"/>
  <c r="AD11" i="144"/>
  <c r="AC11" i="144"/>
  <c r="AB11" i="144"/>
  <c r="AA11" i="144"/>
  <c r="Z11" i="144"/>
  <c r="Y11" i="144"/>
  <c r="X11" i="144"/>
  <c r="W11" i="144"/>
  <c r="V11" i="144"/>
  <c r="U11" i="144"/>
  <c r="T11" i="144"/>
  <c r="S11" i="144"/>
  <c r="R11" i="144"/>
  <c r="Q11" i="144"/>
  <c r="P11" i="144"/>
  <c r="O11" i="144"/>
  <c r="N11" i="144"/>
  <c r="M11" i="144"/>
  <c r="L11" i="144"/>
  <c r="K11" i="144"/>
  <c r="J11" i="144"/>
  <c r="I11" i="144"/>
  <c r="H11" i="144"/>
  <c r="G11" i="144"/>
  <c r="F11" i="144"/>
  <c r="AF10" i="144"/>
  <c r="AE10" i="144"/>
  <c r="AD10" i="144"/>
  <c r="AC10" i="144"/>
  <c r="AB10" i="144"/>
  <c r="AA10" i="144"/>
  <c r="Z10" i="144"/>
  <c r="Y10" i="144"/>
  <c r="X10" i="144"/>
  <c r="W10" i="144"/>
  <c r="V10" i="144"/>
  <c r="U10" i="144"/>
  <c r="T10" i="144"/>
  <c r="S10" i="144"/>
  <c r="R10" i="144"/>
  <c r="Q10" i="144"/>
  <c r="P10" i="144"/>
  <c r="P84" i="144" s="1"/>
  <c r="P106" i="144" s="1"/>
  <c r="O10" i="144"/>
  <c r="N10" i="144"/>
  <c r="M10" i="144"/>
  <c r="L10" i="144"/>
  <c r="K10" i="144"/>
  <c r="J10" i="144"/>
  <c r="I10" i="144"/>
  <c r="H10" i="144"/>
  <c r="G10" i="144"/>
  <c r="F10" i="144"/>
  <c r="AF9" i="144"/>
  <c r="AE9" i="144"/>
  <c r="AD9" i="144"/>
  <c r="AC9" i="144"/>
  <c r="AB9" i="144"/>
  <c r="AA9" i="144"/>
  <c r="Z9" i="144"/>
  <c r="Y9" i="144"/>
  <c r="X9" i="144"/>
  <c r="W9" i="144"/>
  <c r="V9" i="144"/>
  <c r="U9" i="144"/>
  <c r="T9" i="144"/>
  <c r="S9" i="144"/>
  <c r="R9" i="144"/>
  <c r="Q9" i="144"/>
  <c r="P9" i="144"/>
  <c r="P83" i="144" s="1"/>
  <c r="P105" i="144" s="1"/>
  <c r="O9" i="144"/>
  <c r="N9" i="144"/>
  <c r="M9" i="144"/>
  <c r="L9" i="144"/>
  <c r="K9" i="144"/>
  <c r="J9" i="144"/>
  <c r="I9" i="144"/>
  <c r="H9" i="144"/>
  <c r="G9" i="144"/>
  <c r="F9" i="144"/>
  <c r="AF8" i="144"/>
  <c r="AE8" i="144"/>
  <c r="AD8" i="144"/>
  <c r="AC8" i="144"/>
  <c r="AB8" i="144"/>
  <c r="AA8" i="144"/>
  <c r="Z8" i="144"/>
  <c r="Y8" i="144"/>
  <c r="X8" i="144"/>
  <c r="W8" i="144"/>
  <c r="V8" i="144"/>
  <c r="U8" i="144"/>
  <c r="T8" i="144"/>
  <c r="S8" i="144"/>
  <c r="R8" i="144"/>
  <c r="Q8" i="144"/>
  <c r="P8" i="144"/>
  <c r="P82" i="144" s="1"/>
  <c r="P104" i="144" s="1"/>
  <c r="O8" i="144"/>
  <c r="N8" i="144"/>
  <c r="M8" i="144"/>
  <c r="L8" i="144"/>
  <c r="K8" i="144"/>
  <c r="J8" i="144"/>
  <c r="I8" i="144"/>
  <c r="H8" i="144"/>
  <c r="G8" i="144"/>
  <c r="F8" i="144"/>
  <c r="AF7" i="144"/>
  <c r="AE7" i="144"/>
  <c r="AD7" i="144"/>
  <c r="AC7" i="144"/>
  <c r="AB7" i="144"/>
  <c r="AA7" i="144"/>
  <c r="Z7" i="144"/>
  <c r="Y7" i="144"/>
  <c r="X7" i="144"/>
  <c r="W7" i="144"/>
  <c r="V7" i="144"/>
  <c r="U7" i="144"/>
  <c r="T7" i="144"/>
  <c r="S7" i="144"/>
  <c r="R7" i="144"/>
  <c r="Q7" i="144"/>
  <c r="P7" i="144"/>
  <c r="P81" i="144" s="1"/>
  <c r="P103" i="144" s="1"/>
  <c r="O7" i="144"/>
  <c r="N7" i="144"/>
  <c r="M7" i="144"/>
  <c r="L7" i="144"/>
  <c r="K7" i="144"/>
  <c r="J7" i="144"/>
  <c r="I7" i="144"/>
  <c r="H7" i="144"/>
  <c r="G7" i="144"/>
  <c r="F7" i="144"/>
  <c r="E8" i="144"/>
  <c r="E9" i="144"/>
  <c r="E10" i="144"/>
  <c r="E11" i="144"/>
  <c r="E12" i="144"/>
  <c r="E13" i="144"/>
  <c r="E14" i="144"/>
  <c r="E15" i="144"/>
  <c r="E16" i="144"/>
  <c r="E17" i="144"/>
  <c r="E18" i="144"/>
  <c r="E19" i="144"/>
  <c r="E20" i="144"/>
  <c r="E21" i="144"/>
  <c r="E7" i="144"/>
  <c r="B16" i="138"/>
  <c r="B15" i="138"/>
  <c r="B14" i="138"/>
  <c r="B13" i="138"/>
  <c r="B11" i="138"/>
  <c r="A12" i="138"/>
  <c r="A13" i="138"/>
  <c r="A14" i="138"/>
  <c r="A15" i="138"/>
  <c r="A16" i="138"/>
  <c r="A11" i="138"/>
  <c r="AE186" i="164" l="1"/>
  <c r="AD187" i="164"/>
  <c r="L73" i="156"/>
  <c r="Y73" i="156"/>
  <c r="Q73" i="156"/>
  <c r="I73" i="156"/>
  <c r="S73" i="156"/>
  <c r="AI73" i="156"/>
  <c r="AG73" i="156"/>
  <c r="U73" i="156"/>
  <c r="T73" i="156"/>
  <c r="AC73" i="156"/>
  <c r="M73" i="156"/>
  <c r="AB73" i="156"/>
  <c r="AD72" i="156"/>
  <c r="H73" i="156"/>
  <c r="P73" i="156"/>
  <c r="X73" i="156"/>
  <c r="AF73" i="156"/>
  <c r="J73" i="156"/>
  <c r="R73" i="156"/>
  <c r="Z73" i="156"/>
  <c r="AH73" i="156"/>
  <c r="AL100" i="156"/>
  <c r="AL93" i="156"/>
  <c r="N73" i="156"/>
  <c r="V73" i="156"/>
  <c r="AD73" i="156"/>
  <c r="O73" i="156"/>
  <c r="W73" i="156"/>
  <c r="AE73" i="156"/>
  <c r="AA73" i="156"/>
  <c r="K73" i="156"/>
  <c r="AH70" i="156"/>
  <c r="AE72" i="156"/>
  <c r="AA69" i="156"/>
  <c r="Q71" i="156"/>
  <c r="AC69" i="156"/>
  <c r="U71" i="156"/>
  <c r="AI72" i="156"/>
  <c r="H71" i="156"/>
  <c r="R70" i="156"/>
  <c r="J72" i="156"/>
  <c r="W71" i="156"/>
  <c r="P70" i="156"/>
  <c r="K69" i="156"/>
  <c r="AB70" i="156"/>
  <c r="L72" i="156"/>
  <c r="W69" i="156"/>
  <c r="L70" i="156"/>
  <c r="AG71" i="156"/>
  <c r="M69" i="156"/>
  <c r="AF70" i="156"/>
  <c r="O69" i="156"/>
  <c r="AE69" i="156"/>
  <c r="T70" i="156"/>
  <c r="I71" i="156"/>
  <c r="Y71" i="156"/>
  <c r="N72" i="156"/>
  <c r="P69" i="156"/>
  <c r="AF69" i="156"/>
  <c r="U70" i="156"/>
  <c r="J71" i="156"/>
  <c r="Z71" i="156"/>
  <c r="O72" i="156"/>
  <c r="S69" i="156"/>
  <c r="AI69" i="156"/>
  <c r="X70" i="156"/>
  <c r="M71" i="156"/>
  <c r="AC71" i="156"/>
  <c r="T72" i="156"/>
  <c r="H69" i="156"/>
  <c r="U69" i="156"/>
  <c r="J70" i="156"/>
  <c r="Z70" i="156"/>
  <c r="O71" i="156"/>
  <c r="AE71" i="156"/>
  <c r="V72" i="156"/>
  <c r="W72" i="156"/>
  <c r="H70" i="156"/>
  <c r="X69" i="156"/>
  <c r="M70" i="156"/>
  <c r="AC70" i="156"/>
  <c r="R71" i="156"/>
  <c r="AH71" i="156"/>
  <c r="AB72" i="156"/>
  <c r="AL75" i="156"/>
  <c r="H72" i="156"/>
  <c r="N69" i="156"/>
  <c r="V69" i="156"/>
  <c r="AD69" i="156"/>
  <c r="K70" i="156"/>
  <c r="S70" i="156"/>
  <c r="AA70" i="156"/>
  <c r="AI70" i="156"/>
  <c r="P71" i="156"/>
  <c r="X71" i="156"/>
  <c r="AF71" i="156"/>
  <c r="M72" i="156"/>
  <c r="U72" i="156"/>
  <c r="AC72" i="156"/>
  <c r="I69" i="156"/>
  <c r="Q69" i="156"/>
  <c r="Y69" i="156"/>
  <c r="AG69" i="156"/>
  <c r="N70" i="156"/>
  <c r="V70" i="156"/>
  <c r="AD70" i="156"/>
  <c r="K71" i="156"/>
  <c r="S71" i="156"/>
  <c r="AA71" i="156"/>
  <c r="AI71" i="156"/>
  <c r="P72" i="156"/>
  <c r="X72" i="156"/>
  <c r="AF72" i="156"/>
  <c r="J69" i="156"/>
  <c r="R69" i="156"/>
  <c r="Z69" i="156"/>
  <c r="AH69" i="156"/>
  <c r="O70" i="156"/>
  <c r="W70" i="156"/>
  <c r="AE70" i="156"/>
  <c r="L71" i="156"/>
  <c r="T71" i="156"/>
  <c r="AB71" i="156"/>
  <c r="I72" i="156"/>
  <c r="Q72" i="156"/>
  <c r="Y72" i="156"/>
  <c r="AG72" i="156"/>
  <c r="R72" i="156"/>
  <c r="Z72" i="156"/>
  <c r="AH72" i="156"/>
  <c r="L69" i="156"/>
  <c r="T69" i="156"/>
  <c r="AB69" i="156"/>
  <c r="I70" i="156"/>
  <c r="Q70" i="156"/>
  <c r="Y70" i="156"/>
  <c r="AG70" i="156"/>
  <c r="N71" i="156"/>
  <c r="V71" i="156"/>
  <c r="AD71" i="156"/>
  <c r="K72" i="156"/>
  <c r="S72" i="156"/>
  <c r="AA72" i="156"/>
  <c r="AI84" i="156"/>
  <c r="X85" i="156"/>
  <c r="J85" i="156"/>
  <c r="V85" i="156"/>
  <c r="AG85" i="156"/>
  <c r="T85" i="156"/>
  <c r="H85" i="156"/>
  <c r="AH85" i="156"/>
  <c r="AF85" i="156"/>
  <c r="R85" i="156"/>
  <c r="AD85" i="156"/>
  <c r="Q85" i="156"/>
  <c r="AB85" i="156"/>
  <c r="P85" i="156"/>
  <c r="Z85" i="156"/>
  <c r="N85" i="156"/>
  <c r="I85" i="156"/>
  <c r="Y85" i="156"/>
  <c r="L85" i="156"/>
  <c r="AI85" i="156"/>
  <c r="AA85" i="156"/>
  <c r="S85" i="156"/>
  <c r="K85" i="156"/>
  <c r="AE85" i="156"/>
  <c r="W85" i="156"/>
  <c r="O85" i="156"/>
  <c r="AC85" i="156"/>
  <c r="U85" i="156"/>
  <c r="M85" i="156"/>
  <c r="H84" i="156"/>
  <c r="P81" i="156"/>
  <c r="AD81" i="156"/>
  <c r="N82" i="156"/>
  <c r="AC82" i="156"/>
  <c r="R83" i="156"/>
  <c r="M84" i="156"/>
  <c r="Y81" i="156"/>
  <c r="AH83" i="156"/>
  <c r="AC81" i="156"/>
  <c r="P83" i="156"/>
  <c r="H83" i="156"/>
  <c r="Q81" i="156"/>
  <c r="AE81" i="156"/>
  <c r="R82" i="156"/>
  <c r="AD82" i="156"/>
  <c r="W83" i="156"/>
  <c r="O84" i="156"/>
  <c r="H82" i="156"/>
  <c r="U81" i="156"/>
  <c r="AF81" i="156"/>
  <c r="S82" i="156"/>
  <c r="AH82" i="156"/>
  <c r="X83" i="156"/>
  <c r="T84" i="156"/>
  <c r="Z82" i="156"/>
  <c r="AA82" i="156"/>
  <c r="I81" i="156"/>
  <c r="V81" i="156"/>
  <c r="AG81" i="156"/>
  <c r="T82" i="156"/>
  <c r="AI82" i="156"/>
  <c r="Z83" i="156"/>
  <c r="U84" i="156"/>
  <c r="L82" i="156"/>
  <c r="O83" i="156"/>
  <c r="O81" i="156"/>
  <c r="M82" i="156"/>
  <c r="AE84" i="156"/>
  <c r="J81" i="156"/>
  <c r="W81" i="156"/>
  <c r="J82" i="156"/>
  <c r="U82" i="156"/>
  <c r="J83" i="156"/>
  <c r="AE83" i="156"/>
  <c r="W84" i="156"/>
  <c r="N81" i="156"/>
  <c r="AC84" i="156"/>
  <c r="H81" i="156"/>
  <c r="L84" i="156"/>
  <c r="M81" i="156"/>
  <c r="X81" i="156"/>
  <c r="K82" i="156"/>
  <c r="V82" i="156"/>
  <c r="K83" i="156"/>
  <c r="AF83" i="156"/>
  <c r="AB84" i="156"/>
  <c r="AB82" i="156"/>
  <c r="I83" i="156"/>
  <c r="Q83" i="156"/>
  <c r="Y83" i="156"/>
  <c r="AG83" i="156"/>
  <c r="N84" i="156"/>
  <c r="V84" i="156"/>
  <c r="AD84" i="156"/>
  <c r="S83" i="156"/>
  <c r="AA83" i="156"/>
  <c r="AI83" i="156"/>
  <c r="P84" i="156"/>
  <c r="X84" i="156"/>
  <c r="AF84" i="156"/>
  <c r="R81" i="156"/>
  <c r="Z81" i="156"/>
  <c r="AH81" i="156"/>
  <c r="O82" i="156"/>
  <c r="W82" i="156"/>
  <c r="AE82" i="156"/>
  <c r="L83" i="156"/>
  <c r="T83" i="156"/>
  <c r="AB83" i="156"/>
  <c r="I84" i="156"/>
  <c r="Q84" i="156"/>
  <c r="Y84" i="156"/>
  <c r="AG84" i="156"/>
  <c r="K81" i="156"/>
  <c r="S81" i="156"/>
  <c r="AA81" i="156"/>
  <c r="AI81" i="156"/>
  <c r="P82" i="156"/>
  <c r="X82" i="156"/>
  <c r="AF82" i="156"/>
  <c r="M83" i="156"/>
  <c r="U83" i="156"/>
  <c r="AC83" i="156"/>
  <c r="J84" i="156"/>
  <c r="R84" i="156"/>
  <c r="Z84" i="156"/>
  <c r="AH84" i="156"/>
  <c r="L81" i="156"/>
  <c r="T81" i="156"/>
  <c r="AB81" i="156"/>
  <c r="I82" i="156"/>
  <c r="Q82" i="156"/>
  <c r="Y82" i="156"/>
  <c r="AG82" i="156"/>
  <c r="N83" i="156"/>
  <c r="V83" i="156"/>
  <c r="AD83" i="156"/>
  <c r="K84" i="156"/>
  <c r="S84" i="156"/>
  <c r="AA84" i="156"/>
  <c r="AI90" i="156"/>
  <c r="U91" i="156"/>
  <c r="V91" i="156"/>
  <c r="T91" i="156"/>
  <c r="AH91" i="156"/>
  <c r="R91" i="156"/>
  <c r="AD91" i="156"/>
  <c r="N91" i="156"/>
  <c r="AC91" i="156"/>
  <c r="M91" i="156"/>
  <c r="AB91" i="156"/>
  <c r="L91" i="156"/>
  <c r="Z91" i="156"/>
  <c r="J91" i="156"/>
  <c r="AF91" i="156"/>
  <c r="X91" i="156"/>
  <c r="H91" i="156"/>
  <c r="P91" i="156"/>
  <c r="AE91" i="156"/>
  <c r="W91" i="156"/>
  <c r="O91" i="156"/>
  <c r="AI91" i="156"/>
  <c r="AA91" i="156"/>
  <c r="S91" i="156"/>
  <c r="K91" i="156"/>
  <c r="AG91" i="156"/>
  <c r="Y91" i="156"/>
  <c r="Q91" i="156"/>
  <c r="I91" i="156"/>
  <c r="T90" i="156"/>
  <c r="U90" i="156"/>
  <c r="M87" i="156"/>
  <c r="R88" i="156"/>
  <c r="W89" i="156"/>
  <c r="AB90" i="156"/>
  <c r="H87" i="156"/>
  <c r="J88" i="156"/>
  <c r="K88" i="156"/>
  <c r="N87" i="156"/>
  <c r="S88" i="156"/>
  <c r="X89" i="156"/>
  <c r="AC90" i="156"/>
  <c r="O89" i="156"/>
  <c r="P89" i="156"/>
  <c r="U87" i="156"/>
  <c r="Z88" i="156"/>
  <c r="AE89" i="156"/>
  <c r="V87" i="156"/>
  <c r="AA88" i="156"/>
  <c r="AF89" i="156"/>
  <c r="H90" i="156"/>
  <c r="AC87" i="156"/>
  <c r="AH88" i="156"/>
  <c r="L90" i="156"/>
  <c r="AD87" i="156"/>
  <c r="AI88" i="156"/>
  <c r="M90" i="156"/>
  <c r="H89" i="156"/>
  <c r="O87" i="156"/>
  <c r="W87" i="156"/>
  <c r="AE87" i="156"/>
  <c r="L88" i="156"/>
  <c r="T88" i="156"/>
  <c r="AB88" i="156"/>
  <c r="I89" i="156"/>
  <c r="Q89" i="156"/>
  <c r="Y89" i="156"/>
  <c r="AG89" i="156"/>
  <c r="N90" i="156"/>
  <c r="V90" i="156"/>
  <c r="AD90" i="156"/>
  <c r="H88" i="156"/>
  <c r="P87" i="156"/>
  <c r="X87" i="156"/>
  <c r="AF87" i="156"/>
  <c r="M88" i="156"/>
  <c r="U88" i="156"/>
  <c r="AC88" i="156"/>
  <c r="J89" i="156"/>
  <c r="R89" i="156"/>
  <c r="Z89" i="156"/>
  <c r="AH89" i="156"/>
  <c r="O90" i="156"/>
  <c r="W90" i="156"/>
  <c r="AE90" i="156"/>
  <c r="I87" i="156"/>
  <c r="Q87" i="156"/>
  <c r="Y87" i="156"/>
  <c r="AG87" i="156"/>
  <c r="N88" i="156"/>
  <c r="V88" i="156"/>
  <c r="AD88" i="156"/>
  <c r="K89" i="156"/>
  <c r="S89" i="156"/>
  <c r="AA89" i="156"/>
  <c r="AI89" i="156"/>
  <c r="P90" i="156"/>
  <c r="X90" i="156"/>
  <c r="AF90" i="156"/>
  <c r="J87" i="156"/>
  <c r="R87" i="156"/>
  <c r="Z87" i="156"/>
  <c r="AH87" i="156"/>
  <c r="O88" i="156"/>
  <c r="W88" i="156"/>
  <c r="AE88" i="156"/>
  <c r="L89" i="156"/>
  <c r="T89" i="156"/>
  <c r="AB89" i="156"/>
  <c r="I90" i="156"/>
  <c r="Q90" i="156"/>
  <c r="Y90" i="156"/>
  <c r="AG90" i="156"/>
  <c r="K87" i="156"/>
  <c r="S87" i="156"/>
  <c r="AA87" i="156"/>
  <c r="AI87" i="156"/>
  <c r="P88" i="156"/>
  <c r="X88" i="156"/>
  <c r="AF88" i="156"/>
  <c r="M89" i="156"/>
  <c r="U89" i="156"/>
  <c r="AC89" i="156"/>
  <c r="J90" i="156"/>
  <c r="R90" i="156"/>
  <c r="Z90" i="156"/>
  <c r="AH90" i="156"/>
  <c r="L87" i="156"/>
  <c r="T87" i="156"/>
  <c r="AB87" i="156"/>
  <c r="I88" i="156"/>
  <c r="Q88" i="156"/>
  <c r="Y88" i="156"/>
  <c r="AG88" i="156"/>
  <c r="N89" i="156"/>
  <c r="V89" i="156"/>
  <c r="AD89" i="156"/>
  <c r="K90" i="156"/>
  <c r="S90" i="156"/>
  <c r="AA90" i="156"/>
  <c r="E61" i="144"/>
  <c r="F71" i="144"/>
  <c r="N71" i="144"/>
  <c r="V71" i="144"/>
  <c r="AD71" i="144"/>
  <c r="AE71" i="144"/>
  <c r="AF71" i="144"/>
  <c r="I71" i="144"/>
  <c r="Q71" i="144"/>
  <c r="Y71" i="144"/>
  <c r="X71" i="144"/>
  <c r="E71" i="144"/>
  <c r="J71" i="144"/>
  <c r="R71" i="144"/>
  <c r="Z71" i="144"/>
  <c r="G71" i="144"/>
  <c r="H71" i="144"/>
  <c r="K71" i="144"/>
  <c r="S71" i="144"/>
  <c r="AA71" i="144"/>
  <c r="O71" i="144"/>
  <c r="L71" i="144"/>
  <c r="T71" i="144"/>
  <c r="AB71" i="144"/>
  <c r="W71" i="144"/>
  <c r="P71" i="144"/>
  <c r="M71" i="144"/>
  <c r="U71" i="144"/>
  <c r="AC71" i="144"/>
  <c r="AA61" i="144"/>
  <c r="K61" i="144"/>
  <c r="S61" i="144"/>
  <c r="AD61" i="144"/>
  <c r="F61" i="144"/>
  <c r="V61" i="144"/>
  <c r="N61" i="144"/>
  <c r="T61" i="144"/>
  <c r="AB61" i="144"/>
  <c r="M61" i="144"/>
  <c r="AC61" i="144"/>
  <c r="AE61" i="144"/>
  <c r="G61" i="144"/>
  <c r="AF61" i="144"/>
  <c r="L61" i="144"/>
  <c r="U61" i="144"/>
  <c r="O61" i="144"/>
  <c r="H61" i="144"/>
  <c r="X61" i="144"/>
  <c r="I61" i="144"/>
  <c r="Q61" i="144"/>
  <c r="Y61" i="144"/>
  <c r="W61" i="144"/>
  <c r="P61" i="144"/>
  <c r="J61" i="144"/>
  <c r="R61" i="144"/>
  <c r="Z61" i="144"/>
  <c r="AF316" i="149"/>
  <c r="AE316" i="149"/>
  <c r="AD316" i="149"/>
  <c r="AC316" i="149"/>
  <c r="AB316" i="149"/>
  <c r="AA316" i="149"/>
  <c r="Z316" i="149"/>
  <c r="Y316" i="149"/>
  <c r="X316" i="149"/>
  <c r="W316" i="149"/>
  <c r="V316" i="149"/>
  <c r="U316" i="149"/>
  <c r="T316" i="149"/>
  <c r="S316" i="149"/>
  <c r="R316" i="149"/>
  <c r="Q316" i="149"/>
  <c r="P316" i="149"/>
  <c r="O316" i="149"/>
  <c r="N316" i="149"/>
  <c r="M316" i="149"/>
  <c r="L316" i="149"/>
  <c r="K316" i="149"/>
  <c r="J316" i="149"/>
  <c r="I316" i="149"/>
  <c r="H316" i="149"/>
  <c r="G316" i="149"/>
  <c r="F316" i="149"/>
  <c r="AF315" i="149"/>
  <c r="AE315" i="149"/>
  <c r="AD315" i="149"/>
  <c r="AC315" i="149"/>
  <c r="AB315" i="149"/>
  <c r="AA315" i="149"/>
  <c r="Z315" i="149"/>
  <c r="Y315" i="149"/>
  <c r="X315" i="149"/>
  <c r="W315" i="149"/>
  <c r="V315" i="149"/>
  <c r="U315" i="149"/>
  <c r="T315" i="149"/>
  <c r="S315" i="149"/>
  <c r="R315" i="149"/>
  <c r="Q315" i="149"/>
  <c r="P315" i="149"/>
  <c r="O315" i="149"/>
  <c r="N315" i="149"/>
  <c r="M315" i="149"/>
  <c r="L315" i="149"/>
  <c r="K315" i="149"/>
  <c r="J315" i="149"/>
  <c r="I315" i="149"/>
  <c r="H315" i="149"/>
  <c r="G315" i="149"/>
  <c r="F315" i="149"/>
  <c r="AF314" i="149"/>
  <c r="AE314" i="149"/>
  <c r="AD314" i="149"/>
  <c r="AC314" i="149"/>
  <c r="AB314" i="149"/>
  <c r="AA314" i="149"/>
  <c r="Z314" i="149"/>
  <c r="Y314" i="149"/>
  <c r="X314" i="149"/>
  <c r="W314" i="149"/>
  <c r="V314" i="149"/>
  <c r="U314" i="149"/>
  <c r="T314" i="149"/>
  <c r="S314" i="149"/>
  <c r="R314" i="149"/>
  <c r="Q314" i="149"/>
  <c r="P314" i="149"/>
  <c r="O314" i="149"/>
  <c r="N314" i="149"/>
  <c r="M314" i="149"/>
  <c r="L314" i="149"/>
  <c r="K314" i="149"/>
  <c r="J314" i="149"/>
  <c r="I314" i="149"/>
  <c r="H314" i="149"/>
  <c r="G314" i="149"/>
  <c r="F314" i="149"/>
  <c r="AF313" i="149"/>
  <c r="AE313" i="149"/>
  <c r="AD313" i="149"/>
  <c r="AC313" i="149"/>
  <c r="AB313" i="149"/>
  <c r="AA313" i="149"/>
  <c r="Z313" i="149"/>
  <c r="Y313" i="149"/>
  <c r="X313" i="149"/>
  <c r="W313" i="149"/>
  <c r="V313" i="149"/>
  <c r="U313" i="149"/>
  <c r="T313" i="149"/>
  <c r="S313" i="149"/>
  <c r="R313" i="149"/>
  <c r="Q313" i="149"/>
  <c r="P313" i="149"/>
  <c r="O313" i="149"/>
  <c r="N313" i="149"/>
  <c r="M313" i="149"/>
  <c r="L313" i="149"/>
  <c r="K313" i="149"/>
  <c r="J313" i="149"/>
  <c r="I313" i="149"/>
  <c r="H313" i="149"/>
  <c r="G313" i="149"/>
  <c r="F313" i="149"/>
  <c r="AF312" i="149"/>
  <c r="AE312" i="149"/>
  <c r="AD312" i="149"/>
  <c r="AC312" i="149"/>
  <c r="AB312" i="149"/>
  <c r="AA312" i="149"/>
  <c r="Z312" i="149"/>
  <c r="Y312" i="149"/>
  <c r="X312" i="149"/>
  <c r="W312" i="149"/>
  <c r="V312" i="149"/>
  <c r="U312" i="149"/>
  <c r="T312" i="149"/>
  <c r="S312" i="149"/>
  <c r="R312" i="149"/>
  <c r="Q312" i="149"/>
  <c r="P312" i="149"/>
  <c r="O312" i="149"/>
  <c r="N312" i="149"/>
  <c r="M312" i="149"/>
  <c r="L312" i="149"/>
  <c r="K312" i="149"/>
  <c r="J312" i="149"/>
  <c r="I312" i="149"/>
  <c r="H312" i="149"/>
  <c r="G312" i="149"/>
  <c r="F312" i="149"/>
  <c r="AF311" i="149"/>
  <c r="AE311" i="149"/>
  <c r="AD311" i="149"/>
  <c r="AC311" i="149"/>
  <c r="AB311" i="149"/>
  <c r="AA311" i="149"/>
  <c r="Z311" i="149"/>
  <c r="Y311" i="149"/>
  <c r="X311" i="149"/>
  <c r="W311" i="149"/>
  <c r="V311" i="149"/>
  <c r="U311" i="149"/>
  <c r="T311" i="149"/>
  <c r="S311" i="149"/>
  <c r="R311" i="149"/>
  <c r="Q311" i="149"/>
  <c r="P311" i="149"/>
  <c r="O311" i="149"/>
  <c r="N311" i="149"/>
  <c r="M311" i="149"/>
  <c r="L311" i="149"/>
  <c r="K311" i="149"/>
  <c r="J311" i="149"/>
  <c r="I311" i="149"/>
  <c r="H311" i="149"/>
  <c r="G311" i="149"/>
  <c r="F311" i="149"/>
  <c r="AF310" i="149"/>
  <c r="AE310" i="149"/>
  <c r="AD310" i="149"/>
  <c r="AC310" i="149"/>
  <c r="AB310" i="149"/>
  <c r="AA310" i="149"/>
  <c r="Z310" i="149"/>
  <c r="Y310" i="149"/>
  <c r="X310" i="149"/>
  <c r="W310" i="149"/>
  <c r="V310" i="149"/>
  <c r="U310" i="149"/>
  <c r="T310" i="149"/>
  <c r="S310" i="149"/>
  <c r="R310" i="149"/>
  <c r="Q310" i="149"/>
  <c r="P310" i="149"/>
  <c r="O310" i="149"/>
  <c r="N310" i="149"/>
  <c r="M310" i="149"/>
  <c r="L310" i="149"/>
  <c r="K310" i="149"/>
  <c r="J310" i="149"/>
  <c r="I310" i="149"/>
  <c r="H310" i="149"/>
  <c r="G310" i="149"/>
  <c r="F310" i="149"/>
  <c r="AF309" i="149"/>
  <c r="AE309" i="149"/>
  <c r="AD309" i="149"/>
  <c r="AC309" i="149"/>
  <c r="AB309" i="149"/>
  <c r="AA309" i="149"/>
  <c r="Z309" i="149"/>
  <c r="Y309" i="149"/>
  <c r="X309" i="149"/>
  <c r="W309" i="149"/>
  <c r="V309" i="149"/>
  <c r="U309" i="149"/>
  <c r="T309" i="149"/>
  <c r="S309" i="149"/>
  <c r="R309" i="149"/>
  <c r="Q309" i="149"/>
  <c r="P309" i="149"/>
  <c r="O309" i="149"/>
  <c r="N309" i="149"/>
  <c r="M309" i="149"/>
  <c r="L309" i="149"/>
  <c r="K309" i="149"/>
  <c r="J309" i="149"/>
  <c r="I309" i="149"/>
  <c r="H309" i="149"/>
  <c r="G309" i="149"/>
  <c r="F309" i="149"/>
  <c r="AF308" i="149"/>
  <c r="AE308" i="149"/>
  <c r="AD308" i="149"/>
  <c r="AC308" i="149"/>
  <c r="AB308" i="149"/>
  <c r="AA308" i="149"/>
  <c r="Z308" i="149"/>
  <c r="Y308" i="149"/>
  <c r="X308" i="149"/>
  <c r="W308" i="149"/>
  <c r="V308" i="149"/>
  <c r="U308" i="149"/>
  <c r="T308" i="149"/>
  <c r="S308" i="149"/>
  <c r="R308" i="149"/>
  <c r="Q308" i="149"/>
  <c r="P308" i="149"/>
  <c r="O308" i="149"/>
  <c r="N308" i="149"/>
  <c r="M308" i="149"/>
  <c r="L308" i="149"/>
  <c r="K308" i="149"/>
  <c r="J308" i="149"/>
  <c r="I308" i="149"/>
  <c r="H308" i="149"/>
  <c r="G308" i="149"/>
  <c r="F308" i="149"/>
  <c r="AF307" i="149"/>
  <c r="AE307" i="149"/>
  <c r="AD307" i="149"/>
  <c r="AC307" i="149"/>
  <c r="AB307" i="149"/>
  <c r="AA307" i="149"/>
  <c r="Z307" i="149"/>
  <c r="Y307" i="149"/>
  <c r="X307" i="149"/>
  <c r="W307" i="149"/>
  <c r="V307" i="149"/>
  <c r="U307" i="149"/>
  <c r="T307" i="149"/>
  <c r="S307" i="149"/>
  <c r="R307" i="149"/>
  <c r="Q307" i="149"/>
  <c r="P307" i="149"/>
  <c r="O307" i="149"/>
  <c r="N307" i="149"/>
  <c r="M307" i="149"/>
  <c r="L307" i="149"/>
  <c r="K307" i="149"/>
  <c r="J307" i="149"/>
  <c r="I307" i="149"/>
  <c r="H307" i="149"/>
  <c r="G307" i="149"/>
  <c r="F307" i="149"/>
  <c r="AF306" i="149"/>
  <c r="AE306" i="149"/>
  <c r="AD306" i="149"/>
  <c r="AC306" i="149"/>
  <c r="AB306" i="149"/>
  <c r="AA306" i="149"/>
  <c r="Z306" i="149"/>
  <c r="Y306" i="149"/>
  <c r="X306" i="149"/>
  <c r="W306" i="149"/>
  <c r="V306" i="149"/>
  <c r="U306" i="149"/>
  <c r="T306" i="149"/>
  <c r="S306" i="149"/>
  <c r="R306" i="149"/>
  <c r="Q306" i="149"/>
  <c r="P306" i="149"/>
  <c r="O306" i="149"/>
  <c r="N306" i="149"/>
  <c r="M306" i="149"/>
  <c r="L306" i="149"/>
  <c r="K306" i="149"/>
  <c r="J306" i="149"/>
  <c r="I306" i="149"/>
  <c r="H306" i="149"/>
  <c r="G306" i="149"/>
  <c r="F306" i="149"/>
  <c r="AF305" i="149"/>
  <c r="AE305" i="149"/>
  <c r="AD305" i="149"/>
  <c r="AC305" i="149"/>
  <c r="AB305" i="149"/>
  <c r="AA305" i="149"/>
  <c r="Z305" i="149"/>
  <c r="Y305" i="149"/>
  <c r="X305" i="149"/>
  <c r="W305" i="149"/>
  <c r="V305" i="149"/>
  <c r="U305" i="149"/>
  <c r="T305" i="149"/>
  <c r="S305" i="149"/>
  <c r="R305" i="149"/>
  <c r="Q305" i="149"/>
  <c r="P305" i="149"/>
  <c r="O305" i="149"/>
  <c r="N305" i="149"/>
  <c r="M305" i="149"/>
  <c r="L305" i="149"/>
  <c r="K305" i="149"/>
  <c r="J305" i="149"/>
  <c r="I305" i="149"/>
  <c r="H305" i="149"/>
  <c r="G305" i="149"/>
  <c r="F305" i="149"/>
  <c r="AF304" i="149"/>
  <c r="AE304" i="149"/>
  <c r="AD304" i="149"/>
  <c r="AC304" i="149"/>
  <c r="AB304" i="149"/>
  <c r="AA304" i="149"/>
  <c r="Z304" i="149"/>
  <c r="Y304" i="149"/>
  <c r="X304" i="149"/>
  <c r="W304" i="149"/>
  <c r="V304" i="149"/>
  <c r="U304" i="149"/>
  <c r="T304" i="149"/>
  <c r="S304" i="149"/>
  <c r="R304" i="149"/>
  <c r="Q304" i="149"/>
  <c r="P304" i="149"/>
  <c r="O304" i="149"/>
  <c r="N304" i="149"/>
  <c r="M304" i="149"/>
  <c r="L304" i="149"/>
  <c r="K304" i="149"/>
  <c r="J304" i="149"/>
  <c r="I304" i="149"/>
  <c r="H304" i="149"/>
  <c r="G304" i="149"/>
  <c r="F304" i="149"/>
  <c r="AF303" i="149"/>
  <c r="AE303" i="149"/>
  <c r="AD303" i="149"/>
  <c r="AC303" i="149"/>
  <c r="AB303" i="149"/>
  <c r="AA303" i="149"/>
  <c r="Z303" i="149"/>
  <c r="Y303" i="149"/>
  <c r="X303" i="149"/>
  <c r="W303" i="149"/>
  <c r="V303" i="149"/>
  <c r="U303" i="149"/>
  <c r="T303" i="149"/>
  <c r="S303" i="149"/>
  <c r="R303" i="149"/>
  <c r="Q303" i="149"/>
  <c r="P303" i="149"/>
  <c r="O303" i="149"/>
  <c r="N303" i="149"/>
  <c r="M303" i="149"/>
  <c r="L303" i="149"/>
  <c r="K303" i="149"/>
  <c r="J303" i="149"/>
  <c r="I303" i="149"/>
  <c r="H303" i="149"/>
  <c r="G303" i="149"/>
  <c r="F303" i="149"/>
  <c r="AF302" i="149"/>
  <c r="AE302" i="149"/>
  <c r="AD302" i="149"/>
  <c r="AC302" i="149"/>
  <c r="AB302" i="149"/>
  <c r="AA302" i="149"/>
  <c r="Z302" i="149"/>
  <c r="Y302" i="149"/>
  <c r="X302" i="149"/>
  <c r="W302" i="149"/>
  <c r="V302" i="149"/>
  <c r="U302" i="149"/>
  <c r="T302" i="149"/>
  <c r="S302" i="149"/>
  <c r="R302" i="149"/>
  <c r="Q302" i="149"/>
  <c r="P302" i="149"/>
  <c r="O302" i="149"/>
  <c r="N302" i="149"/>
  <c r="M302" i="149"/>
  <c r="L302" i="149"/>
  <c r="K302" i="149"/>
  <c r="J302" i="149"/>
  <c r="I302" i="149"/>
  <c r="H302" i="149"/>
  <c r="G302" i="149"/>
  <c r="F302" i="149"/>
  <c r="AF301" i="149"/>
  <c r="AE301" i="149"/>
  <c r="AD301" i="149"/>
  <c r="AC301" i="149"/>
  <c r="AB301" i="149"/>
  <c r="AA301" i="149"/>
  <c r="Z301" i="149"/>
  <c r="Y301" i="149"/>
  <c r="X301" i="149"/>
  <c r="W301" i="149"/>
  <c r="V301" i="149"/>
  <c r="U301" i="149"/>
  <c r="T301" i="149"/>
  <c r="S301" i="149"/>
  <c r="R301" i="149"/>
  <c r="Q301" i="149"/>
  <c r="P301" i="149"/>
  <c r="O301" i="149"/>
  <c r="N301" i="149"/>
  <c r="M301" i="149"/>
  <c r="L301" i="149"/>
  <c r="K301" i="149"/>
  <c r="J301" i="149"/>
  <c r="I301" i="149"/>
  <c r="H301" i="149"/>
  <c r="G301" i="149"/>
  <c r="F301" i="149"/>
  <c r="AF300" i="149"/>
  <c r="AE300" i="149"/>
  <c r="AD300" i="149"/>
  <c r="AC300" i="149"/>
  <c r="AB300" i="149"/>
  <c r="AA300" i="149"/>
  <c r="Z300" i="149"/>
  <c r="Y300" i="149"/>
  <c r="X300" i="149"/>
  <c r="W300" i="149"/>
  <c r="V300" i="149"/>
  <c r="U300" i="149"/>
  <c r="T300" i="149"/>
  <c r="S300" i="149"/>
  <c r="R300" i="149"/>
  <c r="Q300" i="149"/>
  <c r="P300" i="149"/>
  <c r="O300" i="149"/>
  <c r="N300" i="149"/>
  <c r="M300" i="149"/>
  <c r="L300" i="149"/>
  <c r="K300" i="149"/>
  <c r="J300" i="149"/>
  <c r="I300" i="149"/>
  <c r="H300" i="149"/>
  <c r="G300" i="149"/>
  <c r="F300" i="149"/>
  <c r="AF299" i="149"/>
  <c r="AE299" i="149"/>
  <c r="AD299" i="149"/>
  <c r="AC299" i="149"/>
  <c r="AB299" i="149"/>
  <c r="AA299" i="149"/>
  <c r="Z299" i="149"/>
  <c r="Y299" i="149"/>
  <c r="X299" i="149"/>
  <c r="W299" i="149"/>
  <c r="V299" i="149"/>
  <c r="U299" i="149"/>
  <c r="T299" i="149"/>
  <c r="S299" i="149"/>
  <c r="R299" i="149"/>
  <c r="Q299" i="149"/>
  <c r="P299" i="149"/>
  <c r="O299" i="149"/>
  <c r="N299" i="149"/>
  <c r="M299" i="149"/>
  <c r="L299" i="149"/>
  <c r="K299" i="149"/>
  <c r="J299" i="149"/>
  <c r="I299" i="149"/>
  <c r="H299" i="149"/>
  <c r="G299" i="149"/>
  <c r="F299" i="149"/>
  <c r="AF298" i="149"/>
  <c r="AE298" i="149"/>
  <c r="AD298" i="149"/>
  <c r="AC298" i="149"/>
  <c r="AB298" i="149"/>
  <c r="AA298" i="149"/>
  <c r="Z298" i="149"/>
  <c r="Y298" i="149"/>
  <c r="X298" i="149"/>
  <c r="W298" i="149"/>
  <c r="V298" i="149"/>
  <c r="U298" i="149"/>
  <c r="T298" i="149"/>
  <c r="S298" i="149"/>
  <c r="R298" i="149"/>
  <c r="Q298" i="149"/>
  <c r="P298" i="149"/>
  <c r="O298" i="149"/>
  <c r="N298" i="149"/>
  <c r="M298" i="149"/>
  <c r="L298" i="149"/>
  <c r="K298" i="149"/>
  <c r="J298" i="149"/>
  <c r="I298" i="149"/>
  <c r="H298" i="149"/>
  <c r="G298" i="149"/>
  <c r="F298" i="149"/>
  <c r="AF297" i="149"/>
  <c r="AE297" i="149"/>
  <c r="AD297" i="149"/>
  <c r="AC297" i="149"/>
  <c r="AB297" i="149"/>
  <c r="AA297" i="149"/>
  <c r="Z297" i="149"/>
  <c r="Y297" i="149"/>
  <c r="X297" i="149"/>
  <c r="W297" i="149"/>
  <c r="V297" i="149"/>
  <c r="U297" i="149"/>
  <c r="T297" i="149"/>
  <c r="S297" i="149"/>
  <c r="R297" i="149"/>
  <c r="Q297" i="149"/>
  <c r="P297" i="149"/>
  <c r="O297" i="149"/>
  <c r="N297" i="149"/>
  <c r="M297" i="149"/>
  <c r="L297" i="149"/>
  <c r="K297" i="149"/>
  <c r="J297" i="149"/>
  <c r="I297" i="149"/>
  <c r="H297" i="149"/>
  <c r="G297" i="149"/>
  <c r="F297" i="149"/>
  <c r="E298" i="149"/>
  <c r="E299" i="149"/>
  <c r="E300" i="149"/>
  <c r="E301" i="149"/>
  <c r="E302" i="149"/>
  <c r="E303" i="149"/>
  <c r="E304" i="149"/>
  <c r="E305" i="149"/>
  <c r="E306" i="149"/>
  <c r="E307" i="149"/>
  <c r="E308" i="149"/>
  <c r="E309" i="149"/>
  <c r="E310" i="149"/>
  <c r="E311" i="149"/>
  <c r="E312" i="149"/>
  <c r="E313" i="149"/>
  <c r="E314" i="149"/>
  <c r="E315" i="149"/>
  <c r="E316" i="149"/>
  <c r="E297" i="149"/>
  <c r="AF68" i="139"/>
  <c r="AE68" i="139"/>
  <c r="AD68" i="139"/>
  <c r="AC68" i="139"/>
  <c r="AB68" i="139"/>
  <c r="AA68" i="139"/>
  <c r="Z68" i="139"/>
  <c r="Y68" i="139"/>
  <c r="X68" i="139"/>
  <c r="W68" i="139"/>
  <c r="V68" i="139"/>
  <c r="U68" i="139"/>
  <c r="T68" i="139"/>
  <c r="S68" i="139"/>
  <c r="R68" i="139"/>
  <c r="Q68" i="139"/>
  <c r="P68" i="139"/>
  <c r="O68" i="139"/>
  <c r="N68" i="139"/>
  <c r="M68" i="139"/>
  <c r="L68" i="139"/>
  <c r="K68" i="139"/>
  <c r="J68" i="139"/>
  <c r="I68" i="139"/>
  <c r="H68" i="139"/>
  <c r="G68" i="139"/>
  <c r="F68" i="139"/>
  <c r="AF67" i="139"/>
  <c r="AE67" i="139"/>
  <c r="AD67" i="139"/>
  <c r="AC67" i="139"/>
  <c r="AB67" i="139"/>
  <c r="AA67" i="139"/>
  <c r="Z67" i="139"/>
  <c r="Y67" i="139"/>
  <c r="X67" i="139"/>
  <c r="W67" i="139"/>
  <c r="V67" i="139"/>
  <c r="U67" i="139"/>
  <c r="T67" i="139"/>
  <c r="S67" i="139"/>
  <c r="R67" i="139"/>
  <c r="Q67" i="139"/>
  <c r="P67" i="139"/>
  <c r="O67" i="139"/>
  <c r="N67" i="139"/>
  <c r="M67" i="139"/>
  <c r="L67" i="139"/>
  <c r="K67" i="139"/>
  <c r="J67" i="139"/>
  <c r="I67" i="139"/>
  <c r="H67" i="139"/>
  <c r="G67" i="139"/>
  <c r="F67" i="139"/>
  <c r="AF66" i="139"/>
  <c r="AE66" i="139"/>
  <c r="AD66" i="139"/>
  <c r="AC66" i="139"/>
  <c r="AB66" i="139"/>
  <c r="AA66" i="139"/>
  <c r="Z66" i="139"/>
  <c r="Y66" i="139"/>
  <c r="X66" i="139"/>
  <c r="W66" i="139"/>
  <c r="V66" i="139"/>
  <c r="U66" i="139"/>
  <c r="T66" i="139"/>
  <c r="S66" i="139"/>
  <c r="R66" i="139"/>
  <c r="Q66" i="139"/>
  <c r="P66" i="139"/>
  <c r="O66" i="139"/>
  <c r="N66" i="139"/>
  <c r="M66" i="139"/>
  <c r="L66" i="139"/>
  <c r="K66" i="139"/>
  <c r="J66" i="139"/>
  <c r="I66" i="139"/>
  <c r="H66" i="139"/>
  <c r="G66" i="139"/>
  <c r="F66" i="139"/>
  <c r="AF65" i="139"/>
  <c r="AE65" i="139"/>
  <c r="AD65" i="139"/>
  <c r="AC65" i="139"/>
  <c r="AB65" i="139"/>
  <c r="AA65" i="139"/>
  <c r="Z65" i="139"/>
  <c r="Y65" i="139"/>
  <c r="X65" i="139"/>
  <c r="W65" i="139"/>
  <c r="V65" i="139"/>
  <c r="U65" i="139"/>
  <c r="T65" i="139"/>
  <c r="S65" i="139"/>
  <c r="R65" i="139"/>
  <c r="Q65" i="139"/>
  <c r="P65" i="139"/>
  <c r="O65" i="139"/>
  <c r="N65" i="139"/>
  <c r="M65" i="139"/>
  <c r="L65" i="139"/>
  <c r="K65" i="139"/>
  <c r="J65" i="139"/>
  <c r="I65" i="139"/>
  <c r="H65" i="139"/>
  <c r="G65" i="139"/>
  <c r="F65" i="139"/>
  <c r="AF64" i="139"/>
  <c r="AE64" i="139"/>
  <c r="AD64" i="139"/>
  <c r="AC64" i="139"/>
  <c r="AB64" i="139"/>
  <c r="AA64" i="139"/>
  <c r="Z64" i="139"/>
  <c r="Y64" i="139"/>
  <c r="X64" i="139"/>
  <c r="W64" i="139"/>
  <c r="V64" i="139"/>
  <c r="U64" i="139"/>
  <c r="T64" i="139"/>
  <c r="S64" i="139"/>
  <c r="R64" i="139"/>
  <c r="Q64" i="139"/>
  <c r="P64" i="139"/>
  <c r="O64" i="139"/>
  <c r="N64" i="139"/>
  <c r="M64" i="139"/>
  <c r="L64" i="139"/>
  <c r="K64" i="139"/>
  <c r="J64" i="139"/>
  <c r="I64" i="139"/>
  <c r="H64" i="139"/>
  <c r="G64" i="139"/>
  <c r="F64" i="139"/>
  <c r="AF63" i="139"/>
  <c r="AE63" i="139"/>
  <c r="AD63" i="139"/>
  <c r="AC63" i="139"/>
  <c r="AB63" i="139"/>
  <c r="AA63" i="139"/>
  <c r="Z63" i="139"/>
  <c r="Y63" i="139"/>
  <c r="X63" i="139"/>
  <c r="W63" i="139"/>
  <c r="V63" i="139"/>
  <c r="U63" i="139"/>
  <c r="T63" i="139"/>
  <c r="S63" i="139"/>
  <c r="R63" i="139"/>
  <c r="Q63" i="139"/>
  <c r="P63" i="139"/>
  <c r="O63" i="139"/>
  <c r="N63" i="139"/>
  <c r="M63" i="139"/>
  <c r="L63" i="139"/>
  <c r="K63" i="139"/>
  <c r="J63" i="139"/>
  <c r="I63" i="139"/>
  <c r="H63" i="139"/>
  <c r="G63" i="139"/>
  <c r="F63" i="139"/>
  <c r="AF62" i="139"/>
  <c r="AE62" i="139"/>
  <c r="AD62" i="139"/>
  <c r="AC62" i="139"/>
  <c r="AB62" i="139"/>
  <c r="AA62" i="139"/>
  <c r="Z62" i="139"/>
  <c r="Y62" i="139"/>
  <c r="X62" i="139"/>
  <c r="W62" i="139"/>
  <c r="V62" i="139"/>
  <c r="U62" i="139"/>
  <c r="T62" i="139"/>
  <c r="S62" i="139"/>
  <c r="R62" i="139"/>
  <c r="Q62" i="139"/>
  <c r="P62" i="139"/>
  <c r="O62" i="139"/>
  <c r="N62" i="139"/>
  <c r="M62" i="139"/>
  <c r="L62" i="139"/>
  <c r="K62" i="139"/>
  <c r="J62" i="139"/>
  <c r="I62" i="139"/>
  <c r="H62" i="139"/>
  <c r="G62" i="139"/>
  <c r="F62" i="139"/>
  <c r="AF61" i="139"/>
  <c r="AE61" i="139"/>
  <c r="AD61" i="139"/>
  <c r="AC61" i="139"/>
  <c r="AB61" i="139"/>
  <c r="AA61" i="139"/>
  <c r="Z61" i="139"/>
  <c r="Y61" i="139"/>
  <c r="X61" i="139"/>
  <c r="W61" i="139"/>
  <c r="V61" i="139"/>
  <c r="U61" i="139"/>
  <c r="T61" i="139"/>
  <c r="S61" i="139"/>
  <c r="R61" i="139"/>
  <c r="Q61" i="139"/>
  <c r="P61" i="139"/>
  <c r="O61" i="139"/>
  <c r="N61" i="139"/>
  <c r="M61" i="139"/>
  <c r="L61" i="139"/>
  <c r="K61" i="139"/>
  <c r="J61" i="139"/>
  <c r="I61" i="139"/>
  <c r="H61" i="139"/>
  <c r="G61" i="139"/>
  <c r="F61" i="139"/>
  <c r="AF60" i="139"/>
  <c r="AE60" i="139"/>
  <c r="AD60" i="139"/>
  <c r="AC60" i="139"/>
  <c r="AB60" i="139"/>
  <c r="AA60" i="139"/>
  <c r="Z60" i="139"/>
  <c r="Y60" i="139"/>
  <c r="X60" i="139"/>
  <c r="W60" i="139"/>
  <c r="V60" i="139"/>
  <c r="U60" i="139"/>
  <c r="T60" i="139"/>
  <c r="S60" i="139"/>
  <c r="R60" i="139"/>
  <c r="Q60" i="139"/>
  <c r="P60" i="139"/>
  <c r="O60" i="139"/>
  <c r="N60" i="139"/>
  <c r="M60" i="139"/>
  <c r="L60" i="139"/>
  <c r="K60" i="139"/>
  <c r="J60" i="139"/>
  <c r="I60" i="139"/>
  <c r="H60" i="139"/>
  <c r="G60" i="139"/>
  <c r="F60" i="139"/>
  <c r="AF59" i="139"/>
  <c r="AE59" i="139"/>
  <c r="AD59" i="139"/>
  <c r="AC59" i="139"/>
  <c r="AB59" i="139"/>
  <c r="AA59" i="139"/>
  <c r="Z59" i="139"/>
  <c r="Y59" i="139"/>
  <c r="X59" i="139"/>
  <c r="W59" i="139"/>
  <c r="V59" i="139"/>
  <c r="U59" i="139"/>
  <c r="T59" i="139"/>
  <c r="S59" i="139"/>
  <c r="R59" i="139"/>
  <c r="Q59" i="139"/>
  <c r="P59" i="139"/>
  <c r="O59" i="139"/>
  <c r="N59" i="139"/>
  <c r="M59" i="139"/>
  <c r="L59" i="139"/>
  <c r="K59" i="139"/>
  <c r="J59" i="139"/>
  <c r="I59" i="139"/>
  <c r="H59" i="139"/>
  <c r="G59" i="139"/>
  <c r="F59" i="139"/>
  <c r="AF58" i="139"/>
  <c r="AE58" i="139"/>
  <c r="AD58" i="139"/>
  <c r="AC58" i="139"/>
  <c r="AB58" i="139"/>
  <c r="AA58" i="139"/>
  <c r="Z58" i="139"/>
  <c r="Y58" i="139"/>
  <c r="X58" i="139"/>
  <c r="W58" i="139"/>
  <c r="V58" i="139"/>
  <c r="U58" i="139"/>
  <c r="T58" i="139"/>
  <c r="S58" i="139"/>
  <c r="R58" i="139"/>
  <c r="Q58" i="139"/>
  <c r="P58" i="139"/>
  <c r="O58" i="139"/>
  <c r="N58" i="139"/>
  <c r="M58" i="139"/>
  <c r="L58" i="139"/>
  <c r="K58" i="139"/>
  <c r="J58" i="139"/>
  <c r="I58" i="139"/>
  <c r="H58" i="139"/>
  <c r="G58" i="139"/>
  <c r="F58" i="139"/>
  <c r="AF57" i="139"/>
  <c r="AE57" i="139"/>
  <c r="AD57" i="139"/>
  <c r="AC57" i="139"/>
  <c r="AB57" i="139"/>
  <c r="AA57" i="139"/>
  <c r="Z57" i="139"/>
  <c r="Y57" i="139"/>
  <c r="X57" i="139"/>
  <c r="W57" i="139"/>
  <c r="V57" i="139"/>
  <c r="U57" i="139"/>
  <c r="T57" i="139"/>
  <c r="S57" i="139"/>
  <c r="R57" i="139"/>
  <c r="Q57" i="139"/>
  <c r="P57" i="139"/>
  <c r="O57" i="139"/>
  <c r="N57" i="139"/>
  <c r="M57" i="139"/>
  <c r="L57" i="139"/>
  <c r="K57" i="139"/>
  <c r="J57" i="139"/>
  <c r="I57" i="139"/>
  <c r="H57" i="139"/>
  <c r="G57" i="139"/>
  <c r="F57" i="139"/>
  <c r="AF56" i="139"/>
  <c r="AE56" i="139"/>
  <c r="AD56" i="139"/>
  <c r="AC56" i="139"/>
  <c r="AB56" i="139"/>
  <c r="AA56" i="139"/>
  <c r="Z56" i="139"/>
  <c r="Y56" i="139"/>
  <c r="X56" i="139"/>
  <c r="W56" i="139"/>
  <c r="V56" i="139"/>
  <c r="U56" i="139"/>
  <c r="T56" i="139"/>
  <c r="S56" i="139"/>
  <c r="R56" i="139"/>
  <c r="Q56" i="139"/>
  <c r="P56" i="139"/>
  <c r="O56" i="139"/>
  <c r="N56" i="139"/>
  <c r="M56" i="139"/>
  <c r="L56" i="139"/>
  <c r="K56" i="139"/>
  <c r="J56" i="139"/>
  <c r="I56" i="139"/>
  <c r="H56" i="139"/>
  <c r="G56" i="139"/>
  <c r="F56" i="139"/>
  <c r="AF55" i="139"/>
  <c r="AE55" i="139"/>
  <c r="AD55" i="139"/>
  <c r="AC55" i="139"/>
  <c r="AB55" i="139"/>
  <c r="AA55" i="139"/>
  <c r="Z55" i="139"/>
  <c r="Y55" i="139"/>
  <c r="X55" i="139"/>
  <c r="W55" i="139"/>
  <c r="V55" i="139"/>
  <c r="U55" i="139"/>
  <c r="T55" i="139"/>
  <c r="S55" i="139"/>
  <c r="R55" i="139"/>
  <c r="Q55" i="139"/>
  <c r="P55" i="139"/>
  <c r="O55" i="139"/>
  <c r="N55" i="139"/>
  <c r="M55" i="139"/>
  <c r="L55" i="139"/>
  <c r="K55" i="139"/>
  <c r="J55" i="139"/>
  <c r="I55" i="139"/>
  <c r="H55" i="139"/>
  <c r="G55" i="139"/>
  <c r="F55" i="139"/>
  <c r="AF54" i="139"/>
  <c r="AE54" i="139"/>
  <c r="AD54" i="139"/>
  <c r="AC54" i="139"/>
  <c r="AB54" i="139"/>
  <c r="AA54" i="139"/>
  <c r="Z54" i="139"/>
  <c r="Y54" i="139"/>
  <c r="X54" i="139"/>
  <c r="W54" i="139"/>
  <c r="V54" i="139"/>
  <c r="U54" i="139"/>
  <c r="T54" i="139"/>
  <c r="S54" i="139"/>
  <c r="R54" i="139"/>
  <c r="Q54" i="139"/>
  <c r="P54" i="139"/>
  <c r="O54" i="139"/>
  <c r="N54" i="139"/>
  <c r="M54" i="139"/>
  <c r="L54" i="139"/>
  <c r="K54" i="139"/>
  <c r="J54" i="139"/>
  <c r="I54" i="139"/>
  <c r="H54" i="139"/>
  <c r="G54" i="139"/>
  <c r="F54" i="139"/>
  <c r="E55" i="139"/>
  <c r="E56" i="139"/>
  <c r="E57" i="139"/>
  <c r="E58" i="139"/>
  <c r="E59" i="139"/>
  <c r="E60" i="139"/>
  <c r="E61" i="139"/>
  <c r="E62" i="139"/>
  <c r="E63" i="139"/>
  <c r="E64" i="139"/>
  <c r="E65" i="139"/>
  <c r="E66" i="139"/>
  <c r="E67" i="139"/>
  <c r="E68" i="139"/>
  <c r="E54" i="139"/>
  <c r="AF26" i="139"/>
  <c r="AE26" i="139"/>
  <c r="AD26" i="139"/>
  <c r="AC26" i="139"/>
  <c r="AB26" i="139"/>
  <c r="AA26" i="139"/>
  <c r="Z26" i="139"/>
  <c r="Y26" i="139"/>
  <c r="X26" i="139"/>
  <c r="W26" i="139"/>
  <c r="V26" i="139"/>
  <c r="U26" i="139"/>
  <c r="T26" i="139"/>
  <c r="S26" i="139"/>
  <c r="R26" i="139"/>
  <c r="Q26" i="139"/>
  <c r="P26" i="139"/>
  <c r="O26" i="139"/>
  <c r="N26" i="139"/>
  <c r="M26" i="139"/>
  <c r="L26" i="139"/>
  <c r="K26" i="139"/>
  <c r="J26" i="139"/>
  <c r="I26" i="139"/>
  <c r="H26" i="139"/>
  <c r="G26" i="139"/>
  <c r="F26" i="139"/>
  <c r="E26" i="139"/>
  <c r="AF14" i="139"/>
  <c r="AE14" i="139"/>
  <c r="AD14" i="139"/>
  <c r="AC14" i="139"/>
  <c r="AB14" i="139"/>
  <c r="AA14" i="139"/>
  <c r="Z14" i="139"/>
  <c r="Y14" i="139"/>
  <c r="X14" i="139"/>
  <c r="W14" i="139"/>
  <c r="V14" i="139"/>
  <c r="U14" i="139"/>
  <c r="T14" i="139"/>
  <c r="S14" i="139"/>
  <c r="R14" i="139"/>
  <c r="Q14" i="139"/>
  <c r="P14" i="139"/>
  <c r="O14" i="139"/>
  <c r="N14" i="139"/>
  <c r="M14" i="139"/>
  <c r="L14" i="139"/>
  <c r="K14" i="139"/>
  <c r="J14" i="139"/>
  <c r="I14" i="139"/>
  <c r="H14" i="139"/>
  <c r="G14" i="139"/>
  <c r="F14" i="139"/>
  <c r="AF13" i="139"/>
  <c r="AE13" i="139"/>
  <c r="AD13" i="139"/>
  <c r="AC13" i="139"/>
  <c r="AB13" i="139"/>
  <c r="AA13" i="139"/>
  <c r="Z13" i="139"/>
  <c r="Y13" i="139"/>
  <c r="X13" i="139"/>
  <c r="W13" i="139"/>
  <c r="V13" i="139"/>
  <c r="U13" i="139"/>
  <c r="T13" i="139"/>
  <c r="S13" i="139"/>
  <c r="R13" i="139"/>
  <c r="Q13" i="139"/>
  <c r="P13" i="139"/>
  <c r="O13" i="139"/>
  <c r="N13" i="139"/>
  <c r="M13" i="139"/>
  <c r="L13" i="139"/>
  <c r="K13" i="139"/>
  <c r="J13" i="139"/>
  <c r="I13" i="139"/>
  <c r="H13" i="139"/>
  <c r="G13" i="139"/>
  <c r="F13" i="139"/>
  <c r="AF12" i="139"/>
  <c r="AE12" i="139"/>
  <c r="AD12" i="139"/>
  <c r="AC12" i="139"/>
  <c r="AB12" i="139"/>
  <c r="AA12" i="139"/>
  <c r="Z12" i="139"/>
  <c r="Y12" i="139"/>
  <c r="X12" i="139"/>
  <c r="W12" i="139"/>
  <c r="V12" i="139"/>
  <c r="U12" i="139"/>
  <c r="T12" i="139"/>
  <c r="S12" i="139"/>
  <c r="R12" i="139"/>
  <c r="Q12" i="139"/>
  <c r="P12" i="139"/>
  <c r="O12" i="139"/>
  <c r="N12" i="139"/>
  <c r="M12" i="139"/>
  <c r="L12" i="139"/>
  <c r="K12" i="139"/>
  <c r="J12" i="139"/>
  <c r="I12" i="139"/>
  <c r="H12" i="139"/>
  <c r="G12" i="139"/>
  <c r="F12" i="139"/>
  <c r="AF11" i="139"/>
  <c r="AE11" i="139"/>
  <c r="AD11" i="139"/>
  <c r="AC11" i="139"/>
  <c r="AB11" i="139"/>
  <c r="AA11" i="139"/>
  <c r="Z11" i="139"/>
  <c r="Y11" i="139"/>
  <c r="X11" i="139"/>
  <c r="W11" i="139"/>
  <c r="V11" i="139"/>
  <c r="U11" i="139"/>
  <c r="T11" i="139"/>
  <c r="S11" i="139"/>
  <c r="R11" i="139"/>
  <c r="Q11" i="139"/>
  <c r="P11" i="139"/>
  <c r="O11" i="139"/>
  <c r="N11" i="139"/>
  <c r="M11" i="139"/>
  <c r="M171" i="139" s="1"/>
  <c r="L11" i="139"/>
  <c r="K11" i="139"/>
  <c r="J11" i="139"/>
  <c r="I11" i="139"/>
  <c r="H11" i="139"/>
  <c r="G11" i="139"/>
  <c r="F11" i="139"/>
  <c r="AF10" i="139"/>
  <c r="AE10" i="139"/>
  <c r="AD10" i="139"/>
  <c r="AC10" i="139"/>
  <c r="AB10" i="139"/>
  <c r="AA10" i="139"/>
  <c r="Z10" i="139"/>
  <c r="Y10" i="139"/>
  <c r="X10" i="139"/>
  <c r="W10" i="139"/>
  <c r="V10" i="139"/>
  <c r="U10" i="139"/>
  <c r="T10" i="139"/>
  <c r="S10" i="139"/>
  <c r="R10" i="139"/>
  <c r="Q10" i="139"/>
  <c r="P10" i="139"/>
  <c r="O10" i="139"/>
  <c r="N10" i="139"/>
  <c r="M10" i="139"/>
  <c r="M170" i="139" s="1"/>
  <c r="L10" i="139"/>
  <c r="K10" i="139"/>
  <c r="J10" i="139"/>
  <c r="I10" i="139"/>
  <c r="H10" i="139"/>
  <c r="G10" i="139"/>
  <c r="F10" i="139"/>
  <c r="AF9" i="139"/>
  <c r="AE9" i="139"/>
  <c r="AD9" i="139"/>
  <c r="AC9" i="139"/>
  <c r="AB9" i="139"/>
  <c r="AA9" i="139"/>
  <c r="Z9" i="139"/>
  <c r="Y9" i="139"/>
  <c r="X9" i="139"/>
  <c r="W9" i="139"/>
  <c r="V9" i="139"/>
  <c r="U9" i="139"/>
  <c r="T9" i="139"/>
  <c r="S9" i="139"/>
  <c r="R9" i="139"/>
  <c r="Q9" i="139"/>
  <c r="P9" i="139"/>
  <c r="O9" i="139"/>
  <c r="N9" i="139"/>
  <c r="M9" i="139"/>
  <c r="L9" i="139"/>
  <c r="K9" i="139"/>
  <c r="J9" i="139"/>
  <c r="I9" i="139"/>
  <c r="H9" i="139"/>
  <c r="G9" i="139"/>
  <c r="F9" i="139"/>
  <c r="E10" i="139"/>
  <c r="E11" i="139"/>
  <c r="E12" i="139"/>
  <c r="E13" i="139"/>
  <c r="E14" i="139"/>
  <c r="E9" i="139"/>
  <c r="E169" i="139" s="1"/>
  <c r="E176" i="139" l="1"/>
  <c r="J42" i="128" s="1"/>
  <c r="G176" i="139"/>
  <c r="L42" i="128" s="1"/>
  <c r="L176" i="139"/>
  <c r="Q42" i="128" s="1"/>
  <c r="M176" i="139"/>
  <c r="R42" i="128" s="1"/>
  <c r="AC176" i="139"/>
  <c r="AH42" i="128" s="1"/>
  <c r="AF186" i="164"/>
  <c r="AE187" i="164"/>
  <c r="I79" i="156"/>
  <c r="Q79" i="156"/>
  <c r="Y79" i="156"/>
  <c r="AG79" i="156"/>
  <c r="K79" i="156"/>
  <c r="S79" i="156"/>
  <c r="AA79" i="156"/>
  <c r="AI79" i="156"/>
  <c r="O79" i="156"/>
  <c r="W79" i="156"/>
  <c r="AE79" i="156"/>
  <c r="H79" i="156"/>
  <c r="P79" i="156"/>
  <c r="X79" i="156"/>
  <c r="AF79" i="156"/>
  <c r="N79" i="156"/>
  <c r="AD79" i="156"/>
  <c r="U79" i="156"/>
  <c r="V79" i="156"/>
  <c r="R79" i="156"/>
  <c r="AH79" i="156"/>
  <c r="T79" i="156"/>
  <c r="J79" i="156"/>
  <c r="Z79" i="156"/>
  <c r="AC79" i="156"/>
  <c r="L79" i="156"/>
  <c r="AB79" i="156"/>
  <c r="M79" i="156"/>
  <c r="AI78" i="156"/>
  <c r="AA78" i="156"/>
  <c r="S78" i="156"/>
  <c r="K78" i="156"/>
  <c r="AD77" i="156"/>
  <c r="V77" i="156"/>
  <c r="N77" i="156"/>
  <c r="AG76" i="156"/>
  <c r="Y76" i="156"/>
  <c r="Q76" i="156"/>
  <c r="I76" i="156"/>
  <c r="AB75" i="156"/>
  <c r="T75" i="156"/>
  <c r="L75" i="156"/>
  <c r="K76" i="156"/>
  <c r="AB78" i="156"/>
  <c r="Z76" i="156"/>
  <c r="M75" i="156"/>
  <c r="AH78" i="156"/>
  <c r="Z78" i="156"/>
  <c r="R78" i="156"/>
  <c r="J78" i="156"/>
  <c r="AC77" i="156"/>
  <c r="U77" i="156"/>
  <c r="M77" i="156"/>
  <c r="AF76" i="156"/>
  <c r="X76" i="156"/>
  <c r="P76" i="156"/>
  <c r="AI75" i="156"/>
  <c r="AA75" i="156"/>
  <c r="S75" i="156"/>
  <c r="K75" i="156"/>
  <c r="O77" i="156"/>
  <c r="AG78" i="156"/>
  <c r="Y78" i="156"/>
  <c r="Q78" i="156"/>
  <c r="I78" i="156"/>
  <c r="AB77" i="156"/>
  <c r="T77" i="156"/>
  <c r="L77" i="156"/>
  <c r="AE76" i="156"/>
  <c r="W76" i="156"/>
  <c r="O76" i="156"/>
  <c r="AH75" i="156"/>
  <c r="Z75" i="156"/>
  <c r="R75" i="156"/>
  <c r="J75" i="156"/>
  <c r="U78" i="156"/>
  <c r="T78" i="156"/>
  <c r="AH76" i="156"/>
  <c r="U75" i="156"/>
  <c r="AF78" i="156"/>
  <c r="X78" i="156"/>
  <c r="P78" i="156"/>
  <c r="AI77" i="156"/>
  <c r="AA77" i="156"/>
  <c r="S77" i="156"/>
  <c r="K77" i="156"/>
  <c r="AD76" i="156"/>
  <c r="V76" i="156"/>
  <c r="N76" i="156"/>
  <c r="AG75" i="156"/>
  <c r="Y75" i="156"/>
  <c r="Q75" i="156"/>
  <c r="I75" i="156"/>
  <c r="M78" i="156"/>
  <c r="N75" i="156"/>
  <c r="W77" i="156"/>
  <c r="R76" i="156"/>
  <c r="H75" i="156"/>
  <c r="AE78" i="156"/>
  <c r="W78" i="156"/>
  <c r="O78" i="156"/>
  <c r="AH77" i="156"/>
  <c r="Z77" i="156"/>
  <c r="R77" i="156"/>
  <c r="J77" i="156"/>
  <c r="AC76" i="156"/>
  <c r="U76" i="156"/>
  <c r="M76" i="156"/>
  <c r="AF75" i="156"/>
  <c r="X75" i="156"/>
  <c r="P75" i="156"/>
  <c r="H76" i="156"/>
  <c r="AF77" i="156"/>
  <c r="S76" i="156"/>
  <c r="V75" i="156"/>
  <c r="AE77" i="156"/>
  <c r="J76" i="156"/>
  <c r="AD78" i="156"/>
  <c r="V78" i="156"/>
  <c r="N78" i="156"/>
  <c r="AG77" i="156"/>
  <c r="Y77" i="156"/>
  <c r="Q77" i="156"/>
  <c r="I77" i="156"/>
  <c r="AB76" i="156"/>
  <c r="T76" i="156"/>
  <c r="L76" i="156"/>
  <c r="AE75" i="156"/>
  <c r="W75" i="156"/>
  <c r="O75" i="156"/>
  <c r="H77" i="156"/>
  <c r="AC78" i="156"/>
  <c r="X77" i="156"/>
  <c r="P77" i="156"/>
  <c r="AI76" i="156"/>
  <c r="AA76" i="156"/>
  <c r="AD75" i="156"/>
  <c r="H78" i="156"/>
  <c r="L78" i="156"/>
  <c r="AC75" i="156"/>
  <c r="AF97" i="156"/>
  <c r="X97" i="156"/>
  <c r="P97" i="156"/>
  <c r="AI96" i="156"/>
  <c r="AA96" i="156"/>
  <c r="S96" i="156"/>
  <c r="K96" i="156"/>
  <c r="AD95" i="156"/>
  <c r="V95" i="156"/>
  <c r="N95" i="156"/>
  <c r="AG94" i="156"/>
  <c r="Y94" i="156"/>
  <c r="Q94" i="156"/>
  <c r="I94" i="156"/>
  <c r="AB93" i="156"/>
  <c r="T93" i="156"/>
  <c r="L93" i="156"/>
  <c r="H93" i="156"/>
  <c r="AD97" i="156"/>
  <c r="V97" i="156"/>
  <c r="N97" i="156"/>
  <c r="AG96" i="156"/>
  <c r="Y96" i="156"/>
  <c r="Q96" i="156"/>
  <c r="I96" i="156"/>
  <c r="AB95" i="156"/>
  <c r="T95" i="156"/>
  <c r="L95" i="156"/>
  <c r="AE94" i="156"/>
  <c r="W94" i="156"/>
  <c r="O94" i="156"/>
  <c r="AH93" i="156"/>
  <c r="Z93" i="156"/>
  <c r="R93" i="156"/>
  <c r="J93" i="156"/>
  <c r="AC97" i="156"/>
  <c r="U97" i="156"/>
  <c r="M97" i="156"/>
  <c r="AF96" i="156"/>
  <c r="X96" i="156"/>
  <c r="P96" i="156"/>
  <c r="AI95" i="156"/>
  <c r="AH97" i="156"/>
  <c r="Z97" i="156"/>
  <c r="R97" i="156"/>
  <c r="J97" i="156"/>
  <c r="AC96" i="156"/>
  <c r="U96" i="156"/>
  <c r="M96" i="156"/>
  <c r="AF95" i="156"/>
  <c r="X95" i="156"/>
  <c r="P95" i="156"/>
  <c r="AI94" i="156"/>
  <c r="AA94" i="156"/>
  <c r="S94" i="156"/>
  <c r="K94" i="156"/>
  <c r="AD93" i="156"/>
  <c r="V93" i="156"/>
  <c r="N93" i="156"/>
  <c r="H96" i="156"/>
  <c r="AC93" i="156"/>
  <c r="AG97" i="156"/>
  <c r="Y97" i="156"/>
  <c r="Q97" i="156"/>
  <c r="I97" i="156"/>
  <c r="AB96" i="156"/>
  <c r="T96" i="156"/>
  <c r="L96" i="156"/>
  <c r="AE95" i="156"/>
  <c r="W95" i="156"/>
  <c r="O95" i="156"/>
  <c r="AH94" i="156"/>
  <c r="Z94" i="156"/>
  <c r="R94" i="156"/>
  <c r="J94" i="156"/>
  <c r="U93" i="156"/>
  <c r="M93" i="156"/>
  <c r="H97" i="156"/>
  <c r="AI97" i="156"/>
  <c r="L97" i="156"/>
  <c r="R96" i="156"/>
  <c r="Z95" i="156"/>
  <c r="J95" i="156"/>
  <c r="U94" i="156"/>
  <c r="AF93" i="156"/>
  <c r="P93" i="156"/>
  <c r="AB97" i="156"/>
  <c r="N96" i="156"/>
  <c r="AF94" i="156"/>
  <c r="AA93" i="156"/>
  <c r="R95" i="156"/>
  <c r="X93" i="156"/>
  <c r="AE97" i="156"/>
  <c r="K97" i="156"/>
  <c r="O96" i="156"/>
  <c r="Y95" i="156"/>
  <c r="I95" i="156"/>
  <c r="T94" i="156"/>
  <c r="AE93" i="156"/>
  <c r="O93" i="156"/>
  <c r="AH96" i="156"/>
  <c r="U95" i="156"/>
  <c r="P94" i="156"/>
  <c r="K93" i="156"/>
  <c r="J96" i="156"/>
  <c r="S95" i="156"/>
  <c r="AD94" i="156"/>
  <c r="N94" i="156"/>
  <c r="AH95" i="156"/>
  <c r="M94" i="156"/>
  <c r="T97" i="156"/>
  <c r="Z96" i="156"/>
  <c r="AG95" i="156"/>
  <c r="Q95" i="156"/>
  <c r="AB94" i="156"/>
  <c r="L94" i="156"/>
  <c r="W93" i="156"/>
  <c r="H95" i="156"/>
  <c r="Q93" i="156"/>
  <c r="AE96" i="156"/>
  <c r="Y93" i="156"/>
  <c r="W97" i="156"/>
  <c r="H94" i="156"/>
  <c r="S97" i="156"/>
  <c r="W96" i="156"/>
  <c r="AC95" i="156"/>
  <c r="M95" i="156"/>
  <c r="X94" i="156"/>
  <c r="AI93" i="156"/>
  <c r="S93" i="156"/>
  <c r="O97" i="156"/>
  <c r="V96" i="156"/>
  <c r="AA95" i="156"/>
  <c r="K95" i="156"/>
  <c r="V94" i="156"/>
  <c r="AG93" i="156"/>
  <c r="AA97" i="156"/>
  <c r="I93" i="156"/>
  <c r="AD96" i="156"/>
  <c r="AC94" i="156"/>
  <c r="AD104" i="156"/>
  <c r="V104" i="156"/>
  <c r="N104" i="156"/>
  <c r="AG103" i="156"/>
  <c r="Y103" i="156"/>
  <c r="Q103" i="156"/>
  <c r="I103" i="156"/>
  <c r="AB102" i="156"/>
  <c r="T102" i="156"/>
  <c r="L102" i="156"/>
  <c r="AE101" i="156"/>
  <c r="W101" i="156"/>
  <c r="O101" i="156"/>
  <c r="AH100" i="156"/>
  <c r="Z100" i="156"/>
  <c r="R100" i="156"/>
  <c r="J100" i="156"/>
  <c r="U104" i="156"/>
  <c r="AF103" i="156"/>
  <c r="X103" i="156"/>
  <c r="P103" i="156"/>
  <c r="AI102" i="156"/>
  <c r="AA102" i="156"/>
  <c r="S102" i="156"/>
  <c r="AD101" i="156"/>
  <c r="V101" i="156"/>
  <c r="Y100" i="156"/>
  <c r="I100" i="156"/>
  <c r="AC104" i="156"/>
  <c r="AB104" i="156"/>
  <c r="T104" i="156"/>
  <c r="L104" i="156"/>
  <c r="AE103" i="156"/>
  <c r="W103" i="156"/>
  <c r="O103" i="156"/>
  <c r="AH102" i="156"/>
  <c r="Z102" i="156"/>
  <c r="R102" i="156"/>
  <c r="J102" i="156"/>
  <c r="AC101" i="156"/>
  <c r="U101" i="156"/>
  <c r="M101" i="156"/>
  <c r="AF100" i="156"/>
  <c r="X100" i="156"/>
  <c r="P100" i="156"/>
  <c r="H101" i="156"/>
  <c r="AA104" i="156"/>
  <c r="S104" i="156"/>
  <c r="K104" i="156"/>
  <c r="AD103" i="156"/>
  <c r="V103" i="156"/>
  <c r="N103" i="156"/>
  <c r="AG102" i="156"/>
  <c r="Y102" i="156"/>
  <c r="Q102" i="156"/>
  <c r="I102" i="156"/>
  <c r="AB101" i="156"/>
  <c r="T101" i="156"/>
  <c r="L101" i="156"/>
  <c r="AE100" i="156"/>
  <c r="W100" i="156"/>
  <c r="O100" i="156"/>
  <c r="H102" i="156"/>
  <c r="AI104" i="156"/>
  <c r="AH104" i="156"/>
  <c r="AG104" i="156"/>
  <c r="AF104" i="156"/>
  <c r="X104" i="156"/>
  <c r="P104" i="156"/>
  <c r="AI103" i="156"/>
  <c r="AA103" i="156"/>
  <c r="S103" i="156"/>
  <c r="K103" i="156"/>
  <c r="AD102" i="156"/>
  <c r="V102" i="156"/>
  <c r="N102" i="156"/>
  <c r="AG101" i="156"/>
  <c r="Y101" i="156"/>
  <c r="Q101" i="156"/>
  <c r="I101" i="156"/>
  <c r="AB100" i="156"/>
  <c r="T100" i="156"/>
  <c r="L100" i="156"/>
  <c r="H100" i="156"/>
  <c r="M104" i="156"/>
  <c r="K102" i="156"/>
  <c r="N101" i="156"/>
  <c r="Q100" i="156"/>
  <c r="AE104" i="156"/>
  <c r="W104" i="156"/>
  <c r="O104" i="156"/>
  <c r="AH103" i="156"/>
  <c r="Z103" i="156"/>
  <c r="R103" i="156"/>
  <c r="J103" i="156"/>
  <c r="AC102" i="156"/>
  <c r="U102" i="156"/>
  <c r="M102" i="156"/>
  <c r="AF101" i="156"/>
  <c r="X101" i="156"/>
  <c r="P101" i="156"/>
  <c r="AI100" i="156"/>
  <c r="AA100" i="156"/>
  <c r="S100" i="156"/>
  <c r="K100" i="156"/>
  <c r="AC103" i="156"/>
  <c r="X102" i="156"/>
  <c r="S101" i="156"/>
  <c r="U100" i="156"/>
  <c r="K101" i="156"/>
  <c r="T103" i="156"/>
  <c r="R104" i="156"/>
  <c r="AI101" i="156"/>
  <c r="AB103" i="156"/>
  <c r="W102" i="156"/>
  <c r="R101" i="156"/>
  <c r="N100" i="156"/>
  <c r="Z104" i="156"/>
  <c r="U103" i="156"/>
  <c r="P102" i="156"/>
  <c r="M100" i="156"/>
  <c r="Y104" i="156"/>
  <c r="O102" i="156"/>
  <c r="J101" i="156"/>
  <c r="H103" i="156"/>
  <c r="M103" i="156"/>
  <c r="H104" i="156"/>
  <c r="Q104" i="156"/>
  <c r="L103" i="156"/>
  <c r="AH101" i="156"/>
  <c r="AD100" i="156"/>
  <c r="J104" i="156"/>
  <c r="AF102" i="156"/>
  <c r="AA101" i="156"/>
  <c r="AC100" i="156"/>
  <c r="I104" i="156"/>
  <c r="AE102" i="156"/>
  <c r="Z101" i="156"/>
  <c r="V100" i="156"/>
  <c r="AG100" i="156"/>
  <c r="E193" i="139"/>
  <c r="F167" i="139"/>
  <c r="AD167" i="139"/>
  <c r="E167" i="139"/>
  <c r="N167" i="139"/>
  <c r="V167" i="139"/>
  <c r="L167" i="139"/>
  <c r="T167" i="139"/>
  <c r="AB167" i="139"/>
  <c r="M167" i="139"/>
  <c r="U167" i="139"/>
  <c r="AC167" i="139"/>
  <c r="W167" i="139"/>
  <c r="O167" i="139"/>
  <c r="H167" i="139"/>
  <c r="P167" i="139"/>
  <c r="X167" i="139"/>
  <c r="AF167" i="139"/>
  <c r="G167" i="139"/>
  <c r="I167" i="139"/>
  <c r="Q167" i="139"/>
  <c r="Y167" i="139"/>
  <c r="AE167" i="139"/>
  <c r="J167" i="139"/>
  <c r="R167" i="139"/>
  <c r="Z167" i="139"/>
  <c r="K167" i="139"/>
  <c r="S167" i="139"/>
  <c r="AA167" i="139"/>
  <c r="E70" i="139"/>
  <c r="F70" i="139"/>
  <c r="G70" i="139"/>
  <c r="H70" i="139"/>
  <c r="I70" i="139"/>
  <c r="J70" i="139"/>
  <c r="K70" i="139"/>
  <c r="L70" i="139"/>
  <c r="M70" i="139"/>
  <c r="N70" i="139"/>
  <c r="O70" i="139"/>
  <c r="P70" i="139"/>
  <c r="Q70" i="139"/>
  <c r="R70" i="139"/>
  <c r="S70" i="139"/>
  <c r="T70" i="139"/>
  <c r="U70" i="139"/>
  <c r="V70" i="139"/>
  <c r="W70" i="139"/>
  <c r="X70" i="139"/>
  <c r="Y70" i="139"/>
  <c r="Z70" i="139"/>
  <c r="AA70" i="139"/>
  <c r="AB70" i="139"/>
  <c r="AC70" i="139"/>
  <c r="AD70" i="139"/>
  <c r="AE70" i="139"/>
  <c r="AF70" i="139"/>
  <c r="D27" i="73"/>
  <c r="C27" i="73"/>
  <c r="D26" i="73"/>
  <c r="C26" i="73"/>
  <c r="D25" i="73"/>
  <c r="C25" i="73"/>
  <c r="D24" i="73"/>
  <c r="C24" i="73"/>
  <c r="D23" i="73"/>
  <c r="C23" i="73"/>
  <c r="D22" i="73"/>
  <c r="C22" i="73"/>
  <c r="D21" i="73"/>
  <c r="C21" i="73"/>
  <c r="AF29" i="144"/>
  <c r="AE29" i="144"/>
  <c r="AD29" i="144"/>
  <c r="AC29" i="144"/>
  <c r="AB29" i="144"/>
  <c r="AA29" i="144"/>
  <c r="Z29" i="144"/>
  <c r="Z31" i="144" s="1"/>
  <c r="Y29" i="144"/>
  <c r="X29" i="144"/>
  <c r="W29" i="144"/>
  <c r="W31" i="144" s="1"/>
  <c r="V29" i="144"/>
  <c r="V31" i="144" s="1"/>
  <c r="U29" i="144"/>
  <c r="T29" i="144"/>
  <c r="S29" i="144"/>
  <c r="R29" i="144"/>
  <c r="R31" i="144" s="1"/>
  <c r="Q29" i="144"/>
  <c r="P29" i="144"/>
  <c r="P31" i="144" s="1"/>
  <c r="O29" i="144"/>
  <c r="O31" i="144" s="1"/>
  <c r="N29" i="144"/>
  <c r="N31" i="144" s="1"/>
  <c r="M29" i="144"/>
  <c r="M31" i="144" s="1"/>
  <c r="L29" i="144"/>
  <c r="K29" i="144"/>
  <c r="J29" i="144"/>
  <c r="I29" i="144"/>
  <c r="H29" i="144"/>
  <c r="G29" i="144"/>
  <c r="F29" i="144"/>
  <c r="E29" i="144"/>
  <c r="AF28" i="144"/>
  <c r="AE28" i="144"/>
  <c r="AD28" i="144"/>
  <c r="AC28" i="144"/>
  <c r="AB28" i="144"/>
  <c r="AA28" i="144"/>
  <c r="Z28" i="144"/>
  <c r="Y28" i="144"/>
  <c r="X28" i="144"/>
  <c r="W28" i="144"/>
  <c r="V28" i="144"/>
  <c r="U28" i="144"/>
  <c r="T28" i="144"/>
  <c r="S28" i="144"/>
  <c r="R28" i="144"/>
  <c r="Q28" i="144"/>
  <c r="P28" i="144"/>
  <c r="O28" i="144"/>
  <c r="N28" i="144"/>
  <c r="M28" i="144"/>
  <c r="L28" i="144"/>
  <c r="K28" i="144"/>
  <c r="J28" i="144"/>
  <c r="I28" i="144"/>
  <c r="H28" i="144"/>
  <c r="G28" i="144"/>
  <c r="F28" i="144"/>
  <c r="E28" i="144"/>
  <c r="AF27" i="144"/>
  <c r="AE27" i="144"/>
  <c r="AK11" i="155" s="1"/>
  <c r="AD27" i="144"/>
  <c r="AJ11" i="155" s="1"/>
  <c r="AC27" i="144"/>
  <c r="AI11" i="155" s="1"/>
  <c r="AB27" i="144"/>
  <c r="AH11" i="155" s="1"/>
  <c r="AA27" i="144"/>
  <c r="AG11" i="155" s="1"/>
  <c r="Z27" i="144"/>
  <c r="AF11" i="155" s="1"/>
  <c r="Y27" i="144"/>
  <c r="AE11" i="155" s="1"/>
  <c r="X27" i="144"/>
  <c r="AD11" i="155" s="1"/>
  <c r="W27" i="144"/>
  <c r="AC11" i="155" s="1"/>
  <c r="V27" i="144"/>
  <c r="AB11" i="155" s="1"/>
  <c r="U27" i="144"/>
  <c r="AA11" i="155" s="1"/>
  <c r="T27" i="144"/>
  <c r="Z11" i="155" s="1"/>
  <c r="S27" i="144"/>
  <c r="Y11" i="155" s="1"/>
  <c r="R27" i="144"/>
  <c r="X11" i="155" s="1"/>
  <c r="Q27" i="144"/>
  <c r="W11" i="155" s="1"/>
  <c r="P27" i="144"/>
  <c r="O27" i="144"/>
  <c r="U11" i="155" s="1"/>
  <c r="N27" i="144"/>
  <c r="T11" i="155" s="1"/>
  <c r="M27" i="144"/>
  <c r="S11" i="155" s="1"/>
  <c r="L27" i="144"/>
  <c r="R11" i="155" s="1"/>
  <c r="K27" i="144"/>
  <c r="Q11" i="155" s="1"/>
  <c r="J27" i="144"/>
  <c r="P11" i="155" s="1"/>
  <c r="N114" i="155"/>
  <c r="H27" i="144"/>
  <c r="N11" i="155" s="1"/>
  <c r="G27" i="144"/>
  <c r="M11" i="155" s="1"/>
  <c r="F27" i="144"/>
  <c r="L11" i="155" s="1"/>
  <c r="Q36" i="140"/>
  <c r="P36" i="140"/>
  <c r="F37" i="140" s="1"/>
  <c r="O36" i="140"/>
  <c r="E37" i="140" s="1"/>
  <c r="N36" i="140"/>
  <c r="M36" i="140"/>
  <c r="L36" i="140"/>
  <c r="K36" i="140"/>
  <c r="J36" i="140"/>
  <c r="I36" i="140"/>
  <c r="H36" i="140"/>
  <c r="G36" i="140"/>
  <c r="D36" i="140"/>
  <c r="Y35" i="140"/>
  <c r="X35" i="140"/>
  <c r="W35" i="140"/>
  <c r="T35" i="140"/>
  <c r="S35" i="140"/>
  <c r="Y34" i="140"/>
  <c r="X34" i="140"/>
  <c r="W34" i="140"/>
  <c r="T34" i="140"/>
  <c r="S34" i="140"/>
  <c r="Y33" i="140"/>
  <c r="X33" i="140"/>
  <c r="W33" i="140"/>
  <c r="T33" i="140"/>
  <c r="S33" i="140"/>
  <c r="Y32" i="140"/>
  <c r="X32" i="140"/>
  <c r="W32" i="140"/>
  <c r="T32" i="140"/>
  <c r="S32" i="140"/>
  <c r="Y31" i="140"/>
  <c r="X31" i="140"/>
  <c r="W31" i="140"/>
  <c r="T31" i="140"/>
  <c r="S31" i="140"/>
  <c r="Y30" i="140"/>
  <c r="X30" i="140"/>
  <c r="W30" i="140"/>
  <c r="T30" i="140"/>
  <c r="S30" i="140"/>
  <c r="Y29" i="140"/>
  <c r="X29" i="140"/>
  <c r="W29" i="140"/>
  <c r="T29" i="140"/>
  <c r="S29" i="140"/>
  <c r="Y28" i="140"/>
  <c r="X28" i="140"/>
  <c r="W28" i="140"/>
  <c r="T28" i="140"/>
  <c r="S28" i="140"/>
  <c r="Y27" i="140"/>
  <c r="X27" i="140"/>
  <c r="W27" i="140"/>
  <c r="T27" i="140"/>
  <c r="S27" i="140"/>
  <c r="Y26" i="140"/>
  <c r="X26" i="140"/>
  <c r="W26" i="140"/>
  <c r="T26" i="140"/>
  <c r="S26" i="140"/>
  <c r="Y25" i="140"/>
  <c r="X25" i="140"/>
  <c r="W25" i="140"/>
  <c r="T25" i="140"/>
  <c r="S25" i="140"/>
  <c r="Y24" i="140"/>
  <c r="X24" i="140"/>
  <c r="W24" i="140"/>
  <c r="T24" i="140"/>
  <c r="S24" i="140"/>
  <c r="Y23" i="140"/>
  <c r="X23" i="140"/>
  <c r="W23" i="140"/>
  <c r="T23" i="140"/>
  <c r="S23" i="140"/>
  <c r="Y22" i="140"/>
  <c r="X22" i="140"/>
  <c r="W22" i="140"/>
  <c r="T22" i="140"/>
  <c r="S22" i="140"/>
  <c r="Y21" i="140"/>
  <c r="X21" i="140"/>
  <c r="W21" i="140"/>
  <c r="T21" i="140"/>
  <c r="S21" i="140"/>
  <c r="Y20" i="140"/>
  <c r="X20" i="140"/>
  <c r="W20" i="140"/>
  <c r="T20" i="140"/>
  <c r="S20" i="140"/>
  <c r="Y19" i="140"/>
  <c r="X19" i="140"/>
  <c r="W19" i="140"/>
  <c r="T19" i="140"/>
  <c r="S19" i="140"/>
  <c r="Y18" i="140"/>
  <c r="X18" i="140"/>
  <c r="W18" i="140"/>
  <c r="T18" i="140"/>
  <c r="S18" i="140"/>
  <c r="Y17" i="140"/>
  <c r="X17" i="140"/>
  <c r="W17" i="140"/>
  <c r="T17" i="140"/>
  <c r="S17" i="140"/>
  <c r="Y16" i="140"/>
  <c r="X16" i="140"/>
  <c r="W16" i="140"/>
  <c r="T16" i="140"/>
  <c r="S16" i="140"/>
  <c r="Y15" i="140"/>
  <c r="X15" i="140"/>
  <c r="W15" i="140"/>
  <c r="T15" i="140"/>
  <c r="S15" i="140"/>
  <c r="AA14" i="140"/>
  <c r="T14" i="140"/>
  <c r="S14" i="140"/>
  <c r="Y13" i="140"/>
  <c r="X13" i="140"/>
  <c r="W13" i="140"/>
  <c r="T13" i="140"/>
  <c r="S13" i="140"/>
  <c r="Y12" i="140"/>
  <c r="X12" i="140"/>
  <c r="W12" i="140"/>
  <c r="T12" i="140"/>
  <c r="S12" i="140"/>
  <c r="Y11" i="140"/>
  <c r="X11" i="140"/>
  <c r="W11" i="140"/>
  <c r="T11" i="140"/>
  <c r="S11" i="140"/>
  <c r="Y10" i="140"/>
  <c r="X10" i="140"/>
  <c r="W10" i="140"/>
  <c r="T10" i="140"/>
  <c r="S10" i="140"/>
  <c r="Y9" i="140"/>
  <c r="X9" i="140"/>
  <c r="T9" i="140"/>
  <c r="S9" i="140"/>
  <c r="Y8" i="140"/>
  <c r="X8" i="140"/>
  <c r="W8" i="140"/>
  <c r="T8" i="140"/>
  <c r="S8" i="140"/>
  <c r="D4" i="140"/>
  <c r="E4" i="140" s="1"/>
  <c r="F4" i="140" s="1"/>
  <c r="G4" i="140" s="1"/>
  <c r="H4" i="140" s="1"/>
  <c r="I4" i="140" s="1"/>
  <c r="J4" i="140" s="1"/>
  <c r="K4" i="140" s="1"/>
  <c r="L4" i="140" s="1"/>
  <c r="M4" i="140" s="1"/>
  <c r="N4" i="140" s="1"/>
  <c r="O4" i="140" s="1"/>
  <c r="P4" i="140" s="1"/>
  <c r="Q4" i="140" s="1"/>
  <c r="R4" i="140" s="1"/>
  <c r="S4" i="140" s="1"/>
  <c r="T4" i="140" s="1"/>
  <c r="U4" i="140" s="1"/>
  <c r="V4" i="140" s="1"/>
  <c r="W4" i="140" s="1"/>
  <c r="X4" i="140" s="1"/>
  <c r="Y4" i="140" s="1"/>
  <c r="B87" i="139" s="1"/>
  <c r="AG56" i="128"/>
  <c r="AF56" i="128"/>
  <c r="AD56" i="128"/>
  <c r="B56" i="128"/>
  <c r="A56" i="128"/>
  <c r="B51" i="128"/>
  <c r="A51" i="128"/>
  <c r="B46" i="128"/>
  <c r="A46" i="128"/>
  <c r="B23" i="128"/>
  <c r="A23" i="128"/>
  <c r="B16" i="128"/>
  <c r="A16" i="128"/>
  <c r="B15" i="128"/>
  <c r="A15" i="128"/>
  <c r="B14" i="128"/>
  <c r="A14" i="128"/>
  <c r="B13" i="128"/>
  <c r="A13" i="128"/>
  <c r="B12" i="128"/>
  <c r="A12" i="128"/>
  <c r="B11" i="128"/>
  <c r="A11" i="128"/>
  <c r="B10" i="128"/>
  <c r="A10" i="128"/>
  <c r="B9" i="128"/>
  <c r="A9" i="128"/>
  <c r="AF227" i="139"/>
  <c r="AE227" i="139"/>
  <c r="AD227" i="139"/>
  <c r="AC227" i="139"/>
  <c r="AB227" i="139"/>
  <c r="AA227" i="139"/>
  <c r="Z227" i="139"/>
  <c r="Y227" i="139"/>
  <c r="X227" i="139"/>
  <c r="W227" i="139"/>
  <c r="V227" i="139"/>
  <c r="U227" i="139"/>
  <c r="T227" i="139"/>
  <c r="S227" i="139"/>
  <c r="R227" i="139"/>
  <c r="Q227" i="139"/>
  <c r="P227" i="139"/>
  <c r="O227" i="139"/>
  <c r="N227" i="139"/>
  <c r="M227" i="139"/>
  <c r="L227" i="139"/>
  <c r="K227" i="139"/>
  <c r="J227" i="139"/>
  <c r="I227" i="139"/>
  <c r="H227" i="139"/>
  <c r="G227" i="139"/>
  <c r="F227" i="139"/>
  <c r="E227" i="139"/>
  <c r="AF226" i="139"/>
  <c r="AE226" i="139"/>
  <c r="AD226" i="139"/>
  <c r="AC226" i="139"/>
  <c r="AB226" i="139"/>
  <c r="AA226" i="139"/>
  <c r="Z226" i="139"/>
  <c r="Y226" i="139"/>
  <c r="X226" i="139"/>
  <c r="W226" i="139"/>
  <c r="V226" i="139"/>
  <c r="U226" i="139"/>
  <c r="T226" i="139"/>
  <c r="S226" i="139"/>
  <c r="R226" i="139"/>
  <c r="Q226" i="139"/>
  <c r="P226" i="139"/>
  <c r="O226" i="139"/>
  <c r="N226" i="139"/>
  <c r="M226" i="139"/>
  <c r="L226" i="139"/>
  <c r="K226" i="139"/>
  <c r="J226" i="139"/>
  <c r="I226" i="139"/>
  <c r="H226" i="139"/>
  <c r="G226" i="139"/>
  <c r="F226" i="139"/>
  <c r="E226" i="139"/>
  <c r="AF225" i="139"/>
  <c r="AE225" i="139"/>
  <c r="AD225" i="139"/>
  <c r="AC225" i="139"/>
  <c r="AB225" i="139"/>
  <c r="AA225" i="139"/>
  <c r="Z225" i="139"/>
  <c r="Y225" i="139"/>
  <c r="X225" i="139"/>
  <c r="W225" i="139"/>
  <c r="V225" i="139"/>
  <c r="U225" i="139"/>
  <c r="T225" i="139"/>
  <c r="S225" i="139"/>
  <c r="R225" i="139"/>
  <c r="Q225" i="139"/>
  <c r="P225" i="139"/>
  <c r="O225" i="139"/>
  <c r="N225" i="139"/>
  <c r="M225" i="139"/>
  <c r="L225" i="139"/>
  <c r="K225" i="139"/>
  <c r="J225" i="139"/>
  <c r="I225" i="139"/>
  <c r="H225" i="139"/>
  <c r="G225" i="139"/>
  <c r="F225" i="139"/>
  <c r="E225" i="139"/>
  <c r="AF224" i="139"/>
  <c r="AE224" i="139"/>
  <c r="AD224" i="139"/>
  <c r="AC224" i="139"/>
  <c r="AB224" i="139"/>
  <c r="AA224" i="139"/>
  <c r="Z224" i="139"/>
  <c r="Y224" i="139"/>
  <c r="X224" i="139"/>
  <c r="W224" i="139"/>
  <c r="V224" i="139"/>
  <c r="U224" i="139"/>
  <c r="T224" i="139"/>
  <c r="S224" i="139"/>
  <c r="R224" i="139"/>
  <c r="Q224" i="139"/>
  <c r="P224" i="139"/>
  <c r="O224" i="139"/>
  <c r="N224" i="139"/>
  <c r="M224" i="139"/>
  <c r="L224" i="139"/>
  <c r="K224" i="139"/>
  <c r="J224" i="139"/>
  <c r="I224" i="139"/>
  <c r="H224" i="139"/>
  <c r="G224" i="139"/>
  <c r="F224" i="139"/>
  <c r="E224" i="139"/>
  <c r="AF223" i="139"/>
  <c r="AE223" i="139"/>
  <c r="AD223" i="139"/>
  <c r="AC223" i="139"/>
  <c r="AB223" i="139"/>
  <c r="AA223" i="139"/>
  <c r="Z223" i="139"/>
  <c r="Y223" i="139"/>
  <c r="X223" i="139"/>
  <c r="W223" i="139"/>
  <c r="V223" i="139"/>
  <c r="U223" i="139"/>
  <c r="T223" i="139"/>
  <c r="S223" i="139"/>
  <c r="R223" i="139"/>
  <c r="Q223" i="139"/>
  <c r="P223" i="139"/>
  <c r="O223" i="139"/>
  <c r="N223" i="139"/>
  <c r="M223" i="139"/>
  <c r="L223" i="139"/>
  <c r="K223" i="139"/>
  <c r="J223" i="139"/>
  <c r="I223" i="139"/>
  <c r="H223" i="139"/>
  <c r="G223" i="139"/>
  <c r="F223" i="139"/>
  <c r="E223" i="139"/>
  <c r="AF222" i="139"/>
  <c r="AE222" i="139"/>
  <c r="AD222" i="139"/>
  <c r="AC222" i="139"/>
  <c r="AB222" i="139"/>
  <c r="AA222" i="139"/>
  <c r="Z222" i="139"/>
  <c r="Y222" i="139"/>
  <c r="X222" i="139"/>
  <c r="W222" i="139"/>
  <c r="V222" i="139"/>
  <c r="U222" i="139"/>
  <c r="T222" i="139"/>
  <c r="S222" i="139"/>
  <c r="R222" i="139"/>
  <c r="Q222" i="139"/>
  <c r="P222" i="139"/>
  <c r="O222" i="139"/>
  <c r="N222" i="139"/>
  <c r="M222" i="139"/>
  <c r="L222" i="139"/>
  <c r="K222" i="139"/>
  <c r="J222" i="139"/>
  <c r="I222" i="139"/>
  <c r="H222" i="139"/>
  <c r="G222" i="139"/>
  <c r="F222" i="139"/>
  <c r="E222" i="139"/>
  <c r="AF219" i="139"/>
  <c r="AE219" i="139"/>
  <c r="AD219" i="139"/>
  <c r="AC219" i="139"/>
  <c r="AB219" i="139"/>
  <c r="AA219" i="139"/>
  <c r="Z219" i="139"/>
  <c r="Y219" i="139"/>
  <c r="X219" i="139"/>
  <c r="W219" i="139"/>
  <c r="V219" i="139"/>
  <c r="U219" i="139"/>
  <c r="T219" i="139"/>
  <c r="S219" i="139"/>
  <c r="R219" i="139"/>
  <c r="Q219" i="139"/>
  <c r="P219" i="139"/>
  <c r="O219" i="139"/>
  <c r="N219" i="139"/>
  <c r="M219" i="139"/>
  <c r="L219" i="139"/>
  <c r="K219" i="139"/>
  <c r="J219" i="139"/>
  <c r="I219" i="139"/>
  <c r="H219" i="139"/>
  <c r="G219" i="139"/>
  <c r="F219" i="139"/>
  <c r="E219" i="139"/>
  <c r="AF218" i="139"/>
  <c r="AE218" i="139"/>
  <c r="AD218" i="139"/>
  <c r="AC218" i="139"/>
  <c r="AB218" i="139"/>
  <c r="AA218" i="139"/>
  <c r="Z218" i="139"/>
  <c r="Y218" i="139"/>
  <c r="X218" i="139"/>
  <c r="W218" i="139"/>
  <c r="V218" i="139"/>
  <c r="U218" i="139"/>
  <c r="T218" i="139"/>
  <c r="S218" i="139"/>
  <c r="R218" i="139"/>
  <c r="Q218" i="139"/>
  <c r="P218" i="139"/>
  <c r="O218" i="139"/>
  <c r="N218" i="139"/>
  <c r="M218" i="139"/>
  <c r="L218" i="139"/>
  <c r="K218" i="139"/>
  <c r="J218" i="139"/>
  <c r="I218" i="139"/>
  <c r="H218" i="139"/>
  <c r="G218" i="139"/>
  <c r="F218" i="139"/>
  <c r="E218" i="139"/>
  <c r="AF216" i="139"/>
  <c r="AE216" i="139"/>
  <c r="AD216" i="139"/>
  <c r="AC216" i="139"/>
  <c r="AB216" i="139"/>
  <c r="AA216" i="139"/>
  <c r="Z216" i="139"/>
  <c r="Y216" i="139"/>
  <c r="X216" i="139"/>
  <c r="W216" i="139"/>
  <c r="V216" i="139"/>
  <c r="U216" i="139"/>
  <c r="T216" i="139"/>
  <c r="S216" i="139"/>
  <c r="R216" i="139"/>
  <c r="Q216" i="139"/>
  <c r="P216" i="139"/>
  <c r="O216" i="139"/>
  <c r="N216" i="139"/>
  <c r="M216" i="139"/>
  <c r="L216" i="139"/>
  <c r="K216" i="139"/>
  <c r="J216" i="139"/>
  <c r="I216" i="139"/>
  <c r="H216" i="139"/>
  <c r="G216" i="139"/>
  <c r="F216" i="139"/>
  <c r="E216" i="139"/>
  <c r="AF215" i="139"/>
  <c r="AE215" i="139"/>
  <c r="AD215" i="139"/>
  <c r="AC215" i="139"/>
  <c r="AB215" i="139"/>
  <c r="AA215" i="139"/>
  <c r="Z215" i="139"/>
  <c r="Y215" i="139"/>
  <c r="X215" i="139"/>
  <c r="W215" i="139"/>
  <c r="V215" i="139"/>
  <c r="U215" i="139"/>
  <c r="T215" i="139"/>
  <c r="S215" i="139"/>
  <c r="R215" i="139"/>
  <c r="Q215" i="139"/>
  <c r="P215" i="139"/>
  <c r="O215" i="139"/>
  <c r="N215" i="139"/>
  <c r="M215" i="139"/>
  <c r="L215" i="139"/>
  <c r="K215" i="139"/>
  <c r="J215" i="139"/>
  <c r="I215" i="139"/>
  <c r="H215" i="139"/>
  <c r="G215" i="139"/>
  <c r="F215" i="139"/>
  <c r="E215" i="139"/>
  <c r="AF214" i="139"/>
  <c r="AE214" i="139"/>
  <c r="AD214" i="139"/>
  <c r="AC214" i="139"/>
  <c r="AB214" i="139"/>
  <c r="AA214" i="139"/>
  <c r="Z214" i="139"/>
  <c r="Y214" i="139"/>
  <c r="X214" i="139"/>
  <c r="W214" i="139"/>
  <c r="V214" i="139"/>
  <c r="U214" i="139"/>
  <c r="T214" i="139"/>
  <c r="S214" i="139"/>
  <c r="R214" i="139"/>
  <c r="Q214" i="139"/>
  <c r="P214" i="139"/>
  <c r="O214" i="139"/>
  <c r="N214" i="139"/>
  <c r="M214" i="139"/>
  <c r="L214" i="139"/>
  <c r="K214" i="139"/>
  <c r="J214" i="139"/>
  <c r="I214" i="139"/>
  <c r="H214" i="139"/>
  <c r="G214" i="139"/>
  <c r="F214" i="139"/>
  <c r="E214" i="139"/>
  <c r="AF213" i="139"/>
  <c r="AF185" i="139" s="1"/>
  <c r="AE213" i="139"/>
  <c r="AE185" i="139" s="1"/>
  <c r="AD213" i="139"/>
  <c r="AD185" i="139" s="1"/>
  <c r="AC213" i="139"/>
  <c r="AC185" i="139" s="1"/>
  <c r="AB213" i="139"/>
  <c r="AB185" i="139" s="1"/>
  <c r="AA213" i="139"/>
  <c r="AA185" i="139" s="1"/>
  <c r="Z213" i="139"/>
  <c r="Z185" i="139" s="1"/>
  <c r="Y213" i="139"/>
  <c r="Y185" i="139" s="1"/>
  <c r="X213" i="139"/>
  <c r="X185" i="139" s="1"/>
  <c r="W213" i="139"/>
  <c r="W185" i="139" s="1"/>
  <c r="V213" i="139"/>
  <c r="V185" i="139" s="1"/>
  <c r="U213" i="139"/>
  <c r="U185" i="139" s="1"/>
  <c r="T213" i="139"/>
  <c r="T185" i="139" s="1"/>
  <c r="S213" i="139"/>
  <c r="S185" i="139" s="1"/>
  <c r="R213" i="139"/>
  <c r="R185" i="139" s="1"/>
  <c r="Q213" i="139"/>
  <c r="Q185" i="139" s="1"/>
  <c r="P213" i="139"/>
  <c r="P185" i="139" s="1"/>
  <c r="O213" i="139"/>
  <c r="O185" i="139" s="1"/>
  <c r="N213" i="139"/>
  <c r="N185" i="139" s="1"/>
  <c r="M213" i="139"/>
  <c r="M185" i="139" s="1"/>
  <c r="L213" i="139"/>
  <c r="L185" i="139" s="1"/>
  <c r="K213" i="139"/>
  <c r="K185" i="139" s="1"/>
  <c r="J213" i="139"/>
  <c r="J185" i="139" s="1"/>
  <c r="I213" i="139"/>
  <c r="I185" i="139" s="1"/>
  <c r="H213" i="139"/>
  <c r="H185" i="139" s="1"/>
  <c r="G213" i="139"/>
  <c r="G185" i="139" s="1"/>
  <c r="F213" i="139"/>
  <c r="F185" i="139" s="1"/>
  <c r="E213" i="139"/>
  <c r="E185" i="139" s="1"/>
  <c r="AC182" i="139"/>
  <c r="V182" i="139"/>
  <c r="M182" i="139"/>
  <c r="L182" i="139"/>
  <c r="G182" i="139"/>
  <c r="E182" i="139"/>
  <c r="AC181" i="139"/>
  <c r="M181" i="139"/>
  <c r="L181" i="139"/>
  <c r="G181" i="139"/>
  <c r="E181" i="139"/>
  <c r="AF174" i="139"/>
  <c r="AF198" i="139" s="1"/>
  <c r="AE174" i="139"/>
  <c r="AE198" i="139" s="1"/>
  <c r="AD174" i="139"/>
  <c r="AD198" i="139" s="1"/>
  <c r="AC174" i="139"/>
  <c r="AC198" i="139" s="1"/>
  <c r="AB174" i="139"/>
  <c r="AB198" i="139" s="1"/>
  <c r="AA174" i="139"/>
  <c r="AA198" i="139" s="1"/>
  <c r="Z174" i="139"/>
  <c r="Z198" i="139" s="1"/>
  <c r="X174" i="139"/>
  <c r="X198" i="139" s="1"/>
  <c r="W174" i="139"/>
  <c r="V174" i="139"/>
  <c r="V198" i="139" s="1"/>
  <c r="U174" i="139"/>
  <c r="U198" i="139" s="1"/>
  <c r="T174" i="139"/>
  <c r="T198" i="139" s="1"/>
  <c r="S174" i="139"/>
  <c r="S198" i="139" s="1"/>
  <c r="R174" i="139"/>
  <c r="R198" i="139" s="1"/>
  <c r="Q174" i="139"/>
  <c r="Q198" i="139" s="1"/>
  <c r="P174" i="139"/>
  <c r="P198" i="139" s="1"/>
  <c r="O174" i="139"/>
  <c r="O198" i="139" s="1"/>
  <c r="N174" i="139"/>
  <c r="N198" i="139" s="1"/>
  <c r="M174" i="139"/>
  <c r="M198" i="139" s="1"/>
  <c r="L174" i="139"/>
  <c r="L198" i="139" s="1"/>
  <c r="K174" i="139"/>
  <c r="K198" i="139" s="1"/>
  <c r="J174" i="139"/>
  <c r="J198" i="139" s="1"/>
  <c r="I174" i="139"/>
  <c r="I198" i="139" s="1"/>
  <c r="H174" i="139"/>
  <c r="H198" i="139" s="1"/>
  <c r="G174" i="139"/>
  <c r="G198" i="139" s="1"/>
  <c r="F174" i="139"/>
  <c r="F198" i="139" s="1"/>
  <c r="E174" i="139"/>
  <c r="AF173" i="139"/>
  <c r="AF197" i="139" s="1"/>
  <c r="AE173" i="139"/>
  <c r="AE197" i="139" s="1"/>
  <c r="AD173" i="139"/>
  <c r="AD197" i="139" s="1"/>
  <c r="AC173" i="139"/>
  <c r="AC197" i="139" s="1"/>
  <c r="AB173" i="139"/>
  <c r="AB197" i="139" s="1"/>
  <c r="AA173" i="139"/>
  <c r="AA197" i="139" s="1"/>
  <c r="Z173" i="139"/>
  <c r="Z197" i="139" s="1"/>
  <c r="Y173" i="139"/>
  <c r="Y197" i="139" s="1"/>
  <c r="X173" i="139"/>
  <c r="X197" i="139" s="1"/>
  <c r="W173" i="139"/>
  <c r="V173" i="139"/>
  <c r="V197" i="139" s="1"/>
  <c r="T173" i="139"/>
  <c r="T197" i="139" s="1"/>
  <c r="S173" i="139"/>
  <c r="S197" i="139" s="1"/>
  <c r="R173" i="139"/>
  <c r="R197" i="139" s="1"/>
  <c r="Q173" i="139"/>
  <c r="Q197" i="139" s="1"/>
  <c r="P173" i="139"/>
  <c r="P197" i="139" s="1"/>
  <c r="O173" i="139"/>
  <c r="O197" i="139" s="1"/>
  <c r="N173" i="139"/>
  <c r="N197" i="139" s="1"/>
  <c r="M173" i="139"/>
  <c r="M197" i="139" s="1"/>
  <c r="L173" i="139"/>
  <c r="L197" i="139" s="1"/>
  <c r="K173" i="139"/>
  <c r="K197" i="139" s="1"/>
  <c r="I173" i="139"/>
  <c r="I197" i="139" s="1"/>
  <c r="H173" i="139"/>
  <c r="H197" i="139" s="1"/>
  <c r="G173" i="139"/>
  <c r="G197" i="139" s="1"/>
  <c r="F173" i="139"/>
  <c r="F197" i="139" s="1"/>
  <c r="E173" i="139"/>
  <c r="AF172" i="139"/>
  <c r="AF196" i="139" s="1"/>
  <c r="AE172" i="139"/>
  <c r="AE196" i="139" s="1"/>
  <c r="AD172" i="139"/>
  <c r="AD196" i="139" s="1"/>
  <c r="AC172" i="139"/>
  <c r="AC196" i="139" s="1"/>
  <c r="AB172" i="139"/>
  <c r="AB196" i="139" s="1"/>
  <c r="AA172" i="139"/>
  <c r="AA196" i="139" s="1"/>
  <c r="Z172" i="139"/>
  <c r="Z196" i="139" s="1"/>
  <c r="Y172" i="139"/>
  <c r="Y196" i="139" s="1"/>
  <c r="X172" i="139"/>
  <c r="X196" i="139" s="1"/>
  <c r="W172" i="139"/>
  <c r="V172" i="139"/>
  <c r="V196" i="139" s="1"/>
  <c r="U172" i="139"/>
  <c r="U196" i="139" s="1"/>
  <c r="T172" i="139"/>
  <c r="T196" i="139" s="1"/>
  <c r="R172" i="139"/>
  <c r="R196" i="139" s="1"/>
  <c r="Q172" i="139"/>
  <c r="Q196" i="139" s="1"/>
  <c r="P172" i="139"/>
  <c r="P196" i="139" s="1"/>
  <c r="O172" i="139"/>
  <c r="O196" i="139" s="1"/>
  <c r="N172" i="139"/>
  <c r="N196" i="139" s="1"/>
  <c r="M172" i="139"/>
  <c r="M196" i="139" s="1"/>
  <c r="L172" i="139"/>
  <c r="L196" i="139" s="1"/>
  <c r="K172" i="139"/>
  <c r="K196" i="139" s="1"/>
  <c r="J172" i="139"/>
  <c r="J196" i="139" s="1"/>
  <c r="I172" i="139"/>
  <c r="I196" i="139" s="1"/>
  <c r="H172" i="139"/>
  <c r="H196" i="139" s="1"/>
  <c r="G172" i="139"/>
  <c r="G196" i="139" s="1"/>
  <c r="F172" i="139"/>
  <c r="F196" i="139" s="1"/>
  <c r="E172" i="139"/>
  <c r="AC171" i="139"/>
  <c r="AC195" i="139" s="1"/>
  <c r="AH37" i="128" s="1"/>
  <c r="V171" i="139"/>
  <c r="V195" i="139" s="1"/>
  <c r="AA37" i="128" s="1"/>
  <c r="L171" i="139"/>
  <c r="L195" i="139" s="1"/>
  <c r="Q37" i="128" s="1"/>
  <c r="G171" i="139"/>
  <c r="G195" i="139" s="1"/>
  <c r="L37" i="128" s="1"/>
  <c r="E171" i="139"/>
  <c r="AC170" i="139"/>
  <c r="AC194" i="139" s="1"/>
  <c r="AH36" i="128" s="1"/>
  <c r="AB170" i="139"/>
  <c r="AB194" i="139" s="1"/>
  <c r="AG36" i="128" s="1"/>
  <c r="AA170" i="139"/>
  <c r="AA194" i="139" s="1"/>
  <c r="AF36" i="128" s="1"/>
  <c r="Y170" i="139"/>
  <c r="Y194" i="139" s="1"/>
  <c r="AD36" i="128" s="1"/>
  <c r="P170" i="139"/>
  <c r="P194" i="139" s="1"/>
  <c r="U36" i="128" s="1"/>
  <c r="O170" i="139"/>
  <c r="O194" i="139" s="1"/>
  <c r="T36" i="128" s="1"/>
  <c r="N170" i="139"/>
  <c r="N194" i="139" s="1"/>
  <c r="S36" i="128" s="1"/>
  <c r="L170" i="139"/>
  <c r="L194" i="139" s="1"/>
  <c r="Q36" i="128" s="1"/>
  <c r="K170" i="139"/>
  <c r="K194" i="139" s="1"/>
  <c r="P36" i="128" s="1"/>
  <c r="J170" i="139"/>
  <c r="J194" i="139" s="1"/>
  <c r="O36" i="128" s="1"/>
  <c r="H170" i="139"/>
  <c r="H194" i="139" s="1"/>
  <c r="M36" i="128" s="1"/>
  <c r="G170" i="139"/>
  <c r="G194" i="139" s="1"/>
  <c r="L36" i="128" s="1"/>
  <c r="E170" i="139"/>
  <c r="AF169" i="139"/>
  <c r="AF193" i="139" s="1"/>
  <c r="AE169" i="139"/>
  <c r="AE193" i="139" s="1"/>
  <c r="AD169" i="139"/>
  <c r="AD193" i="139" s="1"/>
  <c r="AC169" i="139"/>
  <c r="AC193" i="139" s="1"/>
  <c r="AB169" i="139"/>
  <c r="AB193" i="139" s="1"/>
  <c r="AA169" i="139"/>
  <c r="AA193" i="139" s="1"/>
  <c r="Z169" i="139"/>
  <c r="Z193" i="139" s="1"/>
  <c r="Y169" i="139"/>
  <c r="Y193" i="139" s="1"/>
  <c r="X169" i="139"/>
  <c r="X193" i="139" s="1"/>
  <c r="W169" i="139"/>
  <c r="V169" i="139"/>
  <c r="V193" i="139" s="1"/>
  <c r="T169" i="139"/>
  <c r="T193" i="139" s="1"/>
  <c r="S169" i="139"/>
  <c r="S193" i="139" s="1"/>
  <c r="R169" i="139"/>
  <c r="R193" i="139" s="1"/>
  <c r="Q169" i="139"/>
  <c r="Q193" i="139" s="1"/>
  <c r="P169" i="139"/>
  <c r="P193" i="139" s="1"/>
  <c r="O169" i="139"/>
  <c r="O193" i="139" s="1"/>
  <c r="N169" i="139"/>
  <c r="N193" i="139" s="1"/>
  <c r="M169" i="139"/>
  <c r="M193" i="139" s="1"/>
  <c r="L169" i="139"/>
  <c r="L193" i="139" s="1"/>
  <c r="K169" i="139"/>
  <c r="K193" i="139" s="1"/>
  <c r="J169" i="139"/>
  <c r="J193" i="139" s="1"/>
  <c r="I169" i="139"/>
  <c r="I193" i="139" s="1"/>
  <c r="H169" i="139"/>
  <c r="H193" i="139" s="1"/>
  <c r="G169" i="139"/>
  <c r="G193" i="139" s="1"/>
  <c r="F169" i="139"/>
  <c r="F193" i="139" s="1"/>
  <c r="AF157" i="139"/>
  <c r="AE157" i="139"/>
  <c r="AD157" i="139"/>
  <c r="AC157" i="139"/>
  <c r="AB157" i="139"/>
  <c r="AA157" i="139"/>
  <c r="Z157" i="139"/>
  <c r="Y157" i="139"/>
  <c r="X157" i="139"/>
  <c r="W157" i="139"/>
  <c r="V157" i="139"/>
  <c r="U157" i="139"/>
  <c r="T157" i="139"/>
  <c r="S157" i="139"/>
  <c r="R157" i="139"/>
  <c r="Q157" i="139"/>
  <c r="P157" i="139"/>
  <c r="O157" i="139"/>
  <c r="N157" i="139"/>
  <c r="M157" i="139"/>
  <c r="L157" i="139"/>
  <c r="K157" i="139"/>
  <c r="J157" i="139"/>
  <c r="I157" i="139"/>
  <c r="H157" i="139"/>
  <c r="G157" i="139"/>
  <c r="F157" i="139"/>
  <c r="E157" i="139"/>
  <c r="AF152" i="139"/>
  <c r="AE152" i="139"/>
  <c r="AD152" i="139"/>
  <c r="AC152" i="139"/>
  <c r="AB152" i="139"/>
  <c r="AA152" i="139"/>
  <c r="Z152" i="139"/>
  <c r="Y152" i="139"/>
  <c r="X152" i="139"/>
  <c r="W152" i="139"/>
  <c r="V152" i="139"/>
  <c r="U152" i="139"/>
  <c r="T152" i="139"/>
  <c r="S152" i="139"/>
  <c r="R152" i="139"/>
  <c r="Q152" i="139"/>
  <c r="P152" i="139"/>
  <c r="O152" i="139"/>
  <c r="N152" i="139"/>
  <c r="M152" i="139"/>
  <c r="L152" i="139"/>
  <c r="K152" i="139"/>
  <c r="J152" i="139"/>
  <c r="I152" i="139"/>
  <c r="H152" i="139"/>
  <c r="G152" i="139"/>
  <c r="F152" i="139"/>
  <c r="E152" i="139"/>
  <c r="AF143" i="139"/>
  <c r="AE143" i="139"/>
  <c r="AD143" i="139"/>
  <c r="AC143" i="139"/>
  <c r="AB143" i="139"/>
  <c r="AA143" i="139"/>
  <c r="Z143" i="139"/>
  <c r="AE52" i="128" s="1"/>
  <c r="Y143" i="139"/>
  <c r="X143" i="139"/>
  <c r="W143" i="139"/>
  <c r="V143" i="139"/>
  <c r="U143" i="139"/>
  <c r="T143" i="139"/>
  <c r="S143" i="139"/>
  <c r="R143" i="139"/>
  <c r="W52" i="128" s="1"/>
  <c r="Q143" i="139"/>
  <c r="P143" i="139"/>
  <c r="O143" i="139"/>
  <c r="N143" i="139"/>
  <c r="M143" i="139"/>
  <c r="L143" i="139"/>
  <c r="K143" i="139"/>
  <c r="J143" i="139"/>
  <c r="I143" i="139"/>
  <c r="H143" i="139"/>
  <c r="G143" i="139"/>
  <c r="F143" i="139"/>
  <c r="E143" i="139"/>
  <c r="AB138" i="139"/>
  <c r="AG46" i="128" s="1"/>
  <c r="AA138" i="139"/>
  <c r="AF46" i="128" s="1"/>
  <c r="Y138" i="139"/>
  <c r="AD46" i="128" s="1"/>
  <c r="AB131" i="139"/>
  <c r="AG51" i="128" s="1"/>
  <c r="AA131" i="139"/>
  <c r="AF51" i="128" s="1"/>
  <c r="Y131" i="139"/>
  <c r="AD51" i="128" s="1"/>
  <c r="AF121" i="139"/>
  <c r="AE121" i="139"/>
  <c r="AD121" i="139"/>
  <c r="AC121" i="139"/>
  <c r="AH56" i="128" s="1"/>
  <c r="Z121" i="139"/>
  <c r="X121" i="139"/>
  <c r="AC56" i="128" s="1"/>
  <c r="W121" i="139"/>
  <c r="AB56" i="128" s="1"/>
  <c r="V121" i="139"/>
  <c r="U121" i="139"/>
  <c r="U131" i="139" s="1"/>
  <c r="Z51" i="128" s="1"/>
  <c r="T121" i="139"/>
  <c r="T131" i="139" s="1"/>
  <c r="Y51" i="128" s="1"/>
  <c r="S121" i="139"/>
  <c r="X56" i="128" s="1"/>
  <c r="R121" i="139"/>
  <c r="Q121" i="139"/>
  <c r="V56" i="128" s="1"/>
  <c r="P121" i="139"/>
  <c r="U56" i="128" s="1"/>
  <c r="O121" i="139"/>
  <c r="T56" i="128" s="1"/>
  <c r="N121" i="139"/>
  <c r="M121" i="139"/>
  <c r="M131" i="139" s="1"/>
  <c r="R51" i="128" s="1"/>
  <c r="L121" i="139"/>
  <c r="L131" i="139" s="1"/>
  <c r="Q51" i="128" s="1"/>
  <c r="K121" i="139"/>
  <c r="K131" i="139" s="1"/>
  <c r="P51" i="128" s="1"/>
  <c r="J121" i="139"/>
  <c r="I121" i="139"/>
  <c r="N56" i="128" s="1"/>
  <c r="H121" i="139"/>
  <c r="M56" i="128" s="1"/>
  <c r="G121" i="139"/>
  <c r="L56" i="128" s="1"/>
  <c r="F121" i="139"/>
  <c r="E121" i="139"/>
  <c r="AF112" i="139"/>
  <c r="AF111" i="139" s="1"/>
  <c r="AE112" i="139"/>
  <c r="AE111" i="139" s="1"/>
  <c r="AD112" i="139"/>
  <c r="AD111" i="139" s="1"/>
  <c r="AC112" i="139"/>
  <c r="AC111" i="139" s="1"/>
  <c r="AB112" i="139"/>
  <c r="AB111" i="139" s="1"/>
  <c r="AA112" i="139"/>
  <c r="AA111" i="139" s="1"/>
  <c r="Z112" i="139"/>
  <c r="Z111" i="139" s="1"/>
  <c r="Y112" i="139"/>
  <c r="Y111" i="139" s="1"/>
  <c r="X112" i="139"/>
  <c r="X111" i="139" s="1"/>
  <c r="W112" i="139"/>
  <c r="W111" i="139" s="1"/>
  <c r="V112" i="139"/>
  <c r="V111" i="139" s="1"/>
  <c r="U112" i="139"/>
  <c r="U111" i="139" s="1"/>
  <c r="T112" i="139"/>
  <c r="T111" i="139" s="1"/>
  <c r="S112" i="139"/>
  <c r="S111" i="139" s="1"/>
  <c r="R112" i="139"/>
  <c r="R111" i="139" s="1"/>
  <c r="Q112" i="139"/>
  <c r="Q111" i="139" s="1"/>
  <c r="P112" i="139"/>
  <c r="P111" i="139" s="1"/>
  <c r="O112" i="139"/>
  <c r="O111" i="139" s="1"/>
  <c r="N112" i="139"/>
  <c r="N111" i="139" s="1"/>
  <c r="M112" i="139"/>
  <c r="M111" i="139" s="1"/>
  <c r="L112" i="139"/>
  <c r="L111" i="139" s="1"/>
  <c r="K112" i="139"/>
  <c r="K111" i="139" s="1"/>
  <c r="J112" i="139"/>
  <c r="J111" i="139" s="1"/>
  <c r="I112" i="139"/>
  <c r="I111" i="139" s="1"/>
  <c r="H112" i="139"/>
  <c r="H111" i="139" s="1"/>
  <c r="G112" i="139"/>
  <c r="G111" i="139" s="1"/>
  <c r="F112" i="139"/>
  <c r="F111" i="139" s="1"/>
  <c r="E112" i="139"/>
  <c r="E111" i="139" s="1"/>
  <c r="AF109" i="139"/>
  <c r="AE109" i="139"/>
  <c r="AD109" i="139"/>
  <c r="AC109" i="139"/>
  <c r="AB109" i="139"/>
  <c r="AA109" i="139"/>
  <c r="Z109" i="139"/>
  <c r="Y109" i="139"/>
  <c r="X109" i="139"/>
  <c r="W109" i="139"/>
  <c r="V109" i="139"/>
  <c r="U109" i="139"/>
  <c r="T109" i="139"/>
  <c r="S109" i="139"/>
  <c r="R109" i="139"/>
  <c r="Q109" i="139"/>
  <c r="P109" i="139"/>
  <c r="O109" i="139"/>
  <c r="N109" i="139"/>
  <c r="M109" i="139"/>
  <c r="L109" i="139"/>
  <c r="K109" i="139"/>
  <c r="J109" i="139"/>
  <c r="I109" i="139"/>
  <c r="H109" i="139"/>
  <c r="G109" i="139"/>
  <c r="F109" i="139"/>
  <c r="E109" i="139"/>
  <c r="AF108" i="139"/>
  <c r="AE108" i="139"/>
  <c r="AD108" i="139"/>
  <c r="AC108" i="139"/>
  <c r="AB108" i="139"/>
  <c r="AA108" i="139"/>
  <c r="Z108" i="139"/>
  <c r="Y108" i="139"/>
  <c r="X108" i="139"/>
  <c r="W108" i="139"/>
  <c r="V108" i="139"/>
  <c r="U108" i="139"/>
  <c r="T108" i="139"/>
  <c r="S108" i="139"/>
  <c r="R108" i="139"/>
  <c r="Q108" i="139"/>
  <c r="P108" i="139"/>
  <c r="O108" i="139"/>
  <c r="N108" i="139"/>
  <c r="M108" i="139"/>
  <c r="L108" i="139"/>
  <c r="K108" i="139"/>
  <c r="J108" i="139"/>
  <c r="I108" i="139"/>
  <c r="H108" i="139"/>
  <c r="G108" i="139"/>
  <c r="F108" i="139"/>
  <c r="E108" i="139"/>
  <c r="AF107" i="139"/>
  <c r="AE107" i="139"/>
  <c r="AD107" i="139"/>
  <c r="AC107" i="139"/>
  <c r="AB107" i="139"/>
  <c r="AA107" i="139"/>
  <c r="Z107" i="139"/>
  <c r="Y107" i="139"/>
  <c r="X107" i="139"/>
  <c r="W107" i="139"/>
  <c r="V107" i="139"/>
  <c r="U107" i="139"/>
  <c r="T107" i="139"/>
  <c r="S107" i="139"/>
  <c r="R107" i="139"/>
  <c r="Q107" i="139"/>
  <c r="P107" i="139"/>
  <c r="O107" i="139"/>
  <c r="N107" i="139"/>
  <c r="M107" i="139"/>
  <c r="L107" i="139"/>
  <c r="K107" i="139"/>
  <c r="J107" i="139"/>
  <c r="I107" i="139"/>
  <c r="H107" i="139"/>
  <c r="G107" i="139"/>
  <c r="F107" i="139"/>
  <c r="E107" i="139"/>
  <c r="AF106" i="139"/>
  <c r="AE106" i="139"/>
  <c r="AD106" i="139"/>
  <c r="AC106" i="139"/>
  <c r="AB106" i="139"/>
  <c r="AA106" i="139"/>
  <c r="Z106" i="139"/>
  <c r="Y106" i="139"/>
  <c r="X106" i="139"/>
  <c r="W106" i="139"/>
  <c r="V106" i="139"/>
  <c r="U106" i="139"/>
  <c r="T106" i="139"/>
  <c r="S106" i="139"/>
  <c r="R106" i="139"/>
  <c r="Q106" i="139"/>
  <c r="P106" i="139"/>
  <c r="O106" i="139"/>
  <c r="N106" i="139"/>
  <c r="M106" i="139"/>
  <c r="L106" i="139"/>
  <c r="K106" i="139"/>
  <c r="J106" i="139"/>
  <c r="I106" i="139"/>
  <c r="H106" i="139"/>
  <c r="G106" i="139"/>
  <c r="F106" i="139"/>
  <c r="E106" i="139"/>
  <c r="AF105" i="139"/>
  <c r="AE105" i="139"/>
  <c r="AD105" i="139"/>
  <c r="AC105" i="139"/>
  <c r="AB105" i="139"/>
  <c r="AA105" i="139"/>
  <c r="Z105" i="139"/>
  <c r="Y105" i="139"/>
  <c r="X105" i="139"/>
  <c r="W105" i="139"/>
  <c r="V105" i="139"/>
  <c r="U105" i="139"/>
  <c r="T105" i="139"/>
  <c r="S105" i="139"/>
  <c r="R105" i="139"/>
  <c r="Q105" i="139"/>
  <c r="P105" i="139"/>
  <c r="O105" i="139"/>
  <c r="N105" i="139"/>
  <c r="M105" i="139"/>
  <c r="L105" i="139"/>
  <c r="K105" i="139"/>
  <c r="J105" i="139"/>
  <c r="I105" i="139"/>
  <c r="H105" i="139"/>
  <c r="G105" i="139"/>
  <c r="F105" i="139"/>
  <c r="E105" i="139"/>
  <c r="AF104" i="139"/>
  <c r="AE104" i="139"/>
  <c r="AD104" i="139"/>
  <c r="AC104" i="139"/>
  <c r="AB104" i="139"/>
  <c r="AA104" i="139"/>
  <c r="Z104" i="139"/>
  <c r="Y104" i="139"/>
  <c r="X104" i="139"/>
  <c r="W104" i="139"/>
  <c r="V104" i="139"/>
  <c r="U104" i="139"/>
  <c r="T104" i="139"/>
  <c r="S104" i="139"/>
  <c r="R104" i="139"/>
  <c r="Q104" i="139"/>
  <c r="P104" i="139"/>
  <c r="O104" i="139"/>
  <c r="N104" i="139"/>
  <c r="M104" i="139"/>
  <c r="L104" i="139"/>
  <c r="K104" i="139"/>
  <c r="J104" i="139"/>
  <c r="I104" i="139"/>
  <c r="H104" i="139"/>
  <c r="G104" i="139"/>
  <c r="F104" i="139"/>
  <c r="E104" i="139"/>
  <c r="AF102" i="139"/>
  <c r="AE102" i="139"/>
  <c r="AD102" i="139"/>
  <c r="AC102" i="139"/>
  <c r="AB102" i="139"/>
  <c r="AA102" i="139"/>
  <c r="Z102" i="139"/>
  <c r="Y102" i="139"/>
  <c r="X102" i="139"/>
  <c r="W102" i="139"/>
  <c r="V102" i="139"/>
  <c r="U102" i="139"/>
  <c r="T102" i="139"/>
  <c r="S102" i="139"/>
  <c r="R102" i="139"/>
  <c r="Q102" i="139"/>
  <c r="P102" i="139"/>
  <c r="O102" i="139"/>
  <c r="N102" i="139"/>
  <c r="M102" i="139"/>
  <c r="L102" i="139"/>
  <c r="K102" i="139"/>
  <c r="J102" i="139"/>
  <c r="I102" i="139"/>
  <c r="H102" i="139"/>
  <c r="G102" i="139"/>
  <c r="F102" i="139"/>
  <c r="E102" i="139"/>
  <c r="AF77" i="139"/>
  <c r="AE77" i="139"/>
  <c r="AD77" i="139"/>
  <c r="AC77" i="139"/>
  <c r="AB77" i="139"/>
  <c r="AA77" i="139"/>
  <c r="Z77" i="139"/>
  <c r="Y77" i="139"/>
  <c r="X77" i="139"/>
  <c r="W77" i="139"/>
  <c r="V77" i="139"/>
  <c r="U77" i="139"/>
  <c r="T77" i="139"/>
  <c r="S77" i="139"/>
  <c r="R77" i="139"/>
  <c r="Q77" i="139"/>
  <c r="P77" i="139"/>
  <c r="O77" i="139"/>
  <c r="N77" i="139"/>
  <c r="M77" i="139"/>
  <c r="L77" i="139"/>
  <c r="K77" i="139"/>
  <c r="J77" i="139"/>
  <c r="I77" i="139"/>
  <c r="H77" i="139"/>
  <c r="G77" i="139"/>
  <c r="F77" i="139"/>
  <c r="E77" i="139"/>
  <c r="AF42" i="139"/>
  <c r="AF182" i="139" s="1"/>
  <c r="AE42" i="139"/>
  <c r="AE182" i="139" s="1"/>
  <c r="AD42" i="139"/>
  <c r="AD182" i="139" s="1"/>
  <c r="AC42" i="139"/>
  <c r="AC43" i="139" s="1"/>
  <c r="AB42" i="139"/>
  <c r="AB182" i="139" s="1"/>
  <c r="AA42" i="139"/>
  <c r="AA182" i="139" s="1"/>
  <c r="Z42" i="139"/>
  <c r="Z182" i="139" s="1"/>
  <c r="Y42" i="139"/>
  <c r="Y182" i="139" s="1"/>
  <c r="X42" i="139"/>
  <c r="X182" i="139" s="1"/>
  <c r="W42" i="139"/>
  <c r="W182" i="139" s="1"/>
  <c r="V42" i="139"/>
  <c r="V43" i="139" s="1"/>
  <c r="U42" i="139"/>
  <c r="U182" i="139" s="1"/>
  <c r="T42" i="139"/>
  <c r="T182" i="139" s="1"/>
  <c r="S42" i="139"/>
  <c r="R42" i="139"/>
  <c r="R182" i="139" s="1"/>
  <c r="Q42" i="139"/>
  <c r="Q182" i="139" s="1"/>
  <c r="P42" i="139"/>
  <c r="P182" i="139" s="1"/>
  <c r="O42" i="139"/>
  <c r="O182" i="139" s="1"/>
  <c r="N42" i="139"/>
  <c r="N182" i="139" s="1"/>
  <c r="M42" i="139"/>
  <c r="M43" i="139" s="1"/>
  <c r="L42" i="139"/>
  <c r="L43" i="139" s="1"/>
  <c r="K42" i="139"/>
  <c r="K182" i="139" s="1"/>
  <c r="J42" i="139"/>
  <c r="J182" i="139" s="1"/>
  <c r="I42" i="139"/>
  <c r="I182" i="139" s="1"/>
  <c r="H42" i="139"/>
  <c r="H182" i="139" s="1"/>
  <c r="G42" i="139"/>
  <c r="G43" i="139" s="1"/>
  <c r="F42" i="139"/>
  <c r="F182" i="139" s="1"/>
  <c r="E42" i="139"/>
  <c r="E43" i="139" s="1"/>
  <c r="AF32" i="139"/>
  <c r="AE32" i="139"/>
  <c r="AD32" i="139"/>
  <c r="AC32" i="139"/>
  <c r="AB32" i="139"/>
  <c r="AA32" i="139"/>
  <c r="Z32" i="139"/>
  <c r="Y32" i="139"/>
  <c r="X32" i="139"/>
  <c r="W32" i="139"/>
  <c r="V32" i="139"/>
  <c r="U32" i="139"/>
  <c r="T32" i="139"/>
  <c r="S32" i="139"/>
  <c r="R32" i="139"/>
  <c r="Q32" i="139"/>
  <c r="P32" i="139"/>
  <c r="O32" i="139"/>
  <c r="N32" i="139"/>
  <c r="M32" i="139"/>
  <c r="L32" i="139"/>
  <c r="K32" i="139"/>
  <c r="J32" i="139"/>
  <c r="I32" i="139"/>
  <c r="H32" i="139"/>
  <c r="G32" i="139"/>
  <c r="F32" i="139"/>
  <c r="E32" i="139"/>
  <c r="AF31" i="139"/>
  <c r="AE31" i="139"/>
  <c r="AD31" i="139"/>
  <c r="AC31" i="139"/>
  <c r="AB31" i="139"/>
  <c r="AA31" i="139"/>
  <c r="Z31" i="139"/>
  <c r="Y31" i="139"/>
  <c r="X31" i="139"/>
  <c r="W31" i="139"/>
  <c r="V31" i="139"/>
  <c r="U31" i="139"/>
  <c r="T31" i="139"/>
  <c r="S31" i="139"/>
  <c r="R31" i="139"/>
  <c r="Q31" i="139"/>
  <c r="P31" i="139"/>
  <c r="O31" i="139"/>
  <c r="N31" i="139"/>
  <c r="M31" i="139"/>
  <c r="L31" i="139"/>
  <c r="K31" i="139"/>
  <c r="J31" i="139"/>
  <c r="I31" i="139"/>
  <c r="H31" i="139"/>
  <c r="G31" i="139"/>
  <c r="F31" i="139"/>
  <c r="E31" i="139"/>
  <c r="B52" i="72"/>
  <c r="B51" i="72"/>
  <c r="B45" i="72"/>
  <c r="V11" i="155" l="1"/>
  <c r="P69" i="144"/>
  <c r="P110" i="144" s="1"/>
  <c r="E186" i="139"/>
  <c r="J43" i="128" s="1"/>
  <c r="G186" i="139"/>
  <c r="L43" i="128" s="1"/>
  <c r="L186" i="139"/>
  <c r="Q43" i="128" s="1"/>
  <c r="M186" i="139"/>
  <c r="R43" i="128" s="1"/>
  <c r="O186" i="139"/>
  <c r="AC186" i="139"/>
  <c r="AH43" i="128" s="1"/>
  <c r="AF69" i="144"/>
  <c r="AL11" i="155"/>
  <c r="AK114" i="155"/>
  <c r="P33" i="144"/>
  <c r="P35" i="144" s="1"/>
  <c r="P37" i="144"/>
  <c r="N33" i="144"/>
  <c r="N35" i="144" s="1"/>
  <c r="J66" i="155"/>
  <c r="R38" i="128"/>
  <c r="J35" i="128"/>
  <c r="R39" i="128"/>
  <c r="R35" i="128"/>
  <c r="R40" i="128"/>
  <c r="AA87" i="139"/>
  <c r="B79" i="139"/>
  <c r="K79" i="139" s="1"/>
  <c r="K165" i="139" s="1"/>
  <c r="B81" i="139"/>
  <c r="AA81" i="139" s="1"/>
  <c r="B85" i="139"/>
  <c r="M85" i="139" s="1"/>
  <c r="B86" i="139"/>
  <c r="E86" i="139" s="1"/>
  <c r="Y36" i="140"/>
  <c r="AA13" i="140"/>
  <c r="AA22" i="140"/>
  <c r="AA19" i="140"/>
  <c r="D37" i="140"/>
  <c r="AA34" i="140"/>
  <c r="AA8" i="140"/>
  <c r="AA35" i="140"/>
  <c r="AA9" i="140"/>
  <c r="AA26" i="140"/>
  <c r="X36" i="140"/>
  <c r="AG186" i="164"/>
  <c r="AF187" i="164"/>
  <c r="E194" i="139"/>
  <c r="W198" i="139"/>
  <c r="W193" i="139"/>
  <c r="E196" i="139"/>
  <c r="W196" i="139"/>
  <c r="E195" i="139"/>
  <c r="E197" i="139"/>
  <c r="W197" i="139"/>
  <c r="E198" i="139"/>
  <c r="E31" i="144"/>
  <c r="AH114" i="155"/>
  <c r="AI114" i="155"/>
  <c r="AJ114" i="155"/>
  <c r="K114" i="155"/>
  <c r="L114" i="155"/>
  <c r="M114" i="155"/>
  <c r="AE114" i="155"/>
  <c r="AG114" i="155"/>
  <c r="O114" i="155"/>
  <c r="P114" i="155"/>
  <c r="AF114" i="155"/>
  <c r="R114" i="155"/>
  <c r="S114" i="155"/>
  <c r="U114" i="155"/>
  <c r="T114" i="155"/>
  <c r="V114" i="155"/>
  <c r="W114" i="155"/>
  <c r="X114" i="155"/>
  <c r="Y114" i="155"/>
  <c r="Z114" i="155"/>
  <c r="AA114" i="155"/>
  <c r="Q114" i="155"/>
  <c r="AB114" i="155"/>
  <c r="AC114" i="155"/>
  <c r="AD114" i="155"/>
  <c r="AA31" i="140"/>
  <c r="S36" i="140"/>
  <c r="AA20" i="140"/>
  <c r="AA15" i="140"/>
  <c r="AA32" i="140"/>
  <c r="AA27" i="140"/>
  <c r="AA10" i="140"/>
  <c r="AA16" i="140"/>
  <c r="AA28" i="140"/>
  <c r="AA11" i="140"/>
  <c r="B80" i="139"/>
  <c r="Y80" i="139" s="1"/>
  <c r="AA23" i="140"/>
  <c r="AA12" i="140"/>
  <c r="AA18" i="140"/>
  <c r="AA24" i="140"/>
  <c r="AA30" i="140"/>
  <c r="H37" i="140"/>
  <c r="R37" i="144"/>
  <c r="AF37" i="144"/>
  <c r="E74" i="144"/>
  <c r="E75" i="144" s="1"/>
  <c r="F69" i="144"/>
  <c r="F50" i="144"/>
  <c r="N69" i="144"/>
  <c r="N50" i="144"/>
  <c r="V69" i="144"/>
  <c r="V110" i="144" s="1"/>
  <c r="V50" i="144"/>
  <c r="AD69" i="144"/>
  <c r="AD50" i="144"/>
  <c r="K69" i="144"/>
  <c r="K50" i="144"/>
  <c r="L69" i="144"/>
  <c r="L50" i="144"/>
  <c r="AB69" i="144"/>
  <c r="AB50" i="144"/>
  <c r="G69" i="144"/>
  <c r="G50" i="144"/>
  <c r="O69" i="144"/>
  <c r="O50" i="144"/>
  <c r="W69" i="144"/>
  <c r="W110" i="144" s="1"/>
  <c r="W50" i="144"/>
  <c r="AE69" i="144"/>
  <c r="AE110" i="144" s="1"/>
  <c r="AE50" i="144"/>
  <c r="S69" i="144"/>
  <c r="S50" i="144"/>
  <c r="H69" i="144"/>
  <c r="H50" i="144"/>
  <c r="P50" i="144"/>
  <c r="X69" i="144"/>
  <c r="X110" i="144" s="1"/>
  <c r="X50" i="144"/>
  <c r="AF50" i="144"/>
  <c r="I69" i="144"/>
  <c r="I50" i="144"/>
  <c r="Q69" i="144"/>
  <c r="Q50" i="144"/>
  <c r="Y69" i="144"/>
  <c r="Y110" i="144" s="1"/>
  <c r="Y50" i="144"/>
  <c r="AA69" i="144"/>
  <c r="AA110" i="144" s="1"/>
  <c r="AA50" i="144"/>
  <c r="J69" i="144"/>
  <c r="J50" i="144"/>
  <c r="R69" i="144"/>
  <c r="R50" i="144"/>
  <c r="Z69" i="144"/>
  <c r="Z50" i="144"/>
  <c r="T69" i="144"/>
  <c r="T50" i="144"/>
  <c r="M69" i="144"/>
  <c r="M50" i="144"/>
  <c r="U69" i="144"/>
  <c r="U50" i="144"/>
  <c r="AC69" i="144"/>
  <c r="AC110" i="144" s="1"/>
  <c r="AC50" i="144"/>
  <c r="AH29" i="144"/>
  <c r="N35" i="128"/>
  <c r="O35" i="128"/>
  <c r="W35" i="128"/>
  <c r="AF35" i="128"/>
  <c r="P38" i="128"/>
  <c r="Y38" i="128"/>
  <c r="AG38" i="128"/>
  <c r="M39" i="128"/>
  <c r="V39" i="128"/>
  <c r="AE39" i="128"/>
  <c r="K40" i="128"/>
  <c r="S40" i="128"/>
  <c r="AA40" i="128"/>
  <c r="AJ40" i="128"/>
  <c r="AF38" i="128"/>
  <c r="Z40" i="128"/>
  <c r="P35" i="128"/>
  <c r="X35" i="128"/>
  <c r="AG35" i="128"/>
  <c r="Q38" i="128"/>
  <c r="Z38" i="128"/>
  <c r="AH38" i="128"/>
  <c r="N39" i="128"/>
  <c r="W39" i="128"/>
  <c r="AF39" i="128"/>
  <c r="L40" i="128"/>
  <c r="T40" i="128"/>
  <c r="AK40" i="128"/>
  <c r="V35" i="128"/>
  <c r="L39" i="128"/>
  <c r="Q35" i="128"/>
  <c r="Y35" i="128"/>
  <c r="AH35" i="128"/>
  <c r="AA38" i="128"/>
  <c r="AI38" i="128"/>
  <c r="P39" i="128"/>
  <c r="X39" i="128"/>
  <c r="AG39" i="128"/>
  <c r="M40" i="128"/>
  <c r="U40" i="128"/>
  <c r="AC40" i="128"/>
  <c r="AE35" i="128"/>
  <c r="O38" i="128"/>
  <c r="AD39" i="128"/>
  <c r="AA35" i="128"/>
  <c r="AI35" i="128"/>
  <c r="K38" i="128"/>
  <c r="S38" i="128"/>
  <c r="AJ38" i="128"/>
  <c r="Q39" i="128"/>
  <c r="Y39" i="128"/>
  <c r="AH39" i="128"/>
  <c r="N40" i="128"/>
  <c r="V40" i="128"/>
  <c r="AE40" i="128"/>
  <c r="U39" i="128"/>
  <c r="K35" i="128"/>
  <c r="S35" i="128"/>
  <c r="AJ35" i="128"/>
  <c r="L38" i="128"/>
  <c r="T38" i="128"/>
  <c r="AC38" i="128"/>
  <c r="AK38" i="128"/>
  <c r="AA39" i="128"/>
  <c r="AI39" i="128"/>
  <c r="O40" i="128"/>
  <c r="W40" i="128"/>
  <c r="AF40" i="128"/>
  <c r="L35" i="128"/>
  <c r="T35" i="128"/>
  <c r="AC35" i="128"/>
  <c r="AK35" i="128"/>
  <c r="M38" i="128"/>
  <c r="U38" i="128"/>
  <c r="AD38" i="128"/>
  <c r="S39" i="128"/>
  <c r="AJ39" i="128"/>
  <c r="P40" i="128"/>
  <c r="X40" i="128"/>
  <c r="AG40" i="128"/>
  <c r="W38" i="128"/>
  <c r="AI40" i="128"/>
  <c r="M35" i="128"/>
  <c r="U35" i="128"/>
  <c r="AD35" i="128"/>
  <c r="N38" i="128"/>
  <c r="V38" i="128"/>
  <c r="AE38" i="128"/>
  <c r="K39" i="128"/>
  <c r="T39" i="128"/>
  <c r="AC39" i="128"/>
  <c r="AK39" i="128"/>
  <c r="Q40" i="128"/>
  <c r="Y40" i="128"/>
  <c r="AH40" i="128"/>
  <c r="S182" i="139"/>
  <c r="S43" i="139"/>
  <c r="AA17" i="140"/>
  <c r="AA21" i="140"/>
  <c r="AA25" i="140"/>
  <c r="AA29" i="140"/>
  <c r="AA33" i="140"/>
  <c r="G37" i="144"/>
  <c r="O37" i="144"/>
  <c r="W37" i="144"/>
  <c r="K31" i="144"/>
  <c r="K33" i="144" s="1"/>
  <c r="K35" i="144" s="1"/>
  <c r="K38" i="144" s="1"/>
  <c r="S31" i="144"/>
  <c r="S33" i="144" s="1"/>
  <c r="S35" i="144" s="1"/>
  <c r="AA31" i="144"/>
  <c r="AA33" i="144" s="1"/>
  <c r="AA35" i="144" s="1"/>
  <c r="AA38" i="144" s="1"/>
  <c r="L31" i="144"/>
  <c r="L33" i="144" s="1"/>
  <c r="L35" i="144" s="1"/>
  <c r="L38" i="144" s="1"/>
  <c r="T31" i="144"/>
  <c r="T33" i="144" s="1"/>
  <c r="T35" i="144" s="1"/>
  <c r="AB31" i="144"/>
  <c r="AB33" i="144" s="1"/>
  <c r="AB35" i="144" s="1"/>
  <c r="AB38" i="144" s="1"/>
  <c r="J31" i="144"/>
  <c r="J33" i="144" s="1"/>
  <c r="J35" i="144" s="1"/>
  <c r="J38" i="144" s="1"/>
  <c r="M33" i="144"/>
  <c r="M35" i="144" s="1"/>
  <c r="U31" i="144"/>
  <c r="AC31" i="144"/>
  <c r="AC33" i="144" s="1"/>
  <c r="AC35" i="144" s="1"/>
  <c r="AC38" i="144" s="1"/>
  <c r="F31" i="144"/>
  <c r="AD31" i="144"/>
  <c r="G31" i="144"/>
  <c r="O33" i="144"/>
  <c r="O35" i="144" s="1"/>
  <c r="O38" i="144" s="1"/>
  <c r="AE31" i="144"/>
  <c r="AE33" i="144" s="1"/>
  <c r="AE35" i="144" s="1"/>
  <c r="R33" i="144"/>
  <c r="R35" i="144" s="1"/>
  <c r="R38" i="144" s="1"/>
  <c r="H31" i="144"/>
  <c r="H33" i="144" s="1"/>
  <c r="H35" i="144" s="1"/>
  <c r="H38" i="144" s="1"/>
  <c r="X31" i="144"/>
  <c r="AF31" i="144"/>
  <c r="AF33" i="144" s="1"/>
  <c r="Z33" i="144"/>
  <c r="Z35" i="144" s="1"/>
  <c r="I31" i="144"/>
  <c r="Q31" i="144"/>
  <c r="Q33" i="144" s="1"/>
  <c r="Q35" i="144" s="1"/>
  <c r="Q38" i="144" s="1"/>
  <c r="Y31" i="144"/>
  <c r="Y33" i="144" s="1"/>
  <c r="Y35" i="144" s="1"/>
  <c r="Y38" i="144" s="1"/>
  <c r="AE37" i="144"/>
  <c r="H37" i="144"/>
  <c r="X37" i="144"/>
  <c r="F37" i="144"/>
  <c r="N37" i="144"/>
  <c r="V37" i="144"/>
  <c r="AD37" i="144"/>
  <c r="I37" i="144"/>
  <c r="Q37" i="144"/>
  <c r="Y37" i="144"/>
  <c r="J37" i="144"/>
  <c r="Z37" i="144"/>
  <c r="K37" i="144"/>
  <c r="S37" i="144"/>
  <c r="AA37" i="144"/>
  <c r="L37" i="144"/>
  <c r="T37" i="144"/>
  <c r="AB37" i="144"/>
  <c r="E37" i="144"/>
  <c r="M37" i="144"/>
  <c r="U37" i="144"/>
  <c r="AC37" i="144"/>
  <c r="H41" i="144"/>
  <c r="P41" i="144"/>
  <c r="Z41" i="144"/>
  <c r="J41" i="144"/>
  <c r="R41" i="144"/>
  <c r="K41" i="144"/>
  <c r="AA41" i="144"/>
  <c r="AC41" i="144"/>
  <c r="L41" i="144"/>
  <c r="AH27" i="144"/>
  <c r="AH28" i="144"/>
  <c r="AF41" i="144"/>
  <c r="I41" i="144"/>
  <c r="Q41" i="144"/>
  <c r="Y41" i="144"/>
  <c r="G138" i="139"/>
  <c r="L46" i="128" s="1"/>
  <c r="H138" i="139"/>
  <c r="M46" i="128" s="1"/>
  <c r="O131" i="139"/>
  <c r="T51" i="128" s="1"/>
  <c r="I138" i="139"/>
  <c r="N46" i="128" s="1"/>
  <c r="P131" i="139"/>
  <c r="U51" i="128" s="1"/>
  <c r="AC138" i="139"/>
  <c r="AH46" i="128" s="1"/>
  <c r="W131" i="139"/>
  <c r="AB51" i="128" s="1"/>
  <c r="O138" i="139"/>
  <c r="T46" i="128" s="1"/>
  <c r="G131" i="139"/>
  <c r="L51" i="128" s="1"/>
  <c r="P138" i="139"/>
  <c r="U46" i="128" s="1"/>
  <c r="I131" i="139"/>
  <c r="N51" i="128" s="1"/>
  <c r="Q138" i="139"/>
  <c r="V46" i="128" s="1"/>
  <c r="W47" i="128"/>
  <c r="W138" i="139"/>
  <c r="AB46" i="128" s="1"/>
  <c r="AE47" i="128"/>
  <c r="AC131" i="139"/>
  <c r="AH51" i="128" s="1"/>
  <c r="R43" i="139"/>
  <c r="Q43" i="139"/>
  <c r="I43" i="139"/>
  <c r="Y43" i="139"/>
  <c r="J43" i="139"/>
  <c r="Z43" i="139"/>
  <c r="X43" i="139"/>
  <c r="K43" i="139"/>
  <c r="AA43" i="139"/>
  <c r="H43" i="139"/>
  <c r="P43" i="139"/>
  <c r="AF43" i="139"/>
  <c r="E87" i="139"/>
  <c r="M87" i="139"/>
  <c r="U87" i="139"/>
  <c r="AC87" i="139"/>
  <c r="K56" i="128"/>
  <c r="F138" i="139"/>
  <c r="K46" i="128" s="1"/>
  <c r="F131" i="139"/>
  <c r="K51" i="128" s="1"/>
  <c r="AB47" i="128"/>
  <c r="AB52" i="128"/>
  <c r="F87" i="139"/>
  <c r="AD87" i="139"/>
  <c r="T41" i="144"/>
  <c r="T47" i="128"/>
  <c r="T52" i="128"/>
  <c r="N87" i="139"/>
  <c r="G87" i="139"/>
  <c r="W87" i="139"/>
  <c r="L87" i="139"/>
  <c r="AB87" i="139"/>
  <c r="T43" i="139"/>
  <c r="AB43" i="139"/>
  <c r="AE87" i="139"/>
  <c r="U43" i="139"/>
  <c r="H87" i="139"/>
  <c r="P87" i="139"/>
  <c r="X87" i="139"/>
  <c r="AF87" i="139"/>
  <c r="S131" i="139"/>
  <c r="X51" i="128" s="1"/>
  <c r="AA56" i="128"/>
  <c r="V138" i="139"/>
  <c r="AA46" i="128" s="1"/>
  <c r="V87" i="139"/>
  <c r="O87" i="139"/>
  <c r="F43" i="139"/>
  <c r="N43" i="139"/>
  <c r="AD43" i="139"/>
  <c r="I87" i="139"/>
  <c r="Q87" i="139"/>
  <c r="Y87" i="139"/>
  <c r="P56" i="128"/>
  <c r="K138" i="139"/>
  <c r="P46" i="128" s="1"/>
  <c r="AI56" i="128"/>
  <c r="AD138" i="139"/>
  <c r="AI46" i="128" s="1"/>
  <c r="AD131" i="139"/>
  <c r="AI51" i="128" s="1"/>
  <c r="S138" i="139"/>
  <c r="X46" i="128" s="1"/>
  <c r="S56" i="128"/>
  <c r="N138" i="139"/>
  <c r="S46" i="128" s="1"/>
  <c r="N131" i="139"/>
  <c r="S51" i="128" s="1"/>
  <c r="L47" i="128"/>
  <c r="L52" i="128"/>
  <c r="O43" i="139"/>
  <c r="W43" i="139"/>
  <c r="AE43" i="139"/>
  <c r="AE86" i="139"/>
  <c r="J87" i="139"/>
  <c r="R87" i="139"/>
  <c r="Z87" i="139"/>
  <c r="Q56" i="128"/>
  <c r="L138" i="139"/>
  <c r="Q46" i="128" s="1"/>
  <c r="Y56" i="128"/>
  <c r="T138" i="139"/>
  <c r="Y46" i="128" s="1"/>
  <c r="AJ56" i="128"/>
  <c r="AE138" i="139"/>
  <c r="AJ46" i="128" s="1"/>
  <c r="AE131" i="139"/>
  <c r="AJ51" i="128" s="1"/>
  <c r="J52" i="128"/>
  <c r="J47" i="128"/>
  <c r="R52" i="128"/>
  <c r="R47" i="128"/>
  <c r="T87" i="139"/>
  <c r="AJ47" i="128"/>
  <c r="AJ52" i="128"/>
  <c r="S87" i="139"/>
  <c r="J56" i="128"/>
  <c r="E138" i="139"/>
  <c r="J46" i="128" s="1"/>
  <c r="E131" i="139"/>
  <c r="J51" i="128" s="1"/>
  <c r="R56" i="128"/>
  <c r="M138" i="139"/>
  <c r="R46" i="128" s="1"/>
  <c r="Z56" i="128"/>
  <c r="U138" i="139"/>
  <c r="Z46" i="128" s="1"/>
  <c r="AK56" i="128"/>
  <c r="AF138" i="139"/>
  <c r="AK46" i="128" s="1"/>
  <c r="AF131" i="139"/>
  <c r="AK51" i="128" s="1"/>
  <c r="V131" i="139"/>
  <c r="AA51" i="128" s="1"/>
  <c r="K52" i="128"/>
  <c r="K47" i="128"/>
  <c r="S52" i="128"/>
  <c r="S47" i="128"/>
  <c r="AA52" i="128"/>
  <c r="AA47" i="128"/>
  <c r="AI52" i="128"/>
  <c r="AI47" i="128"/>
  <c r="M47" i="128"/>
  <c r="M52" i="128"/>
  <c r="U47" i="128"/>
  <c r="U52" i="128"/>
  <c r="AC47" i="128"/>
  <c r="AC52" i="128"/>
  <c r="AK47" i="128"/>
  <c r="AK52" i="128"/>
  <c r="N52" i="128"/>
  <c r="N47" i="128"/>
  <c r="V52" i="128"/>
  <c r="V47" i="128"/>
  <c r="AD52" i="128"/>
  <c r="AD47" i="128"/>
  <c r="X131" i="139"/>
  <c r="AC51" i="128" s="1"/>
  <c r="AE56" i="128"/>
  <c r="Z138" i="139"/>
  <c r="AE46" i="128" s="1"/>
  <c r="Z131" i="139"/>
  <c r="AE51" i="128" s="1"/>
  <c r="P47" i="128"/>
  <c r="P52" i="128"/>
  <c r="X47" i="128"/>
  <c r="X52" i="128"/>
  <c r="AF47" i="128"/>
  <c r="AF52" i="128"/>
  <c r="J138" i="139"/>
  <c r="O46" i="128" s="1"/>
  <c r="J131" i="139"/>
  <c r="O51" i="128" s="1"/>
  <c r="O56" i="128"/>
  <c r="W56" i="128"/>
  <c r="R138" i="139"/>
  <c r="W46" i="128" s="1"/>
  <c r="R131" i="139"/>
  <c r="W51" i="128" s="1"/>
  <c r="H131" i="139"/>
  <c r="M51" i="128" s="1"/>
  <c r="Q131" i="139"/>
  <c r="V51" i="128" s="1"/>
  <c r="X138" i="139"/>
  <c r="AC46" i="128" s="1"/>
  <c r="Q47" i="128"/>
  <c r="Q52" i="128"/>
  <c r="Y47" i="128"/>
  <c r="Y52" i="128"/>
  <c r="AG47" i="128"/>
  <c r="AG52" i="128"/>
  <c r="E41" i="144"/>
  <c r="M41" i="144"/>
  <c r="U41" i="144"/>
  <c r="Z52" i="128"/>
  <c r="Z47" i="128"/>
  <c r="AH52" i="128"/>
  <c r="AH47" i="128"/>
  <c r="F41" i="144"/>
  <c r="N41" i="144"/>
  <c r="V41" i="144"/>
  <c r="AD41" i="144"/>
  <c r="O52" i="128"/>
  <c r="O47" i="128"/>
  <c r="W36" i="140"/>
  <c r="G37" i="140"/>
  <c r="G41" i="144"/>
  <c r="O41" i="144"/>
  <c r="W41" i="144"/>
  <c r="AE41" i="144"/>
  <c r="T36" i="140"/>
  <c r="S41" i="144"/>
  <c r="AB41" i="144"/>
  <c r="K37" i="140"/>
  <c r="X41" i="144"/>
  <c r="Z38" i="144" l="1"/>
  <c r="V79" i="139"/>
  <c r="V165" i="139" s="1"/>
  <c r="AE147" i="144"/>
  <c r="AE128" i="144"/>
  <c r="AA128" i="144"/>
  <c r="AA147" i="144"/>
  <c r="Y147" i="144"/>
  <c r="Y128" i="144"/>
  <c r="AD39" i="155" s="1"/>
  <c r="AC147" i="144"/>
  <c r="AC128" i="144"/>
  <c r="AH39" i="155" s="1"/>
  <c r="P128" i="144"/>
  <c r="U39" i="155" s="1"/>
  <c r="P147" i="144"/>
  <c r="U56" i="155" s="1"/>
  <c r="P158" i="144"/>
  <c r="T38" i="144"/>
  <c r="N38" i="144"/>
  <c r="S67" i="155" s="1"/>
  <c r="S38" i="144"/>
  <c r="P38" i="144"/>
  <c r="V9" i="155"/>
  <c r="V10" i="155"/>
  <c r="AE38" i="144"/>
  <c r="M38" i="144"/>
  <c r="Y86" i="139"/>
  <c r="AF86" i="139"/>
  <c r="O86" i="139"/>
  <c r="U86" i="139"/>
  <c r="AF76" i="128"/>
  <c r="M86" i="139"/>
  <c r="N86" i="139"/>
  <c r="F86" i="139"/>
  <c r="I86" i="139"/>
  <c r="AF12" i="128"/>
  <c r="AH56" i="155"/>
  <c r="AC158" i="144"/>
  <c r="AC160" i="144" s="1"/>
  <c r="AC161" i="144" s="1"/>
  <c r="AF56" i="155"/>
  <c r="AF39" i="155"/>
  <c r="AA158" i="144"/>
  <c r="AA160" i="144" s="1"/>
  <c r="AA161" i="144" s="1"/>
  <c r="AD56" i="155"/>
  <c r="Y158" i="144"/>
  <c r="X158" i="144"/>
  <c r="AJ56" i="155"/>
  <c r="AJ39" i="155"/>
  <c r="AE158" i="144"/>
  <c r="AE160" i="144" s="1"/>
  <c r="AE161" i="144" s="1"/>
  <c r="W158" i="144"/>
  <c r="AB66" i="155" s="1"/>
  <c r="V158" i="144"/>
  <c r="G86" i="139"/>
  <c r="T86" i="139"/>
  <c r="X86" i="139"/>
  <c r="L86" i="139"/>
  <c r="Z86" i="139"/>
  <c r="P86" i="139"/>
  <c r="AD86" i="139"/>
  <c r="AB86" i="139"/>
  <c r="AA86" i="139"/>
  <c r="AA144" i="139" s="1"/>
  <c r="R86" i="139"/>
  <c r="Q86" i="139"/>
  <c r="H86" i="139"/>
  <c r="V86" i="139"/>
  <c r="AC86" i="139"/>
  <c r="J86" i="139"/>
  <c r="S86" i="139"/>
  <c r="W86" i="139"/>
  <c r="AD81" i="139"/>
  <c r="I81" i="139"/>
  <c r="H81" i="139"/>
  <c r="H122" i="139" s="1"/>
  <c r="AB81" i="139"/>
  <c r="AB95" i="139" s="1"/>
  <c r="F81" i="139"/>
  <c r="T81" i="139"/>
  <c r="L81" i="139"/>
  <c r="AC81" i="139"/>
  <c r="S81" i="139"/>
  <c r="K181" i="139"/>
  <c r="AF81" i="139"/>
  <c r="M81" i="139"/>
  <c r="M326" i="139" s="1"/>
  <c r="M335" i="139" s="1"/>
  <c r="M344" i="149" s="1"/>
  <c r="W79" i="139"/>
  <c r="W181" i="139" s="1"/>
  <c r="H79" i="139"/>
  <c r="H181" i="139" s="1"/>
  <c r="Z81" i="139"/>
  <c r="R81" i="139"/>
  <c r="Y81" i="139"/>
  <c r="X81" i="139"/>
  <c r="N81" i="139"/>
  <c r="E81" i="139"/>
  <c r="E95" i="139" s="1"/>
  <c r="P79" i="139"/>
  <c r="P165" i="139" s="1"/>
  <c r="O79" i="139"/>
  <c r="O181" i="139" s="1"/>
  <c r="K81" i="139"/>
  <c r="AE81" i="139"/>
  <c r="U81" i="139"/>
  <c r="V81" i="139"/>
  <c r="O81" i="139"/>
  <c r="T76" i="128" s="1"/>
  <c r="J81" i="139"/>
  <c r="W81" i="139"/>
  <c r="H80" i="139"/>
  <c r="Q81" i="139"/>
  <c r="G81" i="139"/>
  <c r="P81" i="139"/>
  <c r="M211" i="139"/>
  <c r="AC59" i="144"/>
  <c r="AC58" i="144"/>
  <c r="AB35" i="128"/>
  <c r="AB40" i="128"/>
  <c r="J40" i="128"/>
  <c r="J36" i="128"/>
  <c r="AB39" i="128"/>
  <c r="J38" i="128"/>
  <c r="J39" i="128"/>
  <c r="J37" i="128"/>
  <c r="AB38" i="128"/>
  <c r="AA95" i="139"/>
  <c r="AA122" i="139"/>
  <c r="AC85" i="139"/>
  <c r="T85" i="139"/>
  <c r="O85" i="139"/>
  <c r="S85" i="139"/>
  <c r="AD85" i="139"/>
  <c r="V85" i="139"/>
  <c r="V211" i="139" s="1"/>
  <c r="R79" i="139"/>
  <c r="X85" i="139"/>
  <c r="N85" i="139"/>
  <c r="AF80" i="139"/>
  <c r="W80" i="139"/>
  <c r="Z85" i="139"/>
  <c r="N80" i="139"/>
  <c r="Q85" i="139"/>
  <c r="Q211" i="139" s="1"/>
  <c r="AC79" i="139"/>
  <c r="AC165" i="139" s="1"/>
  <c r="E79" i="139"/>
  <c r="E165" i="139" s="1"/>
  <c r="AB85" i="139"/>
  <c r="AB79" i="139"/>
  <c r="AB181" i="139" s="1"/>
  <c r="AD80" i="139"/>
  <c r="P85" i="139"/>
  <c r="X79" i="139"/>
  <c r="Z79" i="139"/>
  <c r="Z181" i="139" s="1"/>
  <c r="Q80" i="139"/>
  <c r="X80" i="139"/>
  <c r="G80" i="139"/>
  <c r="AC80" i="139"/>
  <c r="R85" i="139"/>
  <c r="T79" i="139"/>
  <c r="T181" i="139" s="1"/>
  <c r="AE85" i="139"/>
  <c r="AE177" i="139" s="1"/>
  <c r="AA80" i="139"/>
  <c r="U85" i="139"/>
  <c r="U246" i="139" s="1" a="1"/>
  <c r="U246" i="139" s="1"/>
  <c r="U270" i="139" s="1"/>
  <c r="AD79" i="139"/>
  <c r="AD165" i="139" s="1"/>
  <c r="S79" i="139"/>
  <c r="S165" i="139" s="1"/>
  <c r="F85" i="139"/>
  <c r="F79" i="139"/>
  <c r="F165" i="139" s="1"/>
  <c r="AE80" i="139"/>
  <c r="I80" i="139"/>
  <c r="P80" i="139"/>
  <c r="AA85" i="139"/>
  <c r="M80" i="139"/>
  <c r="J85" i="139"/>
  <c r="L79" i="139"/>
  <c r="L165" i="139" s="1"/>
  <c r="U80" i="139"/>
  <c r="W85" i="139"/>
  <c r="W242" i="139" s="1" a="1"/>
  <c r="W242" i="139" s="1"/>
  <c r="W266" i="139" s="1"/>
  <c r="K80" i="139"/>
  <c r="AE79" i="139"/>
  <c r="U79" i="139"/>
  <c r="U181" i="139" s="1"/>
  <c r="J79" i="139"/>
  <c r="J181" i="139" s="1"/>
  <c r="Q79" i="139"/>
  <c r="Q165" i="139" s="1"/>
  <c r="G79" i="139"/>
  <c r="G165" i="139" s="1"/>
  <c r="L80" i="139"/>
  <c r="L85" i="139"/>
  <c r="G85" i="139"/>
  <c r="AF79" i="139"/>
  <c r="AF181" i="139" s="1"/>
  <c r="M79" i="139"/>
  <c r="M165" i="139" s="1"/>
  <c r="I85" i="139"/>
  <c r="E85" i="139"/>
  <c r="I79" i="139"/>
  <c r="I181" i="139" s="1"/>
  <c r="E80" i="139"/>
  <c r="AB80" i="139"/>
  <c r="N79" i="139"/>
  <c r="AF85" i="139"/>
  <c r="AA79" i="139"/>
  <c r="AA165" i="139" s="1"/>
  <c r="H85" i="139"/>
  <c r="H98" i="139" s="1"/>
  <c r="Y85" i="139"/>
  <c r="Y79" i="139"/>
  <c r="Y181" i="139" s="1"/>
  <c r="J80" i="139"/>
  <c r="T80" i="139"/>
  <c r="O80" i="139"/>
  <c r="V80" i="139"/>
  <c r="F80" i="139"/>
  <c r="Z80" i="139"/>
  <c r="S80" i="139"/>
  <c r="R80" i="139"/>
  <c r="AA36" i="140"/>
  <c r="E33" i="144"/>
  <c r="E35" i="144" s="1"/>
  <c r="AH186" i="164"/>
  <c r="AG187" i="164"/>
  <c r="U67" i="155"/>
  <c r="S108" i="156"/>
  <c r="S109" i="156" s="1"/>
  <c r="Q108" i="156"/>
  <c r="Q109" i="156" s="1"/>
  <c r="Q9" i="155"/>
  <c r="Q10" i="155"/>
  <c r="Y10" i="155"/>
  <c r="Y9" i="155"/>
  <c r="AF10" i="155"/>
  <c r="AF9" i="155"/>
  <c r="AE10" i="155"/>
  <c r="AE9" i="155"/>
  <c r="N9" i="155"/>
  <c r="N10" i="155"/>
  <c r="X9" i="155"/>
  <c r="X10" i="155"/>
  <c r="W9" i="155"/>
  <c r="W10" i="155"/>
  <c r="AK10" i="155"/>
  <c r="AK9" i="155"/>
  <c r="N42" i="144"/>
  <c r="T9" i="155"/>
  <c r="T10" i="155"/>
  <c r="AI10" i="155"/>
  <c r="AI9" i="155"/>
  <c r="Z10" i="155"/>
  <c r="Z9" i="155"/>
  <c r="R9" i="155"/>
  <c r="R10" i="155"/>
  <c r="U9" i="155"/>
  <c r="U10" i="155"/>
  <c r="S9" i="155"/>
  <c r="S10" i="155"/>
  <c r="P9" i="155"/>
  <c r="P10" i="155"/>
  <c r="AH10" i="155"/>
  <c r="AH9" i="155"/>
  <c r="AG10" i="155"/>
  <c r="AG9" i="155"/>
  <c r="AH37" i="144"/>
  <c r="E88" i="144"/>
  <c r="AC74" i="144"/>
  <c r="Z74" i="144"/>
  <c r="Z110" i="144"/>
  <c r="Y74" i="144"/>
  <c r="AD66" i="155"/>
  <c r="X74" i="144"/>
  <c r="AC66" i="155"/>
  <c r="AE74" i="144"/>
  <c r="AJ66" i="155"/>
  <c r="AB74" i="144"/>
  <c r="AB110" i="144"/>
  <c r="V74" i="144"/>
  <c r="AA66" i="155"/>
  <c r="U74" i="144"/>
  <c r="U110" i="144"/>
  <c r="R74" i="144"/>
  <c r="R110" i="144"/>
  <c r="Q74" i="144"/>
  <c r="Q110" i="144"/>
  <c r="P74" i="144"/>
  <c r="P75" i="144" s="1"/>
  <c r="W74" i="144"/>
  <c r="L74" i="144"/>
  <c r="L110" i="144"/>
  <c r="N74" i="144"/>
  <c r="N110" i="144"/>
  <c r="M74" i="144"/>
  <c r="M110" i="144"/>
  <c r="J74" i="144"/>
  <c r="J110" i="144"/>
  <c r="I74" i="144"/>
  <c r="I110" i="144"/>
  <c r="H74" i="144"/>
  <c r="H110" i="144"/>
  <c r="O74" i="144"/>
  <c r="O110" i="144"/>
  <c r="K74" i="144"/>
  <c r="K110" i="144"/>
  <c r="F74" i="144"/>
  <c r="F110" i="144"/>
  <c r="T74" i="144"/>
  <c r="T110" i="144"/>
  <c r="AA74" i="144"/>
  <c r="AF74" i="144"/>
  <c r="AF110" i="144"/>
  <c r="S74" i="144"/>
  <c r="S110" i="144"/>
  <c r="G74" i="144"/>
  <c r="G110" i="144"/>
  <c r="AD74" i="144"/>
  <c r="AD110" i="144"/>
  <c r="O59" i="144"/>
  <c r="O58" i="144"/>
  <c r="T59" i="144"/>
  <c r="T58" i="144"/>
  <c r="L59" i="144"/>
  <c r="L58" i="144"/>
  <c r="N59" i="144"/>
  <c r="N58" i="144"/>
  <c r="Y59" i="144"/>
  <c r="Y58" i="144"/>
  <c r="R59" i="144"/>
  <c r="R58" i="144"/>
  <c r="AA59" i="144"/>
  <c r="AA58" i="144"/>
  <c r="Q59" i="144"/>
  <c r="Q58" i="144"/>
  <c r="AE59" i="144"/>
  <c r="AE58" i="144"/>
  <c r="S59" i="144"/>
  <c r="S58" i="144"/>
  <c r="H59" i="144"/>
  <c r="H58" i="144"/>
  <c r="K59" i="144"/>
  <c r="K58" i="144"/>
  <c r="M59" i="144"/>
  <c r="M58" i="144"/>
  <c r="J59" i="144"/>
  <c r="J58" i="144"/>
  <c r="Z59" i="144"/>
  <c r="Z58" i="144"/>
  <c r="AB59" i="144"/>
  <c r="AB58" i="144"/>
  <c r="AH31" i="144"/>
  <c r="AH38" i="144" s="1"/>
  <c r="W33" i="144"/>
  <c r="W35" i="144" s="1"/>
  <c r="W38" i="144" s="1"/>
  <c r="AB67" i="155" s="1"/>
  <c r="I33" i="144"/>
  <c r="I35" i="144" s="1"/>
  <c r="I38" i="144" s="1"/>
  <c r="N67" i="155" s="1"/>
  <c r="U33" i="144"/>
  <c r="U35" i="144" s="1"/>
  <c r="U38" i="144" s="1"/>
  <c r="Z67" i="155" s="1"/>
  <c r="AF35" i="144"/>
  <c r="AF38" i="144" s="1"/>
  <c r="AK67" i="155" s="1"/>
  <c r="G33" i="144"/>
  <c r="G35" i="144" s="1"/>
  <c r="G38" i="144" s="1"/>
  <c r="L67" i="155" s="1"/>
  <c r="V33" i="144"/>
  <c r="V35" i="144" s="1"/>
  <c r="S42" i="144"/>
  <c r="F33" i="144"/>
  <c r="F35" i="144" s="1"/>
  <c r="F38" i="144" s="1"/>
  <c r="AB42" i="144"/>
  <c r="AD95" i="139"/>
  <c r="H95" i="139"/>
  <c r="R9" i="128"/>
  <c r="E204" i="139"/>
  <c r="M177" i="139"/>
  <c r="M180" i="139" s="1"/>
  <c r="M205" i="139" s="1"/>
  <c r="L204" i="139"/>
  <c r="AC204" i="139"/>
  <c r="G204" i="139"/>
  <c r="V181" i="139"/>
  <c r="O42" i="144"/>
  <c r="M42" i="144"/>
  <c r="AE42" i="144"/>
  <c r="Q42" i="144"/>
  <c r="AC42" i="144"/>
  <c r="AD33" i="144"/>
  <c r="AD35" i="144" s="1"/>
  <c r="AD38" i="144" s="1"/>
  <c r="AI67" i="155" s="1"/>
  <c r="X33" i="144"/>
  <c r="X35" i="144" s="1"/>
  <c r="Z42" i="144"/>
  <c r="H42" i="144"/>
  <c r="T42" i="144"/>
  <c r="K42" i="144"/>
  <c r="Y42" i="144"/>
  <c r="R42" i="144"/>
  <c r="L42" i="144"/>
  <c r="J42" i="144"/>
  <c r="AA42" i="144"/>
  <c r="AH41" i="144"/>
  <c r="F122" i="139"/>
  <c r="AA123" i="139"/>
  <c r="AA126" i="139" s="1"/>
  <c r="O76" i="128"/>
  <c r="M242" i="139" a="1"/>
  <c r="M242" i="139" s="1"/>
  <c r="M234" i="139" a="1"/>
  <c r="M234" i="139" s="1"/>
  <c r="M258" i="139" s="1"/>
  <c r="M235" i="139" a="1"/>
  <c r="M235" i="139" s="1"/>
  <c r="M239" i="139" a="1"/>
  <c r="M239" i="139" s="1"/>
  <c r="K132" i="139"/>
  <c r="Y144" i="139" l="1"/>
  <c r="X38" i="144"/>
  <c r="AC67" i="155" s="1"/>
  <c r="X128" i="144"/>
  <c r="AC39" i="155" s="1"/>
  <c r="X147" i="144"/>
  <c r="AC56" i="155" s="1"/>
  <c r="K67" i="155"/>
  <c r="I108" i="156"/>
  <c r="I109" i="156" s="1"/>
  <c r="V38" i="144"/>
  <c r="AA67" i="155" s="1"/>
  <c r="V128" i="144"/>
  <c r="AA39" i="155" s="1"/>
  <c r="M76" i="128"/>
  <c r="H94" i="139"/>
  <c r="K239" i="139" a="1"/>
  <c r="K239" i="139" s="1"/>
  <c r="O98" i="139"/>
  <c r="E122" i="139"/>
  <c r="E123" i="139" s="1"/>
  <c r="O247" i="139" a="1"/>
  <c r="O247" i="139" s="1"/>
  <c r="AA139" i="139"/>
  <c r="AA140" i="139" s="1"/>
  <c r="AA141" i="139" s="1"/>
  <c r="W239" i="139" a="1"/>
  <c r="W239" i="139" s="1"/>
  <c r="O177" i="139"/>
  <c r="M244" i="139" a="1"/>
  <c r="M244" i="139" s="1"/>
  <c r="L235" i="139" a="1"/>
  <c r="L235" i="139" s="1"/>
  <c r="H139" i="139"/>
  <c r="H144" i="139"/>
  <c r="H145" i="139" s="1"/>
  <c r="K211" i="139"/>
  <c r="K177" i="139"/>
  <c r="AD98" i="139"/>
  <c r="H132" i="139"/>
  <c r="P94" i="139"/>
  <c r="Z139" i="139"/>
  <c r="Z140" i="139" s="1"/>
  <c r="Z141" i="139" s="1"/>
  <c r="L144" i="139"/>
  <c r="U94" i="139"/>
  <c r="AH44" i="128"/>
  <c r="O128" i="144"/>
  <c r="O147" i="144"/>
  <c r="R189" i="139"/>
  <c r="Z189" i="139"/>
  <c r="AA189" i="139"/>
  <c r="P160" i="144"/>
  <c r="P161" i="144" s="1"/>
  <c r="R76" i="128"/>
  <c r="J147" i="144"/>
  <c r="O56" i="155" s="1"/>
  <c r="J128" i="144"/>
  <c r="O39" i="155" s="1"/>
  <c r="Q189" i="139"/>
  <c r="T189" i="139"/>
  <c r="K10" i="155"/>
  <c r="E59" i="144"/>
  <c r="E128" i="144"/>
  <c r="J39" i="155" s="1"/>
  <c r="E147" i="144"/>
  <c r="E58" i="144"/>
  <c r="AB147" i="144"/>
  <c r="AB128" i="144"/>
  <c r="M245" i="139" a="1"/>
  <c r="M245" i="139" s="1"/>
  <c r="M269" i="139" s="1"/>
  <c r="S147" i="144"/>
  <c r="S128" i="144"/>
  <c r="X39" i="155" s="1"/>
  <c r="O189" i="139"/>
  <c r="T43" i="128" s="1"/>
  <c r="V147" i="144"/>
  <c r="AA56" i="155" s="1"/>
  <c r="G128" i="144"/>
  <c r="G147" i="144"/>
  <c r="AH66" i="155"/>
  <c r="AB189" i="139"/>
  <c r="AF147" i="144"/>
  <c r="AK56" i="155" s="1"/>
  <c r="AF128" i="144"/>
  <c r="I189" i="139"/>
  <c r="Z98" i="139"/>
  <c r="S189" i="139"/>
  <c r="AD147" i="144"/>
  <c r="AD128" i="144"/>
  <c r="Z147" i="144"/>
  <c r="AE56" i="155" s="1"/>
  <c r="Z128" i="144"/>
  <c r="AE39" i="155" s="1"/>
  <c r="U189" i="139"/>
  <c r="AB122" i="139"/>
  <c r="AF189" i="139"/>
  <c r="P189" i="139"/>
  <c r="J189" i="139"/>
  <c r="T147" i="144"/>
  <c r="Y56" i="155" s="1"/>
  <c r="T128" i="144"/>
  <c r="Q147" i="144"/>
  <c r="V56" i="155" s="1"/>
  <c r="Q128" i="144"/>
  <c r="I128" i="144"/>
  <c r="I147" i="144"/>
  <c r="M128" i="144"/>
  <c r="M147" i="144"/>
  <c r="M243" i="139" a="1"/>
  <c r="M243" i="139" s="1"/>
  <c r="L147" i="144"/>
  <c r="L128" i="144"/>
  <c r="AF66" i="155"/>
  <c r="AE189" i="139"/>
  <c r="AG76" i="128"/>
  <c r="F147" i="144"/>
  <c r="F128" i="144"/>
  <c r="R128" i="144"/>
  <c r="R147" i="144"/>
  <c r="AB9" i="128"/>
  <c r="J44" i="128"/>
  <c r="X160" i="144"/>
  <c r="X161" i="144" s="1"/>
  <c r="W128" i="144"/>
  <c r="AB39" i="155" s="1"/>
  <c r="H147" i="144"/>
  <c r="M56" i="155" s="1"/>
  <c r="H128" i="144"/>
  <c r="M39" i="155" s="1"/>
  <c r="AD247" i="139"/>
  <c r="AD271" i="139" s="1"/>
  <c r="AD189" i="139"/>
  <c r="U66" i="155"/>
  <c r="J122" i="139"/>
  <c r="W147" i="144"/>
  <c r="AB56" i="155" s="1"/>
  <c r="AD181" i="139"/>
  <c r="N128" i="144"/>
  <c r="N147" i="144"/>
  <c r="S56" i="155" s="1"/>
  <c r="J139" i="139"/>
  <c r="K147" i="144"/>
  <c r="P56" i="155" s="1"/>
  <c r="K128" i="144"/>
  <c r="U128" i="144"/>
  <c r="Z39" i="155" s="1"/>
  <c r="U147" i="144"/>
  <c r="Z56" i="155" s="1"/>
  <c r="X189" i="139"/>
  <c r="K76" i="128"/>
  <c r="K233" i="139" a="1"/>
  <c r="K233" i="139" s="1"/>
  <c r="Y189" i="139"/>
  <c r="Y160" i="144"/>
  <c r="Y161" i="144" s="1"/>
  <c r="AA186" i="139"/>
  <c r="P186" i="139"/>
  <c r="Q186" i="139"/>
  <c r="W186" i="139"/>
  <c r="AB43" i="128" s="1"/>
  <c r="J186" i="139"/>
  <c r="V186" i="139"/>
  <c r="AA43" i="128" s="1"/>
  <c r="U186" i="139"/>
  <c r="AE186" i="139"/>
  <c r="AJ43" i="128" s="1"/>
  <c r="K186" i="139"/>
  <c r="P43" i="128" s="1"/>
  <c r="N186" i="139"/>
  <c r="S43" i="128" s="1"/>
  <c r="X186" i="139"/>
  <c r="Y186" i="139"/>
  <c r="R186" i="139"/>
  <c r="Z186" i="139"/>
  <c r="AF186" i="139"/>
  <c r="S186" i="139"/>
  <c r="T186" i="139"/>
  <c r="F186" i="139"/>
  <c r="K43" i="128" s="1"/>
  <c r="AB186" i="139"/>
  <c r="H186" i="139"/>
  <c r="M43" i="128" s="1"/>
  <c r="I186" i="139"/>
  <c r="AD186" i="139"/>
  <c r="J108" i="156"/>
  <c r="J109" i="156" s="1"/>
  <c r="AI108" i="156"/>
  <c r="AI109" i="156" s="1"/>
  <c r="AK10" i="128"/>
  <c r="M12" i="128"/>
  <c r="N10" i="128"/>
  <c r="X108" i="156"/>
  <c r="X109" i="156" s="1"/>
  <c r="Z108" i="156"/>
  <c r="Z109" i="156" s="1"/>
  <c r="L108" i="156"/>
  <c r="L109" i="156" s="1"/>
  <c r="U12" i="128"/>
  <c r="W94" i="139"/>
  <c r="Y108" i="156"/>
  <c r="Y109" i="156" s="1"/>
  <c r="AG108" i="156"/>
  <c r="AG109" i="156" s="1"/>
  <c r="AA108" i="156"/>
  <c r="AA109" i="156" s="1"/>
  <c r="E38" i="144"/>
  <c r="AB12" i="128"/>
  <c r="E184" i="139"/>
  <c r="E187" i="139" s="1"/>
  <c r="AG12" i="128"/>
  <c r="AC98" i="139"/>
  <c r="AA94" i="139"/>
  <c r="S10" i="128"/>
  <c r="AA132" i="139"/>
  <c r="G98" i="139"/>
  <c r="S98" i="139"/>
  <c r="K12" i="128"/>
  <c r="F233" i="139"/>
  <c r="R98" i="139"/>
  <c r="N132" i="139"/>
  <c r="I98" i="139"/>
  <c r="X98" i="139"/>
  <c r="Z76" i="128"/>
  <c r="AD12" i="128"/>
  <c r="AI76" i="128"/>
  <c r="AD11" i="128"/>
  <c r="Z11" i="128"/>
  <c r="G184" i="139"/>
  <c r="G187" i="139" s="1"/>
  <c r="AE94" i="139"/>
  <c r="W12" i="128"/>
  <c r="AC184" i="139"/>
  <c r="AC187" i="139" s="1"/>
  <c r="Z10" i="128"/>
  <c r="I132" i="139"/>
  <c r="I149" i="139" s="1"/>
  <c r="I95" i="139"/>
  <c r="Q95" i="139"/>
  <c r="P12" i="128"/>
  <c r="AE12" i="128"/>
  <c r="L122" i="139"/>
  <c r="L123" i="139" s="1"/>
  <c r="L126" i="139" s="1"/>
  <c r="L184" i="139"/>
  <c r="L187" i="139" s="1"/>
  <c r="AC236" i="139" a="1"/>
  <c r="AC236" i="139" s="1"/>
  <c r="AC260" i="139" s="1"/>
  <c r="I239" i="139" a="1"/>
  <c r="I239" i="139" s="1"/>
  <c r="I139" i="139"/>
  <c r="I140" i="139" s="1"/>
  <c r="I141" i="139" s="1"/>
  <c r="T95" i="139"/>
  <c r="AH12" i="128"/>
  <c r="Q12" i="128"/>
  <c r="AA12" i="128"/>
  <c r="N11" i="128"/>
  <c r="AC239" i="139" a="1"/>
  <c r="AC239" i="139" s="1"/>
  <c r="AC263" i="139" s="1"/>
  <c r="AC293" i="139" s="1"/>
  <c r="AC312" i="139" s="1"/>
  <c r="AC335" i="149" s="1"/>
  <c r="W83" i="139"/>
  <c r="F95" i="139"/>
  <c r="AC12" i="128"/>
  <c r="O12" i="128"/>
  <c r="E94" i="139"/>
  <c r="R12" i="128"/>
  <c r="M184" i="139"/>
  <c r="M187" i="139" s="1"/>
  <c r="AB144" i="139"/>
  <c r="AB145" i="139" s="1"/>
  <c r="AI12" i="128"/>
  <c r="T10" i="128"/>
  <c r="S76" i="128"/>
  <c r="AK11" i="128"/>
  <c r="T11" i="128"/>
  <c r="L12" i="128"/>
  <c r="AH10" i="128"/>
  <c r="AH11" i="128"/>
  <c r="AA10" i="128"/>
  <c r="AA11" i="128"/>
  <c r="H165" i="139"/>
  <c r="M11" i="128"/>
  <c r="M10" i="128"/>
  <c r="Q11" i="128"/>
  <c r="Q10" i="128"/>
  <c r="AD10" i="128"/>
  <c r="R11" i="128"/>
  <c r="V12" i="128"/>
  <c r="T12" i="128"/>
  <c r="O11" i="128"/>
  <c r="O10" i="128"/>
  <c r="AD246" i="139" a="1"/>
  <c r="AD246" i="139" s="1"/>
  <c r="AD270" i="139" s="1"/>
  <c r="M144" i="139"/>
  <c r="Y76" i="128"/>
  <c r="W165" i="139"/>
  <c r="L93" i="139"/>
  <c r="F139" i="139"/>
  <c r="F217" i="139" s="1"/>
  <c r="M247" i="139" a="1"/>
  <c r="M247" i="139" s="1"/>
  <c r="E144" i="139"/>
  <c r="E151" i="139" s="1"/>
  <c r="M132" i="139"/>
  <c r="E168" i="139"/>
  <c r="T94" i="139"/>
  <c r="N98" i="139"/>
  <c r="I176" i="139"/>
  <c r="V10" i="128"/>
  <c r="V11" i="128"/>
  <c r="AC11" i="128"/>
  <c r="AC10" i="128"/>
  <c r="AK12" i="128"/>
  <c r="AJ12" i="128"/>
  <c r="R10" i="128"/>
  <c r="AI10" i="128"/>
  <c r="AI11" i="128"/>
  <c r="J144" i="139"/>
  <c r="AE10" i="128"/>
  <c r="AE11" i="128"/>
  <c r="F132" i="139"/>
  <c r="AB76" i="128"/>
  <c r="M236" i="139" a="1"/>
  <c r="M236" i="139" s="1"/>
  <c r="M246" i="139" a="1"/>
  <c r="M246" i="139" s="1"/>
  <c r="M270" i="139" s="1"/>
  <c r="M122" i="139"/>
  <c r="W144" i="139"/>
  <c r="T132" i="139"/>
  <c r="T149" i="139" s="1"/>
  <c r="T221" i="139" s="1"/>
  <c r="T241" i="139" s="1" a="1"/>
  <c r="T241" i="139" s="1"/>
  <c r="M233" i="139" a="1"/>
  <c r="M233" i="139" s="1"/>
  <c r="W122" i="139"/>
  <c r="W123" i="139" s="1"/>
  <c r="AD139" i="139"/>
  <c r="E132" i="139"/>
  <c r="M139" i="139"/>
  <c r="F94" i="139"/>
  <c r="P83" i="139"/>
  <c r="P176" i="139"/>
  <c r="S132" i="139"/>
  <c r="W10" i="128"/>
  <c r="W11" i="128"/>
  <c r="Y10" i="128"/>
  <c r="Y11" i="128"/>
  <c r="K11" i="128"/>
  <c r="N12" i="128"/>
  <c r="J10" i="128"/>
  <c r="AJ11" i="128"/>
  <c r="AD94" i="139"/>
  <c r="U11" i="128"/>
  <c r="U10" i="128"/>
  <c r="F244" i="139" a="1"/>
  <c r="F244" i="139" s="1"/>
  <c r="W243" i="139" a="1"/>
  <c r="W243" i="139" s="1"/>
  <c r="W267" i="139" s="1"/>
  <c r="AC144" i="139"/>
  <c r="O165" i="139"/>
  <c r="W95" i="139"/>
  <c r="J76" i="128"/>
  <c r="W132" i="139"/>
  <c r="W238" i="139" a="1"/>
  <c r="W238" i="139" s="1"/>
  <c r="M238" i="139" a="1"/>
  <c r="M238" i="139" s="1"/>
  <c r="AD144" i="139"/>
  <c r="E139" i="139"/>
  <c r="P181" i="139"/>
  <c r="M168" i="139"/>
  <c r="M93" i="139"/>
  <c r="AC139" i="139"/>
  <c r="AC217" i="139" s="1"/>
  <c r="AB10" i="128"/>
  <c r="AB11" i="128"/>
  <c r="AF11" i="128"/>
  <c r="AF10" i="128"/>
  <c r="L11" i="128"/>
  <c r="L10" i="128"/>
  <c r="S12" i="128"/>
  <c r="X12" i="128"/>
  <c r="K10" i="128"/>
  <c r="J11" i="128"/>
  <c r="AJ10" i="128"/>
  <c r="P98" i="139"/>
  <c r="U9" i="128"/>
  <c r="J132" i="139"/>
  <c r="W139" i="139"/>
  <c r="W217" i="139" s="1"/>
  <c r="W234" i="139" a="1"/>
  <c r="W234" i="139" s="1"/>
  <c r="W258" i="139" s="1"/>
  <c r="O211" i="139"/>
  <c r="F144" i="139"/>
  <c r="P11" i="128"/>
  <c r="P10" i="128"/>
  <c r="X10" i="128"/>
  <c r="X11" i="128"/>
  <c r="AG11" i="128"/>
  <c r="AG10" i="128"/>
  <c r="Y12" i="128"/>
  <c r="S11" i="128"/>
  <c r="J12" i="128"/>
  <c r="Z12" i="128"/>
  <c r="AI56" i="155"/>
  <c r="AI39" i="155"/>
  <c r="AD158" i="144"/>
  <c r="L56" i="155"/>
  <c r="L39" i="155"/>
  <c r="G158" i="144"/>
  <c r="X56" i="155"/>
  <c r="S158" i="144"/>
  <c r="AK39" i="155"/>
  <c r="AF158" i="144"/>
  <c r="Y39" i="155"/>
  <c r="T158" i="144"/>
  <c r="K56" i="155"/>
  <c r="K39" i="155"/>
  <c r="F158" i="144"/>
  <c r="P39" i="155"/>
  <c r="K158" i="144"/>
  <c r="T56" i="155"/>
  <c r="T39" i="155"/>
  <c r="O158" i="144"/>
  <c r="H158" i="144"/>
  <c r="N56" i="155"/>
  <c r="N39" i="155"/>
  <c r="I158" i="144"/>
  <c r="J158" i="144"/>
  <c r="R56" i="155"/>
  <c r="R39" i="155"/>
  <c r="M158" i="144"/>
  <c r="S39" i="155"/>
  <c r="N158" i="144"/>
  <c r="Q56" i="155"/>
  <c r="Q39" i="155"/>
  <c r="L158" i="144"/>
  <c r="V39" i="155"/>
  <c r="Q158" i="144"/>
  <c r="W56" i="155"/>
  <c r="W39" i="155"/>
  <c r="R158" i="144"/>
  <c r="U158" i="144"/>
  <c r="AG56" i="155"/>
  <c r="AG39" i="155"/>
  <c r="AB158" i="144"/>
  <c r="Z158" i="144"/>
  <c r="Y177" i="139"/>
  <c r="Y98" i="139"/>
  <c r="AF236" i="139" a="1"/>
  <c r="AF236" i="139" s="1"/>
  <c r="AF98" i="139"/>
  <c r="E247" i="139" a="1"/>
  <c r="E247" i="139" s="1"/>
  <c r="E98" i="139"/>
  <c r="L234" i="139" a="1"/>
  <c r="L234" i="139" s="1"/>
  <c r="L258" i="139" s="1"/>
  <c r="L288" i="139" s="1"/>
  <c r="L307" i="139" s="1"/>
  <c r="L330" i="149" s="1"/>
  <c r="L98" i="139"/>
  <c r="W247" i="139" a="1"/>
  <c r="W247" i="139" s="1"/>
  <c r="W271" i="139" s="1"/>
  <c r="AB34" i="128" s="1"/>
  <c r="W98" i="139"/>
  <c r="O9" i="128"/>
  <c r="J98" i="139"/>
  <c r="AA242" i="139" a="1"/>
  <c r="AA242" i="139" s="1"/>
  <c r="AA266" i="139" s="1"/>
  <c r="AA296" i="139" s="1"/>
  <c r="AA315" i="139" s="1"/>
  <c r="AA338" i="149" s="1"/>
  <c r="AA98" i="139"/>
  <c r="F93" i="139"/>
  <c r="F98" i="139"/>
  <c r="U243" i="139" a="1"/>
  <c r="U243" i="139" s="1"/>
  <c r="U98" i="139"/>
  <c r="AJ9" i="128"/>
  <c r="AE98" i="139"/>
  <c r="AB236" i="139" a="1"/>
  <c r="AB236" i="139" s="1"/>
  <c r="AB260" i="139" s="1"/>
  <c r="AB98" i="139"/>
  <c r="Q177" i="139"/>
  <c r="Q98" i="139"/>
  <c r="V177" i="139"/>
  <c r="V98" i="139"/>
  <c r="T242" i="139" a="1"/>
  <c r="T242" i="139" s="1"/>
  <c r="T98" i="139"/>
  <c r="V238" i="139" a="1"/>
  <c r="V238" i="139" s="1"/>
  <c r="V262" i="139" s="1"/>
  <c r="V292" i="139" s="1"/>
  <c r="V311" i="139" s="1"/>
  <c r="V334" i="149" s="1"/>
  <c r="K176" i="139"/>
  <c r="P42" i="128" s="1"/>
  <c r="K98" i="139"/>
  <c r="M94" i="139"/>
  <c r="M98" i="139"/>
  <c r="T139" i="139"/>
  <c r="T217" i="139" s="1"/>
  <c r="W244" i="139" a="1"/>
  <c r="W244" i="139" s="1"/>
  <c r="AA234" i="139" a="1"/>
  <c r="AA234" i="139" s="1"/>
  <c r="AA258" i="139" s="1"/>
  <c r="AA288" i="139" s="1"/>
  <c r="AA307" i="139" s="1"/>
  <c r="AA330" i="149" s="1"/>
  <c r="AB132" i="139"/>
  <c r="AB149" i="139" s="1"/>
  <c r="AB221" i="139" s="1"/>
  <c r="AB241" i="139" s="1" a="1"/>
  <c r="AB241" i="139" s="1"/>
  <c r="AD122" i="139"/>
  <c r="U236" i="139" a="1"/>
  <c r="U236" i="139" s="1"/>
  <c r="I244" i="139" a="1"/>
  <c r="I244" i="139" s="1"/>
  <c r="P239" i="139" a="1"/>
  <c r="P239" i="139" s="1"/>
  <c r="U177" i="139"/>
  <c r="I94" i="139"/>
  <c r="Z247" i="139" a="1"/>
  <c r="Z247" i="139" s="1"/>
  <c r="AA236" i="139" a="1"/>
  <c r="AA236" i="139" s="1"/>
  <c r="AA260" i="139" s="1"/>
  <c r="AA290" i="139" s="1"/>
  <c r="AA309" i="139" s="1"/>
  <c r="AA332" i="149" s="1"/>
  <c r="W170" i="139"/>
  <c r="AB139" i="139"/>
  <c r="AB217" i="139" s="1"/>
  <c r="U247" i="139" a="1"/>
  <c r="U247" i="139" s="1"/>
  <c r="L132" i="139"/>
  <c r="N76" i="128"/>
  <c r="W177" i="139"/>
  <c r="Q236" i="139" a="1"/>
  <c r="Q236" i="139" s="1"/>
  <c r="Q260" i="139" s="1"/>
  <c r="Q290" i="139" s="1"/>
  <c r="Q309" i="139" s="1"/>
  <c r="Q332" i="149" s="1"/>
  <c r="I122" i="139"/>
  <c r="I123" i="139" s="1"/>
  <c r="I126" i="139" s="1"/>
  <c r="AD238" i="139" a="1"/>
  <c r="AD238" i="139" s="1"/>
  <c r="AD262" i="139" s="1"/>
  <c r="AA211" i="139"/>
  <c r="W168" i="139"/>
  <c r="M331" i="139"/>
  <c r="M340" i="139" s="1"/>
  <c r="M349" i="149" s="1"/>
  <c r="W211" i="139"/>
  <c r="Q238" i="139" a="1"/>
  <c r="Q238" i="139" s="1"/>
  <c r="AB94" i="139"/>
  <c r="W245" i="139" a="1"/>
  <c r="W245" i="139" s="1"/>
  <c r="W269" i="139" s="1"/>
  <c r="W246" i="139" a="1"/>
  <c r="W246" i="139" s="1"/>
  <c r="L238" i="139" a="1"/>
  <c r="L238" i="139" s="1"/>
  <c r="L262" i="139" s="1"/>
  <c r="L292" i="139" s="1"/>
  <c r="L311" i="139" s="1"/>
  <c r="L334" i="149" s="1"/>
  <c r="AD132" i="139"/>
  <c r="AD149" i="139" s="1"/>
  <c r="AD221" i="139" s="1"/>
  <c r="AD241" i="139" s="1" a="1"/>
  <c r="AD241" i="139" s="1"/>
  <c r="AD265" i="139" s="1"/>
  <c r="AD295" i="139" s="1"/>
  <c r="Q242" i="139" a="1"/>
  <c r="Q242" i="139" s="1"/>
  <c r="I144" i="139"/>
  <c r="AF165" i="139"/>
  <c r="X244" i="139" a="1"/>
  <c r="X244" i="139" s="1"/>
  <c r="U238" i="139" a="1"/>
  <c r="U238" i="139" s="1"/>
  <c r="W233" i="139" a="1"/>
  <c r="W233" i="139" s="1"/>
  <c r="AA245" i="139" a="1"/>
  <c r="AA245" i="139" s="1"/>
  <c r="AA269" i="139" s="1"/>
  <c r="AA299" i="139" s="1"/>
  <c r="AA318" i="139" s="1"/>
  <c r="AA341" i="149" s="1"/>
  <c r="K244" i="139" a="1"/>
  <c r="K244" i="139" s="1"/>
  <c r="U165" i="139"/>
  <c r="Z95" i="139"/>
  <c r="G242" i="139" a="1"/>
  <c r="G242" i="139" s="1"/>
  <c r="G266" i="139" s="1"/>
  <c r="G296" i="139" s="1"/>
  <c r="G315" i="139" s="1"/>
  <c r="G338" i="149" s="1"/>
  <c r="R94" i="139"/>
  <c r="T168" i="139"/>
  <c r="AC168" i="139"/>
  <c r="L242" i="139" a="1"/>
  <c r="L242" i="139" s="1"/>
  <c r="L266" i="139" s="1"/>
  <c r="L296" i="139" s="1"/>
  <c r="L315" i="139" s="1"/>
  <c r="L338" i="149" s="1"/>
  <c r="G132" i="139"/>
  <c r="Q234" i="139" a="1"/>
  <c r="Q234" i="139" s="1"/>
  <c r="Q258" i="139" s="1"/>
  <c r="AE234" i="139" a="1"/>
  <c r="AE234" i="139" s="1"/>
  <c r="AE258" i="139" s="1"/>
  <c r="AE288" i="139" s="1"/>
  <c r="AE307" i="139" s="1"/>
  <c r="AE330" i="149" s="1"/>
  <c r="Q168" i="139"/>
  <c r="M330" i="139"/>
  <c r="M339" i="139" s="1"/>
  <c r="M348" i="149" s="1"/>
  <c r="AC246" i="139" a="1"/>
  <c r="AC246" i="139" s="1"/>
  <c r="AC270" i="139" s="1"/>
  <c r="Z144" i="139"/>
  <c r="L139" i="139"/>
  <c r="L217" i="139" s="1"/>
  <c r="K234" i="139" a="1"/>
  <c r="K234" i="139" s="1"/>
  <c r="K258" i="139" s="1"/>
  <c r="K288" i="139" s="1"/>
  <c r="K307" i="139" s="1"/>
  <c r="K330" i="149" s="1"/>
  <c r="V76" i="128"/>
  <c r="Z122" i="139"/>
  <c r="K139" i="139"/>
  <c r="AH76" i="128"/>
  <c r="Z132" i="139"/>
  <c r="Z149" i="139" s="1"/>
  <c r="Z221" i="139" s="1"/>
  <c r="Z241" i="139" s="1" a="1"/>
  <c r="Z241" i="139" s="1"/>
  <c r="Z233" i="139" a="1"/>
  <c r="Z233" i="139" s="1"/>
  <c r="K235" i="139" a="1"/>
  <c r="K235" i="139" s="1"/>
  <c r="K259" i="139" s="1"/>
  <c r="K289" i="139" s="1"/>
  <c r="K308" i="139" s="1"/>
  <c r="K331" i="149" s="1"/>
  <c r="Q245" i="139" a="1"/>
  <c r="Q245" i="139" s="1"/>
  <c r="Q269" i="139" s="1"/>
  <c r="Q299" i="139" s="1"/>
  <c r="Q318" i="139" s="1"/>
  <c r="Q341" i="149" s="1"/>
  <c r="AE235" i="139" a="1"/>
  <c r="AE235" i="139" s="1"/>
  <c r="AE259" i="139" s="1"/>
  <c r="AE289" i="139" s="1"/>
  <c r="AE308" i="139" s="1"/>
  <c r="AE331" i="149" s="1"/>
  <c r="G236" i="139" a="1"/>
  <c r="G236" i="139" s="1"/>
  <c r="G260" i="139" s="1"/>
  <c r="K95" i="139"/>
  <c r="J95" i="139"/>
  <c r="L94" i="139"/>
  <c r="M72" i="139"/>
  <c r="M329" i="139"/>
  <c r="M338" i="139" s="1"/>
  <c r="M347" i="149" s="1"/>
  <c r="J239" i="139" a="1"/>
  <c r="J239" i="139" s="1"/>
  <c r="K245" i="139" a="1"/>
  <c r="K245" i="139" s="1"/>
  <c r="K269" i="139" s="1"/>
  <c r="K299" i="139" s="1"/>
  <c r="K318" i="139" s="1"/>
  <c r="K341" i="149" s="1"/>
  <c r="G233" i="139" a="1"/>
  <c r="G233" i="139" s="1"/>
  <c r="G257" i="139" s="1"/>
  <c r="G287" i="139" s="1"/>
  <c r="G306" i="139" s="1"/>
  <c r="G329" i="149" s="1"/>
  <c r="AE168" i="139"/>
  <c r="G168" i="139"/>
  <c r="AC233" i="139" a="1"/>
  <c r="AC233" i="139" s="1"/>
  <c r="AC257" i="139" s="1"/>
  <c r="AC287" i="139" s="1"/>
  <c r="AC306" i="139" s="1"/>
  <c r="AC329" i="149" s="1"/>
  <c r="AE238" i="139" a="1"/>
  <c r="AE238" i="139" s="1"/>
  <c r="K122" i="139"/>
  <c r="K123" i="139" s="1"/>
  <c r="K126" i="139" s="1"/>
  <c r="L243" i="139" a="1"/>
  <c r="L243" i="139" s="1"/>
  <c r="L267" i="139" s="1"/>
  <c r="L297" i="139" s="1"/>
  <c r="L316" i="139" s="1"/>
  <c r="L339" i="149" s="1"/>
  <c r="AB239" i="139" a="1"/>
  <c r="AB239" i="139" s="1"/>
  <c r="K247" i="139" a="1"/>
  <c r="K247" i="139" s="1"/>
  <c r="Q243" i="139" a="1"/>
  <c r="Q243" i="139" s="1"/>
  <c r="G177" i="139"/>
  <c r="G180" i="139" s="1"/>
  <c r="G205" i="139" s="1"/>
  <c r="AE245" i="139" a="1"/>
  <c r="AE245" i="139" s="1"/>
  <c r="AE269" i="139" s="1"/>
  <c r="AE299" i="139" s="1"/>
  <c r="AE318" i="139" s="1"/>
  <c r="AE341" i="149" s="1"/>
  <c r="X234" i="139" a="1"/>
  <c r="X234" i="139" s="1"/>
  <c r="X258" i="139" s="1"/>
  <c r="X288" i="139" s="1"/>
  <c r="X307" i="139" s="1"/>
  <c r="X330" i="149" s="1"/>
  <c r="G246" i="139" a="1"/>
  <c r="G246" i="139" s="1"/>
  <c r="G270" i="139" s="1"/>
  <c r="Q132" i="139"/>
  <c r="J94" i="139"/>
  <c r="G95" i="139"/>
  <c r="M95" i="139"/>
  <c r="Q176" i="139"/>
  <c r="V42" i="128" s="1"/>
  <c r="K326" i="139"/>
  <c r="K335" i="139" s="1"/>
  <c r="K344" i="149" s="1"/>
  <c r="Q170" i="139"/>
  <c r="AE239" i="139" a="1"/>
  <c r="AE239" i="139" s="1"/>
  <c r="G122" i="139"/>
  <c r="L245" i="139" a="1"/>
  <c r="L245" i="139" s="1"/>
  <c r="L269" i="139" s="1"/>
  <c r="K243" i="139" a="1"/>
  <c r="K243" i="139" s="1"/>
  <c r="Q246" i="139" a="1"/>
  <c r="Q246" i="139" s="1"/>
  <c r="Q270" i="139" s="1"/>
  <c r="G211" i="139"/>
  <c r="AJ76" i="128"/>
  <c r="V9" i="128"/>
  <c r="AF247" i="139" a="1"/>
  <c r="AF247" i="139" s="1"/>
  <c r="AF271" i="139" s="1"/>
  <c r="AK34" i="128" s="1"/>
  <c r="AF239" i="139" a="1"/>
  <c r="AF239" i="139" s="1"/>
  <c r="AF144" i="139"/>
  <c r="AF122" i="139"/>
  <c r="AF123" i="139" s="1"/>
  <c r="AF126" i="139" s="1"/>
  <c r="AF246" i="139" a="1"/>
  <c r="AF246" i="139" s="1"/>
  <c r="AF270" i="139" s="1"/>
  <c r="AF235" i="139" a="1"/>
  <c r="AF235" i="139" s="1"/>
  <c r="N139" i="139"/>
  <c r="N217" i="139" s="1"/>
  <c r="V95" i="139"/>
  <c r="V247" i="139" a="1"/>
  <c r="V247" i="139" s="1"/>
  <c r="V271" i="139" s="1"/>
  <c r="AA34" i="128" s="1"/>
  <c r="V234" i="139" a="1"/>
  <c r="V234" i="139" s="1"/>
  <c r="V258" i="139" s="1"/>
  <c r="V288" i="139" s="1"/>
  <c r="V307" i="139" s="1"/>
  <c r="V330" i="149" s="1"/>
  <c r="V144" i="139"/>
  <c r="V94" i="139"/>
  <c r="V243" i="139" a="1"/>
  <c r="V243" i="139" s="1"/>
  <c r="V233" i="139" a="1"/>
  <c r="V233" i="139" s="1"/>
  <c r="V139" i="139"/>
  <c r="V140" i="139" s="1"/>
  <c r="V141" i="139" s="1"/>
  <c r="AF242" i="139" a="1"/>
  <c r="AF242" i="139" s="1"/>
  <c r="V170" i="139"/>
  <c r="O176" i="139"/>
  <c r="T42" i="128" s="1"/>
  <c r="O168" i="139"/>
  <c r="O242" i="139" a="1"/>
  <c r="O242" i="139" s="1"/>
  <c r="O266" i="139" s="1"/>
  <c r="O296" i="139" s="1"/>
  <c r="O315" i="139" s="1"/>
  <c r="O338" i="149" s="1"/>
  <c r="O236" i="139" a="1"/>
  <c r="O236" i="139" s="1"/>
  <c r="O260" i="139" s="1"/>
  <c r="O244" i="139" a="1"/>
  <c r="O244" i="139" s="1"/>
  <c r="O171" i="139"/>
  <c r="O180" i="139" s="1"/>
  <c r="O205" i="139" s="1"/>
  <c r="O139" i="139"/>
  <c r="O217" i="139" s="1"/>
  <c r="X132" i="139"/>
  <c r="X156" i="139" s="1"/>
  <c r="X144" i="139"/>
  <c r="X122" i="139"/>
  <c r="AC76" i="128"/>
  <c r="O132" i="139"/>
  <c r="O133" i="139" s="1"/>
  <c r="O134" i="139" s="1"/>
  <c r="AF139" i="139"/>
  <c r="AF217" i="139" s="1"/>
  <c r="P95" i="139"/>
  <c r="P132" i="139"/>
  <c r="P156" i="139" s="1"/>
  <c r="Y132" i="139"/>
  <c r="Y133" i="139" s="1"/>
  <c r="Y134" i="139" s="1"/>
  <c r="Y122" i="139"/>
  <c r="Y151" i="139" s="1"/>
  <c r="Y95" i="139"/>
  <c r="V122" i="139"/>
  <c r="V123" i="139" s="1"/>
  <c r="V126" i="139" s="1"/>
  <c r="P139" i="139"/>
  <c r="U233" i="139" a="1"/>
  <c r="U233" i="139" s="1"/>
  <c r="AF171" i="139"/>
  <c r="P122" i="139"/>
  <c r="O234" i="139" a="1"/>
  <c r="O234" i="139" s="1"/>
  <c r="O258" i="139" s="1"/>
  <c r="O288" i="139" s="1"/>
  <c r="O307" i="139" s="1"/>
  <c r="O330" i="149" s="1"/>
  <c r="U76" i="128"/>
  <c r="V245" i="139" a="1"/>
  <c r="V245" i="139" s="1"/>
  <c r="V269" i="139" s="1"/>
  <c r="V299" i="139" s="1"/>
  <c r="V318" i="139" s="1"/>
  <c r="V341" i="149" s="1"/>
  <c r="V168" i="139"/>
  <c r="AA9" i="128"/>
  <c r="R95" i="139"/>
  <c r="O94" i="139"/>
  <c r="H246" i="139" a="1"/>
  <c r="H246" i="139" s="1"/>
  <c r="H270" i="139" s="1"/>
  <c r="H236" i="139" a="1"/>
  <c r="H236" i="139" s="1"/>
  <c r="H260" i="139" s="1"/>
  <c r="H290" i="139" s="1"/>
  <c r="H309" i="139" s="1"/>
  <c r="H332" i="149" s="1"/>
  <c r="G247" i="139" a="1"/>
  <c r="G247" i="139" s="1"/>
  <c r="G271" i="139" s="1"/>
  <c r="L34" i="128" s="1"/>
  <c r="G235" i="139" a="1"/>
  <c r="G235" i="139" s="1"/>
  <c r="G259" i="139" s="1"/>
  <c r="G289" i="139" s="1"/>
  <c r="G308" i="139" s="1"/>
  <c r="G331" i="149" s="1"/>
  <c r="G94" i="139"/>
  <c r="G243" i="139" a="1"/>
  <c r="G243" i="139" s="1"/>
  <c r="G245" i="139" a="1"/>
  <c r="G245" i="139" s="1"/>
  <c r="G269" i="139" s="1"/>
  <c r="G244" i="139" a="1"/>
  <c r="G244" i="139" s="1"/>
  <c r="G239" i="139" a="1"/>
  <c r="G239" i="139" s="1"/>
  <c r="G263" i="139" s="1"/>
  <c r="G293" i="139" s="1"/>
  <c r="G312" i="139" s="1"/>
  <c r="G335" i="149" s="1"/>
  <c r="AE247" i="139" a="1"/>
  <c r="AE247" i="139" s="1"/>
  <c r="AE271" i="139" s="1"/>
  <c r="AJ34" i="128" s="1"/>
  <c r="AE244" i="139" a="1"/>
  <c r="AE244" i="139" s="1"/>
  <c r="AE122" i="139"/>
  <c r="AE95" i="139"/>
  <c r="AE246" i="139" a="1"/>
  <c r="AE246" i="139" s="1"/>
  <c r="AE270" i="139" s="1"/>
  <c r="AE233" i="139" a="1"/>
  <c r="AE233" i="139" s="1"/>
  <c r="AC132" i="139"/>
  <c r="AC149" i="139" s="1"/>
  <c r="AC221" i="139" s="1"/>
  <c r="AC241" i="139" s="1" a="1"/>
  <c r="AC241" i="139" s="1"/>
  <c r="AC243" i="139" a="1"/>
  <c r="AC243" i="139" s="1"/>
  <c r="AC267" i="139" s="1"/>
  <c r="AC297" i="139" s="1"/>
  <c r="AC316" i="139" s="1"/>
  <c r="AC339" i="149" s="1"/>
  <c r="AC238" i="139" a="1"/>
  <c r="AC238" i="139" s="1"/>
  <c r="AC262" i="139" s="1"/>
  <c r="AC292" i="139" s="1"/>
  <c r="AC311" i="139" s="1"/>
  <c r="AC334" i="149" s="1"/>
  <c r="AC234" i="139" a="1"/>
  <c r="AC234" i="139" s="1"/>
  <c r="AC258" i="139" s="1"/>
  <c r="AC288" i="139" s="1"/>
  <c r="AC307" i="139" s="1"/>
  <c r="AC330" i="149" s="1"/>
  <c r="AC94" i="139"/>
  <c r="AC242" i="139" a="1"/>
  <c r="AC242" i="139" s="1"/>
  <c r="AC266" i="139" s="1"/>
  <c r="AC296" i="139" s="1"/>
  <c r="AC315" i="139" s="1"/>
  <c r="AC338" i="149" s="1"/>
  <c r="O235" i="139" a="1"/>
  <c r="O235" i="139" s="1"/>
  <c r="O259" i="139" s="1"/>
  <c r="O289" i="139" s="1"/>
  <c r="O308" i="139" s="1"/>
  <c r="O331" i="149" s="1"/>
  <c r="L76" i="128"/>
  <c r="S94" i="139"/>
  <c r="O95" i="139"/>
  <c r="AF95" i="139"/>
  <c r="U211" i="139"/>
  <c r="Z9" i="128"/>
  <c r="U168" i="139"/>
  <c r="R181" i="139"/>
  <c r="R165" i="139"/>
  <c r="Q247" i="139" a="1"/>
  <c r="Q247" i="139" s="1"/>
  <c r="Q271" i="139" s="1"/>
  <c r="V34" i="128" s="1"/>
  <c r="Q235" i="139" a="1"/>
  <c r="Q235" i="139" s="1"/>
  <c r="Q144" i="139"/>
  <c r="Q94" i="139"/>
  <c r="Q244" i="139" a="1"/>
  <c r="Q244" i="139" s="1"/>
  <c r="Q233" i="139" a="1"/>
  <c r="Q233" i="139" s="1"/>
  <c r="K327" i="139"/>
  <c r="K336" i="139" s="1"/>
  <c r="K345" i="149" s="1"/>
  <c r="P9" i="128"/>
  <c r="K171" i="139"/>
  <c r="K180" i="139" s="1"/>
  <c r="K205" i="139" s="1"/>
  <c r="K330" i="139"/>
  <c r="K339" i="139" s="1"/>
  <c r="K348" i="149" s="1"/>
  <c r="K72" i="139"/>
  <c r="K93" i="139"/>
  <c r="K329" i="139"/>
  <c r="K338" i="139" s="1"/>
  <c r="K347" i="149" s="1"/>
  <c r="P76" i="128"/>
  <c r="K238" i="139" a="1"/>
  <c r="K238" i="139" s="1"/>
  <c r="K262" i="139" s="1"/>
  <c r="K292" i="139" s="1"/>
  <c r="K311" i="139" s="1"/>
  <c r="K334" i="149" s="1"/>
  <c r="Z94" i="139"/>
  <c r="AE76" i="128"/>
  <c r="L247" i="139" a="1"/>
  <c r="L247" i="139" s="1"/>
  <c r="L244" i="139" a="1"/>
  <c r="L244" i="139" s="1"/>
  <c r="L268" i="139" s="1"/>
  <c r="L298" i="139" s="1"/>
  <c r="L317" i="139" s="1"/>
  <c r="L340" i="149" s="1"/>
  <c r="L246" i="139" a="1"/>
  <c r="L246" i="139" s="1"/>
  <c r="L270" i="139" s="1"/>
  <c r="L233" i="139" a="1"/>
  <c r="L233" i="139" s="1"/>
  <c r="L257" i="139" s="1"/>
  <c r="L287" i="139" s="1"/>
  <c r="L306" i="139" s="1"/>
  <c r="L329" i="149" s="1"/>
  <c r="X139" i="139"/>
  <c r="AA243" i="139" a="1"/>
  <c r="AA243" i="139" s="1"/>
  <c r="R132" i="139"/>
  <c r="L239" i="139" a="1"/>
  <c r="L239" i="139" s="1"/>
  <c r="L263" i="139" s="1"/>
  <c r="L293" i="139" s="1"/>
  <c r="L312" i="139" s="1"/>
  <c r="L335" i="149" s="1"/>
  <c r="AE132" i="139"/>
  <c r="AE133" i="139" s="1"/>
  <c r="AE134" i="139" s="1"/>
  <c r="AC244" i="139" a="1"/>
  <c r="AC244" i="139" s="1"/>
  <c r="AC268" i="139" s="1"/>
  <c r="AC298" i="139" s="1"/>
  <c r="AC317" i="139" s="1"/>
  <c r="AC340" i="149" s="1"/>
  <c r="U244" i="139" a="1"/>
  <c r="U244" i="139" s="1"/>
  <c r="W76" i="128"/>
  <c r="AF170" i="139"/>
  <c r="AF245" i="139" a="1"/>
  <c r="AF245" i="139" s="1"/>
  <c r="AF269" i="139" s="1"/>
  <c r="AF299" i="139" s="1"/>
  <c r="AF318" i="139" s="1"/>
  <c r="AF341" i="149" s="1"/>
  <c r="K246" i="139" a="1"/>
  <c r="K246" i="139" s="1"/>
  <c r="K270" i="139" s="1"/>
  <c r="S233" i="139" a="1"/>
  <c r="S233" i="139" s="1"/>
  <c r="O239" i="139" a="1"/>
  <c r="O239" i="139" s="1"/>
  <c r="Q171" i="139"/>
  <c r="AE170" i="139"/>
  <c r="Y235" i="139" a="1"/>
  <c r="Y235" i="139" s="1"/>
  <c r="V239" i="139" a="1"/>
  <c r="V239" i="139" s="1"/>
  <c r="V242" i="139" a="1"/>
  <c r="V242" i="139" s="1"/>
  <c r="V266" i="139" s="1"/>
  <c r="V296" i="139" s="1"/>
  <c r="V315" i="139" s="1"/>
  <c r="V338" i="149" s="1"/>
  <c r="K168" i="139"/>
  <c r="Q9" i="128"/>
  <c r="K94" i="139"/>
  <c r="AF94" i="139"/>
  <c r="X94" i="139"/>
  <c r="L95" i="139"/>
  <c r="Q72" i="139"/>
  <c r="AF177" i="139"/>
  <c r="AK9" i="128"/>
  <c r="AF211" i="139"/>
  <c r="AE181" i="139"/>
  <c r="AE165" i="139"/>
  <c r="Q93" i="139"/>
  <c r="N94" i="139"/>
  <c r="N122" i="139"/>
  <c r="O144" i="139"/>
  <c r="AF244" i="139" a="1"/>
  <c r="AF244" i="139" s="1"/>
  <c r="O246" i="139" a="1"/>
  <c r="O246" i="139" s="1"/>
  <c r="O270" i="139" s="1"/>
  <c r="AH81" i="139"/>
  <c r="V244" i="139" a="1"/>
  <c r="V244" i="139" s="1"/>
  <c r="AF132" i="139"/>
  <c r="AF133" i="139" s="1"/>
  <c r="AF134" i="139" s="1"/>
  <c r="AF168" i="139"/>
  <c r="N144" i="139"/>
  <c r="O233" i="139" a="1"/>
  <c r="O233" i="139" s="1"/>
  <c r="O257" i="139" s="1"/>
  <c r="O287" i="139" s="1"/>
  <c r="O306" i="139" s="1"/>
  <c r="O329" i="149" s="1"/>
  <c r="U132" i="139"/>
  <c r="U156" i="139" s="1"/>
  <c r="U171" i="139"/>
  <c r="U173" i="139"/>
  <c r="U176" i="139"/>
  <c r="Z42" i="128" s="1"/>
  <c r="U95" i="139"/>
  <c r="U72" i="139"/>
  <c r="U122" i="139"/>
  <c r="U144" i="139"/>
  <c r="U239" i="139" a="1"/>
  <c r="U239" i="139" s="1"/>
  <c r="U170" i="139"/>
  <c r="S139" i="139"/>
  <c r="S217" i="139" s="1"/>
  <c r="S122" i="139"/>
  <c r="S123" i="139" s="1"/>
  <c r="S126" i="139" s="1"/>
  <c r="S144" i="139"/>
  <c r="S95" i="139"/>
  <c r="R139" i="139"/>
  <c r="R140" i="139" s="1"/>
  <c r="R141" i="139" s="1"/>
  <c r="AC235" i="139" a="1"/>
  <c r="AC235" i="139" s="1"/>
  <c r="AC259" i="139" s="1"/>
  <c r="AC289" i="139" s="1"/>
  <c r="AC308" i="139" s="1"/>
  <c r="AC331" i="149" s="1"/>
  <c r="N239" i="139" a="1"/>
  <c r="N239" i="139" s="1"/>
  <c r="P144" i="139"/>
  <c r="Y139" i="139"/>
  <c r="Y217" i="139" s="1"/>
  <c r="U234" i="139" a="1"/>
  <c r="U234" i="139" s="1"/>
  <c r="U258" i="139" s="1"/>
  <c r="U288" i="139" s="1"/>
  <c r="U307" i="139" s="1"/>
  <c r="U330" i="149" s="1"/>
  <c r="V132" i="139"/>
  <c r="V156" i="139" s="1"/>
  <c r="AF233" i="139" a="1"/>
  <c r="AF233" i="139" s="1"/>
  <c r="AF243" i="139" a="1"/>
  <c r="AF243" i="139" s="1"/>
  <c r="R122" i="139"/>
  <c r="R123" i="139" s="1"/>
  <c r="R126" i="139" s="1"/>
  <c r="AE171" i="139"/>
  <c r="U139" i="139"/>
  <c r="U217" i="139" s="1"/>
  <c r="V235" i="139" a="1"/>
  <c r="V235" i="139" s="1"/>
  <c r="V259" i="139" s="1"/>
  <c r="V289" i="139" s="1"/>
  <c r="V308" i="139" s="1"/>
  <c r="V331" i="149" s="1"/>
  <c r="V246" i="139" a="1"/>
  <c r="V246" i="139" s="1"/>
  <c r="V270" i="139" s="1"/>
  <c r="AC177" i="139"/>
  <c r="AC180" i="139" s="1"/>
  <c r="AC205" i="139" s="1"/>
  <c r="R144" i="139"/>
  <c r="AE139" i="139"/>
  <c r="AE140" i="139" s="1"/>
  <c r="AE141" i="139" s="1"/>
  <c r="AC245" i="139" a="1"/>
  <c r="AC245" i="139" s="1"/>
  <c r="AC269" i="139" s="1"/>
  <c r="AC299" i="139" s="1"/>
  <c r="AC318" i="139" s="1"/>
  <c r="AC341" i="149" s="1"/>
  <c r="N242" i="139" a="1"/>
  <c r="N242" i="139" s="1"/>
  <c r="G139" i="139"/>
  <c r="G217" i="139" s="1"/>
  <c r="U245" i="139" a="1"/>
  <c r="U245" i="139" s="1"/>
  <c r="U269" i="139" s="1"/>
  <c r="U299" i="139" s="1"/>
  <c r="U318" i="139" s="1"/>
  <c r="U341" i="149" s="1"/>
  <c r="U235" i="139" a="1"/>
  <c r="U235" i="139" s="1"/>
  <c r="AF234" i="139" a="1"/>
  <c r="AF234" i="139" s="1"/>
  <c r="AF258" i="139" s="1"/>
  <c r="AK76" i="128"/>
  <c r="X76" i="128"/>
  <c r="O243" i="139" a="1"/>
  <c r="O243" i="139" s="1"/>
  <c r="AC122" i="139"/>
  <c r="AC123" i="139" s="1"/>
  <c r="AC126" i="139" s="1"/>
  <c r="AE242" i="139" a="1"/>
  <c r="AE242" i="139" s="1"/>
  <c r="Y243" i="139" a="1"/>
  <c r="Y243" i="139" s="1"/>
  <c r="V236" i="139" a="1"/>
  <c r="V236" i="139" s="1"/>
  <c r="G238" i="139" a="1"/>
  <c r="G238" i="139" s="1"/>
  <c r="G262" i="139" s="1"/>
  <c r="G292" i="139" s="1"/>
  <c r="G311" i="139" s="1"/>
  <c r="G334" i="149" s="1"/>
  <c r="Y94" i="139"/>
  <c r="N95" i="139"/>
  <c r="U93" i="139"/>
  <c r="V176" i="139"/>
  <c r="AA42" i="128" s="1"/>
  <c r="N165" i="139"/>
  <c r="N181" i="139"/>
  <c r="AE93" i="139"/>
  <c r="X181" i="139"/>
  <c r="X165" i="139"/>
  <c r="V93" i="139"/>
  <c r="K144" i="139"/>
  <c r="AE211" i="139"/>
  <c r="L236" i="139" a="1"/>
  <c r="L236" i="139" s="1"/>
  <c r="L260" i="139" s="1"/>
  <c r="L290" i="139" s="1"/>
  <c r="L309" i="139" s="1"/>
  <c r="L332" i="149" s="1"/>
  <c r="Q76" i="128"/>
  <c r="AE144" i="139"/>
  <c r="AC247" i="139" a="1"/>
  <c r="AC247" i="139" s="1"/>
  <c r="AC271" i="139" s="1"/>
  <c r="AH34" i="128" s="1"/>
  <c r="G144" i="139"/>
  <c r="U169" i="139"/>
  <c r="AH169" i="139" s="1"/>
  <c r="U242" i="139" a="1"/>
  <c r="U242" i="139" s="1"/>
  <c r="O122" i="139"/>
  <c r="AF238" i="139" a="1"/>
  <c r="AF238" i="139" s="1"/>
  <c r="K236" i="139" a="1"/>
  <c r="K236" i="139" s="1"/>
  <c r="K260" i="139" s="1"/>
  <c r="K290" i="139" s="1"/>
  <c r="K309" i="139" s="1"/>
  <c r="K332" i="149" s="1"/>
  <c r="K242" i="139" a="1"/>
  <c r="K242" i="139" s="1"/>
  <c r="K266" i="139" s="1"/>
  <c r="K296" i="139" s="1"/>
  <c r="K315" i="139" s="1"/>
  <c r="K338" i="149" s="1"/>
  <c r="O238" i="139" a="1"/>
  <c r="O238" i="139" s="1"/>
  <c r="O262" i="139" s="1"/>
  <c r="O292" i="139" s="1"/>
  <c r="O311" i="139" s="1"/>
  <c r="O334" i="149" s="1"/>
  <c r="O245" i="139" a="1"/>
  <c r="O245" i="139" s="1"/>
  <c r="O269" i="139" s="1"/>
  <c r="O299" i="139" s="1"/>
  <c r="O318" i="139" s="1"/>
  <c r="O341" i="149" s="1"/>
  <c r="Q239" i="139" a="1"/>
  <c r="Q239" i="139" s="1"/>
  <c r="AE236" i="139" a="1"/>
  <c r="AE236" i="139" s="1"/>
  <c r="AE260" i="139" s="1"/>
  <c r="AE290" i="139" s="1"/>
  <c r="AE309" i="139" s="1"/>
  <c r="AE332" i="149" s="1"/>
  <c r="AE243" i="139" a="1"/>
  <c r="AE243" i="139" s="1"/>
  <c r="AD76" i="128"/>
  <c r="AA76" i="128"/>
  <c r="X239" i="139" a="1"/>
  <c r="X239" i="139" s="1"/>
  <c r="G234" i="139" a="1"/>
  <c r="G234" i="139" s="1"/>
  <c r="G258" i="139" s="1"/>
  <c r="G288" i="139" s="1"/>
  <c r="G307" i="139" s="1"/>
  <c r="G330" i="149" s="1"/>
  <c r="Q122" i="139"/>
  <c r="Q123" i="139" s="1"/>
  <c r="Q126" i="139" s="1"/>
  <c r="Q139" i="139"/>
  <c r="Q217" i="139" s="1"/>
  <c r="Q237" i="139" s="1" a="1"/>
  <c r="Q237" i="139" s="1"/>
  <c r="X95" i="139"/>
  <c r="AC95" i="139"/>
  <c r="V72" i="139"/>
  <c r="L211" i="139"/>
  <c r="L168" i="139"/>
  <c r="L177" i="139"/>
  <c r="L180" i="139" s="1"/>
  <c r="L205" i="139" s="1"/>
  <c r="W93" i="139"/>
  <c r="W171" i="139"/>
  <c r="W235" i="139" a="1"/>
  <c r="W235" i="139" s="1"/>
  <c r="W259" i="139" s="1"/>
  <c r="W236" i="139" a="1"/>
  <c r="W236" i="139" s="1"/>
  <c r="W260" i="139" s="1"/>
  <c r="K331" i="139"/>
  <c r="K340" i="139" s="1"/>
  <c r="K349" i="149" s="1"/>
  <c r="T122" i="139"/>
  <c r="T123" i="139" s="1"/>
  <c r="T126" i="139" s="1"/>
  <c r="O72" i="139"/>
  <c r="T144" i="139"/>
  <c r="F211" i="139"/>
  <c r="Z165" i="139"/>
  <c r="O93" i="139"/>
  <c r="T9" i="128"/>
  <c r="Y72" i="139"/>
  <c r="Y326" i="139"/>
  <c r="Y335" i="139" s="1"/>
  <c r="Y344" i="149" s="1"/>
  <c r="Y327" i="139"/>
  <c r="Y336" i="139" s="1"/>
  <c r="Y345" i="149" s="1"/>
  <c r="Y329" i="139"/>
  <c r="Y338" i="139" s="1"/>
  <c r="Y347" i="149" s="1"/>
  <c r="Y330" i="139"/>
  <c r="Y339" i="139" s="1"/>
  <c r="Y348" i="149" s="1"/>
  <c r="H72" i="139"/>
  <c r="H326" i="139"/>
  <c r="H335" i="139" s="1"/>
  <c r="H344" i="149" s="1"/>
  <c r="H327" i="139"/>
  <c r="H336" i="139" s="1"/>
  <c r="H345" i="149" s="1"/>
  <c r="H329" i="139"/>
  <c r="H338" i="139" s="1"/>
  <c r="H347" i="149" s="1"/>
  <c r="H330" i="139"/>
  <c r="H339" i="139" s="1"/>
  <c r="H348" i="149" s="1"/>
  <c r="H331" i="139"/>
  <c r="H340" i="139" s="1"/>
  <c r="H349" i="149" s="1"/>
  <c r="AF72" i="139"/>
  <c r="AF326" i="139"/>
  <c r="AF335" i="139" s="1"/>
  <c r="AF344" i="149" s="1"/>
  <c r="AF329" i="139"/>
  <c r="AF338" i="139" s="1"/>
  <c r="AF347" i="149" s="1"/>
  <c r="AF330" i="139"/>
  <c r="AF339" i="139" s="1"/>
  <c r="AF348" i="149" s="1"/>
  <c r="AF331" i="139"/>
  <c r="AF340" i="139" s="1"/>
  <c r="AF349" i="149" s="1"/>
  <c r="E326" i="139"/>
  <c r="E335" i="139" s="1"/>
  <c r="E344" i="149" s="1"/>
  <c r="E331" i="139"/>
  <c r="E340" i="139" s="1"/>
  <c r="E349" i="149" s="1"/>
  <c r="E327" i="139"/>
  <c r="E336" i="139" s="1"/>
  <c r="E345" i="149" s="1"/>
  <c r="E329" i="139"/>
  <c r="E338" i="139" s="1"/>
  <c r="E347" i="149" s="1"/>
  <c r="E330" i="139"/>
  <c r="E339" i="139" s="1"/>
  <c r="E348" i="149" s="1"/>
  <c r="E328" i="139"/>
  <c r="E337" i="139" s="1"/>
  <c r="E346" i="149" s="1"/>
  <c r="I326" i="139"/>
  <c r="I335" i="139" s="1"/>
  <c r="I344" i="149" s="1"/>
  <c r="I329" i="139"/>
  <c r="I338" i="139" s="1"/>
  <c r="I347" i="149" s="1"/>
  <c r="I330" i="139"/>
  <c r="I339" i="139" s="1"/>
  <c r="I348" i="149" s="1"/>
  <c r="I331" i="139"/>
  <c r="I340" i="139" s="1"/>
  <c r="I349" i="149" s="1"/>
  <c r="G72" i="139"/>
  <c r="G326" i="139"/>
  <c r="G335" i="139" s="1"/>
  <c r="G344" i="149" s="1"/>
  <c r="G327" i="139"/>
  <c r="G336" i="139" s="1"/>
  <c r="G345" i="149" s="1"/>
  <c r="G328" i="139"/>
  <c r="G337" i="139" s="1"/>
  <c r="G346" i="149" s="1"/>
  <c r="G329" i="139"/>
  <c r="G338" i="139" s="1"/>
  <c r="G347" i="149" s="1"/>
  <c r="G330" i="139"/>
  <c r="G339" i="139" s="1"/>
  <c r="G348" i="149" s="1"/>
  <c r="G331" i="139"/>
  <c r="G340" i="139" s="1"/>
  <c r="G349" i="149" s="1"/>
  <c r="L72" i="139"/>
  <c r="L326" i="139"/>
  <c r="L335" i="139" s="1"/>
  <c r="L344" i="149" s="1"/>
  <c r="L327" i="139"/>
  <c r="L336" i="139" s="1"/>
  <c r="L345" i="149" s="1"/>
  <c r="L328" i="139"/>
  <c r="L337" i="139" s="1"/>
  <c r="L346" i="149" s="1"/>
  <c r="L329" i="139"/>
  <c r="L338" i="139" s="1"/>
  <c r="L347" i="149" s="1"/>
  <c r="L330" i="139"/>
  <c r="L339" i="139" s="1"/>
  <c r="L348" i="149" s="1"/>
  <c r="L331" i="139"/>
  <c r="L340" i="139" s="1"/>
  <c r="L349" i="149" s="1"/>
  <c r="W72" i="139"/>
  <c r="W326" i="139"/>
  <c r="W335" i="139" s="1"/>
  <c r="W344" i="149" s="1"/>
  <c r="W331" i="139"/>
  <c r="W340" i="139" s="1"/>
  <c r="W349" i="149" s="1"/>
  <c r="W330" i="139"/>
  <c r="W339" i="139" s="1"/>
  <c r="W348" i="149" s="1"/>
  <c r="W329" i="139"/>
  <c r="W338" i="139" s="1"/>
  <c r="W347" i="149" s="1"/>
  <c r="J326" i="139"/>
  <c r="J335" i="139" s="1"/>
  <c r="J344" i="149" s="1"/>
  <c r="J327" i="139"/>
  <c r="J336" i="139" s="1"/>
  <c r="J345" i="149" s="1"/>
  <c r="J329" i="139"/>
  <c r="J338" i="139" s="1"/>
  <c r="J347" i="149" s="1"/>
  <c r="J331" i="139"/>
  <c r="J340" i="139" s="1"/>
  <c r="J349" i="149" s="1"/>
  <c r="AA93" i="139"/>
  <c r="AA96" i="139" s="1"/>
  <c r="F31" i="150" s="1"/>
  <c r="AA326" i="139"/>
  <c r="AA335" i="139" s="1"/>
  <c r="AA344" i="149" s="1"/>
  <c r="AA327" i="139"/>
  <c r="AA336" i="139" s="1"/>
  <c r="AA345" i="149" s="1"/>
  <c r="AA329" i="139"/>
  <c r="AA338" i="139" s="1"/>
  <c r="AA347" i="149" s="1"/>
  <c r="AA330" i="139"/>
  <c r="AA339" i="139" s="1"/>
  <c r="AA348" i="149" s="1"/>
  <c r="AA331" i="139"/>
  <c r="AA340" i="139" s="1"/>
  <c r="AA349" i="149" s="1"/>
  <c r="F243" i="139" a="1"/>
  <c r="F243" i="139" s="1"/>
  <c r="F267" i="139" s="1"/>
  <c r="F297" i="139" s="1"/>
  <c r="F316" i="139" s="1"/>
  <c r="F339" i="149" s="1"/>
  <c r="F326" i="139"/>
  <c r="F335" i="139" s="1"/>
  <c r="F344" i="149" s="1"/>
  <c r="F329" i="139"/>
  <c r="F338" i="139" s="1"/>
  <c r="F347" i="149" s="1"/>
  <c r="F330" i="139"/>
  <c r="F339" i="139" s="1"/>
  <c r="F348" i="149" s="1"/>
  <c r="F331" i="139"/>
  <c r="F340" i="139" s="1"/>
  <c r="F349" i="149" s="1"/>
  <c r="F170" i="139"/>
  <c r="U329" i="139"/>
  <c r="U338" i="139" s="1"/>
  <c r="U347" i="149" s="1"/>
  <c r="U331" i="139"/>
  <c r="U340" i="139" s="1"/>
  <c r="U349" i="149" s="1"/>
  <c r="AE72" i="139"/>
  <c r="AE326" i="139"/>
  <c r="AE335" i="139" s="1"/>
  <c r="AE344" i="149" s="1"/>
  <c r="AE329" i="139"/>
  <c r="AE338" i="139" s="1"/>
  <c r="AE347" i="149" s="1"/>
  <c r="AE330" i="139"/>
  <c r="AE339" i="139" s="1"/>
  <c r="AE348" i="149" s="1"/>
  <c r="AE331" i="139"/>
  <c r="AE340" i="139" s="1"/>
  <c r="AE349" i="149" s="1"/>
  <c r="R93" i="139"/>
  <c r="R326" i="139"/>
  <c r="R335" i="139" s="1"/>
  <c r="R344" i="149" s="1"/>
  <c r="R329" i="139"/>
  <c r="R338" i="139" s="1"/>
  <c r="R347" i="149" s="1"/>
  <c r="R330" i="139"/>
  <c r="R339" i="139" s="1"/>
  <c r="R348" i="149" s="1"/>
  <c r="R331" i="139"/>
  <c r="R340" i="139" s="1"/>
  <c r="R349" i="149" s="1"/>
  <c r="P247" i="139" a="1"/>
  <c r="P247" i="139" s="1"/>
  <c r="P271" i="139" s="1"/>
  <c r="U34" i="128" s="1"/>
  <c r="P326" i="139"/>
  <c r="P335" i="139" s="1"/>
  <c r="P344" i="149" s="1"/>
  <c r="P327" i="139"/>
  <c r="P336" i="139" s="1"/>
  <c r="P345" i="149" s="1"/>
  <c r="P329" i="139"/>
  <c r="P338" i="139" s="1"/>
  <c r="P347" i="149" s="1"/>
  <c r="P330" i="139"/>
  <c r="P339" i="139" s="1"/>
  <c r="P348" i="149" s="1"/>
  <c r="P331" i="139"/>
  <c r="P340" i="139" s="1"/>
  <c r="P349" i="149" s="1"/>
  <c r="AB176" i="139"/>
  <c r="AG42" i="128" s="1"/>
  <c r="AB326" i="139"/>
  <c r="AB335" i="139" s="1"/>
  <c r="AB344" i="149" s="1"/>
  <c r="AB327" i="139"/>
  <c r="AB336" i="139" s="1"/>
  <c r="AB345" i="149" s="1"/>
  <c r="AB329" i="139"/>
  <c r="AB338" i="139" s="1"/>
  <c r="AB347" i="149" s="1"/>
  <c r="AB330" i="139"/>
  <c r="AB339" i="139" s="1"/>
  <c r="AB348" i="149" s="1"/>
  <c r="AB331" i="139"/>
  <c r="AB340" i="139" s="1"/>
  <c r="AB349" i="149" s="1"/>
  <c r="Q326" i="139"/>
  <c r="Q335" i="139" s="1"/>
  <c r="Q344" i="149" s="1"/>
  <c r="Q329" i="139"/>
  <c r="Q338" i="139" s="1"/>
  <c r="Q347" i="149" s="1"/>
  <c r="Q330" i="139"/>
  <c r="Q339" i="139" s="1"/>
  <c r="Q348" i="149" s="1"/>
  <c r="Q331" i="139"/>
  <c r="Q340" i="139" s="1"/>
  <c r="Q349" i="149" s="1"/>
  <c r="Z72" i="139"/>
  <c r="Z326" i="139"/>
  <c r="Z335" i="139" s="1"/>
  <c r="Z344" i="149" s="1"/>
  <c r="Z329" i="139"/>
  <c r="Z338" i="139" s="1"/>
  <c r="Z347" i="149" s="1"/>
  <c r="Z330" i="139"/>
  <c r="Z339" i="139" s="1"/>
  <c r="Z348" i="149" s="1"/>
  <c r="Z331" i="139"/>
  <c r="Z340" i="139" s="1"/>
  <c r="Z349" i="149" s="1"/>
  <c r="S9" i="128"/>
  <c r="N326" i="139"/>
  <c r="N335" i="139" s="1"/>
  <c r="N344" i="149" s="1"/>
  <c r="N327" i="139"/>
  <c r="N336" i="139" s="1"/>
  <c r="N345" i="149" s="1"/>
  <c r="N329" i="139"/>
  <c r="N338" i="139" s="1"/>
  <c r="N347" i="149" s="1"/>
  <c r="N330" i="139"/>
  <c r="N339" i="139" s="1"/>
  <c r="N348" i="149" s="1"/>
  <c r="N331" i="139"/>
  <c r="N340" i="139" s="1"/>
  <c r="N349" i="149" s="1"/>
  <c r="X93" i="139"/>
  <c r="X326" i="139"/>
  <c r="X335" i="139" s="1"/>
  <c r="X344" i="149" s="1"/>
  <c r="X329" i="139"/>
  <c r="X338" i="139" s="1"/>
  <c r="X347" i="149" s="1"/>
  <c r="X330" i="139"/>
  <c r="X339" i="139" s="1"/>
  <c r="X348" i="149" s="1"/>
  <c r="X331" i="139"/>
  <c r="X340" i="139" s="1"/>
  <c r="X349" i="149" s="1"/>
  <c r="V326" i="139"/>
  <c r="V335" i="139" s="1"/>
  <c r="V344" i="149" s="1"/>
  <c r="V328" i="139"/>
  <c r="V337" i="139" s="1"/>
  <c r="V346" i="149" s="1"/>
  <c r="V329" i="139"/>
  <c r="V338" i="139" s="1"/>
  <c r="V347" i="149" s="1"/>
  <c r="V330" i="139"/>
  <c r="V339" i="139" s="1"/>
  <c r="V348" i="149" s="1"/>
  <c r="V331" i="139"/>
  <c r="V340" i="139" s="1"/>
  <c r="V349" i="149" s="1"/>
  <c r="AD176" i="139"/>
  <c r="AI42" i="128" s="1"/>
  <c r="AD326" i="139"/>
  <c r="AD335" i="139" s="1"/>
  <c r="AD344" i="149" s="1"/>
  <c r="AD329" i="139"/>
  <c r="AD338" i="139" s="1"/>
  <c r="AD347" i="149" s="1"/>
  <c r="AD330" i="139"/>
  <c r="AD339" i="139" s="1"/>
  <c r="AD348" i="149" s="1"/>
  <c r="AD331" i="139"/>
  <c r="AD340" i="139" s="1"/>
  <c r="AD349" i="149" s="1"/>
  <c r="S246" i="139" a="1"/>
  <c r="S246" i="139" s="1"/>
  <c r="S270" i="139" s="1"/>
  <c r="S326" i="139"/>
  <c r="S335" i="139" s="1"/>
  <c r="S344" i="149" s="1"/>
  <c r="S330" i="139"/>
  <c r="S339" i="139" s="1"/>
  <c r="S348" i="149" s="1"/>
  <c r="S331" i="139"/>
  <c r="S340" i="139" s="1"/>
  <c r="S349" i="149" s="1"/>
  <c r="O326" i="139"/>
  <c r="O335" i="139" s="1"/>
  <c r="O344" i="149" s="1"/>
  <c r="O327" i="139"/>
  <c r="O336" i="139" s="1"/>
  <c r="O345" i="149" s="1"/>
  <c r="O329" i="139"/>
  <c r="O338" i="139" s="1"/>
  <c r="O347" i="149" s="1"/>
  <c r="O330" i="139"/>
  <c r="O339" i="139" s="1"/>
  <c r="O348" i="149" s="1"/>
  <c r="O331" i="139"/>
  <c r="O340" i="139" s="1"/>
  <c r="O349" i="149" s="1"/>
  <c r="T72" i="139"/>
  <c r="T326" i="139"/>
  <c r="T335" i="139" s="1"/>
  <c r="T344" i="149" s="1"/>
  <c r="T329" i="139"/>
  <c r="T338" i="139" s="1"/>
  <c r="T347" i="149" s="1"/>
  <c r="T330" i="139"/>
  <c r="T339" i="139" s="1"/>
  <c r="T348" i="149" s="1"/>
  <c r="T331" i="139"/>
  <c r="T340" i="139" s="1"/>
  <c r="T349" i="149" s="1"/>
  <c r="AC72" i="139"/>
  <c r="AC326" i="139"/>
  <c r="AC335" i="139" s="1"/>
  <c r="AC344" i="149" s="1"/>
  <c r="AC327" i="139"/>
  <c r="AC336" i="139" s="1"/>
  <c r="AC345" i="149" s="1"/>
  <c r="AC328" i="139"/>
  <c r="AC337" i="139" s="1"/>
  <c r="AC346" i="149" s="1"/>
  <c r="AC329" i="139"/>
  <c r="AC338" i="139" s="1"/>
  <c r="AC347" i="149" s="1"/>
  <c r="AC330" i="139"/>
  <c r="AC339" i="139" s="1"/>
  <c r="AC348" i="149" s="1"/>
  <c r="AC331" i="139"/>
  <c r="AC340" i="139" s="1"/>
  <c r="AC349" i="149" s="1"/>
  <c r="AC64" i="144"/>
  <c r="AC101" i="144" s="1"/>
  <c r="AC111" i="144"/>
  <c r="AC148" i="144" s="1"/>
  <c r="AC93" i="144"/>
  <c r="AC115" i="144" s="1"/>
  <c r="AC133" i="144" s="1"/>
  <c r="H233" i="139" a="1"/>
  <c r="H233" i="139" s="1"/>
  <c r="AB242" i="139" a="1"/>
  <c r="AB242" i="139" s="1"/>
  <c r="L259" i="139"/>
  <c r="L289" i="139" s="1"/>
  <c r="L308" i="139" s="1"/>
  <c r="L331" i="149" s="1"/>
  <c r="N238" i="139" a="1"/>
  <c r="N238" i="139" s="1"/>
  <c r="N171" i="139"/>
  <c r="H245" i="139" a="1"/>
  <c r="H245" i="139" s="1"/>
  <c r="H269" i="139" s="1"/>
  <c r="H299" i="139" s="1"/>
  <c r="H318" i="139" s="1"/>
  <c r="H341" i="149" s="1"/>
  <c r="H244" i="139" a="1"/>
  <c r="H244" i="139" s="1"/>
  <c r="I242" i="139" a="1"/>
  <c r="I242" i="139" s="1"/>
  <c r="I247" i="139" a="1"/>
  <c r="I247" i="139" s="1"/>
  <c r="AB245" i="139" a="1"/>
  <c r="AB245" i="139" s="1"/>
  <c r="AB269" i="139" s="1"/>
  <c r="AB299" i="139" s="1"/>
  <c r="AB318" i="139" s="1"/>
  <c r="AB341" i="149" s="1"/>
  <c r="AF259" i="139"/>
  <c r="AF289" i="139" s="1"/>
  <c r="AF308" i="139" s="1"/>
  <c r="AF331" i="149" s="1"/>
  <c r="T171" i="139"/>
  <c r="T244" i="139" a="1"/>
  <c r="T244" i="139" s="1"/>
  <c r="AA72" i="139"/>
  <c r="I72" i="139"/>
  <c r="O271" i="139"/>
  <c r="T34" i="128" s="1"/>
  <c r="N235" i="139" a="1"/>
  <c r="N235" i="139" s="1"/>
  <c r="H239" i="139" a="1"/>
  <c r="H239" i="139" s="1"/>
  <c r="H171" i="139"/>
  <c r="I235" i="139" a="1"/>
  <c r="I235" i="139" s="1"/>
  <c r="I243" i="139" a="1"/>
  <c r="I243" i="139" s="1"/>
  <c r="AB235" i="139" a="1"/>
  <c r="AB235" i="139" s="1"/>
  <c r="T236" i="139" a="1"/>
  <c r="T236" i="139" s="1"/>
  <c r="T245" i="139" a="1"/>
  <c r="T245" i="139" s="1"/>
  <c r="T269" i="139" s="1"/>
  <c r="T299" i="139" s="1"/>
  <c r="T318" i="139" s="1"/>
  <c r="T341" i="149" s="1"/>
  <c r="AB171" i="139"/>
  <c r="T246" i="139" a="1"/>
  <c r="T246" i="139" s="1"/>
  <c r="T270" i="139" s="1"/>
  <c r="H177" i="139"/>
  <c r="N93" i="139"/>
  <c r="AB72" i="139"/>
  <c r="N243" i="139" a="1"/>
  <c r="N243" i="139" s="1"/>
  <c r="I171" i="139"/>
  <c r="L271" i="139"/>
  <c r="Q34" i="128" s="1"/>
  <c r="N233" i="139" a="1"/>
  <c r="N233" i="139" s="1"/>
  <c r="N245" i="139" a="1"/>
  <c r="N245" i="139" s="1"/>
  <c r="N269" i="139" s="1"/>
  <c r="N299" i="139" s="1"/>
  <c r="N318" i="139" s="1"/>
  <c r="N341" i="149" s="1"/>
  <c r="H234" i="139" a="1"/>
  <c r="H234" i="139" s="1"/>
  <c r="H258" i="139" s="1"/>
  <c r="H288" i="139" s="1"/>
  <c r="H307" i="139" s="1"/>
  <c r="H330" i="149" s="1"/>
  <c r="U271" i="139"/>
  <c r="Z34" i="128" s="1"/>
  <c r="I234" i="139" a="1"/>
  <c r="I234" i="139" s="1"/>
  <c r="I258" i="139" s="1"/>
  <c r="I288" i="139" s="1"/>
  <c r="I307" i="139" s="1"/>
  <c r="I330" i="149" s="1"/>
  <c r="AB233" i="139" a="1"/>
  <c r="AB233" i="139" s="1"/>
  <c r="AB244" i="139" a="1"/>
  <c r="AB244" i="139" s="1"/>
  <c r="K271" i="139"/>
  <c r="P34" i="128" s="1"/>
  <c r="T234" i="139" a="1"/>
  <c r="T234" i="139" s="1"/>
  <c r="T258" i="139" s="1"/>
  <c r="T288" i="139" s="1"/>
  <c r="T307" i="139" s="1"/>
  <c r="T330" i="149" s="1"/>
  <c r="T247" i="139" a="1"/>
  <c r="T247" i="139" s="1"/>
  <c r="G267" i="139"/>
  <c r="G297" i="139" s="1"/>
  <c r="G316" i="139" s="1"/>
  <c r="G339" i="149" s="1"/>
  <c r="T177" i="139"/>
  <c r="S181" i="139"/>
  <c r="J165" i="139"/>
  <c r="AG9" i="128"/>
  <c r="Y9" i="128"/>
  <c r="M266" i="139"/>
  <c r="M296" i="139" s="1"/>
  <c r="M315" i="139" s="1"/>
  <c r="M338" i="149" s="1"/>
  <c r="N236" i="139" a="1"/>
  <c r="N236" i="139" s="1"/>
  <c r="N260" i="139" s="1"/>
  <c r="N290" i="139" s="1"/>
  <c r="N309" i="139" s="1"/>
  <c r="N332" i="149" s="1"/>
  <c r="N246" i="139" a="1"/>
  <c r="N246" i="139" s="1"/>
  <c r="N270" i="139" s="1"/>
  <c r="H238" i="139" a="1"/>
  <c r="H238" i="139" s="1"/>
  <c r="I170" i="139"/>
  <c r="I236" i="139" a="1"/>
  <c r="I236" i="139" s="1"/>
  <c r="I260" i="139" s="1"/>
  <c r="I290" i="139" s="1"/>
  <c r="I309" i="139" s="1"/>
  <c r="I332" i="149" s="1"/>
  <c r="AB234" i="139" a="1"/>
  <c r="AB234" i="139" s="1"/>
  <c r="AB258" i="139" s="1"/>
  <c r="AB288" i="139" s="1"/>
  <c r="AB307" i="139" s="1"/>
  <c r="AB330" i="149" s="1"/>
  <c r="AB246" i="139" a="1"/>
  <c r="AB246" i="139" s="1"/>
  <c r="AB270" i="139" s="1"/>
  <c r="T239" i="139" a="1"/>
  <c r="T239" i="139" s="1"/>
  <c r="T233" i="139" a="1"/>
  <c r="T233" i="139" s="1"/>
  <c r="T211" i="139"/>
  <c r="I177" i="139"/>
  <c r="I168" i="139"/>
  <c r="X176" i="139"/>
  <c r="AC42" i="128" s="1"/>
  <c r="W270" i="139"/>
  <c r="W300" i="139" s="1"/>
  <c r="W319" i="139" s="1"/>
  <c r="W342" i="149" s="1"/>
  <c r="M271" i="139"/>
  <c r="R34" i="128" s="1"/>
  <c r="N244" i="139" a="1"/>
  <c r="N244" i="139" s="1"/>
  <c r="H235" i="139" a="1"/>
  <c r="H235" i="139" s="1"/>
  <c r="H242" i="139" a="1"/>
  <c r="H242" i="139" s="1"/>
  <c r="I233" i="139" a="1"/>
  <c r="I233" i="139" s="1"/>
  <c r="I245" i="139" a="1"/>
  <c r="I245" i="139" s="1"/>
  <c r="I269" i="139" s="1"/>
  <c r="I299" i="139" s="1"/>
  <c r="I318" i="139" s="1"/>
  <c r="I341" i="149" s="1"/>
  <c r="AB238" i="139" a="1"/>
  <c r="AB238" i="139" s="1"/>
  <c r="AB247" i="139" a="1"/>
  <c r="AB247" i="139" s="1"/>
  <c r="T235" i="139" a="1"/>
  <c r="T235" i="139" s="1"/>
  <c r="T243" i="139" a="1"/>
  <c r="T243" i="139" s="1"/>
  <c r="AH9" i="128"/>
  <c r="AC93" i="139"/>
  <c r="T176" i="139"/>
  <c r="Y42" i="128" s="1"/>
  <c r="E271" i="139"/>
  <c r="J34" i="128" s="1"/>
  <c r="N234" i="139" a="1"/>
  <c r="N234" i="139" s="1"/>
  <c r="AA267" i="139"/>
  <c r="AA297" i="139" s="1"/>
  <c r="AA316" i="139" s="1"/>
  <c r="AA339" i="149" s="1"/>
  <c r="M257" i="139"/>
  <c r="M287" i="139" s="1"/>
  <c r="M306" i="139" s="1"/>
  <c r="M329" i="149" s="1"/>
  <c r="N247" i="139" a="1"/>
  <c r="N247" i="139" s="1"/>
  <c r="H247" i="139" a="1"/>
  <c r="H247" i="139" s="1"/>
  <c r="H243" i="139" a="1"/>
  <c r="H243" i="139" s="1"/>
  <c r="I238" i="139" a="1"/>
  <c r="I238" i="139" s="1"/>
  <c r="I246" i="139" a="1"/>
  <c r="I246" i="139" s="1"/>
  <c r="I270" i="139" s="1"/>
  <c r="AB243" i="139" a="1"/>
  <c r="AB243" i="139" s="1"/>
  <c r="Z271" i="139"/>
  <c r="AE34" i="128" s="1"/>
  <c r="T238" i="139" a="1"/>
  <c r="T238" i="139" s="1"/>
  <c r="T170" i="139"/>
  <c r="AC211" i="139"/>
  <c r="T93" i="139"/>
  <c r="T96" i="139" s="1"/>
  <c r="F24" i="150" s="1"/>
  <c r="E233" i="139"/>
  <c r="E257" i="139" s="1"/>
  <c r="E287" i="139" s="1"/>
  <c r="E306" i="139" s="1"/>
  <c r="E329" i="149" s="1"/>
  <c r="AD93" i="139"/>
  <c r="AD96" i="139" s="1"/>
  <c r="F34" i="150" s="1"/>
  <c r="Z236" i="139" a="1"/>
  <c r="Z236" i="139" s="1"/>
  <c r="Z260" i="139" s="1"/>
  <c r="Z290" i="139" s="1"/>
  <c r="Z309" i="139" s="1"/>
  <c r="Z332" i="149" s="1"/>
  <c r="Z243" i="139" a="1"/>
  <c r="Z243" i="139" s="1"/>
  <c r="S247" i="139" a="1"/>
  <c r="S247" i="139" s="1"/>
  <c r="P242" i="139" a="1"/>
  <c r="P242" i="139" s="1"/>
  <c r="AD244" i="139" a="1"/>
  <c r="AD244" i="139" s="1"/>
  <c r="AD268" i="139" s="1"/>
  <c r="AD177" i="139"/>
  <c r="AD168" i="139"/>
  <c r="P177" i="139"/>
  <c r="Z235" i="139" a="1"/>
  <c r="Z235" i="139" s="1"/>
  <c r="Z245" i="139" a="1"/>
  <c r="Z245" i="139" s="1"/>
  <c r="Z269" i="139" s="1"/>
  <c r="Z299" i="139" s="1"/>
  <c r="Z318" i="139" s="1"/>
  <c r="Z341" i="149" s="1"/>
  <c r="P233" i="139" a="1"/>
  <c r="P233" i="139" s="1"/>
  <c r="P245" i="139" a="1"/>
  <c r="P245" i="139" s="1"/>
  <c r="P269" i="139" s="1"/>
  <c r="P299" i="139" s="1"/>
  <c r="P318" i="139" s="1"/>
  <c r="P341" i="149" s="1"/>
  <c r="AD239" i="139" a="1"/>
  <c r="AD239" i="139" s="1"/>
  <c r="AD263" i="139" s="1"/>
  <c r="P211" i="139"/>
  <c r="P93" i="139"/>
  <c r="AD72" i="139"/>
  <c r="Z239" i="139" a="1"/>
  <c r="Z239" i="139" s="1"/>
  <c r="P234" i="139" a="1"/>
  <c r="P234" i="139" s="1"/>
  <c r="P258" i="139" s="1"/>
  <c r="P288" i="139" s="1"/>
  <c r="P307" i="139" s="1"/>
  <c r="P330" i="149" s="1"/>
  <c r="P246" i="139" a="1"/>
  <c r="P246" i="139" s="1"/>
  <c r="P270" i="139" s="1"/>
  <c r="AD235" i="139" a="1"/>
  <c r="AD235" i="139" s="1"/>
  <c r="AD259" i="139" s="1"/>
  <c r="AD171" i="139"/>
  <c r="P168" i="139"/>
  <c r="P72" i="139"/>
  <c r="Z234" i="139" a="1"/>
  <c r="Z234" i="139" s="1"/>
  <c r="Z258" i="139" s="1"/>
  <c r="Z288" i="139" s="1"/>
  <c r="Z307" i="139" s="1"/>
  <c r="Z330" i="149" s="1"/>
  <c r="Z242" i="139" a="1"/>
  <c r="Z242" i="139" s="1"/>
  <c r="P236" i="139" a="1"/>
  <c r="P236" i="139" s="1"/>
  <c r="P260" i="139" s="1"/>
  <c r="P290" i="139" s="1"/>
  <c r="P309" i="139" s="1"/>
  <c r="P332" i="149" s="1"/>
  <c r="AD236" i="139" a="1"/>
  <c r="AD236" i="139" s="1"/>
  <c r="AD260" i="139" s="1"/>
  <c r="AD290" i="139" s="1"/>
  <c r="AD309" i="139" s="1"/>
  <c r="AD332" i="149" s="1"/>
  <c r="R244" i="139" a="1"/>
  <c r="R244" i="139" s="1"/>
  <c r="Z170" i="139"/>
  <c r="P238" i="139" a="1"/>
  <c r="P238" i="139" s="1"/>
  <c r="P171" i="139"/>
  <c r="AD170" i="139"/>
  <c r="AD242" i="139" a="1"/>
  <c r="AD242" i="139" s="1"/>
  <c r="AD266" i="139" s="1"/>
  <c r="AE9" i="128"/>
  <c r="Z177" i="139"/>
  <c r="Z211" i="139"/>
  <c r="T165" i="139"/>
  <c r="R243" i="139" a="1"/>
  <c r="R243" i="139" s="1"/>
  <c r="Z171" i="139"/>
  <c r="Z244" i="139" a="1"/>
  <c r="Z244" i="139" s="1"/>
  <c r="P244" i="139" a="1"/>
  <c r="P244" i="139" s="1"/>
  <c r="P243" i="139" a="1"/>
  <c r="P243" i="139" s="1"/>
  <c r="AD233" i="139" a="1"/>
  <c r="AD233" i="139" s="1"/>
  <c r="AD257" i="139" s="1"/>
  <c r="AD243" i="139" a="1"/>
  <c r="AD243" i="139" s="1"/>
  <c r="AD267" i="139" s="1"/>
  <c r="AI9" i="128"/>
  <c r="AF176" i="139"/>
  <c r="AK42" i="128" s="1"/>
  <c r="Z168" i="139"/>
  <c r="Z238" i="139" a="1"/>
  <c r="Z238" i="139" s="1"/>
  <c r="Z246" i="139" a="1"/>
  <c r="Z246" i="139" s="1"/>
  <c r="Z270" i="139" s="1"/>
  <c r="P235" i="139" a="1"/>
  <c r="P235" i="139" s="1"/>
  <c r="AD234" i="139" a="1"/>
  <c r="AD234" i="139" s="1"/>
  <c r="AD258" i="139" s="1"/>
  <c r="AD288" i="139" s="1"/>
  <c r="AD307" i="139" s="1"/>
  <c r="AD330" i="149" s="1"/>
  <c r="AD245" i="139" a="1"/>
  <c r="AD245" i="139" s="1"/>
  <c r="AD269" i="139" s="1"/>
  <c r="AD299" i="139" s="1"/>
  <c r="AD318" i="139" s="1"/>
  <c r="AD341" i="149" s="1"/>
  <c r="AD211" i="139"/>
  <c r="R236" i="139" a="1"/>
  <c r="R236" i="139" s="1"/>
  <c r="R260" i="139" s="1"/>
  <c r="R290" i="139" s="1"/>
  <c r="R309" i="139" s="1"/>
  <c r="R332" i="149" s="1"/>
  <c r="R245" i="139" a="1"/>
  <c r="R245" i="139" s="1"/>
  <c r="R269" i="139" s="1"/>
  <c r="R299" i="139" s="1"/>
  <c r="R318" i="139" s="1"/>
  <c r="R341" i="149" s="1"/>
  <c r="S235" i="139" a="1"/>
  <c r="S235" i="139" s="1"/>
  <c r="R168" i="139"/>
  <c r="S176" i="139"/>
  <c r="X42" i="128" s="1"/>
  <c r="R238" i="139" a="1"/>
  <c r="R238" i="139" s="1"/>
  <c r="R242" i="139" a="1"/>
  <c r="R242" i="139" s="1"/>
  <c r="S170" i="139"/>
  <c r="S236" i="139" a="1"/>
  <c r="S236" i="139" s="1"/>
  <c r="S72" i="139"/>
  <c r="R233" i="139" a="1"/>
  <c r="R233" i="139" s="1"/>
  <c r="R246" i="139" a="1"/>
  <c r="R246" i="139" s="1"/>
  <c r="R270" i="139" s="1"/>
  <c r="S239" i="139" a="1"/>
  <c r="S239" i="139" s="1"/>
  <c r="S244" i="139" a="1"/>
  <c r="S244" i="139" s="1"/>
  <c r="X9" i="128"/>
  <c r="R171" i="139"/>
  <c r="R247" i="139" a="1"/>
  <c r="R247" i="139" s="1"/>
  <c r="S172" i="139"/>
  <c r="AH172" i="139" s="1"/>
  <c r="S245" i="139" a="1"/>
  <c r="S245" i="139" s="1"/>
  <c r="S93" i="139"/>
  <c r="R235" i="139" a="1"/>
  <c r="R235" i="139" s="1"/>
  <c r="S177" i="139"/>
  <c r="S234" i="139" a="1"/>
  <c r="S234" i="139" s="1"/>
  <c r="S258" i="139" s="1"/>
  <c r="S288" i="139" s="1"/>
  <c r="S307" i="139" s="1"/>
  <c r="S330" i="149" s="1"/>
  <c r="S242" i="139" a="1"/>
  <c r="S242" i="139" s="1"/>
  <c r="AH79" i="139"/>
  <c r="Y165" i="139"/>
  <c r="R239" i="139" a="1"/>
  <c r="R239" i="139" s="1"/>
  <c r="S211" i="139"/>
  <c r="S238" i="139" a="1"/>
  <c r="S238" i="139" s="1"/>
  <c r="S243" i="139" a="1"/>
  <c r="S243" i="139" s="1"/>
  <c r="F181" i="139"/>
  <c r="S168" i="139"/>
  <c r="AE176" i="139"/>
  <c r="AJ42" i="128" s="1"/>
  <c r="W176" i="139"/>
  <c r="AB42" i="128" s="1"/>
  <c r="R177" i="139"/>
  <c r="R211" i="139"/>
  <c r="R234" i="139" a="1"/>
  <c r="R234" i="139" s="1"/>
  <c r="R258" i="139" s="1"/>
  <c r="R288" i="139" s="1"/>
  <c r="R307" i="139" s="1"/>
  <c r="R330" i="149" s="1"/>
  <c r="R170" i="139"/>
  <c r="S171" i="139"/>
  <c r="I165" i="139"/>
  <c r="AH80" i="139"/>
  <c r="J173" i="139"/>
  <c r="Y174" i="139"/>
  <c r="AH174" i="139" s="1"/>
  <c r="Y245" i="139" a="1"/>
  <c r="Y245" i="139" s="1"/>
  <c r="Y269" i="139" s="1"/>
  <c r="Y299" i="139" s="1"/>
  <c r="Y318" i="139" s="1"/>
  <c r="Y341" i="149" s="1"/>
  <c r="X243" i="139" a="1"/>
  <c r="X243" i="139" s="1"/>
  <c r="X238" i="139" a="1"/>
  <c r="X238" i="139" s="1"/>
  <c r="AA177" i="139"/>
  <c r="X211" i="139"/>
  <c r="E211" i="139"/>
  <c r="AA176" i="139"/>
  <c r="AF42" i="128" s="1"/>
  <c r="X72" i="139"/>
  <c r="E235" i="139" a="1"/>
  <c r="E235" i="139" s="1"/>
  <c r="E239" i="139" a="1"/>
  <c r="E239" i="139" s="1"/>
  <c r="Y244" i="139" a="1"/>
  <c r="Y244" i="139" s="1"/>
  <c r="J246" i="139" a="1"/>
  <c r="J246" i="139" s="1"/>
  <c r="J270" i="139" s="1"/>
  <c r="Y233" i="139" a="1"/>
  <c r="Y233" i="139" s="1"/>
  <c r="AA244" i="139" a="1"/>
  <c r="AA244" i="139" s="1"/>
  <c r="X235" i="139" a="1"/>
  <c r="X235" i="139" s="1"/>
  <c r="X247" i="139" a="1"/>
  <c r="X247" i="139" s="1"/>
  <c r="E177" i="139"/>
  <c r="E180" i="139" s="1"/>
  <c r="E205" i="139" s="1"/>
  <c r="I211" i="139"/>
  <c r="N168" i="139"/>
  <c r="X168" i="139"/>
  <c r="F177" i="139"/>
  <c r="Y168" i="139"/>
  <c r="N9" i="128"/>
  <c r="N177" i="139"/>
  <c r="E93" i="139"/>
  <c r="E96" i="139" s="1"/>
  <c r="F9" i="150" s="1"/>
  <c r="N176" i="139"/>
  <c r="S42" i="128" s="1"/>
  <c r="F176" i="139"/>
  <c r="K42" i="128" s="1"/>
  <c r="F234" i="139" a="1"/>
  <c r="F234" i="139" s="1"/>
  <c r="F258" i="139" s="1"/>
  <c r="F288" i="139" s="1"/>
  <c r="F307" i="139" s="1"/>
  <c r="F330" i="149" s="1"/>
  <c r="F247" i="139" a="1"/>
  <c r="F247" i="139" s="1"/>
  <c r="E244" i="139" a="1"/>
  <c r="E244" i="139" s="1"/>
  <c r="AB165" i="139"/>
  <c r="E238" i="139" a="1"/>
  <c r="E238" i="139" s="1"/>
  <c r="E243" i="139" a="1"/>
  <c r="E243" i="139" s="1"/>
  <c r="F235" i="139" a="1"/>
  <c r="F235" i="139" s="1"/>
  <c r="F171" i="139"/>
  <c r="AA171" i="139"/>
  <c r="J234" i="139" a="1"/>
  <c r="J234" i="139" s="1"/>
  <c r="J258" i="139" s="1"/>
  <c r="J288" i="139" s="1"/>
  <c r="J307" i="139" s="1"/>
  <c r="J330" i="149" s="1"/>
  <c r="J247" i="139" a="1"/>
  <c r="J247" i="139" s="1"/>
  <c r="J177" i="139"/>
  <c r="Y246" i="139" a="1"/>
  <c r="Y246" i="139" s="1"/>
  <c r="Y270" i="139" s="1"/>
  <c r="AA246" i="139" a="1"/>
  <c r="AA246" i="139" s="1"/>
  <c r="AA270" i="139" s="1"/>
  <c r="X242" i="139" a="1"/>
  <c r="X242" i="139" s="1"/>
  <c r="X171" i="139"/>
  <c r="AB177" i="139"/>
  <c r="X177" i="139"/>
  <c r="Y211" i="139"/>
  <c r="K9" i="128"/>
  <c r="AC9" i="128"/>
  <c r="N211" i="139"/>
  <c r="N72" i="139"/>
  <c r="F72" i="139"/>
  <c r="F245" i="139" a="1"/>
  <c r="F245" i="139" s="1"/>
  <c r="F269" i="139" s="1"/>
  <c r="F299" i="139" s="1"/>
  <c r="F318" i="139" s="1"/>
  <c r="F341" i="149" s="1"/>
  <c r="F168" i="139"/>
  <c r="J9" i="128"/>
  <c r="J93" i="139"/>
  <c r="E246" i="139" a="1"/>
  <c r="E246" i="139" s="1"/>
  <c r="E270" i="139" s="1"/>
  <c r="E242" i="139" a="1"/>
  <c r="E242" i="139" s="1"/>
  <c r="F238" i="139" a="1"/>
  <c r="F238" i="139" s="1"/>
  <c r="AA238" i="139" a="1"/>
  <c r="AA238" i="139" s="1"/>
  <c r="AA239" i="139" a="1"/>
  <c r="AA239" i="139" s="1"/>
  <c r="J233" i="139" a="1"/>
  <c r="J233" i="139" s="1"/>
  <c r="E245" i="139" a="1"/>
  <c r="E245" i="139" s="1"/>
  <c r="F246" i="139" a="1"/>
  <c r="F246" i="139" s="1"/>
  <c r="F270" i="139" s="1"/>
  <c r="J236" i="139" a="1"/>
  <c r="J236" i="139" s="1"/>
  <c r="J242" i="139" a="1"/>
  <c r="J242" i="139" s="1"/>
  <c r="J211" i="139"/>
  <c r="Y238" i="139" a="1"/>
  <c r="Y238" i="139" s="1"/>
  <c r="Y239" i="139" a="1"/>
  <c r="Y239" i="139" s="1"/>
  <c r="X170" i="139"/>
  <c r="X245" i="139" a="1"/>
  <c r="X245" i="139" s="1"/>
  <c r="X269" i="139" s="1"/>
  <c r="X299" i="139" s="1"/>
  <c r="X318" i="139" s="1"/>
  <c r="X341" i="149" s="1"/>
  <c r="H168" i="139"/>
  <c r="AF9" i="128"/>
  <c r="AB93" i="139"/>
  <c r="Y93" i="139"/>
  <c r="I93" i="139"/>
  <c r="H176" i="139"/>
  <c r="M42" i="128" s="1"/>
  <c r="J176" i="139"/>
  <c r="O42" i="128" s="1"/>
  <c r="E234" i="139" a="1"/>
  <c r="E234" i="139" s="1"/>
  <c r="E258" i="139" s="1"/>
  <c r="E288" i="139" s="1"/>
  <c r="E307" i="139" s="1"/>
  <c r="E330" i="149" s="1"/>
  <c r="F236" i="139" a="1"/>
  <c r="F236" i="139" s="1"/>
  <c r="F260" i="139" s="1"/>
  <c r="F290" i="139" s="1"/>
  <c r="F309" i="139" s="1"/>
  <c r="F332" i="149" s="1"/>
  <c r="F242" i="139" a="1"/>
  <c r="F242" i="139" s="1"/>
  <c r="J238" i="139" a="1"/>
  <c r="J238" i="139" s="1"/>
  <c r="J243" i="139" a="1"/>
  <c r="J243" i="139" s="1"/>
  <c r="AA247" i="139" a="1"/>
  <c r="AA247" i="139" s="1"/>
  <c r="Y171" i="139"/>
  <c r="Y242" i="139" a="1"/>
  <c r="Y242" i="139" s="1"/>
  <c r="X236" i="139" a="1"/>
  <c r="X236" i="139" s="1"/>
  <c r="X260" i="139" s="1"/>
  <c r="X290" i="139" s="1"/>
  <c r="X309" i="139" s="1"/>
  <c r="X332" i="149" s="1"/>
  <c r="X246" i="139" a="1"/>
  <c r="X246" i="139" s="1"/>
  <c r="X270" i="139" s="1"/>
  <c r="AB168" i="139"/>
  <c r="H211" i="139"/>
  <c r="AD9" i="128"/>
  <c r="AA168" i="139"/>
  <c r="H93" i="139"/>
  <c r="H96" i="139" s="1"/>
  <c r="F12" i="150" s="1"/>
  <c r="L9" i="128"/>
  <c r="J72" i="139"/>
  <c r="J171" i="139"/>
  <c r="J245" i="139" a="1"/>
  <c r="J245" i="139" s="1"/>
  <c r="J269" i="139" s="1"/>
  <c r="J299" i="139" s="1"/>
  <c r="J318" i="139" s="1"/>
  <c r="J341" i="149" s="1"/>
  <c r="Y234" i="139" a="1"/>
  <c r="Y234" i="139" s="1"/>
  <c r="Y258" i="139" s="1"/>
  <c r="Y288" i="139" s="1"/>
  <c r="Y307" i="139" s="1"/>
  <c r="Y330" i="149" s="1"/>
  <c r="E236" i="139" a="1"/>
  <c r="E236" i="139" s="1"/>
  <c r="E260" i="139" s="1"/>
  <c r="E290" i="139" s="1"/>
  <c r="E309" i="139" s="1"/>
  <c r="E332" i="149" s="1"/>
  <c r="F239" i="139" a="1"/>
  <c r="F239" i="139" s="1"/>
  <c r="J235" i="139" a="1"/>
  <c r="J235" i="139" s="1"/>
  <c r="J244" i="139" a="1"/>
  <c r="J244" i="139" s="1"/>
  <c r="AA235" i="139" a="1"/>
  <c r="AA235" i="139" s="1"/>
  <c r="AA233" i="139" a="1"/>
  <c r="AA233" i="139" s="1"/>
  <c r="Y247" i="139" a="1"/>
  <c r="Y247" i="139" s="1"/>
  <c r="Y236" i="139" a="1"/>
  <c r="Y236" i="139" s="1"/>
  <c r="Y260" i="139" s="1"/>
  <c r="Y290" i="139" s="1"/>
  <c r="Y309" i="139" s="1"/>
  <c r="Y332" i="149" s="1"/>
  <c r="X233" i="139" a="1"/>
  <c r="X233" i="139" s="1"/>
  <c r="AA181" i="139"/>
  <c r="Q181" i="139"/>
  <c r="AB211" i="139"/>
  <c r="J168" i="139"/>
  <c r="M9" i="128"/>
  <c r="G93" i="139"/>
  <c r="G96" i="139" s="1"/>
  <c r="F11" i="150" s="1"/>
  <c r="W9" i="128"/>
  <c r="Z93" i="139"/>
  <c r="R176" i="139"/>
  <c r="W42" i="128" s="1"/>
  <c r="AF93" i="139"/>
  <c r="R72" i="139"/>
  <c r="Y176" i="139"/>
  <c r="AD42" i="128" s="1"/>
  <c r="Z176" i="139"/>
  <c r="AE42" i="128" s="1"/>
  <c r="E72" i="139"/>
  <c r="M96" i="139"/>
  <c r="F17" i="150" s="1"/>
  <c r="AH187" i="164"/>
  <c r="AI186" i="164"/>
  <c r="AF67" i="155"/>
  <c r="AD108" i="156"/>
  <c r="AD109" i="156" s="1"/>
  <c r="R67" i="155"/>
  <c r="P108" i="156"/>
  <c r="P109" i="156" s="1"/>
  <c r="T67" i="155"/>
  <c r="R108" i="156"/>
  <c r="R109" i="156" s="1"/>
  <c r="O67" i="155"/>
  <c r="M108" i="156"/>
  <c r="M109" i="156" s="1"/>
  <c r="AH67" i="155"/>
  <c r="AF108" i="156"/>
  <c r="AF109" i="156" s="1"/>
  <c r="AJ67" i="155"/>
  <c r="AH108" i="156"/>
  <c r="AH109" i="156" s="1"/>
  <c r="V67" i="155"/>
  <c r="T108" i="156"/>
  <c r="T109" i="156" s="1"/>
  <c r="Q67" i="155"/>
  <c r="O108" i="156"/>
  <c r="O109" i="156" s="1"/>
  <c r="AE67" i="155"/>
  <c r="AC108" i="156"/>
  <c r="AC109" i="156" s="1"/>
  <c r="M67" i="155"/>
  <c r="K108" i="156"/>
  <c r="K109" i="156" s="1"/>
  <c r="AD67" i="155"/>
  <c r="AB108" i="156"/>
  <c r="AB109" i="156" s="1"/>
  <c r="Y67" i="155"/>
  <c r="W108" i="156"/>
  <c r="W109" i="156" s="1"/>
  <c r="AG67" i="155"/>
  <c r="AE108" i="156"/>
  <c r="AE109" i="156" s="1"/>
  <c r="W67" i="155"/>
  <c r="U108" i="156"/>
  <c r="U109" i="156" s="1"/>
  <c r="P67" i="155"/>
  <c r="N108" i="156"/>
  <c r="N109" i="156" s="1"/>
  <c r="X67" i="155"/>
  <c r="V108" i="156"/>
  <c r="V109" i="156" s="1"/>
  <c r="AJ10" i="155"/>
  <c r="AJ9" i="155"/>
  <c r="K9" i="155"/>
  <c r="F42" i="144"/>
  <c r="L9" i="155"/>
  <c r="L10" i="155"/>
  <c r="AB10" i="155"/>
  <c r="AB9" i="155"/>
  <c r="M9" i="155"/>
  <c r="M10" i="155"/>
  <c r="AF42" i="144"/>
  <c r="AL9" i="155"/>
  <c r="AL10" i="155"/>
  <c r="AA10" i="155"/>
  <c r="AA9" i="155"/>
  <c r="AC10" i="155"/>
  <c r="AC9" i="155"/>
  <c r="O9" i="155"/>
  <c r="O10" i="155"/>
  <c r="AD10" i="155"/>
  <c r="AD9" i="155"/>
  <c r="Q96" i="139"/>
  <c r="F21" i="150" s="1"/>
  <c r="K96" i="139"/>
  <c r="F15" i="150" s="1"/>
  <c r="E315" i="144"/>
  <c r="E359" i="149" s="1"/>
  <c r="E171" i="144"/>
  <c r="AD75" i="144"/>
  <c r="AD88" i="144" s="1"/>
  <c r="AA75" i="144"/>
  <c r="AA88" i="144" s="1"/>
  <c r="O75" i="144"/>
  <c r="O88" i="144" s="1"/>
  <c r="M75" i="144"/>
  <c r="M88" i="144" s="1"/>
  <c r="P88" i="144"/>
  <c r="V75" i="144"/>
  <c r="V88" i="144" s="1"/>
  <c r="Y75" i="144"/>
  <c r="Y88" i="144" s="1"/>
  <c r="G75" i="144"/>
  <c r="G88" i="144" s="1"/>
  <c r="T75" i="144"/>
  <c r="T88" i="144" s="1"/>
  <c r="H75" i="144"/>
  <c r="H88" i="144" s="1"/>
  <c r="N75" i="144"/>
  <c r="N88" i="144" s="1"/>
  <c r="Q75" i="144"/>
  <c r="Q88" i="144" s="1"/>
  <c r="AB75" i="144"/>
  <c r="AB88" i="144" s="1"/>
  <c r="Z75" i="144"/>
  <c r="Z88" i="144" s="1"/>
  <c r="S75" i="144"/>
  <c r="S88" i="144" s="1"/>
  <c r="F75" i="144"/>
  <c r="F88" i="144" s="1"/>
  <c r="I75" i="144"/>
  <c r="I88" i="144" s="1"/>
  <c r="L75" i="144"/>
  <c r="L88" i="144" s="1"/>
  <c r="R75" i="144"/>
  <c r="R88" i="144" s="1"/>
  <c r="AE75" i="144"/>
  <c r="AE88" i="144" s="1"/>
  <c r="AC75" i="144"/>
  <c r="AC88" i="144" s="1"/>
  <c r="AF75" i="144"/>
  <c r="AF88" i="144" s="1"/>
  <c r="K75" i="144"/>
  <c r="K88" i="144" s="1"/>
  <c r="J75" i="144"/>
  <c r="J88" i="144" s="1"/>
  <c r="W75" i="144"/>
  <c r="W88" i="144" s="1"/>
  <c r="U75" i="144"/>
  <c r="U88" i="144" s="1"/>
  <c r="X75" i="144"/>
  <c r="X88" i="144" s="1"/>
  <c r="Q64" i="144"/>
  <c r="Q101" i="144" s="1"/>
  <c r="T64" i="144"/>
  <c r="AB64" i="144"/>
  <c r="AB101" i="144" s="1"/>
  <c r="Y64" i="144"/>
  <c r="L64" i="144"/>
  <c r="L101" i="144" s="1"/>
  <c r="P59" i="144"/>
  <c r="P58" i="144"/>
  <c r="W59" i="144"/>
  <c r="W58" i="144"/>
  <c r="Z64" i="144"/>
  <c r="Z101" i="144" s="1"/>
  <c r="H64" i="144"/>
  <c r="H101" i="144" s="1"/>
  <c r="N64" i="144"/>
  <c r="N101" i="144" s="1"/>
  <c r="F59" i="144"/>
  <c r="F58" i="144"/>
  <c r="G59" i="144"/>
  <c r="G58" i="144"/>
  <c r="J64" i="144"/>
  <c r="J101" i="144" s="1"/>
  <c r="S64" i="144"/>
  <c r="S101" i="144" s="1"/>
  <c r="AA64" i="144"/>
  <c r="U59" i="144"/>
  <c r="U58" i="144"/>
  <c r="X59" i="144"/>
  <c r="X58" i="144"/>
  <c r="AF59" i="144"/>
  <c r="AF58" i="144"/>
  <c r="AD59" i="144"/>
  <c r="AD58" i="144"/>
  <c r="M64" i="144"/>
  <c r="M101" i="144" s="1"/>
  <c r="R64" i="144"/>
  <c r="R101" i="144" s="1"/>
  <c r="V42" i="144"/>
  <c r="V59" i="144"/>
  <c r="V58" i="144"/>
  <c r="I59" i="144"/>
  <c r="I58" i="144"/>
  <c r="K64" i="144"/>
  <c r="K101" i="144" s="1"/>
  <c r="AE64" i="144"/>
  <c r="AE101" i="144" s="1"/>
  <c r="O64" i="144"/>
  <c r="O101" i="144" s="1"/>
  <c r="U42" i="144"/>
  <c r="AH35" i="144"/>
  <c r="AH42" i="144" s="1"/>
  <c r="W42" i="144"/>
  <c r="I42" i="144"/>
  <c r="G42" i="144"/>
  <c r="E42" i="144"/>
  <c r="I217" i="139"/>
  <c r="I237" i="139" s="1" a="1"/>
  <c r="I237" i="139" s="1"/>
  <c r="M288" i="139"/>
  <c r="M307" i="139" s="1"/>
  <c r="M330" i="149" s="1"/>
  <c r="M299" i="139"/>
  <c r="M318" i="139" s="1"/>
  <c r="M341" i="149" s="1"/>
  <c r="O290" i="139"/>
  <c r="O309" i="139" s="1"/>
  <c r="O332" i="149" s="1"/>
  <c r="AC290" i="139"/>
  <c r="AC309" i="139" s="1"/>
  <c r="AC332" i="149" s="1"/>
  <c r="I221" i="139"/>
  <c r="I241" i="139" s="1" a="1"/>
  <c r="I241" i="139" s="1"/>
  <c r="S156" i="139"/>
  <c r="G290" i="139"/>
  <c r="G309" i="139" s="1"/>
  <c r="G332" i="149" s="1"/>
  <c r="L299" i="139"/>
  <c r="L318" i="139" s="1"/>
  <c r="L341" i="149" s="1"/>
  <c r="AB290" i="139"/>
  <c r="AB309" i="139" s="1"/>
  <c r="AB332" i="149" s="1"/>
  <c r="G299" i="139"/>
  <c r="G318" i="139" s="1"/>
  <c r="G341" i="149" s="1"/>
  <c r="AF288" i="139"/>
  <c r="AF307" i="139" s="1"/>
  <c r="AF330" i="149" s="1"/>
  <c r="K149" i="139"/>
  <c r="K221" i="139" s="1"/>
  <c r="K241" i="139" s="1"/>
  <c r="Q288" i="139"/>
  <c r="Q307" i="139" s="1"/>
  <c r="Q330" i="149" s="1"/>
  <c r="Q149" i="139"/>
  <c r="Q158" i="139" s="1"/>
  <c r="Y149" i="139"/>
  <c r="Y158" i="139" s="1"/>
  <c r="I158" i="139"/>
  <c r="I133" i="139"/>
  <c r="I134" i="139" s="1"/>
  <c r="I156" i="139"/>
  <c r="X42" i="144"/>
  <c r="AD42" i="144"/>
  <c r="P42" i="144"/>
  <c r="AA148" i="139"/>
  <c r="AA220" i="139" s="1"/>
  <c r="AA240" i="139" s="1" a="1"/>
  <c r="AA240" i="139" s="1"/>
  <c r="S149" i="139"/>
  <c r="S221" i="139" s="1"/>
  <c r="S241" i="139" s="1" a="1"/>
  <c r="S241" i="139" s="1"/>
  <c r="S133" i="139"/>
  <c r="S134" i="139" s="1"/>
  <c r="Q156" i="139"/>
  <c r="Q133" i="139"/>
  <c r="Q134" i="139" s="1"/>
  <c r="G151" i="139"/>
  <c r="G145" i="139"/>
  <c r="L156" i="139"/>
  <c r="L133" i="139"/>
  <c r="L134" i="139" s="1"/>
  <c r="L149" i="139"/>
  <c r="L221" i="139" s="1"/>
  <c r="L241" i="139" s="1" a="1"/>
  <c r="L241" i="139" s="1"/>
  <c r="M217" i="139"/>
  <c r="M140" i="139"/>
  <c r="M141" i="139" s="1"/>
  <c r="AC140" i="139"/>
  <c r="AC141" i="139" s="1"/>
  <c r="AE217" i="139"/>
  <c r="W126" i="139"/>
  <c r="F151" i="139"/>
  <c r="F145" i="139"/>
  <c r="G156" i="139"/>
  <c r="G133" i="139"/>
  <c r="G134" i="139" s="1"/>
  <c r="G149" i="139"/>
  <c r="G221" i="139" s="1"/>
  <c r="G241" i="139" s="1" a="1"/>
  <c r="G241" i="139" s="1"/>
  <c r="L151" i="139"/>
  <c r="L145" i="139"/>
  <c r="E126" i="139"/>
  <c r="N123" i="139"/>
  <c r="N126" i="139" s="1"/>
  <c r="V180" i="139"/>
  <c r="V205" i="139" s="1"/>
  <c r="H217" i="139"/>
  <c r="H140" i="139"/>
  <c r="H141" i="139" s="1"/>
  <c r="N140" i="139"/>
  <c r="N141" i="139" s="1"/>
  <c r="M123" i="139"/>
  <c r="M126" i="139" s="1"/>
  <c r="AA149" i="139"/>
  <c r="AA221" i="139" s="1"/>
  <c r="AA241" i="139" s="1" a="1"/>
  <c r="AA241" i="139" s="1"/>
  <c r="AA156" i="139"/>
  <c r="AA133" i="139"/>
  <c r="AA134" i="139" s="1"/>
  <c r="X217" i="139"/>
  <c r="X140" i="139"/>
  <c r="X141" i="139" s="1"/>
  <c r="K156" i="139"/>
  <c r="K133" i="139"/>
  <c r="K134" i="139" s="1"/>
  <c r="AB156" i="139"/>
  <c r="F133" i="139"/>
  <c r="F134" i="139" s="1"/>
  <c r="F156" i="139"/>
  <c r="F149" i="139"/>
  <c r="F221" i="139" s="1"/>
  <c r="F241" i="139" s="1" a="1"/>
  <c r="F241" i="139" s="1"/>
  <c r="G123" i="139"/>
  <c r="G126" i="139" s="1"/>
  <c r="AA151" i="139"/>
  <c r="AA145" i="139"/>
  <c r="R217" i="139"/>
  <c r="P123" i="139"/>
  <c r="P126" i="139" s="1"/>
  <c r="H151" i="139"/>
  <c r="T156" i="139"/>
  <c r="S140" i="139"/>
  <c r="S141" i="139" s="1"/>
  <c r="R149" i="139"/>
  <c r="R221" i="139" s="1"/>
  <c r="R241" i="139" s="1" a="1"/>
  <c r="R241" i="139" s="1"/>
  <c r="R133" i="139"/>
  <c r="R134" i="139" s="1"/>
  <c r="R156" i="139"/>
  <c r="AB151" i="139"/>
  <c r="AD217" i="139"/>
  <c r="AD140" i="139"/>
  <c r="AD141" i="139" s="1"/>
  <c r="P217" i="139"/>
  <c r="P237" i="139" s="1" a="1"/>
  <c r="P237" i="139" s="1"/>
  <c r="P140" i="139"/>
  <c r="P141" i="139" s="1"/>
  <c r="F123" i="139"/>
  <c r="F126" i="139" s="1"/>
  <c r="E145" i="139"/>
  <c r="H149" i="139"/>
  <c r="H221" i="139" s="1"/>
  <c r="H241" i="139" s="1" a="1"/>
  <c r="H241" i="139" s="1"/>
  <c r="H156" i="139"/>
  <c r="H133" i="139"/>
  <c r="H134" i="139" s="1"/>
  <c r="K217" i="139"/>
  <c r="K140" i="139"/>
  <c r="K141" i="139" s="1"/>
  <c r="V145" i="139"/>
  <c r="M156" i="139"/>
  <c r="M133" i="139"/>
  <c r="M134" i="139" s="1"/>
  <c r="M149" i="139"/>
  <c r="M221" i="139" s="1"/>
  <c r="M241" i="139" s="1" a="1"/>
  <c r="M241" i="139" s="1"/>
  <c r="U123" i="139"/>
  <c r="U126" i="139" s="1"/>
  <c r="W156" i="139"/>
  <c r="W133" i="139"/>
  <c r="W134" i="139" s="1"/>
  <c r="W149" i="139"/>
  <c r="W221" i="139" s="1"/>
  <c r="W241" i="139" s="1" a="1"/>
  <c r="W241" i="139" s="1"/>
  <c r="J140" i="139"/>
  <c r="J141" i="139" s="1"/>
  <c r="J217" i="139"/>
  <c r="AD123" i="139"/>
  <c r="AD126" i="139" s="1"/>
  <c r="E133" i="139"/>
  <c r="E134" i="139" s="1"/>
  <c r="E156" i="139"/>
  <c r="E149" i="139"/>
  <c r="E221" i="139" s="1"/>
  <c r="E241" i="139" s="1" a="1"/>
  <c r="E241" i="139" s="1"/>
  <c r="V133" i="139"/>
  <c r="V134" i="139" s="1"/>
  <c r="V149" i="139"/>
  <c r="V221" i="139" s="1"/>
  <c r="V241" i="139" s="1" a="1"/>
  <c r="V241" i="139" s="1"/>
  <c r="J123" i="139"/>
  <c r="J126" i="139" s="1"/>
  <c r="H123" i="139"/>
  <c r="H126" i="139" s="1"/>
  <c r="J149" i="139"/>
  <c r="J221" i="139" s="1"/>
  <c r="J241" i="139" s="1" a="1"/>
  <c r="J241" i="139" s="1"/>
  <c r="J133" i="139"/>
  <c r="J134" i="139" s="1"/>
  <c r="J156" i="139"/>
  <c r="J145" i="139"/>
  <c r="J151" i="139"/>
  <c r="N156" i="139"/>
  <c r="N133" i="139"/>
  <c r="N134" i="139" s="1"/>
  <c r="N149" i="139"/>
  <c r="N221" i="139" s="1"/>
  <c r="N241" i="139" s="1" a="1"/>
  <c r="N241" i="139" s="1"/>
  <c r="AE156" i="139"/>
  <c r="AB123" i="139"/>
  <c r="AB126" i="139" s="1"/>
  <c r="E217" i="139"/>
  <c r="E140" i="139"/>
  <c r="E141" i="139" s="1"/>
  <c r="M145" i="139"/>
  <c r="M151" i="139"/>
  <c r="U145" i="139" l="1"/>
  <c r="U151" i="139"/>
  <c r="AA217" i="139"/>
  <c r="AF149" i="139"/>
  <c r="AF221" i="139" s="1"/>
  <c r="AF241" i="139" s="1" a="1"/>
  <c r="AF241" i="139" s="1"/>
  <c r="Z217" i="139"/>
  <c r="AF156" i="139"/>
  <c r="AD156" i="139"/>
  <c r="AC145" i="139"/>
  <c r="W140" i="139"/>
  <c r="W141" i="139" s="1"/>
  <c r="AD133" i="139"/>
  <c r="AD134" i="139" s="1"/>
  <c r="W145" i="139"/>
  <c r="AE149" i="139"/>
  <c r="AE221" i="139" s="1"/>
  <c r="AE241" i="139" s="1" a="1"/>
  <c r="AE241" i="139" s="1"/>
  <c r="P149" i="139"/>
  <c r="P221" i="139" s="1"/>
  <c r="P241" i="139" s="1" a="1"/>
  <c r="P241" i="139" s="1"/>
  <c r="P133" i="139"/>
  <c r="P134" i="139" s="1"/>
  <c r="T140" i="139"/>
  <c r="T141" i="139" s="1"/>
  <c r="AE96" i="139"/>
  <c r="F35" i="150" s="1"/>
  <c r="X145" i="139"/>
  <c r="AG43" i="128"/>
  <c r="Z43" i="128"/>
  <c r="J96" i="139"/>
  <c r="F14" i="150" s="1"/>
  <c r="W151" i="139"/>
  <c r="N43" i="128"/>
  <c r="O145" i="139"/>
  <c r="U96" i="139"/>
  <c r="F25" i="150" s="1"/>
  <c r="V43" i="128"/>
  <c r="U43" i="128"/>
  <c r="AF43" i="128"/>
  <c r="N151" i="139"/>
  <c r="Y43" i="128"/>
  <c r="O43" i="128"/>
  <c r="AE43" i="128"/>
  <c r="P149" i="144"/>
  <c r="P151" i="144"/>
  <c r="P150" i="144"/>
  <c r="P143" i="144"/>
  <c r="P142" i="144"/>
  <c r="P153" i="144"/>
  <c r="P154" i="144"/>
  <c r="P140" i="144"/>
  <c r="P141" i="144"/>
  <c r="P148" i="144"/>
  <c r="P152" i="144"/>
  <c r="P145" i="144"/>
  <c r="P146" i="144"/>
  <c r="W43" i="128"/>
  <c r="AM44" i="128"/>
  <c r="AC65" i="144"/>
  <c r="AC81" i="144"/>
  <c r="AC103" i="144" s="1"/>
  <c r="Z66" i="155"/>
  <c r="U160" i="144"/>
  <c r="U161" i="144" s="1"/>
  <c r="M66" i="155"/>
  <c r="H160" i="144"/>
  <c r="H161" i="144" s="1"/>
  <c r="AI66" i="155"/>
  <c r="AD160" i="144"/>
  <c r="AD161" i="144" s="1"/>
  <c r="AD43" i="128"/>
  <c r="AC152" i="144"/>
  <c r="AC43" i="128"/>
  <c r="AC90" i="144"/>
  <c r="AC112" i="144" s="1"/>
  <c r="X96" i="139"/>
  <c r="F28" i="150" s="1"/>
  <c r="AC82" i="144"/>
  <c r="AC104" i="144" s="1"/>
  <c r="U149" i="139"/>
  <c r="U221" i="139" s="1"/>
  <c r="U241" i="139" s="1" a="1"/>
  <c r="U241" i="139" s="1"/>
  <c r="W66" i="155"/>
  <c r="R160" i="144"/>
  <c r="R161" i="144" s="1"/>
  <c r="T66" i="155"/>
  <c r="O160" i="144"/>
  <c r="O161" i="144" s="1"/>
  <c r="U133" i="139"/>
  <c r="U134" i="139" s="1"/>
  <c r="AC83" i="144"/>
  <c r="AC105" i="144" s="1"/>
  <c r="W160" i="144"/>
  <c r="W161" i="144" s="1"/>
  <c r="AC91" i="144"/>
  <c r="AC113" i="144" s="1"/>
  <c r="AC84" i="144"/>
  <c r="AC106" i="144" s="1"/>
  <c r="P66" i="155"/>
  <c r="K160" i="144"/>
  <c r="K161" i="144" s="1"/>
  <c r="AC129" i="144"/>
  <c r="AC94" i="144"/>
  <c r="AC116" i="144" s="1"/>
  <c r="AC86" i="144"/>
  <c r="AC108" i="144" s="1"/>
  <c r="Q66" i="155"/>
  <c r="L160" i="144"/>
  <c r="L161" i="144" s="1"/>
  <c r="K66" i="155"/>
  <c r="F160" i="144"/>
  <c r="F161" i="144" s="1"/>
  <c r="R151" i="139"/>
  <c r="R145" i="139"/>
  <c r="AC95" i="144"/>
  <c r="AC117" i="144" s="1"/>
  <c r="P184" i="139"/>
  <c r="P187" i="139" s="1"/>
  <c r="U42" i="128"/>
  <c r="AL35" i="138" s="1"/>
  <c r="AC87" i="144"/>
  <c r="AC109" i="144" s="1"/>
  <c r="Q180" i="139"/>
  <c r="Q205" i="139" s="1"/>
  <c r="V66" i="155"/>
  <c r="Q160" i="144"/>
  <c r="Q161" i="144" s="1"/>
  <c r="S66" i="155"/>
  <c r="N160" i="144"/>
  <c r="N161" i="144" s="1"/>
  <c r="Y66" i="155"/>
  <c r="T160" i="144"/>
  <c r="T161" i="144" s="1"/>
  <c r="AI34" i="128"/>
  <c r="AD301" i="139"/>
  <c r="I184" i="139"/>
  <c r="I187" i="139" s="1"/>
  <c r="N42" i="128"/>
  <c r="AI43" i="128"/>
  <c r="R66" i="155"/>
  <c r="M160" i="144"/>
  <c r="M161" i="144" s="1"/>
  <c r="AK66" i="155"/>
  <c r="AF160" i="144"/>
  <c r="AF161" i="144" s="1"/>
  <c r="E160" i="144"/>
  <c r="E161" i="144" s="1"/>
  <c r="J56" i="155"/>
  <c r="W96" i="139"/>
  <c r="F27" i="150" s="1"/>
  <c r="AE66" i="155"/>
  <c r="Z160" i="144"/>
  <c r="Z161" i="144" s="1"/>
  <c r="O66" i="155"/>
  <c r="J160" i="144"/>
  <c r="J161" i="144" s="1"/>
  <c r="X66" i="155"/>
  <c r="S160" i="144"/>
  <c r="S161" i="144" s="1"/>
  <c r="P135" i="144"/>
  <c r="P126" i="144"/>
  <c r="P133" i="144"/>
  <c r="P124" i="144"/>
  <c r="P134" i="144"/>
  <c r="P132" i="144"/>
  <c r="P121" i="144"/>
  <c r="P122" i="144"/>
  <c r="P129" i="144"/>
  <c r="P127" i="144"/>
  <c r="P123" i="144"/>
  <c r="P130" i="144"/>
  <c r="P131" i="144"/>
  <c r="X43" i="128"/>
  <c r="AG66" i="155"/>
  <c r="AB160" i="144"/>
  <c r="AB161" i="144" s="1"/>
  <c r="N66" i="155"/>
  <c r="I160" i="144"/>
  <c r="I161" i="144" s="1"/>
  <c r="L66" i="155"/>
  <c r="G160" i="144"/>
  <c r="G161" i="144" s="1"/>
  <c r="AK43" i="128"/>
  <c r="V160" i="144"/>
  <c r="V161" i="144" s="1"/>
  <c r="J67" i="155"/>
  <c r="H108" i="156"/>
  <c r="H109" i="156" s="1"/>
  <c r="Q151" i="139"/>
  <c r="T133" i="139"/>
  <c r="T134" i="139" s="1"/>
  <c r="L140" i="139"/>
  <c r="L141" i="139" s="1"/>
  <c r="Y156" i="139"/>
  <c r="Y159" i="139" s="1"/>
  <c r="AF184" i="139"/>
  <c r="AF187" i="139" s="1"/>
  <c r="AD151" i="139"/>
  <c r="F96" i="139"/>
  <c r="F10" i="150" s="1"/>
  <c r="X133" i="139"/>
  <c r="X134" i="139" s="1"/>
  <c r="X149" i="139"/>
  <c r="X221" i="139" s="1"/>
  <c r="X241" i="139" s="1" a="1"/>
  <c r="X241" i="139" s="1"/>
  <c r="K145" i="139"/>
  <c r="AF96" i="139"/>
  <c r="F36" i="150" s="1"/>
  <c r="F184" i="139"/>
  <c r="F187" i="139" s="1"/>
  <c r="AD145" i="139"/>
  <c r="F148" i="139"/>
  <c r="F153" i="139" s="1"/>
  <c r="F154" i="139" s="1"/>
  <c r="I96" i="139"/>
  <c r="F13" i="150" s="1"/>
  <c r="H180" i="139"/>
  <c r="H205" i="139" s="1"/>
  <c r="X184" i="139"/>
  <c r="X187" i="139" s="1"/>
  <c r="U184" i="139"/>
  <c r="U187" i="139" s="1"/>
  <c r="Z156" i="139"/>
  <c r="AF180" i="139"/>
  <c r="AF205" i="139" s="1"/>
  <c r="N184" i="139"/>
  <c r="N187" i="139" s="1"/>
  <c r="W184" i="139"/>
  <c r="W187" i="139" s="1"/>
  <c r="Z184" i="139"/>
  <c r="Z187" i="139" s="1"/>
  <c r="V217" i="139"/>
  <c r="F140" i="139"/>
  <c r="F141" i="139" s="1"/>
  <c r="I151" i="139"/>
  <c r="Z133" i="139"/>
  <c r="Z134" i="139" s="1"/>
  <c r="T184" i="139"/>
  <c r="T187" i="139" s="1"/>
  <c r="L96" i="139"/>
  <c r="F16" i="150" s="1"/>
  <c r="O184" i="139"/>
  <c r="O187" i="139" s="1"/>
  <c r="K184" i="139"/>
  <c r="K187" i="139" s="1"/>
  <c r="R184" i="139"/>
  <c r="R187" i="139" s="1"/>
  <c r="AD184" i="139"/>
  <c r="AD187" i="139" s="1"/>
  <c r="AB133" i="139"/>
  <c r="AB134" i="139" s="1"/>
  <c r="J184" i="139"/>
  <c r="J187" i="139" s="1"/>
  <c r="P96" i="139"/>
  <c r="F20" i="150" s="1"/>
  <c r="Q184" i="139"/>
  <c r="Q187" i="139" s="1"/>
  <c r="AE184" i="139"/>
  <c r="AE187" i="139" s="1"/>
  <c r="S184" i="139"/>
  <c r="S187" i="139" s="1"/>
  <c r="H184" i="139"/>
  <c r="H187" i="139" s="1"/>
  <c r="AB184" i="139"/>
  <c r="AB187" i="139" s="1"/>
  <c r="V184" i="139"/>
  <c r="V187" i="139" s="1"/>
  <c r="Y184" i="139"/>
  <c r="Y187" i="139" s="1"/>
  <c r="AA184" i="139"/>
  <c r="AA187" i="139" s="1"/>
  <c r="AC151" i="139"/>
  <c r="AE180" i="139"/>
  <c r="AE205" i="139" s="1"/>
  <c r="Z145" i="139"/>
  <c r="X151" i="139"/>
  <c r="M99" i="139"/>
  <c r="K151" i="139"/>
  <c r="T151" i="139"/>
  <c r="T101" i="144"/>
  <c r="T94" i="144"/>
  <c r="S145" i="139"/>
  <c r="R96" i="139"/>
  <c r="F22" i="150" s="1"/>
  <c r="K99" i="139"/>
  <c r="R99" i="139"/>
  <c r="P99" i="139"/>
  <c r="Z99" i="139"/>
  <c r="N99" i="139"/>
  <c r="X99" i="139"/>
  <c r="AD99" i="139"/>
  <c r="S99" i="139"/>
  <c r="O99" i="139"/>
  <c r="AC99" i="139"/>
  <c r="T99" i="139"/>
  <c r="V99" i="139"/>
  <c r="Q99" i="139"/>
  <c r="AB99" i="139"/>
  <c r="AE99" i="139"/>
  <c r="U99" i="139"/>
  <c r="F99" i="139"/>
  <c r="I99" i="139"/>
  <c r="G99" i="139"/>
  <c r="AA99" i="139"/>
  <c r="J99" i="139"/>
  <c r="W99" i="139"/>
  <c r="L99" i="139"/>
  <c r="E99" i="139"/>
  <c r="H99" i="139"/>
  <c r="AF99" i="139"/>
  <c r="Y99" i="139"/>
  <c r="AI169" i="139"/>
  <c r="U193" i="139" s="1"/>
  <c r="U326" i="139" s="1"/>
  <c r="U335" i="139" s="1"/>
  <c r="U344" i="149" s="1"/>
  <c r="Y123" i="139"/>
  <c r="Y126" i="139" s="1"/>
  <c r="Y148" i="139" s="1"/>
  <c r="Y240" i="139" s="1" a="1"/>
  <c r="Y240" i="139" s="1"/>
  <c r="AB96" i="139"/>
  <c r="F32" i="150" s="1"/>
  <c r="U180" i="139"/>
  <c r="U205" i="139" s="1"/>
  <c r="O96" i="139"/>
  <c r="F19" i="150" s="1"/>
  <c r="I145" i="139"/>
  <c r="AF145" i="139"/>
  <c r="Y145" i="139"/>
  <c r="Z151" i="139"/>
  <c r="W299" i="139"/>
  <c r="W318" i="139" s="1"/>
  <c r="W341" i="149" s="1"/>
  <c r="Z123" i="139"/>
  <c r="Z126" i="139" s="1"/>
  <c r="Z148" i="139" s="1"/>
  <c r="Z220" i="139" s="1"/>
  <c r="Z240" i="139" s="1" a="1"/>
  <c r="Z240" i="139" s="1"/>
  <c r="G140" i="139"/>
  <c r="G141" i="139" s="1"/>
  <c r="AB140" i="139"/>
  <c r="AB141" i="139" s="1"/>
  <c r="Y140" i="139"/>
  <c r="Y141" i="139" s="1"/>
  <c r="W180" i="139"/>
  <c r="W205" i="139" s="1"/>
  <c r="O156" i="139"/>
  <c r="Z96" i="139"/>
  <c r="F30" i="150" s="1"/>
  <c r="O151" i="139"/>
  <c r="S151" i="139"/>
  <c r="P151" i="139"/>
  <c r="V151" i="139"/>
  <c r="AF151" i="139"/>
  <c r="N96" i="139"/>
  <c r="F18" i="150" s="1"/>
  <c r="AC133" i="139"/>
  <c r="AC134" i="139" s="1"/>
  <c r="AI173" i="139"/>
  <c r="J197" i="139" s="1"/>
  <c r="J330" i="139" s="1"/>
  <c r="J339" i="139" s="1"/>
  <c r="J348" i="149" s="1"/>
  <c r="X123" i="139"/>
  <c r="X126" i="139" s="1"/>
  <c r="X148" i="139" s="1"/>
  <c r="AC156" i="139"/>
  <c r="P180" i="139"/>
  <c r="P205" i="139" s="1"/>
  <c r="AI174" i="139"/>
  <c r="Y198" i="139" s="1"/>
  <c r="Y331" i="139" s="1"/>
  <c r="Y340" i="139" s="1"/>
  <c r="Y349" i="149" s="1"/>
  <c r="AE151" i="139"/>
  <c r="V96" i="139"/>
  <c r="F26" i="150" s="1"/>
  <c r="T145" i="139"/>
  <c r="Y96" i="139"/>
  <c r="F29" i="150" s="1"/>
  <c r="AE123" i="139"/>
  <c r="AE126" i="139" s="1"/>
  <c r="AE145" i="139"/>
  <c r="AC96" i="139"/>
  <c r="F33" i="150" s="1"/>
  <c r="AB180" i="139"/>
  <c r="AB205" i="139" s="1"/>
  <c r="Q145" i="139"/>
  <c r="O140" i="139"/>
  <c r="O141" i="139" s="1"/>
  <c r="K148" i="139"/>
  <c r="O123" i="139"/>
  <c r="O126" i="139" s="1"/>
  <c r="O148" i="139" s="1"/>
  <c r="P145" i="139"/>
  <c r="O149" i="139"/>
  <c r="O221" i="139" s="1"/>
  <c r="O241" i="139" s="1" a="1"/>
  <c r="O241" i="139" s="1"/>
  <c r="AF140" i="139"/>
  <c r="AF141" i="139" s="1"/>
  <c r="U140" i="139"/>
  <c r="U141" i="139" s="1"/>
  <c r="N145" i="139"/>
  <c r="S96" i="139"/>
  <c r="F23" i="150" s="1"/>
  <c r="Q140" i="139"/>
  <c r="Q141" i="139" s="1"/>
  <c r="AD180" i="139"/>
  <c r="AD205" i="139" s="1"/>
  <c r="AA101" i="144"/>
  <c r="AA89" i="144"/>
  <c r="AA111" i="144" s="1"/>
  <c r="AA85" i="144"/>
  <c r="AA107" i="144" s="1"/>
  <c r="Y101" i="144"/>
  <c r="Y89" i="144"/>
  <c r="Y111" i="144" s="1"/>
  <c r="Y85" i="144"/>
  <c r="Y87" i="144"/>
  <c r="Y109" i="144" s="1"/>
  <c r="N180" i="139"/>
  <c r="N205" i="139" s="1"/>
  <c r="AC92" i="144"/>
  <c r="AC114" i="144" s="1"/>
  <c r="AC85" i="144"/>
  <c r="AC107" i="144" s="1"/>
  <c r="I180" i="139"/>
  <c r="I205" i="139" s="1"/>
  <c r="N65" i="144"/>
  <c r="N87" i="144"/>
  <c r="N95" i="144"/>
  <c r="N86" i="144"/>
  <c r="N169" i="144" s="1"/>
  <c r="N94" i="144"/>
  <c r="N85" i="144"/>
  <c r="N93" i="144"/>
  <c r="N176" i="144" s="1"/>
  <c r="N84" i="144"/>
  <c r="N167" i="144" s="1"/>
  <c r="N91" i="144"/>
  <c r="N174" i="144" s="1"/>
  <c r="N235" i="144" s="1"/>
  <c r="N267" i="144" s="1"/>
  <c r="N82" i="144"/>
  <c r="N92" i="144"/>
  <c r="N81" i="144"/>
  <c r="N164" i="144" s="1"/>
  <c r="N83" i="144"/>
  <c r="N89" i="144"/>
  <c r="N90" i="144"/>
  <c r="N173" i="144" s="1"/>
  <c r="N237" i="144" s="1"/>
  <c r="N269" i="144" s="1"/>
  <c r="N286" i="144" s="1"/>
  <c r="T18" i="155" s="1"/>
  <c r="AA92" i="144"/>
  <c r="AA114" i="144" s="1"/>
  <c r="AA84" i="144"/>
  <c r="AA106" i="144" s="1"/>
  <c r="AA90" i="144"/>
  <c r="AA112" i="144" s="1"/>
  <c r="AA82" i="144"/>
  <c r="AA104" i="144" s="1"/>
  <c r="AA81" i="144"/>
  <c r="AA103" i="144" s="1"/>
  <c r="AA95" i="144"/>
  <c r="AA87" i="144"/>
  <c r="AA109" i="144" s="1"/>
  <c r="AA83" i="144"/>
  <c r="AA94" i="144"/>
  <c r="AA116" i="144" s="1"/>
  <c r="AA86" i="144"/>
  <c r="AA108" i="144" s="1"/>
  <c r="AA93" i="144"/>
  <c r="AA91" i="144"/>
  <c r="AA113" i="144" s="1"/>
  <c r="H94" i="144"/>
  <c r="H85" i="144"/>
  <c r="H107" i="144" s="1"/>
  <c r="H93" i="144"/>
  <c r="H84" i="144"/>
  <c r="H106" i="144" s="1"/>
  <c r="H92" i="144"/>
  <c r="H114" i="144" s="1"/>
  <c r="H83" i="144"/>
  <c r="H105" i="144" s="1"/>
  <c r="H91" i="144"/>
  <c r="H82" i="144"/>
  <c r="H104" i="144" s="1"/>
  <c r="H89" i="144"/>
  <c r="H111" i="144" s="1"/>
  <c r="H95" i="144"/>
  <c r="H86" i="144"/>
  <c r="H87" i="144"/>
  <c r="H109" i="144" s="1"/>
  <c r="H81" i="144"/>
  <c r="H103" i="144" s="1"/>
  <c r="H90" i="144"/>
  <c r="H112" i="144" s="1"/>
  <c r="Y95" i="144"/>
  <c r="Y117" i="144" s="1"/>
  <c r="Y94" i="144"/>
  <c r="Y116" i="144" s="1"/>
  <c r="Y93" i="144"/>
  <c r="Y92" i="144"/>
  <c r="Y114" i="144" s="1"/>
  <c r="Y91" i="144"/>
  <c r="Y113" i="144" s="1"/>
  <c r="Y90" i="144"/>
  <c r="Y112" i="144" s="1"/>
  <c r="Y86" i="144"/>
  <c r="Y84" i="144"/>
  <c r="Y83" i="144"/>
  <c r="Y105" i="144" s="1"/>
  <c r="Y82" i="144"/>
  <c r="Y81" i="144"/>
  <c r="Y103" i="144" s="1"/>
  <c r="R180" i="139"/>
  <c r="R205" i="139" s="1"/>
  <c r="M65" i="144"/>
  <c r="M89" i="144"/>
  <c r="M87" i="144"/>
  <c r="M95" i="144"/>
  <c r="M178" i="144" s="1"/>
  <c r="M245" i="144" s="1"/>
  <c r="M277" i="144" s="1"/>
  <c r="M86" i="144"/>
  <c r="M313" i="144" s="1"/>
  <c r="M357" i="149" s="1"/>
  <c r="M94" i="144"/>
  <c r="M177" i="144" s="1"/>
  <c r="M85" i="144"/>
  <c r="M92" i="144"/>
  <c r="M319" i="144" s="1"/>
  <c r="M363" i="149" s="1"/>
  <c r="M83" i="144"/>
  <c r="M93" i="144"/>
  <c r="M176" i="144" s="1"/>
  <c r="M90" i="144"/>
  <c r="M82" i="144"/>
  <c r="M165" i="144" s="1"/>
  <c r="M233" i="144" s="1"/>
  <c r="M265" i="144" s="1"/>
  <c r="M81" i="144"/>
  <c r="M164" i="144" s="1"/>
  <c r="M84" i="144"/>
  <c r="M91" i="144"/>
  <c r="S91" i="144"/>
  <c r="S90" i="144"/>
  <c r="S89" i="144"/>
  <c r="S87" i="144"/>
  <c r="S95" i="144"/>
  <c r="S94" i="144"/>
  <c r="S177" i="144" s="1"/>
  <c r="S85" i="144"/>
  <c r="S83" i="144"/>
  <c r="S84" i="144"/>
  <c r="S82" i="144"/>
  <c r="S86" i="144"/>
  <c r="S92" i="144"/>
  <c r="S81" i="144"/>
  <c r="Z95" i="144"/>
  <c r="Z94" i="144"/>
  <c r="Z93" i="144"/>
  <c r="Z176" i="144" s="1"/>
  <c r="Z92" i="144"/>
  <c r="Z91" i="144"/>
  <c r="Z90" i="144"/>
  <c r="Z89" i="144"/>
  <c r="Z87" i="144"/>
  <c r="Z86" i="144"/>
  <c r="Z169" i="144" s="1"/>
  <c r="Z85" i="144"/>
  <c r="Z84" i="144"/>
  <c r="Z167" i="144" s="1"/>
  <c r="Z83" i="144"/>
  <c r="Z82" i="144"/>
  <c r="Z165" i="144" s="1"/>
  <c r="Z233" i="144" s="1"/>
  <c r="Z265" i="144" s="1"/>
  <c r="Z81" i="144"/>
  <c r="AB95" i="144"/>
  <c r="AB178" i="144" s="1"/>
  <c r="AB245" i="144" s="1"/>
  <c r="AB277" i="144" s="1"/>
  <c r="AB94" i="144"/>
  <c r="AB177" i="144" s="1"/>
  <c r="AB93" i="144"/>
  <c r="AB176" i="144" s="1"/>
  <c r="AB92" i="144"/>
  <c r="AB91" i="144"/>
  <c r="AB90" i="144"/>
  <c r="AB89" i="144"/>
  <c r="AB87" i="144"/>
  <c r="AB86" i="144"/>
  <c r="AB169" i="144" s="1"/>
  <c r="AB85" i="144"/>
  <c r="AB84" i="144"/>
  <c r="AB167" i="144" s="1"/>
  <c r="AB83" i="144"/>
  <c r="AB82" i="144"/>
  <c r="AB165" i="144" s="1"/>
  <c r="AB233" i="144" s="1"/>
  <c r="AB265" i="144" s="1"/>
  <c r="AB81" i="144"/>
  <c r="AB164" i="144" s="1"/>
  <c r="J92" i="144"/>
  <c r="J91" i="144"/>
  <c r="J90" i="144"/>
  <c r="J81" i="144"/>
  <c r="J89" i="144"/>
  <c r="J95" i="144"/>
  <c r="J178" i="144" s="1"/>
  <c r="J245" i="144" s="1"/>
  <c r="J277" i="144" s="1"/>
  <c r="J86" i="144"/>
  <c r="J169" i="144" s="1"/>
  <c r="J85" i="144"/>
  <c r="J87" i="144"/>
  <c r="J93" i="144"/>
  <c r="J94" i="144"/>
  <c r="J177" i="144" s="1"/>
  <c r="J84" i="144"/>
  <c r="J167" i="144" s="1"/>
  <c r="J82" i="144"/>
  <c r="J83" i="144"/>
  <c r="T90" i="144"/>
  <c r="T89" i="144"/>
  <c r="T87" i="144"/>
  <c r="T95" i="144"/>
  <c r="T86" i="144"/>
  <c r="T169" i="144" s="1"/>
  <c r="T93" i="144"/>
  <c r="T176" i="144" s="1"/>
  <c r="T84" i="144"/>
  <c r="T82" i="144"/>
  <c r="T85" i="144"/>
  <c r="T92" i="144"/>
  <c r="T83" i="144"/>
  <c r="T91" i="144"/>
  <c r="T81" i="144"/>
  <c r="Q65" i="144"/>
  <c r="Q93" i="144"/>
  <c r="Q176" i="144" s="1"/>
  <c r="Q84" i="144"/>
  <c r="Q311" i="144" s="1"/>
  <c r="Q355" i="149" s="1"/>
  <c r="Q414" i="149" s="1"/>
  <c r="Q456" i="149" s="1"/>
  <c r="Q92" i="144"/>
  <c r="Q83" i="144"/>
  <c r="Q310" i="144" s="1"/>
  <c r="Q354" i="149" s="1"/>
  <c r="Q91" i="144"/>
  <c r="Q318" i="144" s="1"/>
  <c r="Q362" i="149" s="1"/>
  <c r="Q82" i="144"/>
  <c r="Q309" i="144" s="1"/>
  <c r="Q353" i="149" s="1"/>
  <c r="Q412" i="149" s="1"/>
  <c r="Q454" i="149" s="1"/>
  <c r="Q90" i="144"/>
  <c r="Q81" i="144"/>
  <c r="Q87" i="144"/>
  <c r="Q314" i="144" s="1"/>
  <c r="Q358" i="149" s="1"/>
  <c r="Q89" i="144"/>
  <c r="Q94" i="144"/>
  <c r="Q321" i="144" s="1"/>
  <c r="Q365" i="149" s="1"/>
  <c r="Q95" i="144"/>
  <c r="Q322" i="144" s="1"/>
  <c r="Q366" i="149" s="1"/>
  <c r="Q86" i="144"/>
  <c r="Q313" i="144" s="1"/>
  <c r="Q357" i="149" s="1"/>
  <c r="Q85" i="144"/>
  <c r="Q312" i="144" s="1"/>
  <c r="Q356" i="149" s="1"/>
  <c r="O65" i="144"/>
  <c r="O95" i="144"/>
  <c r="O322" i="144" s="1"/>
  <c r="O366" i="149" s="1"/>
  <c r="O86" i="144"/>
  <c r="O94" i="144"/>
  <c r="O177" i="144" s="1"/>
  <c r="O85" i="144"/>
  <c r="O93" i="144"/>
  <c r="O320" i="144" s="1"/>
  <c r="O364" i="149" s="1"/>
  <c r="O423" i="149" s="1"/>
  <c r="O84" i="144"/>
  <c r="O167" i="144" s="1"/>
  <c r="O92" i="144"/>
  <c r="O83" i="144"/>
  <c r="O90" i="144"/>
  <c r="O81" i="144"/>
  <c r="O164" i="144" s="1"/>
  <c r="O87" i="144"/>
  <c r="O89" i="144"/>
  <c r="O82" i="144"/>
  <c r="O165" i="144" s="1"/>
  <c r="O233" i="144" s="1"/>
  <c r="O265" i="144" s="1"/>
  <c r="O91" i="144"/>
  <c r="O318" i="144" s="1"/>
  <c r="O362" i="149" s="1"/>
  <c r="R92" i="144"/>
  <c r="R83" i="144"/>
  <c r="R91" i="144"/>
  <c r="R90" i="144"/>
  <c r="R81" i="144"/>
  <c r="R89" i="144"/>
  <c r="R95" i="144"/>
  <c r="R86" i="144"/>
  <c r="R169" i="144" s="1"/>
  <c r="R87" i="144"/>
  <c r="R94" i="144"/>
  <c r="R177" i="144" s="1"/>
  <c r="R84" i="144"/>
  <c r="R167" i="144" s="1"/>
  <c r="R82" i="144"/>
  <c r="R85" i="144"/>
  <c r="R93" i="144"/>
  <c r="R176" i="144" s="1"/>
  <c r="K91" i="144"/>
  <c r="K90" i="144"/>
  <c r="K173" i="144" s="1"/>
  <c r="K237" i="144" s="1"/>
  <c r="K269" i="144" s="1"/>
  <c r="K286" i="144" s="1"/>
  <c r="Q18" i="155" s="1"/>
  <c r="K89" i="144"/>
  <c r="K87" i="144"/>
  <c r="K94" i="144"/>
  <c r="K85" i="144"/>
  <c r="K82" i="144"/>
  <c r="K165" i="144" s="1"/>
  <c r="K233" i="144" s="1"/>
  <c r="K265" i="144" s="1"/>
  <c r="K92" i="144"/>
  <c r="K93" i="144"/>
  <c r="K176" i="144" s="1"/>
  <c r="K81" i="144"/>
  <c r="K164" i="144" s="1"/>
  <c r="K84" i="144"/>
  <c r="K167" i="144" s="1"/>
  <c r="K95" i="144"/>
  <c r="K86" i="144"/>
  <c r="K83" i="144"/>
  <c r="L90" i="144"/>
  <c r="L173" i="144" s="1"/>
  <c r="L237" i="144" s="1"/>
  <c r="L269" i="144" s="1"/>
  <c r="L286" i="144" s="1"/>
  <c r="R18" i="155" s="1"/>
  <c r="L89" i="144"/>
  <c r="L172" i="144" s="1"/>
  <c r="L232" i="144" s="1"/>
  <c r="L264" i="144" s="1"/>
  <c r="L87" i="144"/>
  <c r="L170" i="144" s="1"/>
  <c r="L243" i="144" s="1"/>
  <c r="L275" i="144" s="1"/>
  <c r="L95" i="144"/>
  <c r="L86" i="144"/>
  <c r="L169" i="144" s="1"/>
  <c r="L93" i="144"/>
  <c r="L84" i="144"/>
  <c r="L91" i="144"/>
  <c r="L174" i="144" s="1"/>
  <c r="L235" i="144" s="1"/>
  <c r="L267" i="144" s="1"/>
  <c r="L81" i="144"/>
  <c r="L94" i="144"/>
  <c r="L177" i="144" s="1"/>
  <c r="L83" i="144"/>
  <c r="L166" i="144" s="1"/>
  <c r="L244" i="144" s="1"/>
  <c r="L276" i="144" s="1"/>
  <c r="L82" i="144"/>
  <c r="L165" i="144" s="1"/>
  <c r="L233" i="144" s="1"/>
  <c r="L265" i="144" s="1"/>
  <c r="L92" i="144"/>
  <c r="L85" i="144"/>
  <c r="AE65" i="144"/>
  <c r="AE95" i="144"/>
  <c r="AE117" i="144" s="1"/>
  <c r="AE94" i="144"/>
  <c r="AE116" i="144" s="1"/>
  <c r="AE93" i="144"/>
  <c r="AE115" i="144" s="1"/>
  <c r="AE92" i="144"/>
  <c r="AE114" i="144" s="1"/>
  <c r="AE91" i="144"/>
  <c r="AE113" i="144" s="1"/>
  <c r="AE90" i="144"/>
  <c r="AE112" i="144" s="1"/>
  <c r="AE89" i="144"/>
  <c r="AE111" i="144" s="1"/>
  <c r="AE87" i="144"/>
  <c r="AE109" i="144" s="1"/>
  <c r="AE86" i="144"/>
  <c r="AE108" i="144" s="1"/>
  <c r="AE85" i="144"/>
  <c r="AE107" i="144" s="1"/>
  <c r="AE84" i="144"/>
  <c r="AE106" i="144" s="1"/>
  <c r="AE83" i="144"/>
  <c r="AE105" i="144" s="1"/>
  <c r="AE82" i="144"/>
  <c r="AE81" i="144"/>
  <c r="AE103" i="144" s="1"/>
  <c r="Y180" i="139"/>
  <c r="Y205" i="139" s="1"/>
  <c r="T180" i="139"/>
  <c r="T205" i="139" s="1"/>
  <c r="Y266" i="139"/>
  <c r="Y296" i="139" s="1"/>
  <c r="Y315" i="139" s="1"/>
  <c r="Y338" i="149" s="1"/>
  <c r="F271" i="139"/>
  <c r="K34" i="128" s="1"/>
  <c r="S269" i="139"/>
  <c r="S299" i="139" s="1"/>
  <c r="S318" i="139" s="1"/>
  <c r="S341" i="149" s="1"/>
  <c r="Z266" i="139"/>
  <c r="Z296" i="139" s="1"/>
  <c r="Z315" i="139" s="1"/>
  <c r="Z338" i="149" s="1"/>
  <c r="Z259" i="139"/>
  <c r="Z289" i="139" s="1"/>
  <c r="Z308" i="139" s="1"/>
  <c r="Z331" i="149" s="1"/>
  <c r="H259" i="139"/>
  <c r="H289" i="139" s="1"/>
  <c r="H308" i="139" s="1"/>
  <c r="H331" i="149" s="1"/>
  <c r="AA259" i="139"/>
  <c r="AA289" i="139" s="1"/>
  <c r="AA308" i="139" s="1"/>
  <c r="AA331" i="149" s="1"/>
  <c r="F262" i="139"/>
  <c r="F292" i="139" s="1"/>
  <c r="F311" i="139" s="1"/>
  <c r="F334" i="149" s="1"/>
  <c r="X266" i="139"/>
  <c r="X296" i="139" s="1"/>
  <c r="X315" i="139" s="1"/>
  <c r="X338" i="149" s="1"/>
  <c r="F259" i="139"/>
  <c r="F289" i="139" s="1"/>
  <c r="F308" i="139" s="1"/>
  <c r="F331" i="149" s="1"/>
  <c r="X271" i="139"/>
  <c r="AC34" i="128" s="1"/>
  <c r="E263" i="139"/>
  <c r="E293" i="139" s="1"/>
  <c r="E312" i="139" s="1"/>
  <c r="E335" i="149" s="1"/>
  <c r="N267" i="139"/>
  <c r="N297" i="139" s="1"/>
  <c r="N316" i="139" s="1"/>
  <c r="N339" i="149" s="1"/>
  <c r="I271" i="139"/>
  <c r="N34" i="128" s="1"/>
  <c r="AB266" i="139"/>
  <c r="AB296" i="139" s="1"/>
  <c r="AB315" i="139" s="1"/>
  <c r="AB338" i="149" s="1"/>
  <c r="H266" i="139"/>
  <c r="H296" i="139" s="1"/>
  <c r="H315" i="139" s="1"/>
  <c r="H338" i="149" s="1"/>
  <c r="J180" i="139"/>
  <c r="J205" i="139" s="1"/>
  <c r="E265" i="139"/>
  <c r="AI243" i="139"/>
  <c r="T267" i="139" s="1"/>
  <c r="T297" i="139" s="1"/>
  <c r="T316" i="139" s="1"/>
  <c r="T339" i="149" s="1"/>
  <c r="AA271" i="139"/>
  <c r="J260" i="139"/>
  <c r="J290" i="139" s="1"/>
  <c r="J309" i="139" s="1"/>
  <c r="J332" i="149" s="1"/>
  <c r="E266" i="139"/>
  <c r="E296" i="139" s="1"/>
  <c r="E315" i="139" s="1"/>
  <c r="E338" i="149" s="1"/>
  <c r="E267" i="139"/>
  <c r="E297" i="139" s="1"/>
  <c r="E316" i="139" s="1"/>
  <c r="E339" i="149" s="1"/>
  <c r="E259" i="139"/>
  <c r="R271" i="139"/>
  <c r="W34" i="128" s="1"/>
  <c r="I266" i="139"/>
  <c r="I296" i="139" s="1"/>
  <c r="I315" i="139" s="1"/>
  <c r="I338" i="149" s="1"/>
  <c r="Y271" i="139"/>
  <c r="AD34" i="128" s="1"/>
  <c r="AA263" i="139"/>
  <c r="AA293" i="139" s="1"/>
  <c r="AA312" i="139" s="1"/>
  <c r="AA335" i="149" s="1"/>
  <c r="J259" i="139"/>
  <c r="J289" i="139" s="1"/>
  <c r="J308" i="139" s="1"/>
  <c r="J331" i="149" s="1"/>
  <c r="E262" i="139"/>
  <c r="E292" i="139" s="1"/>
  <c r="E311" i="139" s="1"/>
  <c r="E334" i="149" s="1"/>
  <c r="S260" i="139"/>
  <c r="S290" i="139" s="1"/>
  <c r="S309" i="139" s="1"/>
  <c r="S332" i="149" s="1"/>
  <c r="Z180" i="139"/>
  <c r="Z205" i="139" s="1"/>
  <c r="AI170" i="139"/>
  <c r="AD194" i="139" s="1"/>
  <c r="AB271" i="139"/>
  <c r="AH173" i="139"/>
  <c r="J262" i="139"/>
  <c r="J292" i="139" s="1"/>
  <c r="J311" i="139" s="1"/>
  <c r="J334" i="149" s="1"/>
  <c r="E269" i="139"/>
  <c r="E299" i="139" s="1"/>
  <c r="E318" i="139" s="1"/>
  <c r="E341" i="149" s="1"/>
  <c r="H267" i="139"/>
  <c r="H297" i="139" s="1"/>
  <c r="H316" i="139" s="1"/>
  <c r="H339" i="149" s="1"/>
  <c r="T271" i="139"/>
  <c r="Y34" i="128" s="1"/>
  <c r="AB259" i="139"/>
  <c r="AB289" i="139" s="1"/>
  <c r="AB308" i="139" s="1"/>
  <c r="AB331" i="149" s="1"/>
  <c r="S271" i="139"/>
  <c r="X34" i="128" s="1"/>
  <c r="F266" i="139"/>
  <c r="F296" i="139" s="1"/>
  <c r="F315" i="139" s="1"/>
  <c r="F338" i="149" s="1"/>
  <c r="J271" i="139"/>
  <c r="H271" i="139"/>
  <c r="M34" i="128" s="1"/>
  <c r="E268" i="139"/>
  <c r="E298" i="139" s="1"/>
  <c r="E317" i="139" s="1"/>
  <c r="E340" i="149" s="1"/>
  <c r="G265" i="139"/>
  <c r="AC265" i="139"/>
  <c r="N271" i="139"/>
  <c r="S34" i="128" s="1"/>
  <c r="I259" i="139"/>
  <c r="I289" i="139" s="1"/>
  <c r="I308" i="139" s="1"/>
  <c r="I331" i="149" s="1"/>
  <c r="AI236" i="139"/>
  <c r="AH170" i="139"/>
  <c r="X180" i="139"/>
  <c r="X205" i="139" s="1"/>
  <c r="AI234" i="139"/>
  <c r="N258" i="139" s="1"/>
  <c r="S180" i="139"/>
  <c r="S205" i="139" s="1"/>
  <c r="AI171" i="139"/>
  <c r="M195" i="139" s="1"/>
  <c r="AH239" i="139"/>
  <c r="AH236" i="139"/>
  <c r="AI233" i="139"/>
  <c r="AA180" i="139"/>
  <c r="AA205" i="139" s="1"/>
  <c r="AI172" i="139"/>
  <c r="S196" i="139" s="1"/>
  <c r="S329" i="139" s="1"/>
  <c r="S338" i="139" s="1"/>
  <c r="S347" i="149" s="1"/>
  <c r="AH233" i="139"/>
  <c r="AH234" i="139"/>
  <c r="AI239" i="139"/>
  <c r="S263" i="139" s="1"/>
  <c r="AH235" i="139"/>
  <c r="F180" i="139"/>
  <c r="F205" i="139" s="1"/>
  <c r="F300" i="139"/>
  <c r="F319" i="139" s="1"/>
  <c r="F342" i="149" s="1"/>
  <c r="AA300" i="139"/>
  <c r="AA319" i="139" s="1"/>
  <c r="AA342" i="149" s="1"/>
  <c r="T300" i="139"/>
  <c r="T319" i="139" s="1"/>
  <c r="T342" i="149" s="1"/>
  <c r="Y300" i="139"/>
  <c r="Y319" i="139" s="1"/>
  <c r="Y342" i="149" s="1"/>
  <c r="Q300" i="139"/>
  <c r="Q319" i="139" s="1"/>
  <c r="Q342" i="149" s="1"/>
  <c r="AF301" i="139"/>
  <c r="AF320" i="139" s="1"/>
  <c r="AF343" i="149" s="1"/>
  <c r="AC300" i="139"/>
  <c r="AC319" i="139" s="1"/>
  <c r="AC342" i="149" s="1"/>
  <c r="M300" i="139"/>
  <c r="M319" i="139" s="1"/>
  <c r="M342" i="149" s="1"/>
  <c r="AB32" i="128"/>
  <c r="W297" i="139"/>
  <c r="W316" i="139" s="1"/>
  <c r="W339" i="149" s="1"/>
  <c r="W301" i="139"/>
  <c r="W320" i="139" s="1"/>
  <c r="W343" i="149" s="1"/>
  <c r="R300" i="139"/>
  <c r="R319" i="139" s="1"/>
  <c r="R342" i="149" s="1"/>
  <c r="AH238" i="139"/>
  <c r="AH242" i="139"/>
  <c r="P301" i="139"/>
  <c r="P320" i="139" s="1"/>
  <c r="P343" i="149" s="1"/>
  <c r="O300" i="139"/>
  <c r="O319" i="139" s="1"/>
  <c r="O342" i="149" s="1"/>
  <c r="Z301" i="139"/>
  <c r="Z320" i="139" s="1"/>
  <c r="Z343" i="149" s="1"/>
  <c r="U301" i="139"/>
  <c r="U320" i="139" s="1"/>
  <c r="U343" i="149" s="1"/>
  <c r="M301" i="139"/>
  <c r="M320" i="139" s="1"/>
  <c r="M343" i="149" s="1"/>
  <c r="AB24" i="128"/>
  <c r="W289" i="139"/>
  <c r="W308" i="139" s="1"/>
  <c r="W331" i="149" s="1"/>
  <c r="AF300" i="139"/>
  <c r="AF319" i="139" s="1"/>
  <c r="AF342" i="149" s="1"/>
  <c r="AI235" i="139"/>
  <c r="AH244" i="139"/>
  <c r="AH243" i="139"/>
  <c r="AH171" i="139"/>
  <c r="AD300" i="139"/>
  <c r="AD319" i="139" s="1"/>
  <c r="AD342" i="149" s="1"/>
  <c r="P300" i="139"/>
  <c r="P319" i="139" s="1"/>
  <c r="P342" i="149" s="1"/>
  <c r="O301" i="139"/>
  <c r="O320" i="139" s="1"/>
  <c r="O343" i="149" s="1"/>
  <c r="Z300" i="139"/>
  <c r="Z319" i="139" s="1"/>
  <c r="Z342" i="149" s="1"/>
  <c r="U300" i="139"/>
  <c r="U319" i="139" s="1"/>
  <c r="U342" i="149" s="1"/>
  <c r="K300" i="139"/>
  <c r="K319" i="139" s="1"/>
  <c r="K342" i="149" s="1"/>
  <c r="E300" i="139"/>
  <c r="E319" i="139" s="1"/>
  <c r="E342" i="149" s="1"/>
  <c r="AC301" i="139"/>
  <c r="AC320" i="139" s="1"/>
  <c r="AC343" i="149" s="1"/>
  <c r="G301" i="139"/>
  <c r="G320" i="139" s="1"/>
  <c r="G343" i="149" s="1"/>
  <c r="AE301" i="139"/>
  <c r="AE320" i="139" s="1"/>
  <c r="AE343" i="149" s="1"/>
  <c r="S300" i="139"/>
  <c r="S319" i="139" s="1"/>
  <c r="S342" i="149" s="1"/>
  <c r="H300" i="139"/>
  <c r="H319" i="139" s="1"/>
  <c r="H342" i="149" s="1"/>
  <c r="J300" i="139"/>
  <c r="J319" i="139" s="1"/>
  <c r="J342" i="149" s="1"/>
  <c r="AI244" i="139"/>
  <c r="AB31" i="128"/>
  <c r="W296" i="139"/>
  <c r="W315" i="139" s="1"/>
  <c r="W338" i="149" s="1"/>
  <c r="Q301" i="139"/>
  <c r="Q320" i="139" s="1"/>
  <c r="Q343" i="149" s="1"/>
  <c r="X300" i="139"/>
  <c r="X319" i="139" s="1"/>
  <c r="X342" i="149" s="1"/>
  <c r="G300" i="139"/>
  <c r="G319" i="139" s="1"/>
  <c r="G342" i="149" s="1"/>
  <c r="AE300" i="139"/>
  <c r="AE319" i="139" s="1"/>
  <c r="AE342" i="149" s="1"/>
  <c r="AB300" i="139"/>
  <c r="AB319" i="139" s="1"/>
  <c r="AB342" i="149" s="1"/>
  <c r="L301" i="139"/>
  <c r="L320" i="139" s="1"/>
  <c r="L343" i="149" s="1"/>
  <c r="AI242" i="139"/>
  <c r="AB23" i="128"/>
  <c r="W288" i="139"/>
  <c r="W307" i="139" s="1"/>
  <c r="W330" i="149" s="1"/>
  <c r="V300" i="139"/>
  <c r="V319" i="139" s="1"/>
  <c r="V342" i="149" s="1"/>
  <c r="I300" i="139"/>
  <c r="I319" i="139" s="1"/>
  <c r="I342" i="149" s="1"/>
  <c r="V301" i="139"/>
  <c r="V320" i="139" s="1"/>
  <c r="V343" i="149" s="1"/>
  <c r="K301" i="139"/>
  <c r="K320" i="139" s="1"/>
  <c r="K343" i="149" s="1"/>
  <c r="N300" i="139"/>
  <c r="N319" i="139" s="1"/>
  <c r="N342" i="149" s="1"/>
  <c r="L300" i="139"/>
  <c r="L319" i="139" s="1"/>
  <c r="L342" i="149" s="1"/>
  <c r="E301" i="139"/>
  <c r="E320" i="139" s="1"/>
  <c r="E343" i="149" s="1"/>
  <c r="AI238" i="139"/>
  <c r="AB262" i="139" s="1"/>
  <c r="AB292" i="139" s="1"/>
  <c r="AB311" i="139" s="1"/>
  <c r="AB334" i="149" s="1"/>
  <c r="AB25" i="128"/>
  <c r="W290" i="139"/>
  <c r="W309" i="139" s="1"/>
  <c r="W332" i="149" s="1"/>
  <c r="AI187" i="164"/>
  <c r="AJ186" i="164"/>
  <c r="Q317" i="144"/>
  <c r="Q361" i="149" s="1"/>
  <c r="E220" i="144"/>
  <c r="E252" i="144" s="1"/>
  <c r="E281" i="144" s="1"/>
  <c r="K13" i="155" s="1"/>
  <c r="E221" i="144"/>
  <c r="E253" i="144" s="1"/>
  <c r="E282" i="144" s="1"/>
  <c r="K14" i="155" s="1"/>
  <c r="E219" i="144"/>
  <c r="E251" i="144" s="1"/>
  <c r="E280" i="144" s="1"/>
  <c r="K12" i="155" s="1"/>
  <c r="Q164" i="144"/>
  <c r="Q319" i="144"/>
  <c r="Q363" i="149" s="1"/>
  <c r="O173" i="144"/>
  <c r="O237" i="144" s="1"/>
  <c r="O269" i="144" s="1"/>
  <c r="O286" i="144" s="1"/>
  <c r="U18" i="155" s="1"/>
  <c r="N319" i="144"/>
  <c r="N363" i="149" s="1"/>
  <c r="AC170" i="144"/>
  <c r="AC243" i="144" s="1"/>
  <c r="AC275" i="144" s="1"/>
  <c r="AC321" i="144"/>
  <c r="AC365" i="149" s="1"/>
  <c r="AC315" i="144"/>
  <c r="AC359" i="149" s="1"/>
  <c r="AC171" i="144"/>
  <c r="AB315" i="144"/>
  <c r="AB359" i="149" s="1"/>
  <c r="AB171" i="144"/>
  <c r="P315" i="144"/>
  <c r="P359" i="149" s="1"/>
  <c r="P171" i="144"/>
  <c r="Y315" i="144"/>
  <c r="Y359" i="149" s="1"/>
  <c r="Y171" i="144"/>
  <c r="AE315" i="144"/>
  <c r="AE359" i="149" s="1"/>
  <c r="AE171" i="144"/>
  <c r="Q315" i="144"/>
  <c r="Q359" i="149" s="1"/>
  <c r="Q171" i="144"/>
  <c r="M315" i="144"/>
  <c r="M359" i="149" s="1"/>
  <c r="M171" i="144"/>
  <c r="X315" i="144"/>
  <c r="X359" i="149" s="1"/>
  <c r="X171" i="144"/>
  <c r="R315" i="144"/>
  <c r="R359" i="149" s="1"/>
  <c r="R171" i="144"/>
  <c r="N315" i="144"/>
  <c r="N359" i="149" s="1"/>
  <c r="N171" i="144"/>
  <c r="O315" i="144"/>
  <c r="O359" i="149" s="1"/>
  <c r="O171" i="144"/>
  <c r="U315" i="144"/>
  <c r="U359" i="149" s="1"/>
  <c r="U171" i="144"/>
  <c r="L315" i="144"/>
  <c r="L359" i="149" s="1"/>
  <c r="L171" i="144"/>
  <c r="H315" i="144"/>
  <c r="H359" i="149" s="1"/>
  <c r="H171" i="144"/>
  <c r="AA315" i="144"/>
  <c r="AA359" i="149" s="1"/>
  <c r="AA171" i="144"/>
  <c r="K315" i="144"/>
  <c r="K359" i="149" s="1"/>
  <c r="K171" i="144"/>
  <c r="W315" i="144"/>
  <c r="W359" i="149" s="1"/>
  <c r="W171" i="144"/>
  <c r="I315" i="144"/>
  <c r="I359" i="149" s="1"/>
  <c r="I171" i="144"/>
  <c r="T315" i="144"/>
  <c r="T359" i="149" s="1"/>
  <c r="T171" i="144"/>
  <c r="AD315" i="144"/>
  <c r="AD359" i="149" s="1"/>
  <c r="AD171" i="144"/>
  <c r="L316" i="144"/>
  <c r="L360" i="149" s="1"/>
  <c r="J315" i="144"/>
  <c r="J359" i="149" s="1"/>
  <c r="J171" i="144"/>
  <c r="F315" i="144"/>
  <c r="F359" i="149" s="1"/>
  <c r="F171" i="144"/>
  <c r="G315" i="144"/>
  <c r="G359" i="149" s="1"/>
  <c r="G171" i="144"/>
  <c r="S315" i="144"/>
  <c r="S359" i="149" s="1"/>
  <c r="S171" i="144"/>
  <c r="AC164" i="144"/>
  <c r="AF315" i="144"/>
  <c r="AF359" i="149" s="1"/>
  <c r="AF171" i="144"/>
  <c r="Z315" i="144"/>
  <c r="Z359" i="149" s="1"/>
  <c r="Z171" i="144"/>
  <c r="V315" i="144"/>
  <c r="V359" i="149" s="1"/>
  <c r="V171" i="144"/>
  <c r="I64" i="144"/>
  <c r="I101" i="144" s="1"/>
  <c r="N177" i="144"/>
  <c r="AC176" i="144"/>
  <c r="X64" i="144"/>
  <c r="X101" i="144" s="1"/>
  <c r="E64" i="144"/>
  <c r="AE176" i="144"/>
  <c r="AE170" i="144"/>
  <c r="AE243" i="144" s="1"/>
  <c r="AE275" i="144" s="1"/>
  <c r="G64" i="144"/>
  <c r="T65" i="144"/>
  <c r="AE167" i="144"/>
  <c r="M173" i="144"/>
  <c r="M237" i="144" s="1"/>
  <c r="M269" i="144" s="1"/>
  <c r="M286" i="144" s="1"/>
  <c r="S18" i="155" s="1"/>
  <c r="V64" i="144"/>
  <c r="V101" i="144" s="1"/>
  <c r="L65" i="144"/>
  <c r="L176" i="144"/>
  <c r="L167" i="144"/>
  <c r="Y65" i="144"/>
  <c r="Y164" i="144"/>
  <c r="Y177" i="144"/>
  <c r="AC173" i="144"/>
  <c r="AC237" i="144" s="1"/>
  <c r="AC269" i="144" s="1"/>
  <c r="AC286" i="144" s="1"/>
  <c r="AI18" i="155" s="1"/>
  <c r="W64" i="144"/>
  <c r="AB65" i="144"/>
  <c r="AB173" i="144"/>
  <c r="AB237" i="144" s="1"/>
  <c r="AB269" i="144" s="1"/>
  <c r="AB286" i="144" s="1"/>
  <c r="AH18" i="155" s="1"/>
  <c r="AB166" i="144"/>
  <c r="AB244" i="144" s="1"/>
  <c r="AB276" i="144" s="1"/>
  <c r="AB170" i="144"/>
  <c r="AB243" i="144" s="1"/>
  <c r="AB275" i="144" s="1"/>
  <c r="AA65" i="144"/>
  <c r="AA174" i="144"/>
  <c r="AA235" i="144" s="1"/>
  <c r="AA267" i="144" s="1"/>
  <c r="AA164" i="144"/>
  <c r="AA170" i="144"/>
  <c r="AA243" i="144" s="1"/>
  <c r="AA275" i="144" s="1"/>
  <c r="H65" i="144"/>
  <c r="H173" i="144"/>
  <c r="H237" i="144" s="1"/>
  <c r="H269" i="144" s="1"/>
  <c r="H286" i="144" s="1"/>
  <c r="N18" i="155" s="1"/>
  <c r="S65" i="144"/>
  <c r="Z65" i="144"/>
  <c r="Z164" i="144"/>
  <c r="Z173" i="144"/>
  <c r="Z237" i="144" s="1"/>
  <c r="Z269" i="144" s="1"/>
  <c r="Z286" i="144" s="1"/>
  <c r="AF18" i="155" s="1"/>
  <c r="Z166" i="144"/>
  <c r="Z244" i="144" s="1"/>
  <c r="Z276" i="144" s="1"/>
  <c r="Z177" i="144"/>
  <c r="K65" i="144"/>
  <c r="K177" i="144"/>
  <c r="K170" i="144"/>
  <c r="K243" i="144" s="1"/>
  <c r="K275" i="144" s="1"/>
  <c r="K178" i="144"/>
  <c r="K245" i="144" s="1"/>
  <c r="K277" i="144" s="1"/>
  <c r="K169" i="144"/>
  <c r="R65" i="144"/>
  <c r="J65" i="144"/>
  <c r="J176" i="144"/>
  <c r="J165" i="144"/>
  <c r="J233" i="144" s="1"/>
  <c r="J265" i="144" s="1"/>
  <c r="AF64" i="144"/>
  <c r="AF101" i="144" s="1"/>
  <c r="O166" i="144"/>
  <c r="O244" i="144" s="1"/>
  <c r="O276" i="144" s="1"/>
  <c r="F64" i="144"/>
  <c r="AD64" i="144"/>
  <c r="AD101" i="144" s="1"/>
  <c r="U64" i="144"/>
  <c r="U101" i="144" s="1"/>
  <c r="P64" i="144"/>
  <c r="P101" i="144" s="1"/>
  <c r="X23" i="128"/>
  <c r="P27" i="128"/>
  <c r="U25" i="128"/>
  <c r="AH31" i="128"/>
  <c r="AA24" i="128"/>
  <c r="AJ23" i="128"/>
  <c r="K32" i="128"/>
  <c r="Q23" i="128"/>
  <c r="AE25" i="128"/>
  <c r="AF32" i="128"/>
  <c r="Q27" i="128"/>
  <c r="J23" i="128"/>
  <c r="Q33" i="128"/>
  <c r="L28" i="128"/>
  <c r="P23" i="128"/>
  <c r="AH23" i="128"/>
  <c r="AK23" i="128"/>
  <c r="P31" i="128"/>
  <c r="L31" i="128"/>
  <c r="AG25" i="128"/>
  <c r="P25" i="128"/>
  <c r="AG23" i="128"/>
  <c r="AJ25" i="128"/>
  <c r="AH32" i="128"/>
  <c r="AI25" i="128"/>
  <c r="K25" i="128"/>
  <c r="AC23" i="128"/>
  <c r="AE23" i="128"/>
  <c r="Q31" i="128"/>
  <c r="AH24" i="128"/>
  <c r="AH28" i="128"/>
  <c r="L27" i="128"/>
  <c r="AI23" i="128"/>
  <c r="T25" i="128"/>
  <c r="T24" i="128"/>
  <c r="AH27" i="128"/>
  <c r="Q24" i="128"/>
  <c r="AA27" i="128"/>
  <c r="W23" i="128"/>
  <c r="Q32" i="128"/>
  <c r="Q28" i="128"/>
  <c r="W25" i="128"/>
  <c r="M23" i="128"/>
  <c r="T27" i="128"/>
  <c r="AJ24" i="128"/>
  <c r="N23" i="128"/>
  <c r="Q25" i="128"/>
  <c r="AK24" i="128"/>
  <c r="AD23" i="128"/>
  <c r="L23" i="128"/>
  <c r="AF25" i="128"/>
  <c r="L24" i="128"/>
  <c r="P24" i="128"/>
  <c r="AC25" i="128"/>
  <c r="V23" i="128"/>
  <c r="AF31" i="128"/>
  <c r="K23" i="128"/>
  <c r="L32" i="128"/>
  <c r="R31" i="128"/>
  <c r="Z23" i="128"/>
  <c r="U23" i="128"/>
  <c r="L25" i="128"/>
  <c r="AA23" i="128"/>
  <c r="S25" i="128"/>
  <c r="AA31" i="128"/>
  <c r="R23" i="128"/>
  <c r="T23" i="128"/>
  <c r="M25" i="128"/>
  <c r="AF23" i="128"/>
  <c r="T31" i="128"/>
  <c r="AH33" i="128"/>
  <c r="V25" i="128"/>
  <c r="O23" i="128"/>
  <c r="AH25" i="128"/>
  <c r="AD25" i="128"/>
  <c r="N25" i="128"/>
  <c r="J25" i="128"/>
  <c r="Y23" i="128"/>
  <c r="Q221" i="139"/>
  <c r="Q241" i="139" s="1" a="1"/>
  <c r="Q241" i="139" s="1"/>
  <c r="I159" i="139"/>
  <c r="Y221" i="139"/>
  <c r="Y241" i="139" s="1" a="1"/>
  <c r="Y241" i="139" s="1"/>
  <c r="J237" i="139" a="1"/>
  <c r="J237" i="139" s="1"/>
  <c r="K237" i="139" a="1"/>
  <c r="K237" i="139" s="1"/>
  <c r="U237" i="139" a="1"/>
  <c r="U237" i="139" s="1"/>
  <c r="Z237" i="139" a="1"/>
  <c r="Z237" i="139" s="1"/>
  <c r="L237" i="139" a="1"/>
  <c r="L237" i="139" s="1"/>
  <c r="X237" i="139" a="1"/>
  <c r="X237" i="139" s="1"/>
  <c r="N237" i="139" a="1"/>
  <c r="N237" i="139" s="1"/>
  <c r="AE237" i="139" a="1"/>
  <c r="AE237" i="139" s="1"/>
  <c r="F237" i="139" a="1"/>
  <c r="F237" i="139" s="1"/>
  <c r="O237" i="139" a="1"/>
  <c r="O237" i="139" s="1"/>
  <c r="AA237" i="139" a="1"/>
  <c r="AA237" i="139" s="1"/>
  <c r="AA228" i="139"/>
  <c r="V237" i="139" a="1"/>
  <c r="V237" i="139" s="1"/>
  <c r="S237" i="139" a="1"/>
  <c r="S237" i="139" s="1"/>
  <c r="E237" i="139" a="1"/>
  <c r="E237" i="139" s="1"/>
  <c r="AB237" i="139" a="1"/>
  <c r="AB237" i="139" s="1"/>
  <c r="R237" i="139" a="1"/>
  <c r="R237" i="139" s="1"/>
  <c r="AD237" i="139" a="1"/>
  <c r="AD237" i="139" s="1"/>
  <c r="AD261" i="139" s="1"/>
  <c r="AF237" i="139" a="1"/>
  <c r="AF237" i="139" s="1"/>
  <c r="T237" i="139" a="1"/>
  <c r="T237" i="139" s="1"/>
  <c r="AC237" i="139" a="1"/>
  <c r="AC237" i="139" s="1"/>
  <c r="G237" i="139" a="1"/>
  <c r="G237" i="139" s="1"/>
  <c r="W237" i="139" a="1"/>
  <c r="W237" i="139" s="1"/>
  <c r="H237" i="139" a="1"/>
  <c r="H237" i="139" s="1"/>
  <c r="M237" i="139" a="1"/>
  <c r="M237" i="139" s="1"/>
  <c r="Y237" i="139" a="1"/>
  <c r="Y237" i="139" s="1"/>
  <c r="Q159" i="139"/>
  <c r="V158" i="139"/>
  <c r="V159" i="139" s="1"/>
  <c r="N158" i="139"/>
  <c r="N159" i="139" s="1"/>
  <c r="K158" i="139"/>
  <c r="K159" i="139" s="1"/>
  <c r="M158" i="139"/>
  <c r="M159" i="139" s="1"/>
  <c r="J158" i="139"/>
  <c r="J159" i="139" s="1"/>
  <c r="H158" i="139"/>
  <c r="H159" i="139" s="1"/>
  <c r="F158" i="139"/>
  <c r="F159" i="139" s="1"/>
  <c r="AB158" i="139"/>
  <c r="AB159" i="139" s="1"/>
  <c r="Z158" i="139"/>
  <c r="AC158" i="139"/>
  <c r="E158" i="139"/>
  <c r="E159" i="139" s="1"/>
  <c r="R158" i="139"/>
  <c r="R159" i="139" s="1"/>
  <c r="AA158" i="139"/>
  <c r="AA159" i="139" s="1"/>
  <c r="U158" i="139"/>
  <c r="U159" i="139" s="1"/>
  <c r="S158" i="139"/>
  <c r="S159" i="139" s="1"/>
  <c r="P158" i="139"/>
  <c r="P159" i="139" s="1"/>
  <c r="L158" i="139"/>
  <c r="L159" i="139" s="1"/>
  <c r="W158" i="139"/>
  <c r="W159" i="139" s="1"/>
  <c r="T158" i="139"/>
  <c r="T159" i="139" s="1"/>
  <c r="AE158" i="139"/>
  <c r="AE159" i="139" s="1"/>
  <c r="AD158" i="139"/>
  <c r="AD159" i="139" s="1"/>
  <c r="AF158" i="139"/>
  <c r="AF159" i="139" s="1"/>
  <c r="G158" i="139"/>
  <c r="G159" i="139" s="1"/>
  <c r="W148" i="139"/>
  <c r="Q148" i="139"/>
  <c r="N148" i="139"/>
  <c r="N220" i="139" s="1"/>
  <c r="N240" i="139" s="1" a="1"/>
  <c r="N240" i="139" s="1"/>
  <c r="G148" i="139"/>
  <c r="T148" i="139"/>
  <c r="S148" i="139"/>
  <c r="AB148" i="139"/>
  <c r="R148" i="139"/>
  <c r="H148" i="139"/>
  <c r="H220" i="139" s="1"/>
  <c r="H240" i="139" s="1" a="1"/>
  <c r="H240" i="139" s="1"/>
  <c r="E148" i="139"/>
  <c r="I148" i="139"/>
  <c r="AD148" i="139"/>
  <c r="AC148" i="139"/>
  <c r="AC220" i="139" s="1"/>
  <c r="AC240" i="139" s="1" a="1"/>
  <c r="AC240" i="139" s="1"/>
  <c r="U148" i="139"/>
  <c r="V148" i="139"/>
  <c r="J148" i="139"/>
  <c r="AE148" i="139"/>
  <c r="P148" i="139"/>
  <c r="L148" i="139"/>
  <c r="L220" i="139" s="1"/>
  <c r="L240" i="139" s="1" a="1"/>
  <c r="L240" i="139" s="1"/>
  <c r="M148" i="139"/>
  <c r="AF148" i="139"/>
  <c r="AA153" i="139"/>
  <c r="AA154" i="139" s="1"/>
  <c r="AA268" i="139" l="1"/>
  <c r="AA298" i="139" s="1"/>
  <c r="AA317" i="139" s="1"/>
  <c r="AA340" i="149" s="1"/>
  <c r="G268" i="139"/>
  <c r="L44" i="128"/>
  <c r="Q44" i="128"/>
  <c r="X158" i="139"/>
  <c r="X159" i="139" s="1"/>
  <c r="O39" i="128"/>
  <c r="Z35" i="128"/>
  <c r="Z195" i="139"/>
  <c r="AE37" i="128" s="1"/>
  <c r="J31" i="128"/>
  <c r="X25" i="128"/>
  <c r="K27" i="128"/>
  <c r="J33" i="128"/>
  <c r="O158" i="139"/>
  <c r="AA125" i="144"/>
  <c r="AA144" i="144"/>
  <c r="AA129" i="144"/>
  <c r="AA148" i="144"/>
  <c r="Y129" i="144"/>
  <c r="Y148" i="144"/>
  <c r="AB234" i="144"/>
  <c r="AB266" i="144" s="1"/>
  <c r="Y146" i="144"/>
  <c r="Y127" i="144"/>
  <c r="AD327" i="139"/>
  <c r="AD336" i="139" s="1"/>
  <c r="AD345" i="149" s="1"/>
  <c r="AI36" i="128"/>
  <c r="AE154" i="144"/>
  <c r="AE135" i="144"/>
  <c r="O234" i="144"/>
  <c r="O266" i="144" s="1"/>
  <c r="M234" i="144"/>
  <c r="M266" i="144" s="1"/>
  <c r="AC125" i="144"/>
  <c r="AC144" i="144"/>
  <c r="Y134" i="144"/>
  <c r="Y153" i="144"/>
  <c r="AA121" i="144"/>
  <c r="AA140" i="144"/>
  <c r="AC151" i="144"/>
  <c r="AC132" i="144"/>
  <c r="AC149" i="144"/>
  <c r="AC130" i="144"/>
  <c r="AC140" i="144"/>
  <c r="AC121" i="144"/>
  <c r="Y234" i="144"/>
  <c r="Y266" i="144" s="1"/>
  <c r="Y135" i="144"/>
  <c r="Y154" i="144"/>
  <c r="H149" i="144"/>
  <c r="H130" i="144"/>
  <c r="AA122" i="144"/>
  <c r="AA141" i="144"/>
  <c r="AC234" i="144"/>
  <c r="AC266" i="144" s="1"/>
  <c r="H140" i="144"/>
  <c r="H121" i="144"/>
  <c r="AA130" i="144"/>
  <c r="AA149" i="144"/>
  <c r="H146" i="144"/>
  <c r="H127" i="144"/>
  <c r="AA124" i="144"/>
  <c r="AA143" i="144"/>
  <c r="AC131" i="144"/>
  <c r="AC150" i="144"/>
  <c r="AA132" i="144"/>
  <c r="AA151" i="144"/>
  <c r="Z234" i="144"/>
  <c r="Z266" i="144" s="1"/>
  <c r="H148" i="144"/>
  <c r="H129" i="144"/>
  <c r="H122" i="144"/>
  <c r="H141" i="144"/>
  <c r="AC141" i="144"/>
  <c r="AC122" i="144"/>
  <c r="N234" i="144"/>
  <c r="N266" i="144" s="1"/>
  <c r="AE121" i="144"/>
  <c r="AE140" i="144"/>
  <c r="H123" i="144"/>
  <c r="H142" i="144"/>
  <c r="H132" i="144"/>
  <c r="H151" i="144"/>
  <c r="J301" i="139"/>
  <c r="J320" i="139" s="1"/>
  <c r="J343" i="149" s="1"/>
  <c r="O34" i="128"/>
  <c r="AA301" i="139"/>
  <c r="AA320" i="139" s="1"/>
  <c r="AA343" i="149" s="1"/>
  <c r="AF34" i="128"/>
  <c r="AE123" i="144"/>
  <c r="AE142" i="144"/>
  <c r="H124" i="144"/>
  <c r="H143" i="144"/>
  <c r="AC154" i="144"/>
  <c r="AC135" i="144"/>
  <c r="AA234" i="144"/>
  <c r="AA266" i="144" s="1"/>
  <c r="AE124" i="144"/>
  <c r="AE143" i="144"/>
  <c r="Y121" i="144"/>
  <c r="Y140" i="144"/>
  <c r="G295" i="139"/>
  <c r="G314" i="139" s="1"/>
  <c r="G337" i="149" s="1"/>
  <c r="Q234" i="144"/>
  <c r="Q266" i="144" s="1"/>
  <c r="AA165" i="144"/>
  <c r="AA233" i="144" s="1"/>
  <c r="AA265" i="144" s="1"/>
  <c r="E295" i="139"/>
  <c r="E314" i="139" s="1"/>
  <c r="E337" i="149" s="1"/>
  <c r="AC124" i="144"/>
  <c r="AC143" i="144"/>
  <c r="H165" i="144"/>
  <c r="H233" i="144" s="1"/>
  <c r="H265" i="144" s="1"/>
  <c r="AG31" i="128"/>
  <c r="AE144" i="144"/>
  <c r="AE125" i="144"/>
  <c r="AE145" i="144"/>
  <c r="AE126" i="144"/>
  <c r="Y142" i="144"/>
  <c r="Y123" i="144"/>
  <c r="H125" i="144"/>
  <c r="H144" i="144"/>
  <c r="AD40" i="128"/>
  <c r="AE127" i="144"/>
  <c r="AE146" i="144"/>
  <c r="AA131" i="144"/>
  <c r="AA150" i="144"/>
  <c r="AF44" i="128"/>
  <c r="AA44" i="128"/>
  <c r="Z44" i="128"/>
  <c r="O44" i="128"/>
  <c r="Y44" i="128"/>
  <c r="N44" i="128"/>
  <c r="AK44" i="128"/>
  <c r="X44" i="128"/>
  <c r="AG44" i="128"/>
  <c r="W44" i="128"/>
  <c r="AD44" i="128"/>
  <c r="AB44" i="128"/>
  <c r="AE44" i="128"/>
  <c r="K44" i="128"/>
  <c r="T44" i="128"/>
  <c r="AI44" i="128"/>
  <c r="M44" i="128"/>
  <c r="R44" i="128"/>
  <c r="AJ44" i="128"/>
  <c r="AC44" i="128"/>
  <c r="P44" i="128"/>
  <c r="U44" i="128"/>
  <c r="S44" i="128"/>
  <c r="V44" i="128"/>
  <c r="AE130" i="144"/>
  <c r="AE149" i="144"/>
  <c r="AC295" i="139"/>
  <c r="AC314" i="139" s="1"/>
  <c r="AC337" i="149" s="1"/>
  <c r="K234" i="144"/>
  <c r="K266" i="144" s="1"/>
  <c r="AA126" i="144"/>
  <c r="AA145" i="144"/>
  <c r="AC146" i="144"/>
  <c r="AC127" i="144"/>
  <c r="AC145" i="144"/>
  <c r="AC126" i="144"/>
  <c r="U197" i="139"/>
  <c r="U330" i="139" s="1"/>
  <c r="U339" i="139" s="1"/>
  <c r="U348" i="149" s="1"/>
  <c r="AE131" i="144"/>
  <c r="AE150" i="144"/>
  <c r="AE151" i="144"/>
  <c r="AE132" i="144"/>
  <c r="Y149" i="144"/>
  <c r="Y130" i="144"/>
  <c r="AA134" i="144"/>
  <c r="AA153" i="144"/>
  <c r="AC153" i="144"/>
  <c r="AC134" i="144"/>
  <c r="AE129" i="144"/>
  <c r="AE148" i="144"/>
  <c r="M32" i="128"/>
  <c r="J32" i="128"/>
  <c r="AE152" i="144"/>
  <c r="AE133" i="144"/>
  <c r="Y150" i="144"/>
  <c r="Y131" i="144"/>
  <c r="AC123" i="144"/>
  <c r="AC142" i="144"/>
  <c r="M328" i="139"/>
  <c r="M337" i="139" s="1"/>
  <c r="M346" i="149" s="1"/>
  <c r="R37" i="128"/>
  <c r="AB301" i="139"/>
  <c r="AB320" i="139" s="1"/>
  <c r="AB343" i="149" s="1"/>
  <c r="AG34" i="128"/>
  <c r="AE153" i="144"/>
  <c r="AE134" i="144"/>
  <c r="Y151" i="144"/>
  <c r="Y132" i="144"/>
  <c r="AA127" i="144"/>
  <c r="AA146" i="144"/>
  <c r="AC312" i="144"/>
  <c r="AC356" i="149" s="1"/>
  <c r="AC97" i="144"/>
  <c r="U35" i="138"/>
  <c r="AL46" i="138"/>
  <c r="AL83" i="138"/>
  <c r="AL71" i="138"/>
  <c r="H35" i="138"/>
  <c r="P35" i="138"/>
  <c r="AH35" i="138"/>
  <c r="S35" i="138"/>
  <c r="Z35" i="138"/>
  <c r="L35" i="138"/>
  <c r="AA35" i="138"/>
  <c r="AB35" i="138"/>
  <c r="K35" i="138"/>
  <c r="R35" i="138"/>
  <c r="AI35" i="138"/>
  <c r="W35" i="138"/>
  <c r="AE35" i="138"/>
  <c r="AC35" i="138"/>
  <c r="AG35" i="138"/>
  <c r="M35" i="138"/>
  <c r="Y35" i="138"/>
  <c r="T35" i="138"/>
  <c r="I35" i="138"/>
  <c r="Q35" i="138"/>
  <c r="AD35" i="138"/>
  <c r="J35" i="138"/>
  <c r="AF35" i="138"/>
  <c r="N35" i="138"/>
  <c r="X35" i="138"/>
  <c r="O35" i="138"/>
  <c r="F220" i="139"/>
  <c r="F240" i="139" s="1" a="1"/>
  <c r="F240" i="139" s="1"/>
  <c r="V35" i="138"/>
  <c r="AB257" i="139"/>
  <c r="AB287" i="139" s="1"/>
  <c r="AB306" i="139" s="1"/>
  <c r="AB329" i="149" s="1"/>
  <c r="F257" i="139"/>
  <c r="Z159" i="139"/>
  <c r="T116" i="144"/>
  <c r="Z194" i="139"/>
  <c r="K24" i="128"/>
  <c r="O159" i="139"/>
  <c r="S32" i="128"/>
  <c r="AC159" i="139"/>
  <c r="F38" i="150"/>
  <c r="O25" i="128"/>
  <c r="AC31" i="128"/>
  <c r="AD31" i="128"/>
  <c r="M31" i="128"/>
  <c r="AE194" i="139"/>
  <c r="N31" i="128"/>
  <c r="I194" i="139"/>
  <c r="X38" i="128"/>
  <c r="F89" i="144"/>
  <c r="F111" i="144" s="1"/>
  <c r="F85" i="144"/>
  <c r="F107" i="144" s="1"/>
  <c r="E92" i="144"/>
  <c r="E85" i="144"/>
  <c r="AA177" i="144"/>
  <c r="Y173" i="144"/>
  <c r="Y237" i="144" s="1"/>
  <c r="Y269" i="144" s="1"/>
  <c r="Y286" i="144" s="1"/>
  <c r="AE18" i="155" s="1"/>
  <c r="Y165" i="144"/>
  <c r="Y233" i="144" s="1"/>
  <c r="Y265" i="144" s="1"/>
  <c r="Y104" i="144"/>
  <c r="H169" i="144"/>
  <c r="H236" i="144" s="1"/>
  <c r="H268" i="144" s="1"/>
  <c r="H108" i="144"/>
  <c r="H176" i="144"/>
  <c r="H115" i="144"/>
  <c r="AA166" i="144"/>
  <c r="AA244" i="144" s="1"/>
  <c r="AA105" i="144"/>
  <c r="G92" i="144"/>
  <c r="G114" i="144" s="1"/>
  <c r="G85" i="144"/>
  <c r="G107" i="144" s="1"/>
  <c r="G101" i="144"/>
  <c r="AA169" i="144"/>
  <c r="H178" i="144"/>
  <c r="H245" i="144" s="1"/>
  <c r="H277" i="144" s="1"/>
  <c r="H117" i="144"/>
  <c r="H167" i="144"/>
  <c r="E101" i="144"/>
  <c r="Y167" i="144"/>
  <c r="Y106" i="144"/>
  <c r="Y176" i="144"/>
  <c r="Y115" i="144"/>
  <c r="H177" i="144"/>
  <c r="H116" i="144"/>
  <c r="AA178" i="144"/>
  <c r="AA245" i="144" s="1"/>
  <c r="AA277" i="144" s="1"/>
  <c r="AA117" i="144"/>
  <c r="H164" i="144"/>
  <c r="F95" i="144"/>
  <c r="F117" i="144" s="1"/>
  <c r="F101" i="144"/>
  <c r="H170" i="144"/>
  <c r="H243" i="144" s="1"/>
  <c r="H275" i="144" s="1"/>
  <c r="AA173" i="144"/>
  <c r="AA237" i="144" s="1"/>
  <c r="AA269" i="144" s="1"/>
  <c r="AA286" i="144" s="1"/>
  <c r="AG18" i="155" s="1"/>
  <c r="AE177" i="144"/>
  <c r="AE165" i="144"/>
  <c r="AE233" i="144" s="1"/>
  <c r="AE265" i="144" s="1"/>
  <c r="AE104" i="144"/>
  <c r="W65" i="144"/>
  <c r="W94" i="144" s="1"/>
  <c r="W101" i="144"/>
  <c r="Y169" i="144"/>
  <c r="Y108" i="144"/>
  <c r="H174" i="144"/>
  <c r="H235" i="144" s="1"/>
  <c r="H267" i="144" s="1"/>
  <c r="H113" i="144"/>
  <c r="AA176" i="144"/>
  <c r="AA115" i="144"/>
  <c r="AA167" i="144"/>
  <c r="AE169" i="144"/>
  <c r="F195" i="139"/>
  <c r="AB195" i="139"/>
  <c r="O195" i="139"/>
  <c r="T37" i="128" s="1"/>
  <c r="I195" i="139"/>
  <c r="K195" i="139"/>
  <c r="P37" i="128" s="1"/>
  <c r="J195" i="139"/>
  <c r="S195" i="139"/>
  <c r="P195" i="139"/>
  <c r="U37" i="128" s="1"/>
  <c r="Q195" i="139"/>
  <c r="AE195" i="139"/>
  <c r="O24" i="128"/>
  <c r="W195" i="139"/>
  <c r="AB37" i="128" s="1"/>
  <c r="T195" i="139"/>
  <c r="Y37" i="128" s="1"/>
  <c r="H195" i="139"/>
  <c r="M24" i="128"/>
  <c r="AD195" i="139"/>
  <c r="R195" i="139"/>
  <c r="AF195" i="139"/>
  <c r="Q425" i="149"/>
  <c r="Q467" i="149" s="1"/>
  <c r="Y301" i="139"/>
  <c r="Y320" i="139" s="1"/>
  <c r="Y343" i="149" s="1"/>
  <c r="AE31" i="128"/>
  <c r="J28" i="128"/>
  <c r="N301" i="139"/>
  <c r="N320" i="139" s="1"/>
  <c r="N343" i="149" s="1"/>
  <c r="AC424" i="149"/>
  <c r="AC466" i="149" s="1"/>
  <c r="E289" i="139"/>
  <c r="E308" i="139" s="1"/>
  <c r="E331" i="149" s="1"/>
  <c r="O425" i="149"/>
  <c r="O467" i="149" s="1"/>
  <c r="Q424" i="149"/>
  <c r="Q466" i="149" s="1"/>
  <c r="AG24" i="128"/>
  <c r="AE97" i="144"/>
  <c r="T97" i="144"/>
  <c r="J97" i="144"/>
  <c r="T164" i="144"/>
  <c r="J164" i="144"/>
  <c r="W91" i="144"/>
  <c r="W113" i="144" s="1"/>
  <c r="K97" i="144"/>
  <c r="S97" i="144"/>
  <c r="M97" i="144"/>
  <c r="V65" i="144"/>
  <c r="V87" i="144"/>
  <c r="V95" i="144"/>
  <c r="V117" i="144" s="1"/>
  <c r="V86" i="144"/>
  <c r="V108" i="144" s="1"/>
  <c r="V94" i="144"/>
  <c r="V116" i="144" s="1"/>
  <c r="V85" i="144"/>
  <c r="V93" i="144"/>
  <c r="V115" i="144" s="1"/>
  <c r="V84" i="144"/>
  <c r="V106" i="144" s="1"/>
  <c r="V91" i="144"/>
  <c r="V113" i="144" s="1"/>
  <c r="V82" i="144"/>
  <c r="V104" i="144" s="1"/>
  <c r="V83" i="144"/>
  <c r="V105" i="144" s="1"/>
  <c r="V90" i="144"/>
  <c r="V112" i="144" s="1"/>
  <c r="V81" i="144"/>
  <c r="V103" i="144" s="1"/>
  <c r="V89" i="144"/>
  <c r="V111" i="144" s="1"/>
  <c r="V92" i="144"/>
  <c r="V114" i="144" s="1"/>
  <c r="G95" i="144"/>
  <c r="G86" i="144"/>
  <c r="G108" i="144" s="1"/>
  <c r="G94" i="144"/>
  <c r="G93" i="144"/>
  <c r="G115" i="144" s="1"/>
  <c r="G84" i="144"/>
  <c r="G106" i="144" s="1"/>
  <c r="G83" i="144"/>
  <c r="G105" i="144" s="1"/>
  <c r="G90" i="144"/>
  <c r="G81" i="144"/>
  <c r="G103" i="144" s="1"/>
  <c r="G82" i="144"/>
  <c r="G87" i="144"/>
  <c r="G109" i="144" s="1"/>
  <c r="G89" i="144"/>
  <c r="G111" i="144" s="1"/>
  <c r="G91" i="144"/>
  <c r="G113" i="144" s="1"/>
  <c r="P167" i="144"/>
  <c r="P165" i="144"/>
  <c r="P233" i="144" s="1"/>
  <c r="P265" i="144" s="1"/>
  <c r="P169" i="144"/>
  <c r="Z97" i="144"/>
  <c r="AA97" i="144"/>
  <c r="I65" i="144"/>
  <c r="I93" i="144"/>
  <c r="I176" i="144" s="1"/>
  <c r="I84" i="144"/>
  <c r="I92" i="144"/>
  <c r="I91" i="144"/>
  <c r="I82" i="144"/>
  <c r="I90" i="144"/>
  <c r="I173" i="144" s="1"/>
  <c r="I237" i="144" s="1"/>
  <c r="I269" i="144" s="1"/>
  <c r="I286" i="144" s="1"/>
  <c r="O18" i="155" s="1"/>
  <c r="I81" i="144"/>
  <c r="I87" i="144"/>
  <c r="I86" i="144"/>
  <c r="I313" i="144" s="1"/>
  <c r="I357" i="149" s="1"/>
  <c r="I95" i="144"/>
  <c r="I89" i="144"/>
  <c r="I85" i="144"/>
  <c r="I94" i="144"/>
  <c r="I83" i="144"/>
  <c r="U89" i="144"/>
  <c r="U87" i="144"/>
  <c r="U95" i="144"/>
  <c r="U86" i="144"/>
  <c r="U94" i="144"/>
  <c r="U177" i="144" s="1"/>
  <c r="U85" i="144"/>
  <c r="U92" i="144"/>
  <c r="U83" i="144"/>
  <c r="U84" i="144"/>
  <c r="U90" i="144"/>
  <c r="U91" i="144"/>
  <c r="U81" i="144"/>
  <c r="U164" i="144" s="1"/>
  <c r="U93" i="144"/>
  <c r="U82" i="144"/>
  <c r="AF95" i="144"/>
  <c r="AF94" i="144"/>
  <c r="AF177" i="144" s="1"/>
  <c r="AF93" i="144"/>
  <c r="AF92" i="144"/>
  <c r="AF91" i="144"/>
  <c r="AF90" i="144"/>
  <c r="AF89" i="144"/>
  <c r="AF87" i="144"/>
  <c r="AF86" i="144"/>
  <c r="AF169" i="144" s="1"/>
  <c r="AF85" i="144"/>
  <c r="AF84" i="144"/>
  <c r="AF83" i="144"/>
  <c r="AF82" i="144"/>
  <c r="AF81" i="144"/>
  <c r="AF164" i="144" s="1"/>
  <c r="L97" i="144"/>
  <c r="R97" i="144"/>
  <c r="N97" i="144"/>
  <c r="F87" i="144"/>
  <c r="F109" i="144" s="1"/>
  <c r="F86" i="144"/>
  <c r="F94" i="144"/>
  <c r="F116" i="144" s="1"/>
  <c r="F93" i="144"/>
  <c r="F115" i="144" s="1"/>
  <c r="F84" i="144"/>
  <c r="F106" i="144" s="1"/>
  <c r="F91" i="144"/>
  <c r="F113" i="144" s="1"/>
  <c r="F82" i="144"/>
  <c r="F104" i="144" s="1"/>
  <c r="F90" i="144"/>
  <c r="F112" i="144" s="1"/>
  <c r="F83" i="144"/>
  <c r="F105" i="144" s="1"/>
  <c r="F92" i="144"/>
  <c r="F114" i="144" s="1"/>
  <c r="F81" i="144"/>
  <c r="AD65" i="144"/>
  <c r="AD95" i="144"/>
  <c r="AD94" i="144"/>
  <c r="AD177" i="144" s="1"/>
  <c r="AD93" i="144"/>
  <c r="AD176" i="144" s="1"/>
  <c r="AD92" i="144"/>
  <c r="AD91" i="144"/>
  <c r="AD90" i="144"/>
  <c r="AD89" i="144"/>
  <c r="AD87" i="144"/>
  <c r="AD86" i="144"/>
  <c r="AD85" i="144"/>
  <c r="AD84" i="144"/>
  <c r="AD311" i="144" s="1"/>
  <c r="AD355" i="149" s="1"/>
  <c r="AD414" i="149" s="1"/>
  <c r="AD456" i="149" s="1"/>
  <c r="AD83" i="144"/>
  <c r="AD82" i="144"/>
  <c r="AD81" i="144"/>
  <c r="O97" i="144"/>
  <c r="AB97" i="144"/>
  <c r="X65" i="144"/>
  <c r="X82" i="144"/>
  <c r="X86" i="144"/>
  <c r="X90" i="144"/>
  <c r="X94" i="144"/>
  <c r="X91" i="144"/>
  <c r="X95" i="144"/>
  <c r="X84" i="144"/>
  <c r="X85" i="144"/>
  <c r="X89" i="144"/>
  <c r="X81" i="144"/>
  <c r="X308" i="144" s="1"/>
  <c r="X352" i="149" s="1"/>
  <c r="X83" i="144"/>
  <c r="X87" i="144"/>
  <c r="X92" i="144"/>
  <c r="X93" i="144"/>
  <c r="Q97" i="144"/>
  <c r="H97" i="144"/>
  <c r="AE164" i="144"/>
  <c r="E86" i="144"/>
  <c r="E108" i="144" s="1"/>
  <c r="E87" i="144"/>
  <c r="E109" i="144" s="1"/>
  <c r="E65" i="144"/>
  <c r="E82" i="144"/>
  <c r="E104" i="144" s="1"/>
  <c r="E83" i="144"/>
  <c r="E105" i="144" s="1"/>
  <c r="E84" i="144"/>
  <c r="E106" i="144" s="1"/>
  <c r="N24" i="128"/>
  <c r="AE24" i="128"/>
  <c r="T301" i="139"/>
  <c r="T320" i="139" s="1"/>
  <c r="T343" i="149" s="1"/>
  <c r="I301" i="139"/>
  <c r="I320" i="139" s="1"/>
  <c r="I343" i="149" s="1"/>
  <c r="R194" i="139"/>
  <c r="W194" i="139"/>
  <c r="AB36" i="128" s="1"/>
  <c r="X301" i="139"/>
  <c r="X320" i="139" s="1"/>
  <c r="X343" i="149" s="1"/>
  <c r="Z268" i="139"/>
  <c r="Z298" i="139" s="1"/>
  <c r="Z317" i="139" s="1"/>
  <c r="Z340" i="149" s="1"/>
  <c r="O27" i="128"/>
  <c r="U194" i="139"/>
  <c r="J27" i="128"/>
  <c r="X194" i="139"/>
  <c r="T194" i="139"/>
  <c r="Y36" i="128" s="1"/>
  <c r="V194" i="139"/>
  <c r="AA36" i="128" s="1"/>
  <c r="S194" i="139"/>
  <c r="X36" i="128" s="1"/>
  <c r="H301" i="139"/>
  <c r="H320" i="139" s="1"/>
  <c r="H343" i="149" s="1"/>
  <c r="Q194" i="139"/>
  <c r="V36" i="128" s="1"/>
  <c r="AF194" i="139"/>
  <c r="X28" i="128"/>
  <c r="F65" i="144"/>
  <c r="R301" i="139"/>
  <c r="R320" i="139" s="1"/>
  <c r="R343" i="149" s="1"/>
  <c r="S301" i="139"/>
  <c r="S320" i="139" s="1"/>
  <c r="S343" i="149" s="1"/>
  <c r="Z263" i="139"/>
  <c r="Z293" i="139" s="1"/>
  <c r="Z312" i="139" s="1"/>
  <c r="Z335" i="149" s="1"/>
  <c r="S293" i="139"/>
  <c r="S312" i="139" s="1"/>
  <c r="S335" i="149" s="1"/>
  <c r="K31" i="128"/>
  <c r="Z328" i="139"/>
  <c r="Z337" i="139" s="1"/>
  <c r="Z346" i="149" s="1"/>
  <c r="AD320" i="139"/>
  <c r="AD343" i="149" s="1"/>
  <c r="S259" i="139"/>
  <c r="S289" i="139" s="1"/>
  <c r="S308" i="139" s="1"/>
  <c r="S331" i="149" s="1"/>
  <c r="J24" i="128"/>
  <c r="S268" i="139"/>
  <c r="S298" i="139" s="1"/>
  <c r="S317" i="139" s="1"/>
  <c r="S340" i="149" s="1"/>
  <c r="T268" i="139"/>
  <c r="T298" i="139" s="1"/>
  <c r="T317" i="139" s="1"/>
  <c r="T340" i="149" s="1"/>
  <c r="AF28" i="128"/>
  <c r="M194" i="139"/>
  <c r="F194" i="139"/>
  <c r="K36" i="128" s="1"/>
  <c r="AI24" i="128"/>
  <c r="AB261" i="139"/>
  <c r="AB291" i="139" s="1"/>
  <c r="AB310" i="139" s="1"/>
  <c r="AB333" i="149" s="1"/>
  <c r="J257" i="139"/>
  <c r="X257" i="139"/>
  <c r="X287" i="139" s="1"/>
  <c r="X306" i="139" s="1"/>
  <c r="X329" i="149" s="1"/>
  <c r="N257" i="139"/>
  <c r="N287" i="139" s="1"/>
  <c r="N306" i="139" s="1"/>
  <c r="N329" i="149" s="1"/>
  <c r="H262" i="139"/>
  <c r="H292" i="139" s="1"/>
  <c r="H311" i="139" s="1"/>
  <c r="H334" i="149" s="1"/>
  <c r="T262" i="139"/>
  <c r="T292" i="139" s="1"/>
  <c r="T311" i="139" s="1"/>
  <c r="T334" i="149" s="1"/>
  <c r="Z262" i="139"/>
  <c r="Z292" i="139" s="1"/>
  <c r="Z311" i="139" s="1"/>
  <c r="Z334" i="149" s="1"/>
  <c r="O267" i="139"/>
  <c r="O297" i="139" s="1"/>
  <c r="O316" i="139" s="1"/>
  <c r="O339" i="149" s="1"/>
  <c r="O421" i="149" s="1"/>
  <c r="O463" i="149" s="1"/>
  <c r="K267" i="139"/>
  <c r="K297" i="139" s="1"/>
  <c r="K316" i="139" s="1"/>
  <c r="K339" i="149" s="1"/>
  <c r="M267" i="139"/>
  <c r="M297" i="139" s="1"/>
  <c r="M316" i="139" s="1"/>
  <c r="M339" i="149" s="1"/>
  <c r="Q267" i="139"/>
  <c r="Q297" i="139" s="1"/>
  <c r="Q316" i="139" s="1"/>
  <c r="Q339" i="149" s="1"/>
  <c r="Q421" i="149" s="1"/>
  <c r="Q463" i="149" s="1"/>
  <c r="AF267" i="139"/>
  <c r="AF297" i="139" s="1"/>
  <c r="AF316" i="139" s="1"/>
  <c r="AF339" i="149" s="1"/>
  <c r="AE267" i="139"/>
  <c r="AE297" i="139" s="1"/>
  <c r="AE316" i="139" s="1"/>
  <c r="AE339" i="149" s="1"/>
  <c r="U267" i="139"/>
  <c r="V267" i="139"/>
  <c r="V297" i="139" s="1"/>
  <c r="V316" i="139" s="1"/>
  <c r="V339" i="149" s="1"/>
  <c r="Y267" i="139"/>
  <c r="Y297" i="139" s="1"/>
  <c r="Y316" i="139" s="1"/>
  <c r="Y339" i="149" s="1"/>
  <c r="I262" i="139"/>
  <c r="I292" i="139" s="1"/>
  <c r="I311" i="139" s="1"/>
  <c r="I334" i="149" s="1"/>
  <c r="E261" i="139"/>
  <c r="E291" i="139" s="1"/>
  <c r="E310" i="139" s="1"/>
  <c r="E333" i="149" s="1"/>
  <c r="AD289" i="139"/>
  <c r="AD308" i="139" s="1"/>
  <c r="AD331" i="149" s="1"/>
  <c r="S257" i="139"/>
  <c r="S287" i="139" s="1"/>
  <c r="S306" i="139" s="1"/>
  <c r="S329" i="149" s="1"/>
  <c r="W257" i="139"/>
  <c r="W287" i="139" s="1"/>
  <c r="W306" i="139" s="1"/>
  <c r="W329" i="149" s="1"/>
  <c r="AE257" i="139"/>
  <c r="AE287" i="139" s="1"/>
  <c r="AE306" i="139" s="1"/>
  <c r="AE329" i="149" s="1"/>
  <c r="AF257" i="139"/>
  <c r="AF287" i="139" s="1"/>
  <c r="AF306" i="139" s="1"/>
  <c r="AF329" i="149" s="1"/>
  <c r="V257" i="139"/>
  <c r="V287" i="139" s="1"/>
  <c r="V306" i="139" s="1"/>
  <c r="V329" i="149" s="1"/>
  <c r="K257" i="139"/>
  <c r="K287" i="139" s="1"/>
  <c r="K306" i="139" s="1"/>
  <c r="K329" i="149" s="1"/>
  <c r="Z257" i="139"/>
  <c r="Z287" i="139" s="1"/>
  <c r="Z306" i="139" s="1"/>
  <c r="Z329" i="149" s="1"/>
  <c r="Q257" i="139"/>
  <c r="Q287" i="139" s="1"/>
  <c r="Q306" i="139" s="1"/>
  <c r="Q329" i="149" s="1"/>
  <c r="U257" i="139"/>
  <c r="U287" i="139" s="1"/>
  <c r="U306" i="139" s="1"/>
  <c r="U329" i="149" s="1"/>
  <c r="F287" i="139"/>
  <c r="F306" i="139" s="1"/>
  <c r="F329" i="149" s="1"/>
  <c r="L264" i="139"/>
  <c r="G261" i="139"/>
  <c r="G291" i="139" s="1"/>
  <c r="G310" i="139" s="1"/>
  <c r="G333" i="149" s="1"/>
  <c r="AA195" i="139"/>
  <c r="U195" i="139"/>
  <c r="X195" i="139"/>
  <c r="Q268" i="139"/>
  <c r="Q298" i="139" s="1"/>
  <c r="Q317" i="139" s="1"/>
  <c r="Q340" i="149" s="1"/>
  <c r="Q422" i="149" s="1"/>
  <c r="Q464" i="149" s="1"/>
  <c r="V268" i="139"/>
  <c r="V298" i="139" s="1"/>
  <c r="V317" i="139" s="1"/>
  <c r="V340" i="149" s="1"/>
  <c r="I268" i="139"/>
  <c r="I298" i="139" s="1"/>
  <c r="I317" i="139" s="1"/>
  <c r="I340" i="149" s="1"/>
  <c r="X268" i="139"/>
  <c r="X298" i="139" s="1"/>
  <c r="X317" i="139" s="1"/>
  <c r="X340" i="149" s="1"/>
  <c r="W268" i="139"/>
  <c r="K268" i="139"/>
  <c r="K298" i="139" s="1"/>
  <c r="K317" i="139" s="1"/>
  <c r="K340" i="149" s="1"/>
  <c r="O268" i="139"/>
  <c r="O298" i="139" s="1"/>
  <c r="O317" i="139" s="1"/>
  <c r="O340" i="149" s="1"/>
  <c r="U268" i="139"/>
  <c r="U298" i="139" s="1"/>
  <c r="U317" i="139" s="1"/>
  <c r="U340" i="149" s="1"/>
  <c r="AF268" i="139"/>
  <c r="AF298" i="139" s="1"/>
  <c r="AF317" i="139" s="1"/>
  <c r="AF340" i="149" s="1"/>
  <c r="M268" i="139"/>
  <c r="M298" i="139" s="1"/>
  <c r="M317" i="139" s="1"/>
  <c r="M340" i="149" s="1"/>
  <c r="M422" i="149" s="1"/>
  <c r="M464" i="149" s="1"/>
  <c r="AE268" i="139"/>
  <c r="AE298" i="139" s="1"/>
  <c r="AE317" i="139" s="1"/>
  <c r="AE340" i="149" s="1"/>
  <c r="F268" i="139"/>
  <c r="F298" i="139" s="1"/>
  <c r="F317" i="139" s="1"/>
  <c r="F340" i="149" s="1"/>
  <c r="Q259" i="139"/>
  <c r="Q289" i="139" s="1"/>
  <c r="Q308" i="139" s="1"/>
  <c r="Q331" i="149" s="1"/>
  <c r="Q413" i="149" s="1"/>
  <c r="Q455" i="149" s="1"/>
  <c r="U259" i="139"/>
  <c r="U289" i="139" s="1"/>
  <c r="U308" i="139" s="1"/>
  <c r="U331" i="149" s="1"/>
  <c r="Y259" i="139"/>
  <c r="Y289" i="139" s="1"/>
  <c r="Y308" i="139" s="1"/>
  <c r="Y331" i="149" s="1"/>
  <c r="M259" i="139"/>
  <c r="M289" i="139" s="1"/>
  <c r="M308" i="139" s="1"/>
  <c r="M331" i="149" s="1"/>
  <c r="N263" i="139"/>
  <c r="N293" i="139" s="1"/>
  <c r="N312" i="139" s="1"/>
  <c r="N335" i="149" s="1"/>
  <c r="J263" i="139"/>
  <c r="J293" i="139" s="1"/>
  <c r="J312" i="139" s="1"/>
  <c r="J335" i="149" s="1"/>
  <c r="X263" i="139"/>
  <c r="X293" i="139" s="1"/>
  <c r="X312" i="139" s="1"/>
  <c r="X335" i="149" s="1"/>
  <c r="W263" i="139"/>
  <c r="AB28" i="128" s="1"/>
  <c r="Q263" i="139"/>
  <c r="Q293" i="139" s="1"/>
  <c r="Q312" i="139" s="1"/>
  <c r="Q335" i="149" s="1"/>
  <c r="Q417" i="149" s="1"/>
  <c r="Q459" i="149" s="1"/>
  <c r="O263" i="139"/>
  <c r="O293" i="139" s="1"/>
  <c r="O312" i="139" s="1"/>
  <c r="O335" i="149" s="1"/>
  <c r="M263" i="139"/>
  <c r="M293" i="139" s="1"/>
  <c r="M312" i="139" s="1"/>
  <c r="M335" i="149" s="1"/>
  <c r="AF263" i="139"/>
  <c r="AF293" i="139" s="1"/>
  <c r="AF312" i="139" s="1"/>
  <c r="AF335" i="149" s="1"/>
  <c r="I263" i="139"/>
  <c r="I293" i="139" s="1"/>
  <c r="I312" i="139" s="1"/>
  <c r="I335" i="149" s="1"/>
  <c r="AE263" i="139"/>
  <c r="AE293" i="139" s="1"/>
  <c r="AE312" i="139" s="1"/>
  <c r="AE335" i="149" s="1"/>
  <c r="P263" i="139"/>
  <c r="P293" i="139" s="1"/>
  <c r="P312" i="139" s="1"/>
  <c r="P335" i="149" s="1"/>
  <c r="AB263" i="139"/>
  <c r="AB293" i="139" s="1"/>
  <c r="AB312" i="139" s="1"/>
  <c r="AB335" i="149" s="1"/>
  <c r="K263" i="139"/>
  <c r="K293" i="139" s="1"/>
  <c r="K312" i="139" s="1"/>
  <c r="K335" i="149" s="1"/>
  <c r="V263" i="139"/>
  <c r="V293" i="139" s="1"/>
  <c r="V312" i="139" s="1"/>
  <c r="V335" i="149" s="1"/>
  <c r="U263" i="139"/>
  <c r="U293" i="139" s="1"/>
  <c r="U312" i="139" s="1"/>
  <c r="U335" i="149" s="1"/>
  <c r="R262" i="139"/>
  <c r="R292" i="139" s="1"/>
  <c r="R311" i="139" s="1"/>
  <c r="R334" i="149" s="1"/>
  <c r="Y263" i="139"/>
  <c r="Y293" i="139" s="1"/>
  <c r="Y312" i="139" s="1"/>
  <c r="Y335" i="149" s="1"/>
  <c r="H268" i="139"/>
  <c r="H298" i="139" s="1"/>
  <c r="H317" i="139" s="1"/>
  <c r="H340" i="149" s="1"/>
  <c r="AD298" i="139"/>
  <c r="AD317" i="139" s="1"/>
  <c r="AD340" i="149" s="1"/>
  <c r="S262" i="139"/>
  <c r="S292" i="139" s="1"/>
  <c r="S311" i="139" s="1"/>
  <c r="S334" i="149" s="1"/>
  <c r="T259" i="139"/>
  <c r="T289" i="139" s="1"/>
  <c r="T308" i="139" s="1"/>
  <c r="T331" i="149" s="1"/>
  <c r="T257" i="139"/>
  <c r="T287" i="139" s="1"/>
  <c r="T306" i="139" s="1"/>
  <c r="T329" i="149" s="1"/>
  <c r="AD293" i="139"/>
  <c r="AD312" i="139" s="1"/>
  <c r="AD335" i="149" s="1"/>
  <c r="S267" i="139"/>
  <c r="S297" i="139" s="1"/>
  <c r="S316" i="139" s="1"/>
  <c r="S339" i="149" s="1"/>
  <c r="H257" i="139"/>
  <c r="H287" i="139" s="1"/>
  <c r="H306" i="139" s="1"/>
  <c r="H329" i="149" s="1"/>
  <c r="P262" i="139"/>
  <c r="P292" i="139" s="1"/>
  <c r="P311" i="139" s="1"/>
  <c r="P334" i="149" s="1"/>
  <c r="N262" i="139"/>
  <c r="N292" i="139" s="1"/>
  <c r="N311" i="139" s="1"/>
  <c r="N334" i="149" s="1"/>
  <c r="Y268" i="139"/>
  <c r="Y298" i="139" s="1"/>
  <c r="Y317" i="139" s="1"/>
  <c r="Y340" i="149" s="1"/>
  <c r="AA257" i="139"/>
  <c r="AA287" i="139" s="1"/>
  <c r="AA306" i="139" s="1"/>
  <c r="AA329" i="149" s="1"/>
  <c r="AC264" i="139"/>
  <c r="AC294" i="139" s="1"/>
  <c r="AC313" i="139" s="1"/>
  <c r="AC336" i="149" s="1"/>
  <c r="AC418" i="149" s="1"/>
  <c r="AC460" i="149" s="1"/>
  <c r="AC261" i="139"/>
  <c r="AC291" i="139" s="1"/>
  <c r="AC310" i="139" s="1"/>
  <c r="N288" i="139"/>
  <c r="N307" i="139" s="1"/>
  <c r="N330" i="149" s="1"/>
  <c r="L261" i="139"/>
  <c r="L291" i="139" s="1"/>
  <c r="L310" i="139" s="1"/>
  <c r="L333" i="149" s="1"/>
  <c r="AB268" i="139"/>
  <c r="P266" i="139"/>
  <c r="P296" i="139" s="1"/>
  <c r="P315" i="139" s="1"/>
  <c r="P338" i="149" s="1"/>
  <c r="I267" i="139"/>
  <c r="I297" i="139" s="1"/>
  <c r="I316" i="139" s="1"/>
  <c r="I339" i="149" s="1"/>
  <c r="P268" i="139"/>
  <c r="P298" i="139" s="1"/>
  <c r="P317" i="139" s="1"/>
  <c r="P340" i="149" s="1"/>
  <c r="R268" i="139"/>
  <c r="R298" i="139" s="1"/>
  <c r="R317" i="139" s="1"/>
  <c r="R340" i="149" s="1"/>
  <c r="X267" i="139"/>
  <c r="X297" i="139" s="1"/>
  <c r="X316" i="139" s="1"/>
  <c r="X339" i="149" s="1"/>
  <c r="F263" i="139"/>
  <c r="F293" i="139" s="1"/>
  <c r="F312" i="139" s="1"/>
  <c r="F335" i="149" s="1"/>
  <c r="N259" i="139"/>
  <c r="N289" i="139" s="1"/>
  <c r="N308" i="139" s="1"/>
  <c r="N331" i="149" s="1"/>
  <c r="S266" i="139"/>
  <c r="S296" i="139" s="1"/>
  <c r="S315" i="139" s="1"/>
  <c r="S338" i="149" s="1"/>
  <c r="J267" i="139"/>
  <c r="J297" i="139" s="1"/>
  <c r="J316" i="139" s="1"/>
  <c r="J339" i="149" s="1"/>
  <c r="AD297" i="139"/>
  <c r="AD316" i="139" s="1"/>
  <c r="AD339" i="149" s="1"/>
  <c r="X259" i="139"/>
  <c r="X289" i="139" s="1"/>
  <c r="X308" i="139" s="1"/>
  <c r="X331" i="149" s="1"/>
  <c r="AB267" i="139"/>
  <c r="AB297" i="139" s="1"/>
  <c r="AB316" i="139" s="1"/>
  <c r="AB339" i="149" s="1"/>
  <c r="J266" i="139"/>
  <c r="J296" i="139" s="1"/>
  <c r="J315" i="139" s="1"/>
  <c r="J338" i="149" s="1"/>
  <c r="R267" i="139"/>
  <c r="R297" i="139" s="1"/>
  <c r="R316" i="139" s="1"/>
  <c r="R339" i="149" s="1"/>
  <c r="AA261" i="139"/>
  <c r="AA291" i="139" s="1"/>
  <c r="AA310" i="139" s="1"/>
  <c r="AA333" i="149" s="1"/>
  <c r="M262" i="139"/>
  <c r="M292" i="139" s="1"/>
  <c r="M311" i="139" s="1"/>
  <c r="M334" i="149" s="1"/>
  <c r="M416" i="149" s="1"/>
  <c r="M458" i="149" s="1"/>
  <c r="AF262" i="139"/>
  <c r="AF292" i="139" s="1"/>
  <c r="AF311" i="139" s="1"/>
  <c r="AF334" i="149" s="1"/>
  <c r="AE262" i="139"/>
  <c r="AE292" i="139" s="1"/>
  <c r="AE311" i="139" s="1"/>
  <c r="AE334" i="149" s="1"/>
  <c r="W262" i="139"/>
  <c r="AB27" i="128" s="1"/>
  <c r="U262" i="139"/>
  <c r="U292" i="139" s="1"/>
  <c r="U311" i="139" s="1"/>
  <c r="U334" i="149" s="1"/>
  <c r="Q262" i="139"/>
  <c r="Q292" i="139" s="1"/>
  <c r="Q311" i="139" s="1"/>
  <c r="Q334" i="149" s="1"/>
  <c r="Q416" i="149" s="1"/>
  <c r="Q458" i="149" s="1"/>
  <c r="AD292" i="139"/>
  <c r="AD311" i="139" s="1"/>
  <c r="AD334" i="149" s="1"/>
  <c r="AE266" i="139"/>
  <c r="AE296" i="139" s="1"/>
  <c r="AE315" i="139" s="1"/>
  <c r="AE338" i="149" s="1"/>
  <c r="Q266" i="139"/>
  <c r="Q296" i="139" s="1"/>
  <c r="Q315" i="139" s="1"/>
  <c r="Q338" i="149" s="1"/>
  <c r="Q420" i="149" s="1"/>
  <c r="Q462" i="149" s="1"/>
  <c r="AF266" i="139"/>
  <c r="AF296" i="139" s="1"/>
  <c r="AF315" i="139" s="1"/>
  <c r="AF338" i="149" s="1"/>
  <c r="N266" i="139"/>
  <c r="N296" i="139" s="1"/>
  <c r="N315" i="139" s="1"/>
  <c r="N338" i="149" s="1"/>
  <c r="U266" i="139"/>
  <c r="Z31" i="128" s="1"/>
  <c r="T266" i="139"/>
  <c r="T296" i="139" s="1"/>
  <c r="T315" i="139" s="1"/>
  <c r="T338" i="149" s="1"/>
  <c r="U260" i="139"/>
  <c r="U290" i="139" s="1"/>
  <c r="U309" i="139" s="1"/>
  <c r="U332" i="149" s="1"/>
  <c r="M260" i="139"/>
  <c r="M290" i="139" s="1"/>
  <c r="M309" i="139" s="1"/>
  <c r="M332" i="149" s="1"/>
  <c r="AF260" i="139"/>
  <c r="AF290" i="139" s="1"/>
  <c r="AF309" i="139" s="1"/>
  <c r="AF332" i="149" s="1"/>
  <c r="V260" i="139"/>
  <c r="V290" i="139" s="1"/>
  <c r="V309" i="139" s="1"/>
  <c r="V332" i="149" s="1"/>
  <c r="O261" i="139"/>
  <c r="O291" i="139" s="1"/>
  <c r="O310" i="139" s="1"/>
  <c r="O333" i="149" s="1"/>
  <c r="N195" i="139"/>
  <c r="Y195" i="139"/>
  <c r="I257" i="139"/>
  <c r="I287" i="139" s="1"/>
  <c r="I306" i="139" s="1"/>
  <c r="I329" i="149" s="1"/>
  <c r="P257" i="139"/>
  <c r="P287" i="139" s="1"/>
  <c r="P306" i="139" s="1"/>
  <c r="P329" i="149" s="1"/>
  <c r="R259" i="139"/>
  <c r="R289" i="139" s="1"/>
  <c r="R308" i="139" s="1"/>
  <c r="R331" i="149" s="1"/>
  <c r="T263" i="139"/>
  <c r="T293" i="139" s="1"/>
  <c r="T312" i="139" s="1"/>
  <c r="T335" i="149" s="1"/>
  <c r="R266" i="139"/>
  <c r="R296" i="139" s="1"/>
  <c r="R315" i="139" s="1"/>
  <c r="R338" i="149" s="1"/>
  <c r="R263" i="139"/>
  <c r="R293" i="139" s="1"/>
  <c r="R312" i="139" s="1"/>
  <c r="R335" i="149" s="1"/>
  <c r="P267" i="139"/>
  <c r="P297" i="139" s="1"/>
  <c r="P316" i="139" s="1"/>
  <c r="P339" i="149" s="1"/>
  <c r="Y257" i="139"/>
  <c r="Y287" i="139" s="1"/>
  <c r="Y306" i="139" s="1"/>
  <c r="Y329" i="149" s="1"/>
  <c r="T260" i="139"/>
  <c r="T290" i="139" s="1"/>
  <c r="T309" i="139" s="1"/>
  <c r="T332" i="149" s="1"/>
  <c r="AD287" i="139"/>
  <c r="AD306" i="139" s="1"/>
  <c r="AD329" i="149" s="1"/>
  <c r="X262" i="139"/>
  <c r="X292" i="139" s="1"/>
  <c r="X311" i="139" s="1"/>
  <c r="X334" i="149" s="1"/>
  <c r="H263" i="139"/>
  <c r="H293" i="139" s="1"/>
  <c r="H312" i="139" s="1"/>
  <c r="H335" i="149" s="1"/>
  <c r="P259" i="139"/>
  <c r="P289" i="139" s="1"/>
  <c r="P308" i="139" s="1"/>
  <c r="P331" i="149" s="1"/>
  <c r="J268" i="139"/>
  <c r="J298" i="139" s="1"/>
  <c r="J317" i="139" s="1"/>
  <c r="J340" i="149" s="1"/>
  <c r="N268" i="139"/>
  <c r="N298" i="139" s="1"/>
  <c r="N317" i="139" s="1"/>
  <c r="N340" i="149" s="1"/>
  <c r="N422" i="149" s="1"/>
  <c r="N464" i="149" s="1"/>
  <c r="Z267" i="139"/>
  <c r="Z297" i="139" s="1"/>
  <c r="Z316" i="139" s="1"/>
  <c r="Z339" i="149" s="1"/>
  <c r="R257" i="139"/>
  <c r="R287" i="139" s="1"/>
  <c r="R306" i="139" s="1"/>
  <c r="R329" i="149" s="1"/>
  <c r="AA262" i="139"/>
  <c r="AA292" i="139" s="1"/>
  <c r="AA311" i="139" s="1"/>
  <c r="AA334" i="149" s="1"/>
  <c r="Y262" i="139"/>
  <c r="Y292" i="139" s="1"/>
  <c r="Y311" i="139" s="1"/>
  <c r="Y334" i="149" s="1"/>
  <c r="S23" i="128"/>
  <c r="AD296" i="139"/>
  <c r="AD315" i="139" s="1"/>
  <c r="AD338" i="149" s="1"/>
  <c r="AF24" i="128"/>
  <c r="F301" i="139"/>
  <c r="F320" i="139" s="1"/>
  <c r="F343" i="149" s="1"/>
  <c r="AJ187" i="164"/>
  <c r="AK186" i="164"/>
  <c r="E81" i="144"/>
  <c r="AB292" i="144"/>
  <c r="AH24" i="155" s="1"/>
  <c r="Q167" i="144"/>
  <c r="AA276" i="144"/>
  <c r="AA292" i="144" s="1"/>
  <c r="AG24" i="155" s="1"/>
  <c r="AG95" i="155"/>
  <c r="Q177" i="144"/>
  <c r="Q169" i="144"/>
  <c r="Q236" i="144" s="1"/>
  <c r="Q268" i="144" s="1"/>
  <c r="Q165" i="144"/>
  <c r="Q233" i="144" s="1"/>
  <c r="Q265" i="144" s="1"/>
  <c r="O176" i="144"/>
  <c r="AF95" i="155"/>
  <c r="AG94" i="155"/>
  <c r="AE236" i="144"/>
  <c r="AE268" i="144" s="1"/>
  <c r="AE226" i="144"/>
  <c r="AE258" i="144" s="1"/>
  <c r="AE231" i="144"/>
  <c r="AE263" i="144" s="1"/>
  <c r="T231" i="144"/>
  <c r="T263" i="144" s="1"/>
  <c r="T236" i="144"/>
  <c r="T268" i="144" s="1"/>
  <c r="T226" i="144"/>
  <c r="T258" i="144" s="1"/>
  <c r="AB231" i="144"/>
  <c r="AB263" i="144" s="1"/>
  <c r="AB236" i="144"/>
  <c r="AB268" i="144" s="1"/>
  <c r="AB226" i="144"/>
  <c r="AB258" i="144" s="1"/>
  <c r="Y231" i="144"/>
  <c r="Y263" i="144" s="1"/>
  <c r="Y226" i="144"/>
  <c r="Y258" i="144" s="1"/>
  <c r="Y236" i="144"/>
  <c r="Y268" i="144" s="1"/>
  <c r="L231" i="144"/>
  <c r="L263" i="144" s="1"/>
  <c r="L236" i="144"/>
  <c r="L226" i="144"/>
  <c r="L258" i="144" s="1"/>
  <c r="AA231" i="144"/>
  <c r="AA263" i="144" s="1"/>
  <c r="AA236" i="144"/>
  <c r="AA268" i="144" s="1"/>
  <c r="AA226" i="144"/>
  <c r="AA258" i="144" s="1"/>
  <c r="N236" i="144"/>
  <c r="N268" i="144" s="1"/>
  <c r="N226" i="144"/>
  <c r="N258" i="144" s="1"/>
  <c r="N231" i="144"/>
  <c r="N263" i="144" s="1"/>
  <c r="J231" i="144"/>
  <c r="J263" i="144" s="1"/>
  <c r="J236" i="144"/>
  <c r="J268" i="144" s="1"/>
  <c r="J226" i="144"/>
  <c r="J258" i="144" s="1"/>
  <c r="R231" i="144"/>
  <c r="R263" i="144" s="1"/>
  <c r="R236" i="144"/>
  <c r="R268" i="144" s="1"/>
  <c r="R226" i="144"/>
  <c r="R258" i="144" s="1"/>
  <c r="K231" i="144"/>
  <c r="K263" i="144" s="1"/>
  <c r="K236" i="144"/>
  <c r="K268" i="144" s="1"/>
  <c r="K226" i="144"/>
  <c r="K258" i="144" s="1"/>
  <c r="Z231" i="144"/>
  <c r="Z263" i="144" s="1"/>
  <c r="Z236" i="144"/>
  <c r="Z268" i="144" s="1"/>
  <c r="Z226" i="144"/>
  <c r="Z258" i="144" s="1"/>
  <c r="O223" i="144"/>
  <c r="O255" i="144" s="1"/>
  <c r="O228" i="144"/>
  <c r="O260" i="144" s="1"/>
  <c r="AC224" i="144"/>
  <c r="AC256" i="144" s="1"/>
  <c r="AC229" i="144"/>
  <c r="AC261" i="144" s="1"/>
  <c r="AA224" i="144"/>
  <c r="AA256" i="144" s="1"/>
  <c r="AA229" i="144"/>
  <c r="AA261" i="144" s="1"/>
  <c r="AA225" i="144"/>
  <c r="AA257" i="144" s="1"/>
  <c r="AA230" i="144"/>
  <c r="AA262" i="144" s="1"/>
  <c r="J224" i="144"/>
  <c r="J256" i="144" s="1"/>
  <c r="J229" i="144"/>
  <c r="J261" i="144" s="1"/>
  <c r="K224" i="144"/>
  <c r="K256" i="144" s="1"/>
  <c r="K229" i="144"/>
  <c r="K261" i="144" s="1"/>
  <c r="M223" i="144"/>
  <c r="M255" i="144" s="1"/>
  <c r="M228" i="144"/>
  <c r="M260" i="144" s="1"/>
  <c r="Q224" i="144"/>
  <c r="Q256" i="144" s="1"/>
  <c r="Q229" i="144"/>
  <c r="Q261" i="144" s="1"/>
  <c r="Z224" i="144"/>
  <c r="Z256" i="144" s="1"/>
  <c r="Z229" i="144"/>
  <c r="Z261" i="144" s="1"/>
  <c r="Y223" i="144"/>
  <c r="Y255" i="144" s="1"/>
  <c r="Y228" i="144"/>
  <c r="Y260" i="144" s="1"/>
  <c r="L225" i="144"/>
  <c r="L257" i="144" s="1"/>
  <c r="L230" i="144"/>
  <c r="L262" i="144" s="1"/>
  <c r="L222" i="144"/>
  <c r="L254" i="144" s="1"/>
  <c r="L227" i="144"/>
  <c r="L259" i="144" s="1"/>
  <c r="O224" i="144"/>
  <c r="O256" i="144" s="1"/>
  <c r="O229" i="144"/>
  <c r="O261" i="144" s="1"/>
  <c r="Z223" i="144"/>
  <c r="Z255" i="144" s="1"/>
  <c r="Z228" i="144"/>
  <c r="Z260" i="144" s="1"/>
  <c r="M224" i="144"/>
  <c r="M256" i="144" s="1"/>
  <c r="M229" i="144"/>
  <c r="M261" i="144" s="1"/>
  <c r="L223" i="144"/>
  <c r="L255" i="144" s="1"/>
  <c r="L228" i="144"/>
  <c r="L260" i="144" s="1"/>
  <c r="H225" i="144"/>
  <c r="H257" i="144" s="1"/>
  <c r="H230" i="144"/>
  <c r="H262" i="144" s="1"/>
  <c r="J223" i="144"/>
  <c r="J255" i="144" s="1"/>
  <c r="J228" i="144"/>
  <c r="J260" i="144" s="1"/>
  <c r="K223" i="144"/>
  <c r="K255" i="144" s="1"/>
  <c r="K228" i="144"/>
  <c r="K260" i="144" s="1"/>
  <c r="H224" i="144"/>
  <c r="H256" i="144" s="1"/>
  <c r="H229" i="144"/>
  <c r="H261" i="144" s="1"/>
  <c r="Y224" i="144"/>
  <c r="Y256" i="144" s="1"/>
  <c r="Y229" i="144"/>
  <c r="Y261" i="144" s="1"/>
  <c r="AE223" i="144"/>
  <c r="AE255" i="144" s="1"/>
  <c r="AE228" i="144"/>
  <c r="AE260" i="144" s="1"/>
  <c r="N225" i="144"/>
  <c r="N257" i="144" s="1"/>
  <c r="N230" i="144"/>
  <c r="N262" i="144" s="1"/>
  <c r="AA223" i="144"/>
  <c r="AA255" i="144" s="1"/>
  <c r="AA228" i="144"/>
  <c r="AA260" i="144" s="1"/>
  <c r="AB224" i="144"/>
  <c r="AB256" i="144" s="1"/>
  <c r="AB229" i="144"/>
  <c r="AB261" i="144" s="1"/>
  <c r="AB223" i="144"/>
  <c r="AB255" i="144" s="1"/>
  <c r="AB228" i="144"/>
  <c r="AB260" i="144" s="1"/>
  <c r="N224" i="144"/>
  <c r="N256" i="144" s="1"/>
  <c r="N229" i="144"/>
  <c r="N261" i="144" s="1"/>
  <c r="K220" i="144"/>
  <c r="K252" i="144" s="1"/>
  <c r="K281" i="144" s="1"/>
  <c r="Q13" i="155" s="1"/>
  <c r="K219" i="144"/>
  <c r="K251" i="144" s="1"/>
  <c r="K280" i="144" s="1"/>
  <c r="Q12" i="155" s="1"/>
  <c r="K221" i="144"/>
  <c r="K253" i="144" s="1"/>
  <c r="K282" i="144" s="1"/>
  <c r="Q14" i="155" s="1"/>
  <c r="U219" i="144"/>
  <c r="U251" i="144" s="1"/>
  <c r="U280" i="144" s="1"/>
  <c r="AA12" i="155" s="1"/>
  <c r="U220" i="144"/>
  <c r="U252" i="144" s="1"/>
  <c r="U281" i="144" s="1"/>
  <c r="AA13" i="155" s="1"/>
  <c r="U221" i="144"/>
  <c r="U253" i="144" s="1"/>
  <c r="U282" i="144" s="1"/>
  <c r="AA14" i="155" s="1"/>
  <c r="N221" i="144"/>
  <c r="N253" i="144" s="1"/>
  <c r="N282" i="144" s="1"/>
  <c r="T14" i="155" s="1"/>
  <c r="N219" i="144"/>
  <c r="N251" i="144" s="1"/>
  <c r="N280" i="144" s="1"/>
  <c r="T12" i="155" s="1"/>
  <c r="N220" i="144"/>
  <c r="N252" i="144" s="1"/>
  <c r="N281" i="144" s="1"/>
  <c r="T13" i="155" s="1"/>
  <c r="M219" i="144"/>
  <c r="M251" i="144" s="1"/>
  <c r="M280" i="144" s="1"/>
  <c r="S12" i="155" s="1"/>
  <c r="M221" i="144"/>
  <c r="M253" i="144" s="1"/>
  <c r="M282" i="144" s="1"/>
  <c r="S14" i="155" s="1"/>
  <c r="M220" i="144"/>
  <c r="M252" i="144" s="1"/>
  <c r="M281" i="144" s="1"/>
  <c r="S13" i="155" s="1"/>
  <c r="AC219" i="144"/>
  <c r="AC251" i="144" s="1"/>
  <c r="AC280" i="144" s="1"/>
  <c r="AI12" i="155" s="1"/>
  <c r="AC221" i="144"/>
  <c r="AC253" i="144" s="1"/>
  <c r="AC282" i="144" s="1"/>
  <c r="AI14" i="155" s="1"/>
  <c r="AC220" i="144"/>
  <c r="AC252" i="144" s="1"/>
  <c r="AC281" i="144" s="1"/>
  <c r="AI13" i="155" s="1"/>
  <c r="L220" i="144"/>
  <c r="L252" i="144" s="1"/>
  <c r="L281" i="144" s="1"/>
  <c r="R13" i="155" s="1"/>
  <c r="L219" i="144"/>
  <c r="L251" i="144" s="1"/>
  <c r="L280" i="144" s="1"/>
  <c r="R12" i="155" s="1"/>
  <c r="L221" i="144"/>
  <c r="L253" i="144" s="1"/>
  <c r="L282" i="144" s="1"/>
  <c r="R14" i="155" s="1"/>
  <c r="O317" i="144"/>
  <c r="O361" i="149" s="1"/>
  <c r="O420" i="149" s="1"/>
  <c r="O462" i="149" s="1"/>
  <c r="I221" i="144"/>
  <c r="I253" i="144" s="1"/>
  <c r="I282" i="144" s="1"/>
  <c r="O14" i="155" s="1"/>
  <c r="I220" i="144"/>
  <c r="I252" i="144" s="1"/>
  <c r="I281" i="144" s="1"/>
  <c r="O13" i="155" s="1"/>
  <c r="I219" i="144"/>
  <c r="I251" i="144" s="1"/>
  <c r="I280" i="144" s="1"/>
  <c r="O12" i="155" s="1"/>
  <c r="G219" i="144"/>
  <c r="G251" i="144" s="1"/>
  <c r="G280" i="144" s="1"/>
  <c r="M12" i="155" s="1"/>
  <c r="G221" i="144"/>
  <c r="G253" i="144" s="1"/>
  <c r="G282" i="144" s="1"/>
  <c r="M14" i="155" s="1"/>
  <c r="G220" i="144"/>
  <c r="G252" i="144" s="1"/>
  <c r="G281" i="144" s="1"/>
  <c r="M13" i="155" s="1"/>
  <c r="AA219" i="144"/>
  <c r="AA251" i="144" s="1"/>
  <c r="AA280" i="144" s="1"/>
  <c r="AG12" i="155" s="1"/>
  <c r="AA220" i="144"/>
  <c r="AA252" i="144" s="1"/>
  <c r="AA281" i="144" s="1"/>
  <c r="AG13" i="155" s="1"/>
  <c r="AA221" i="144"/>
  <c r="AA253" i="144" s="1"/>
  <c r="AA282" i="144" s="1"/>
  <c r="AG14" i="155" s="1"/>
  <c r="R220" i="144"/>
  <c r="R252" i="144" s="1"/>
  <c r="R281" i="144" s="1"/>
  <c r="X13" i="155" s="1"/>
  <c r="R221" i="144"/>
  <c r="R253" i="144" s="1"/>
  <c r="R282" i="144" s="1"/>
  <c r="X14" i="155" s="1"/>
  <c r="R219" i="144"/>
  <c r="R251" i="144" s="1"/>
  <c r="R280" i="144" s="1"/>
  <c r="X12" i="155" s="1"/>
  <c r="Q221" i="144"/>
  <c r="Q253" i="144" s="1"/>
  <c r="Q282" i="144" s="1"/>
  <c r="W14" i="155" s="1"/>
  <c r="Q220" i="144"/>
  <c r="Q252" i="144" s="1"/>
  <c r="Q281" i="144" s="1"/>
  <c r="W13" i="155" s="1"/>
  <c r="Q219" i="144"/>
  <c r="Q251" i="144" s="1"/>
  <c r="Q280" i="144" s="1"/>
  <c r="W12" i="155" s="1"/>
  <c r="Y221" i="144"/>
  <c r="Y253" i="144" s="1"/>
  <c r="Y282" i="144" s="1"/>
  <c r="AE14" i="155" s="1"/>
  <c r="Y220" i="144"/>
  <c r="Y252" i="144" s="1"/>
  <c r="Y281" i="144" s="1"/>
  <c r="AE13" i="155" s="1"/>
  <c r="Y219" i="144"/>
  <c r="Y251" i="144" s="1"/>
  <c r="Y280" i="144" s="1"/>
  <c r="AE12" i="155" s="1"/>
  <c r="O219" i="144"/>
  <c r="O251" i="144" s="1"/>
  <c r="O280" i="144" s="1"/>
  <c r="U12" i="155" s="1"/>
  <c r="O221" i="144"/>
  <c r="O253" i="144" s="1"/>
  <c r="O282" i="144" s="1"/>
  <c r="U14" i="155" s="1"/>
  <c r="O220" i="144"/>
  <c r="O252" i="144" s="1"/>
  <c r="O281" i="144" s="1"/>
  <c r="U13" i="155" s="1"/>
  <c r="V219" i="144"/>
  <c r="V251" i="144" s="1"/>
  <c r="V280" i="144" s="1"/>
  <c r="AB12" i="155" s="1"/>
  <c r="V221" i="144"/>
  <c r="V253" i="144" s="1"/>
  <c r="V282" i="144" s="1"/>
  <c r="AB14" i="155" s="1"/>
  <c r="V220" i="144"/>
  <c r="V252" i="144" s="1"/>
  <c r="V281" i="144" s="1"/>
  <c r="AB13" i="155" s="1"/>
  <c r="W219" i="144"/>
  <c r="W251" i="144" s="1"/>
  <c r="W280" i="144" s="1"/>
  <c r="AC12" i="155" s="1"/>
  <c r="W221" i="144"/>
  <c r="W253" i="144" s="1"/>
  <c r="W282" i="144" s="1"/>
  <c r="AC14" i="155" s="1"/>
  <c r="W220" i="144"/>
  <c r="W252" i="144" s="1"/>
  <c r="W281" i="144" s="1"/>
  <c r="AC13" i="155" s="1"/>
  <c r="J220" i="144"/>
  <c r="J252" i="144" s="1"/>
  <c r="J281" i="144" s="1"/>
  <c r="P13" i="155" s="1"/>
  <c r="J219" i="144"/>
  <c r="J251" i="144" s="1"/>
  <c r="J280" i="144" s="1"/>
  <c r="P12" i="155" s="1"/>
  <c r="J221" i="144"/>
  <c r="J253" i="144" s="1"/>
  <c r="J282" i="144" s="1"/>
  <c r="P14" i="155" s="1"/>
  <c r="F221" i="144"/>
  <c r="F253" i="144" s="1"/>
  <c r="F282" i="144" s="1"/>
  <c r="L14" i="155" s="1"/>
  <c r="F219" i="144"/>
  <c r="F251" i="144" s="1"/>
  <c r="F280" i="144" s="1"/>
  <c r="L12" i="155" s="1"/>
  <c r="F220" i="144"/>
  <c r="F252" i="144" s="1"/>
  <c r="F281" i="144" s="1"/>
  <c r="L13" i="155" s="1"/>
  <c r="H220" i="144"/>
  <c r="H252" i="144" s="1"/>
  <c r="H281" i="144" s="1"/>
  <c r="N13" i="155" s="1"/>
  <c r="H219" i="144"/>
  <c r="H251" i="144" s="1"/>
  <c r="H280" i="144" s="1"/>
  <c r="N12" i="155" s="1"/>
  <c r="H221" i="144"/>
  <c r="H253" i="144" s="1"/>
  <c r="H282" i="144" s="1"/>
  <c r="N14" i="155" s="1"/>
  <c r="X221" i="144"/>
  <c r="X253" i="144" s="1"/>
  <c r="X282" i="144" s="1"/>
  <c r="AD14" i="155" s="1"/>
  <c r="X220" i="144"/>
  <c r="X252" i="144" s="1"/>
  <c r="X281" i="144" s="1"/>
  <c r="AD13" i="155" s="1"/>
  <c r="X219" i="144"/>
  <c r="X251" i="144" s="1"/>
  <c r="X280" i="144" s="1"/>
  <c r="AD12" i="155" s="1"/>
  <c r="AE219" i="144"/>
  <c r="AE251" i="144" s="1"/>
  <c r="AE280" i="144" s="1"/>
  <c r="AK12" i="155" s="1"/>
  <c r="AE221" i="144"/>
  <c r="AE253" i="144" s="1"/>
  <c r="AE282" i="144" s="1"/>
  <c r="AK14" i="155" s="1"/>
  <c r="AE220" i="144"/>
  <c r="AE252" i="144" s="1"/>
  <c r="AE281" i="144" s="1"/>
  <c r="AK13" i="155" s="1"/>
  <c r="P221" i="144"/>
  <c r="P253" i="144" s="1"/>
  <c r="P282" i="144" s="1"/>
  <c r="V14" i="155" s="1"/>
  <c r="P219" i="144"/>
  <c r="P251" i="144" s="1"/>
  <c r="P280" i="144" s="1"/>
  <c r="V12" i="155" s="1"/>
  <c r="P220" i="144"/>
  <c r="P252" i="144" s="1"/>
  <c r="P281" i="144" s="1"/>
  <c r="V13" i="155" s="1"/>
  <c r="AB220" i="144"/>
  <c r="AB252" i="144" s="1"/>
  <c r="AB281" i="144" s="1"/>
  <c r="AH13" i="155" s="1"/>
  <c r="AB219" i="144"/>
  <c r="AB251" i="144" s="1"/>
  <c r="AB280" i="144" s="1"/>
  <c r="AH12" i="155" s="1"/>
  <c r="AB221" i="144"/>
  <c r="AB253" i="144" s="1"/>
  <c r="AB282" i="144" s="1"/>
  <c r="AH14" i="155" s="1"/>
  <c r="Z220" i="144"/>
  <c r="Z252" i="144" s="1"/>
  <c r="Z281" i="144" s="1"/>
  <c r="AF13" i="155" s="1"/>
  <c r="Z221" i="144"/>
  <c r="Z253" i="144" s="1"/>
  <c r="Z282" i="144" s="1"/>
  <c r="AF14" i="155" s="1"/>
  <c r="Z219" i="144"/>
  <c r="Z251" i="144" s="1"/>
  <c r="Z280" i="144" s="1"/>
  <c r="AF12" i="155" s="1"/>
  <c r="AD219" i="144"/>
  <c r="AD251" i="144" s="1"/>
  <c r="AD280" i="144" s="1"/>
  <c r="AJ12" i="155" s="1"/>
  <c r="AD221" i="144"/>
  <c r="AD253" i="144" s="1"/>
  <c r="AD282" i="144" s="1"/>
  <c r="AJ14" i="155" s="1"/>
  <c r="AD220" i="144"/>
  <c r="AD252" i="144" s="1"/>
  <c r="AD281" i="144" s="1"/>
  <c r="AJ13" i="155" s="1"/>
  <c r="AF221" i="144"/>
  <c r="AF253" i="144" s="1"/>
  <c r="AF282" i="144" s="1"/>
  <c r="AL14" i="155" s="1"/>
  <c r="AF219" i="144"/>
  <c r="AF251" i="144" s="1"/>
  <c r="AF280" i="144" s="1"/>
  <c r="AL12" i="155" s="1"/>
  <c r="AF220" i="144"/>
  <c r="AF252" i="144" s="1"/>
  <c r="AF281" i="144" s="1"/>
  <c r="AL13" i="155" s="1"/>
  <c r="S219" i="144"/>
  <c r="S251" i="144" s="1"/>
  <c r="S280" i="144" s="1"/>
  <c r="Y12" i="155" s="1"/>
  <c r="S221" i="144"/>
  <c r="S253" i="144" s="1"/>
  <c r="S282" i="144" s="1"/>
  <c r="Y14" i="155" s="1"/>
  <c r="S220" i="144"/>
  <c r="S252" i="144" s="1"/>
  <c r="S281" i="144" s="1"/>
  <c r="Y13" i="155" s="1"/>
  <c r="T220" i="144"/>
  <c r="T252" i="144" s="1"/>
  <c r="T281" i="144" s="1"/>
  <c r="Z13" i="155" s="1"/>
  <c r="T219" i="144"/>
  <c r="T251" i="144" s="1"/>
  <c r="T280" i="144" s="1"/>
  <c r="Z12" i="155" s="1"/>
  <c r="T221" i="144"/>
  <c r="T253" i="144" s="1"/>
  <c r="T282" i="144" s="1"/>
  <c r="Z14" i="155" s="1"/>
  <c r="Q320" i="144"/>
  <c r="Q364" i="149" s="1"/>
  <c r="Q423" i="149" s="1"/>
  <c r="E114" i="144"/>
  <c r="AC308" i="144"/>
  <c r="AC352" i="149" s="1"/>
  <c r="AC411" i="149" s="1"/>
  <c r="AC453" i="149" s="1"/>
  <c r="AD318" i="144"/>
  <c r="AD362" i="149" s="1"/>
  <c r="E91" i="144"/>
  <c r="E113" i="144" s="1"/>
  <c r="E94" i="144"/>
  <c r="E116" i="144" s="1"/>
  <c r="Q308" i="144"/>
  <c r="Q352" i="149" s="1"/>
  <c r="E93" i="144"/>
  <c r="E115" i="144" s="1"/>
  <c r="E89" i="144"/>
  <c r="E111" i="144" s="1"/>
  <c r="E95" i="144"/>
  <c r="E117" i="144" s="1"/>
  <c r="E90" i="144"/>
  <c r="E112" i="144" s="1"/>
  <c r="AC314" i="144"/>
  <c r="AC358" i="149" s="1"/>
  <c r="AC417" i="149" s="1"/>
  <c r="AC459" i="149" s="1"/>
  <c r="F322" i="144"/>
  <c r="F366" i="149" s="1"/>
  <c r="F316" i="144"/>
  <c r="F360" i="149" s="1"/>
  <c r="O178" i="144"/>
  <c r="O245" i="144" s="1"/>
  <c r="Q115" i="144"/>
  <c r="V320" i="144"/>
  <c r="V364" i="149" s="1"/>
  <c r="V423" i="149" s="1"/>
  <c r="V164" i="144"/>
  <c r="M169" i="144"/>
  <c r="Q114" i="144"/>
  <c r="Q105" i="144"/>
  <c r="Q104" i="144"/>
  <c r="M321" i="144"/>
  <c r="M365" i="149" s="1"/>
  <c r="M424" i="149" s="1"/>
  <c r="M466" i="149" s="1"/>
  <c r="I309" i="144"/>
  <c r="I353" i="149" s="1"/>
  <c r="I412" i="149" s="1"/>
  <c r="I454" i="149" s="1"/>
  <c r="Q111" i="144"/>
  <c r="Q103" i="144"/>
  <c r="I319" i="144"/>
  <c r="I363" i="149" s="1"/>
  <c r="I312" i="144"/>
  <c r="I356" i="149" s="1"/>
  <c r="Q116" i="144"/>
  <c r="Q117" i="144"/>
  <c r="Q113" i="144"/>
  <c r="Q108" i="144"/>
  <c r="Q112" i="144"/>
  <c r="Q109" i="144"/>
  <c r="Q106" i="144"/>
  <c r="Q107" i="144"/>
  <c r="Q316" i="144"/>
  <c r="Q360" i="149" s="1"/>
  <c r="I314" i="144"/>
  <c r="I358" i="149" s="1"/>
  <c r="AC177" i="144"/>
  <c r="M308" i="144"/>
  <c r="M352" i="149" s="1"/>
  <c r="M411" i="149" s="1"/>
  <c r="M453" i="149" s="1"/>
  <c r="N308" i="144"/>
  <c r="N352" i="149" s="1"/>
  <c r="X310" i="144"/>
  <c r="X354" i="149" s="1"/>
  <c r="X173" i="144"/>
  <c r="X237" i="144" s="1"/>
  <c r="X269" i="144" s="1"/>
  <c r="X286" i="144" s="1"/>
  <c r="AD18" i="155" s="1"/>
  <c r="X319" i="144"/>
  <c r="X363" i="149" s="1"/>
  <c r="L322" i="144"/>
  <c r="L366" i="149" s="1"/>
  <c r="L425" i="149" s="1"/>
  <c r="L467" i="149" s="1"/>
  <c r="L178" i="144"/>
  <c r="L245" i="144" s="1"/>
  <c r="O314" i="144"/>
  <c r="O358" i="149" s="1"/>
  <c r="O170" i="144"/>
  <c r="O243" i="144" s="1"/>
  <c r="O275" i="144" s="1"/>
  <c r="S103" i="144"/>
  <c r="S164" i="144"/>
  <c r="AC313" i="144"/>
  <c r="AC357" i="149" s="1"/>
  <c r="AC416" i="149" s="1"/>
  <c r="AC458" i="149" s="1"/>
  <c r="AC169" i="144"/>
  <c r="AC311" i="144"/>
  <c r="AC355" i="149" s="1"/>
  <c r="AC414" i="149" s="1"/>
  <c r="AC456" i="149" s="1"/>
  <c r="AC167" i="144"/>
  <c r="AC322" i="144"/>
  <c r="AC366" i="149" s="1"/>
  <c r="AC425" i="149" s="1"/>
  <c r="AC467" i="149" s="1"/>
  <c r="AC178" i="144"/>
  <c r="AC245" i="144" s="1"/>
  <c r="AC277" i="144" s="1"/>
  <c r="O313" i="144"/>
  <c r="O357" i="149" s="1"/>
  <c r="O416" i="149" s="1"/>
  <c r="O458" i="149" s="1"/>
  <c r="O169" i="144"/>
  <c r="AC309" i="144"/>
  <c r="AC353" i="149" s="1"/>
  <c r="AC412" i="149" s="1"/>
  <c r="AC454" i="149" s="1"/>
  <c r="AC165" i="144"/>
  <c r="AC233" i="144" s="1"/>
  <c r="AC265" i="144" s="1"/>
  <c r="AC318" i="144"/>
  <c r="AC362" i="149" s="1"/>
  <c r="AC421" i="149" s="1"/>
  <c r="AC463" i="149" s="1"/>
  <c r="AC174" i="144"/>
  <c r="AC235" i="144" s="1"/>
  <c r="AC267" i="144" s="1"/>
  <c r="L312" i="144"/>
  <c r="L356" i="149" s="1"/>
  <c r="AC319" i="144"/>
  <c r="AC363" i="149" s="1"/>
  <c r="AC422" i="149" s="1"/>
  <c r="AC464" i="149" s="1"/>
  <c r="AE308" i="144"/>
  <c r="AE352" i="149" s="1"/>
  <c r="AC168" i="144"/>
  <c r="AC242" i="144" s="1"/>
  <c r="AC166" i="144"/>
  <c r="AC244" i="144" s="1"/>
  <c r="AC276" i="144" s="1"/>
  <c r="L117" i="144"/>
  <c r="L164" i="144"/>
  <c r="N103" i="144"/>
  <c r="N165" i="144"/>
  <c r="N233" i="144" s="1"/>
  <c r="N265" i="144" s="1"/>
  <c r="AC316" i="144"/>
  <c r="AC360" i="149" s="1"/>
  <c r="V173" i="144"/>
  <c r="V237" i="144" s="1"/>
  <c r="V269" i="144" s="1"/>
  <c r="V286" i="144" s="1"/>
  <c r="AB18" i="155" s="1"/>
  <c r="J310" i="144"/>
  <c r="J354" i="149" s="1"/>
  <c r="J413" i="149" s="1"/>
  <c r="J455" i="149" s="1"/>
  <c r="J105" i="144"/>
  <c r="J103" i="144"/>
  <c r="R319" i="144"/>
  <c r="R363" i="149" s="1"/>
  <c r="R114" i="144"/>
  <c r="R311" i="144"/>
  <c r="R355" i="149" s="1"/>
  <c r="R414" i="149" s="1"/>
  <c r="R456" i="149" s="1"/>
  <c r="R106" i="144"/>
  <c r="K103" i="144"/>
  <c r="K321" i="144"/>
  <c r="K365" i="149" s="1"/>
  <c r="K424" i="149" s="1"/>
  <c r="K466" i="149" s="1"/>
  <c r="K116" i="144"/>
  <c r="Z312" i="144"/>
  <c r="Z356" i="149" s="1"/>
  <c r="Z107" i="144"/>
  <c r="Z317" i="144"/>
  <c r="Z361" i="149" s="1"/>
  <c r="Z420" i="149" s="1"/>
  <c r="Z462" i="149" s="1"/>
  <c r="Z112" i="144"/>
  <c r="S319" i="144"/>
  <c r="S363" i="149" s="1"/>
  <c r="S114" i="144"/>
  <c r="S320" i="144"/>
  <c r="S364" i="149" s="1"/>
  <c r="S423" i="149" s="1"/>
  <c r="S115" i="144"/>
  <c r="H321" i="144"/>
  <c r="H365" i="149" s="1"/>
  <c r="H424" i="149" s="1"/>
  <c r="H466" i="149" s="1"/>
  <c r="AA322" i="144"/>
  <c r="AA366" i="149" s="1"/>
  <c r="AA425" i="149" s="1"/>
  <c r="AA467" i="149" s="1"/>
  <c r="AA313" i="144"/>
  <c r="AA357" i="149" s="1"/>
  <c r="AB314" i="144"/>
  <c r="AB358" i="149" s="1"/>
  <c r="AB109" i="144"/>
  <c r="AB313" i="144"/>
  <c r="AB357" i="149" s="1"/>
  <c r="AB416" i="149" s="1"/>
  <c r="AB458" i="149" s="1"/>
  <c r="AB108" i="144"/>
  <c r="M103" i="144"/>
  <c r="M114" i="144"/>
  <c r="Y314" i="144"/>
  <c r="Y358" i="149" s="1"/>
  <c r="AD55" i="155"/>
  <c r="Y313" i="144"/>
  <c r="Y357" i="149" s="1"/>
  <c r="N310" i="144"/>
  <c r="N354" i="149" s="1"/>
  <c r="N105" i="144"/>
  <c r="L309" i="144"/>
  <c r="L353" i="149" s="1"/>
  <c r="L412" i="149" s="1"/>
  <c r="L454" i="149" s="1"/>
  <c r="L104" i="144"/>
  <c r="M317" i="144"/>
  <c r="M361" i="149" s="1"/>
  <c r="M420" i="149" s="1"/>
  <c r="M462" i="149" s="1"/>
  <c r="M112" i="144"/>
  <c r="T314" i="144"/>
  <c r="T358" i="149" s="1"/>
  <c r="T109" i="144"/>
  <c r="T319" i="144"/>
  <c r="T363" i="149" s="1"/>
  <c r="T114" i="144"/>
  <c r="AE310" i="144"/>
  <c r="AE354" i="149" s="1"/>
  <c r="AE413" i="149" s="1"/>
  <c r="AE455" i="149" s="1"/>
  <c r="N317" i="144"/>
  <c r="N361" i="149" s="1"/>
  <c r="N112" i="144"/>
  <c r="O308" i="144"/>
  <c r="O352" i="149" s="1"/>
  <c r="O411" i="149" s="1"/>
  <c r="O453" i="149" s="1"/>
  <c r="O113" i="144"/>
  <c r="O103" i="144"/>
  <c r="O117" i="144"/>
  <c r="R316" i="144"/>
  <c r="R360" i="149" s="1"/>
  <c r="R111" i="144"/>
  <c r="AA311" i="144"/>
  <c r="AA355" i="149" s="1"/>
  <c r="AA414" i="149" s="1"/>
  <c r="AA456" i="149" s="1"/>
  <c r="Y321" i="144"/>
  <c r="Y365" i="149" s="1"/>
  <c r="Y424" i="149" s="1"/>
  <c r="Y466" i="149" s="1"/>
  <c r="L318" i="144"/>
  <c r="L362" i="149" s="1"/>
  <c r="L421" i="149" s="1"/>
  <c r="L463" i="149" s="1"/>
  <c r="L113" i="144"/>
  <c r="T322" i="144"/>
  <c r="T366" i="149" s="1"/>
  <c r="T117" i="144"/>
  <c r="O112" i="144"/>
  <c r="AC320" i="144"/>
  <c r="AC364" i="149" s="1"/>
  <c r="AC423" i="149" s="1"/>
  <c r="V177" i="144"/>
  <c r="X176" i="144"/>
  <c r="I178" i="144"/>
  <c r="I245" i="144" s="1"/>
  <c r="I277" i="144" s="1"/>
  <c r="J322" i="144"/>
  <c r="J366" i="149" s="1"/>
  <c r="J117" i="144"/>
  <c r="J312" i="144"/>
  <c r="J356" i="149" s="1"/>
  <c r="J107" i="144"/>
  <c r="R103" i="144"/>
  <c r="R320" i="144"/>
  <c r="R364" i="149" s="1"/>
  <c r="R423" i="149" s="1"/>
  <c r="R115" i="144"/>
  <c r="K314" i="144"/>
  <c r="K358" i="149" s="1"/>
  <c r="K109" i="144"/>
  <c r="K312" i="144"/>
  <c r="K356" i="149" s="1"/>
  <c r="K107" i="144"/>
  <c r="Z319" i="144"/>
  <c r="Z363" i="149" s="1"/>
  <c r="Z114" i="144"/>
  <c r="Z313" i="144"/>
  <c r="Z357" i="149" s="1"/>
  <c r="Z108" i="144"/>
  <c r="S316" i="144"/>
  <c r="S360" i="149" s="1"/>
  <c r="S111" i="144"/>
  <c r="S322" i="144"/>
  <c r="S366" i="149" s="1"/>
  <c r="S117" i="144"/>
  <c r="H319" i="144"/>
  <c r="H363" i="149" s="1"/>
  <c r="M60" i="155"/>
  <c r="H318" i="144"/>
  <c r="H362" i="149" s="1"/>
  <c r="H421" i="149" s="1"/>
  <c r="H463" i="149" s="1"/>
  <c r="AA310" i="144"/>
  <c r="AA354" i="149" s="1"/>
  <c r="AA413" i="149" s="1"/>
  <c r="AA455" i="149" s="1"/>
  <c r="AA309" i="144"/>
  <c r="AA353" i="149" s="1"/>
  <c r="AA412" i="149" s="1"/>
  <c r="AA454" i="149" s="1"/>
  <c r="AB310" i="144"/>
  <c r="AB354" i="149" s="1"/>
  <c r="AB413" i="149" s="1"/>
  <c r="AB455" i="149" s="1"/>
  <c r="AB105" i="144"/>
  <c r="AB311" i="144"/>
  <c r="AB355" i="149" s="1"/>
  <c r="AB414" i="149" s="1"/>
  <c r="AB456" i="149" s="1"/>
  <c r="AB106" i="144"/>
  <c r="N314" i="144"/>
  <c r="N358" i="149" s="1"/>
  <c r="N109" i="144"/>
  <c r="Y317" i="144"/>
  <c r="Y361" i="149" s="1"/>
  <c r="Y420" i="149" s="1"/>
  <c r="Y462" i="149" s="1"/>
  <c r="O312" i="144"/>
  <c r="O356" i="149" s="1"/>
  <c r="O107" i="144"/>
  <c r="L319" i="144"/>
  <c r="L363" i="149" s="1"/>
  <c r="L422" i="149" s="1"/>
  <c r="L464" i="149" s="1"/>
  <c r="L114" i="144"/>
  <c r="AE321" i="144"/>
  <c r="AE365" i="149" s="1"/>
  <c r="AE424" i="149" s="1"/>
  <c r="AE466" i="149" s="1"/>
  <c r="T317" i="144"/>
  <c r="T361" i="149" s="1"/>
  <c r="T112" i="144"/>
  <c r="T311" i="144"/>
  <c r="T355" i="149" s="1"/>
  <c r="T106" i="144"/>
  <c r="AE309" i="144"/>
  <c r="AE353" i="149" s="1"/>
  <c r="AE412" i="149" s="1"/>
  <c r="AE454" i="149" s="1"/>
  <c r="L107" i="144"/>
  <c r="M108" i="144"/>
  <c r="N322" i="144"/>
  <c r="N366" i="149" s="1"/>
  <c r="N117" i="144"/>
  <c r="AE319" i="144"/>
  <c r="AE363" i="149" s="1"/>
  <c r="AJ60" i="155"/>
  <c r="J319" i="144"/>
  <c r="J363" i="149" s="1"/>
  <c r="J114" i="144"/>
  <c r="K322" i="144"/>
  <c r="K366" i="149" s="1"/>
  <c r="K425" i="149" s="1"/>
  <c r="K467" i="149" s="1"/>
  <c r="K117" i="144"/>
  <c r="S313" i="144"/>
  <c r="S357" i="149" s="1"/>
  <c r="S108" i="144"/>
  <c r="H313" i="144"/>
  <c r="H357" i="149" s="1"/>
  <c r="AB320" i="144"/>
  <c r="AB364" i="149" s="1"/>
  <c r="AB423" i="149" s="1"/>
  <c r="AB115" i="144"/>
  <c r="M320" i="144"/>
  <c r="M364" i="149" s="1"/>
  <c r="M423" i="149" s="1"/>
  <c r="M115" i="144"/>
  <c r="M316" i="144"/>
  <c r="M360" i="149" s="1"/>
  <c r="M111" i="144"/>
  <c r="T320" i="144"/>
  <c r="T364" i="149" s="1"/>
  <c r="T423" i="149" s="1"/>
  <c r="T115" i="144"/>
  <c r="V178" i="144"/>
  <c r="V245" i="144" s="1"/>
  <c r="V277" i="144" s="1"/>
  <c r="M318" i="144"/>
  <c r="M362" i="149" s="1"/>
  <c r="M113" i="144"/>
  <c r="I167" i="144"/>
  <c r="J316" i="144"/>
  <c r="J360" i="149" s="1"/>
  <c r="J111" i="144"/>
  <c r="J320" i="144"/>
  <c r="J364" i="149" s="1"/>
  <c r="J423" i="149" s="1"/>
  <c r="J115" i="144"/>
  <c r="R322" i="144"/>
  <c r="R366" i="149" s="1"/>
  <c r="R117" i="144"/>
  <c r="R318" i="144"/>
  <c r="R362" i="149" s="1"/>
  <c r="R113" i="144"/>
  <c r="K311" i="144"/>
  <c r="K355" i="149" s="1"/>
  <c r="K414" i="149" s="1"/>
  <c r="K456" i="149" s="1"/>
  <c r="K106" i="144"/>
  <c r="K318" i="144"/>
  <c r="K362" i="149" s="1"/>
  <c r="K113" i="144"/>
  <c r="Z321" i="144"/>
  <c r="Z365" i="149" s="1"/>
  <c r="Z424" i="149" s="1"/>
  <c r="Z466" i="149" s="1"/>
  <c r="Z116" i="144"/>
  <c r="Z311" i="144"/>
  <c r="Z355" i="149" s="1"/>
  <c r="Z414" i="149" s="1"/>
  <c r="Z456" i="149" s="1"/>
  <c r="Z106" i="144"/>
  <c r="S317" i="144"/>
  <c r="S361" i="149" s="1"/>
  <c r="S112" i="144"/>
  <c r="S311" i="144"/>
  <c r="S355" i="149" s="1"/>
  <c r="S414" i="149" s="1"/>
  <c r="S456" i="149" s="1"/>
  <c r="S106" i="144"/>
  <c r="H312" i="144"/>
  <c r="H356" i="149" s="1"/>
  <c r="M53" i="155"/>
  <c r="H311" i="144"/>
  <c r="H355" i="149" s="1"/>
  <c r="H414" i="149" s="1"/>
  <c r="H456" i="149" s="1"/>
  <c r="AA320" i="144"/>
  <c r="AA364" i="149" s="1"/>
  <c r="AA423" i="149" s="1"/>
  <c r="AA317" i="144"/>
  <c r="AA361" i="149" s="1"/>
  <c r="AA420" i="149" s="1"/>
  <c r="AA462" i="149" s="1"/>
  <c r="AB319" i="144"/>
  <c r="AB363" i="149" s="1"/>
  <c r="AB114" i="144"/>
  <c r="AB318" i="144"/>
  <c r="AB362" i="149" s="1"/>
  <c r="AB113" i="144"/>
  <c r="N311" i="144"/>
  <c r="N355" i="149" s="1"/>
  <c r="N414" i="149" s="1"/>
  <c r="N456" i="149" s="1"/>
  <c r="N106" i="144"/>
  <c r="Y319" i="144"/>
  <c r="Y363" i="149" s="1"/>
  <c r="AD60" i="155"/>
  <c r="Y318" i="144"/>
  <c r="Y362" i="149" s="1"/>
  <c r="L311" i="144"/>
  <c r="L355" i="149" s="1"/>
  <c r="L414" i="149" s="1"/>
  <c r="L456" i="149" s="1"/>
  <c r="L106" i="144"/>
  <c r="L314" i="144"/>
  <c r="L358" i="149" s="1"/>
  <c r="L417" i="149" s="1"/>
  <c r="L459" i="149" s="1"/>
  <c r="L109" i="144"/>
  <c r="AE311" i="144"/>
  <c r="AE355" i="149" s="1"/>
  <c r="AE414" i="149" s="1"/>
  <c r="AE456" i="149" s="1"/>
  <c r="T103" i="144"/>
  <c r="T312" i="144"/>
  <c r="T356" i="149" s="1"/>
  <c r="T107" i="144"/>
  <c r="AE320" i="144"/>
  <c r="AE364" i="149" s="1"/>
  <c r="AE423" i="149" s="1"/>
  <c r="N114" i="144"/>
  <c r="N313" i="144"/>
  <c r="N357" i="149" s="1"/>
  <c r="N108" i="144"/>
  <c r="M116" i="144"/>
  <c r="AC175" i="144"/>
  <c r="R321" i="144"/>
  <c r="R365" i="149" s="1"/>
  <c r="R424" i="149" s="1"/>
  <c r="R466" i="149" s="1"/>
  <c r="R116" i="144"/>
  <c r="K310" i="144"/>
  <c r="K354" i="149" s="1"/>
  <c r="K413" i="149" s="1"/>
  <c r="K455" i="149" s="1"/>
  <c r="K105" i="144"/>
  <c r="Z322" i="144"/>
  <c r="Z366" i="149" s="1"/>
  <c r="Z425" i="149" s="1"/>
  <c r="Z467" i="149" s="1"/>
  <c r="Z117" i="144"/>
  <c r="AA321" i="144"/>
  <c r="AA365" i="149" s="1"/>
  <c r="AA424" i="149" s="1"/>
  <c r="AA466" i="149" s="1"/>
  <c r="AB312" i="144"/>
  <c r="AB356" i="149" s="1"/>
  <c r="AB107" i="144"/>
  <c r="Y309" i="144"/>
  <c r="Y353" i="149" s="1"/>
  <c r="Y412" i="149" s="1"/>
  <c r="Y454" i="149" s="1"/>
  <c r="M311" i="144"/>
  <c r="M355" i="149" s="1"/>
  <c r="M106" i="144"/>
  <c r="AE314" i="144"/>
  <c r="AE358" i="149" s="1"/>
  <c r="V166" i="144"/>
  <c r="V244" i="144" s="1"/>
  <c r="M314" i="144"/>
  <c r="M358" i="149" s="1"/>
  <c r="M109" i="144"/>
  <c r="M312" i="144"/>
  <c r="M356" i="149" s="1"/>
  <c r="M107" i="144"/>
  <c r="O321" i="144"/>
  <c r="O365" i="149" s="1"/>
  <c r="O424" i="149" s="1"/>
  <c r="O466" i="149" s="1"/>
  <c r="O116" i="144"/>
  <c r="J309" i="144"/>
  <c r="J353" i="149" s="1"/>
  <c r="J412" i="149" s="1"/>
  <c r="J454" i="149" s="1"/>
  <c r="J104" i="144"/>
  <c r="J317" i="144"/>
  <c r="J361" i="149" s="1"/>
  <c r="J112" i="144"/>
  <c r="R312" i="144"/>
  <c r="R356" i="149" s="1"/>
  <c r="R107" i="144"/>
  <c r="R309" i="144"/>
  <c r="R353" i="149" s="1"/>
  <c r="R412" i="149" s="1"/>
  <c r="R454" i="149" s="1"/>
  <c r="R104" i="144"/>
  <c r="K316" i="144"/>
  <c r="K360" i="149" s="1"/>
  <c r="K111" i="144"/>
  <c r="K309" i="144"/>
  <c r="K353" i="149" s="1"/>
  <c r="K412" i="149" s="1"/>
  <c r="K454" i="149" s="1"/>
  <c r="K104" i="144"/>
  <c r="Z310" i="144"/>
  <c r="Z354" i="149" s="1"/>
  <c r="Z413" i="149" s="1"/>
  <c r="Z455" i="149" s="1"/>
  <c r="Z105" i="144"/>
  <c r="Z318" i="144"/>
  <c r="Z362" i="149" s="1"/>
  <c r="Z113" i="144"/>
  <c r="S312" i="144"/>
  <c r="S356" i="149" s="1"/>
  <c r="S107" i="144"/>
  <c r="S309" i="144"/>
  <c r="S353" i="149" s="1"/>
  <c r="S412" i="149" s="1"/>
  <c r="S454" i="149" s="1"/>
  <c r="S104" i="144"/>
  <c r="H316" i="144"/>
  <c r="H360" i="149" s="1"/>
  <c r="H322" i="144"/>
  <c r="H366" i="149" s="1"/>
  <c r="AA314" i="144"/>
  <c r="AA358" i="149" s="1"/>
  <c r="AA417" i="149" s="1"/>
  <c r="AA459" i="149" s="1"/>
  <c r="AA316" i="144"/>
  <c r="AA360" i="149" s="1"/>
  <c r="AB103" i="144"/>
  <c r="AB309" i="144"/>
  <c r="AB353" i="149" s="1"/>
  <c r="AB412" i="149" s="1"/>
  <c r="AB454" i="149" s="1"/>
  <c r="AB104" i="144"/>
  <c r="O311" i="144"/>
  <c r="O355" i="149" s="1"/>
  <c r="O414" i="149" s="1"/>
  <c r="O456" i="149" s="1"/>
  <c r="O106" i="144"/>
  <c r="Y311" i="144"/>
  <c r="Y355" i="149" s="1"/>
  <c r="Y414" i="149" s="1"/>
  <c r="Y456" i="149" s="1"/>
  <c r="L320" i="144"/>
  <c r="L364" i="149" s="1"/>
  <c r="L423" i="149" s="1"/>
  <c r="L115" i="144"/>
  <c r="AE317" i="144"/>
  <c r="AE361" i="149" s="1"/>
  <c r="AJ58" i="155"/>
  <c r="T321" i="144"/>
  <c r="T365" i="149" s="1"/>
  <c r="T424" i="149" s="1"/>
  <c r="T466" i="149" s="1"/>
  <c r="T316" i="144"/>
  <c r="T360" i="149" s="1"/>
  <c r="T111" i="144"/>
  <c r="AE318" i="144"/>
  <c r="AE362" i="149" s="1"/>
  <c r="AJ59" i="155"/>
  <c r="O310" i="144"/>
  <c r="O354" i="149" s="1"/>
  <c r="O413" i="149" s="1"/>
  <c r="O455" i="149" s="1"/>
  <c r="O105" i="144"/>
  <c r="R314" i="144"/>
  <c r="R358" i="149" s="1"/>
  <c r="R109" i="144"/>
  <c r="Z103" i="144"/>
  <c r="S314" i="144"/>
  <c r="S358" i="149" s="1"/>
  <c r="S109" i="144"/>
  <c r="H317" i="144"/>
  <c r="H361" i="149" s="1"/>
  <c r="H420" i="149" s="1"/>
  <c r="H462" i="149" s="1"/>
  <c r="H310" i="144"/>
  <c r="H354" i="149" s="1"/>
  <c r="H413" i="149" s="1"/>
  <c r="H455" i="149" s="1"/>
  <c r="M51" i="155"/>
  <c r="AA318" i="144"/>
  <c r="AA362" i="149" s="1"/>
  <c r="AA421" i="149" s="1"/>
  <c r="AA463" i="149" s="1"/>
  <c r="AB317" i="144"/>
  <c r="AB361" i="149" s="1"/>
  <c r="AB420" i="149" s="1"/>
  <c r="AB462" i="149" s="1"/>
  <c r="AB112" i="144"/>
  <c r="AB322" i="144"/>
  <c r="AB366" i="149" s="1"/>
  <c r="AB425" i="149" s="1"/>
  <c r="AB467" i="149" s="1"/>
  <c r="AB117" i="144"/>
  <c r="AE316" i="144"/>
  <c r="AE360" i="149" s="1"/>
  <c r="AJ57" i="155"/>
  <c r="L317" i="144"/>
  <c r="L361" i="149" s="1"/>
  <c r="L420" i="149" s="1"/>
  <c r="L462" i="149" s="1"/>
  <c r="L112" i="144"/>
  <c r="AE312" i="144"/>
  <c r="AE356" i="149" s="1"/>
  <c r="T309" i="144"/>
  <c r="T353" i="149" s="1"/>
  <c r="T412" i="149" s="1"/>
  <c r="T454" i="149" s="1"/>
  <c r="T104" i="144"/>
  <c r="AE322" i="144"/>
  <c r="AE366" i="149" s="1"/>
  <c r="AE425" i="149" s="1"/>
  <c r="AE467" i="149" s="1"/>
  <c r="O109" i="144"/>
  <c r="J314" i="144"/>
  <c r="J358" i="149" s="1"/>
  <c r="J109" i="144"/>
  <c r="J311" i="144"/>
  <c r="J355" i="149" s="1"/>
  <c r="J414" i="149" s="1"/>
  <c r="J456" i="149" s="1"/>
  <c r="J106" i="144"/>
  <c r="K319" i="144"/>
  <c r="K363" i="149" s="1"/>
  <c r="K114" i="144"/>
  <c r="Z316" i="144"/>
  <c r="Z360" i="149" s="1"/>
  <c r="Z111" i="144"/>
  <c r="S321" i="144"/>
  <c r="S365" i="149" s="1"/>
  <c r="S424" i="149" s="1"/>
  <c r="S466" i="149" s="1"/>
  <c r="S116" i="144"/>
  <c r="Y322" i="144"/>
  <c r="Y366" i="149" s="1"/>
  <c r="AD63" i="155"/>
  <c r="X177" i="144"/>
  <c r="O316" i="144"/>
  <c r="O360" i="149" s="1"/>
  <c r="O111" i="144"/>
  <c r="J321" i="144"/>
  <c r="J365" i="149" s="1"/>
  <c r="J424" i="149" s="1"/>
  <c r="J466" i="149" s="1"/>
  <c r="J116" i="144"/>
  <c r="J318" i="144"/>
  <c r="J362" i="149" s="1"/>
  <c r="J113" i="144"/>
  <c r="R317" i="144"/>
  <c r="R361" i="149" s="1"/>
  <c r="R112" i="144"/>
  <c r="K320" i="144"/>
  <c r="K364" i="149" s="1"/>
  <c r="K423" i="149" s="1"/>
  <c r="K115" i="144"/>
  <c r="Z309" i="144"/>
  <c r="Z353" i="149" s="1"/>
  <c r="Z412" i="149" s="1"/>
  <c r="Z454" i="149" s="1"/>
  <c r="Z104" i="144"/>
  <c r="Z314" i="144"/>
  <c r="Z358" i="149" s="1"/>
  <c r="Z109" i="144"/>
  <c r="S310" i="144"/>
  <c r="S354" i="149" s="1"/>
  <c r="S105" i="144"/>
  <c r="H320" i="144"/>
  <c r="H364" i="149" s="1"/>
  <c r="H423" i="149" s="1"/>
  <c r="H314" i="144"/>
  <c r="H358" i="149" s="1"/>
  <c r="AA319" i="144"/>
  <c r="AA363" i="149" s="1"/>
  <c r="AA422" i="149" s="1"/>
  <c r="AA464" i="149" s="1"/>
  <c r="AA175" i="144"/>
  <c r="AA238" i="144" s="1"/>
  <c r="AA270" i="144" s="1"/>
  <c r="AA287" i="144" s="1"/>
  <c r="AG19" i="155" s="1"/>
  <c r="AB316" i="144"/>
  <c r="AB360" i="149" s="1"/>
  <c r="AB111" i="144"/>
  <c r="AC317" i="144"/>
  <c r="AC361" i="149" s="1"/>
  <c r="AC420" i="149" s="1"/>
  <c r="AC462" i="149" s="1"/>
  <c r="Y310" i="144"/>
  <c r="Y354" i="149" s="1"/>
  <c r="AD51" i="155"/>
  <c r="L321" i="144"/>
  <c r="L365" i="149" s="1"/>
  <c r="L424" i="149" s="1"/>
  <c r="L466" i="149" s="1"/>
  <c r="L116" i="144"/>
  <c r="M322" i="144"/>
  <c r="M366" i="149" s="1"/>
  <c r="M425" i="149" s="1"/>
  <c r="M467" i="149" s="1"/>
  <c r="M117" i="144"/>
  <c r="AE313" i="144"/>
  <c r="AE357" i="149" s="1"/>
  <c r="T318" i="144"/>
  <c r="T362" i="149" s="1"/>
  <c r="T421" i="149" s="1"/>
  <c r="T463" i="149" s="1"/>
  <c r="T113" i="144"/>
  <c r="N316" i="144"/>
  <c r="N360" i="149" s="1"/>
  <c r="N111" i="144"/>
  <c r="L313" i="144"/>
  <c r="L357" i="149" s="1"/>
  <c r="L416" i="149" s="1"/>
  <c r="L458" i="149" s="1"/>
  <c r="L108" i="144"/>
  <c r="O108" i="144"/>
  <c r="N321" i="144"/>
  <c r="N365" i="149" s="1"/>
  <c r="N424" i="149" s="1"/>
  <c r="N466" i="149" s="1"/>
  <c r="N116" i="144"/>
  <c r="N320" i="144"/>
  <c r="N364" i="149" s="1"/>
  <c r="N423" i="149" s="1"/>
  <c r="N115" i="144"/>
  <c r="R310" i="144"/>
  <c r="R354" i="149" s="1"/>
  <c r="R105" i="144"/>
  <c r="Y316" i="144"/>
  <c r="Y360" i="149" s="1"/>
  <c r="AD57" i="155"/>
  <c r="O309" i="144"/>
  <c r="O353" i="149" s="1"/>
  <c r="O412" i="149" s="1"/>
  <c r="O454" i="149" s="1"/>
  <c r="O104" i="144"/>
  <c r="O319" i="144"/>
  <c r="O363" i="149" s="1"/>
  <c r="O114" i="144"/>
  <c r="J313" i="144"/>
  <c r="J357" i="149" s="1"/>
  <c r="J416" i="149" s="1"/>
  <c r="J458" i="149" s="1"/>
  <c r="J108" i="144"/>
  <c r="R313" i="144"/>
  <c r="R357" i="149" s="1"/>
  <c r="R108" i="144"/>
  <c r="K313" i="144"/>
  <c r="K357" i="149" s="1"/>
  <c r="K416" i="149" s="1"/>
  <c r="K458" i="149" s="1"/>
  <c r="K108" i="144"/>
  <c r="K317" i="144"/>
  <c r="K361" i="149" s="1"/>
  <c r="K420" i="149" s="1"/>
  <c r="K462" i="149" s="1"/>
  <c r="K112" i="144"/>
  <c r="I177" i="144"/>
  <c r="Z320" i="144"/>
  <c r="Z364" i="149" s="1"/>
  <c r="Z423" i="149" s="1"/>
  <c r="Z115" i="144"/>
  <c r="S318" i="144"/>
  <c r="S362" i="149" s="1"/>
  <c r="S113" i="144"/>
  <c r="H309" i="144"/>
  <c r="H353" i="149" s="1"/>
  <c r="H412" i="149" s="1"/>
  <c r="H454" i="149" s="1"/>
  <c r="AA312" i="144"/>
  <c r="AA356" i="149" s="1"/>
  <c r="AF53" i="155"/>
  <c r="AB321" i="144"/>
  <c r="AB365" i="149" s="1"/>
  <c r="AB424" i="149" s="1"/>
  <c r="AB466" i="149" s="1"/>
  <c r="AB116" i="144"/>
  <c r="AC310" i="144"/>
  <c r="AC354" i="149" s="1"/>
  <c r="AC413" i="149" s="1"/>
  <c r="AC455" i="149" s="1"/>
  <c r="Y320" i="144"/>
  <c r="Y364" i="149" s="1"/>
  <c r="Y423" i="149" s="1"/>
  <c r="L310" i="144"/>
  <c r="L354" i="149" s="1"/>
  <c r="L413" i="149" s="1"/>
  <c r="L455" i="149" s="1"/>
  <c r="L105" i="144"/>
  <c r="L308" i="144"/>
  <c r="L352" i="149" s="1"/>
  <c r="L411" i="149" s="1"/>
  <c r="L453" i="149" s="1"/>
  <c r="L103" i="144"/>
  <c r="L111" i="144"/>
  <c r="M310" i="144"/>
  <c r="M354" i="149" s="1"/>
  <c r="M105" i="144"/>
  <c r="T313" i="144"/>
  <c r="T357" i="149" s="1"/>
  <c r="T108" i="144"/>
  <c r="T310" i="144"/>
  <c r="T354" i="149" s="1"/>
  <c r="T105" i="144"/>
  <c r="M309" i="144"/>
  <c r="M353" i="149" s="1"/>
  <c r="M412" i="149" s="1"/>
  <c r="M454" i="149" s="1"/>
  <c r="M104" i="144"/>
  <c r="N318" i="144"/>
  <c r="N362" i="149" s="1"/>
  <c r="N421" i="149" s="1"/>
  <c r="N463" i="149" s="1"/>
  <c r="N113" i="144"/>
  <c r="O115" i="144"/>
  <c r="N309" i="144"/>
  <c r="N353" i="149" s="1"/>
  <c r="N104" i="144"/>
  <c r="N312" i="144"/>
  <c r="N356" i="149" s="1"/>
  <c r="N107" i="144"/>
  <c r="AC172" i="144"/>
  <c r="AC232" i="144" s="1"/>
  <c r="AC264" i="144" s="1"/>
  <c r="G65" i="144"/>
  <c r="G176" i="144"/>
  <c r="G174" i="144"/>
  <c r="G235" i="144" s="1"/>
  <c r="G267" i="144" s="1"/>
  <c r="G170" i="144"/>
  <c r="G243" i="144" s="1"/>
  <c r="G275" i="144" s="1"/>
  <c r="G164" i="144"/>
  <c r="G169" i="144"/>
  <c r="T308" i="144"/>
  <c r="T352" i="149" s="1"/>
  <c r="G167" i="144"/>
  <c r="AB308" i="144"/>
  <c r="AB352" i="149" s="1"/>
  <c r="AB411" i="149" s="1"/>
  <c r="AB453" i="149" s="1"/>
  <c r="Y308" i="144"/>
  <c r="Y352" i="149" s="1"/>
  <c r="W174" i="144"/>
  <c r="W235" i="144" s="1"/>
  <c r="W267" i="144" s="1"/>
  <c r="AD165" i="144"/>
  <c r="AD233" i="144" s="1"/>
  <c r="AD265" i="144" s="1"/>
  <c r="J308" i="144"/>
  <c r="J352" i="149" s="1"/>
  <c r="K308" i="144"/>
  <c r="K352" i="149" s="1"/>
  <c r="S308" i="144"/>
  <c r="S352" i="149" s="1"/>
  <c r="AF65" i="144"/>
  <c r="AF165" i="144"/>
  <c r="AF233" i="144" s="1"/>
  <c r="AF265" i="144" s="1"/>
  <c r="AF170" i="144"/>
  <c r="AF243" i="144" s="1"/>
  <c r="AF275" i="144" s="1"/>
  <c r="AF176" i="144"/>
  <c r="R308" i="144"/>
  <c r="R352" i="149" s="1"/>
  <c r="H308" i="144"/>
  <c r="H352" i="149" s="1"/>
  <c r="Z308" i="144"/>
  <c r="Z352" i="149" s="1"/>
  <c r="AA308" i="144"/>
  <c r="AA352" i="149" s="1"/>
  <c r="P65" i="144"/>
  <c r="P170" i="144"/>
  <c r="P243" i="144" s="1"/>
  <c r="P275" i="144" s="1"/>
  <c r="P164" i="144"/>
  <c r="P234" i="144" s="1"/>
  <c r="P266" i="144" s="1"/>
  <c r="P178" i="144"/>
  <c r="P245" i="144" s="1"/>
  <c r="P277" i="144" s="1"/>
  <c r="P176" i="144"/>
  <c r="P173" i="144"/>
  <c r="P237" i="144" s="1"/>
  <c r="P269" i="144" s="1"/>
  <c r="P286" i="144" s="1"/>
  <c r="V18" i="155" s="1"/>
  <c r="P172" i="144"/>
  <c r="P232" i="144" s="1"/>
  <c r="P264" i="144" s="1"/>
  <c r="P177" i="144"/>
  <c r="U65" i="144"/>
  <c r="U176" i="144"/>
  <c r="AJ31" i="128"/>
  <c r="AI32" i="128"/>
  <c r="AI33" i="128"/>
  <c r="L30" i="128"/>
  <c r="AI31" i="128"/>
  <c r="J30" i="128"/>
  <c r="Y32" i="128"/>
  <c r="AG27" i="128"/>
  <c r="AF33" i="128"/>
  <c r="AI28" i="128"/>
  <c r="AH30" i="128"/>
  <c r="Z39" i="128"/>
  <c r="AI27" i="128"/>
  <c r="AI237" i="139"/>
  <c r="AI241" i="139"/>
  <c r="P204" i="139"/>
  <c r="Z204" i="139"/>
  <c r="AH241" i="139"/>
  <c r="AD204" i="139"/>
  <c r="V220" i="139"/>
  <c r="V240" i="139" s="1" a="1"/>
  <c r="V240" i="139" s="1"/>
  <c r="Z228" i="139"/>
  <c r="G153" i="139"/>
  <c r="G154" i="139" s="1"/>
  <c r="W220" i="139"/>
  <c r="W240" i="139" s="1" a="1"/>
  <c r="W240" i="139" s="1"/>
  <c r="W264" i="139" s="1"/>
  <c r="W294" i="139" s="1"/>
  <c r="W313" i="139" s="1"/>
  <c r="W336" i="149" s="1"/>
  <c r="W418" i="149" s="1"/>
  <c r="W460" i="149" s="1"/>
  <c r="I220" i="139"/>
  <c r="I240" i="139" s="1" a="1"/>
  <c r="I240" i="139" s="1"/>
  <c r="AA250" i="139"/>
  <c r="AA275" i="139" s="1"/>
  <c r="AA278" i="139" s="1"/>
  <c r="AH237" i="139"/>
  <c r="N228" i="139"/>
  <c r="L228" i="139"/>
  <c r="H228" i="139"/>
  <c r="AC228" i="139"/>
  <c r="AF220" i="139"/>
  <c r="AF228" i="139" s="1"/>
  <c r="G220" i="139"/>
  <c r="W153" i="139"/>
  <c r="W154" i="139" s="1"/>
  <c r="X153" i="139"/>
  <c r="X154" i="139" s="1"/>
  <c r="T153" i="139"/>
  <c r="T154" i="139" s="1"/>
  <c r="V153" i="139"/>
  <c r="V154" i="139" s="1"/>
  <c r="K220" i="139"/>
  <c r="K153" i="139"/>
  <c r="K154" i="139" s="1"/>
  <c r="R153" i="139"/>
  <c r="R154" i="139" s="1"/>
  <c r="L153" i="139"/>
  <c r="L154" i="139" s="1"/>
  <c r="T220" i="139"/>
  <c r="J220" i="139"/>
  <c r="E153" i="139"/>
  <c r="E154" i="139" s="1"/>
  <c r="Y153" i="139"/>
  <c r="Y154" i="139" s="1"/>
  <c r="O220" i="139"/>
  <c r="P220" i="139"/>
  <c r="U220" i="139"/>
  <c r="P153" i="139"/>
  <c r="P154" i="139" s="1"/>
  <c r="U153" i="139"/>
  <c r="U154" i="139" s="1"/>
  <c r="AD220" i="139"/>
  <c r="Q220" i="139"/>
  <c r="O153" i="139"/>
  <c r="O154" i="139" s="1"/>
  <c r="Q153" i="139"/>
  <c r="Q154" i="139" s="1"/>
  <c r="S220" i="139"/>
  <c r="AB153" i="139"/>
  <c r="AB154" i="139" s="1"/>
  <c r="S153" i="139"/>
  <c r="S154" i="139" s="1"/>
  <c r="R220" i="139"/>
  <c r="AE153" i="139"/>
  <c r="AE154" i="139" s="1"/>
  <c r="H153" i="139"/>
  <c r="H154" i="139" s="1"/>
  <c r="N153" i="139"/>
  <c r="N154" i="139" s="1"/>
  <c r="J153" i="139"/>
  <c r="J154" i="139" s="1"/>
  <c r="AE220" i="139"/>
  <c r="AF153" i="139"/>
  <c r="AF154" i="139" s="1"/>
  <c r="AD153" i="139"/>
  <c r="AD154" i="139" s="1"/>
  <c r="M220" i="139"/>
  <c r="AB220" i="139"/>
  <c r="M153" i="139"/>
  <c r="M154" i="139" s="1"/>
  <c r="Z153" i="139"/>
  <c r="Z154" i="139" s="1"/>
  <c r="AC153" i="139"/>
  <c r="AC154" i="139" s="1"/>
  <c r="Z250" i="139"/>
  <c r="Z275" i="139" s="1"/>
  <c r="Z278" i="139" s="1"/>
  <c r="X220" i="139"/>
  <c r="E220" i="139"/>
  <c r="I153" i="139"/>
  <c r="I154" i="139" s="1"/>
  <c r="L250" i="139"/>
  <c r="L275" i="139" s="1"/>
  <c r="AC250" i="139"/>
  <c r="AC275" i="139" s="1"/>
  <c r="AC278" i="139" s="1"/>
  <c r="N250" i="139"/>
  <c r="N275" i="139" s="1"/>
  <c r="N278" i="139" s="1"/>
  <c r="H250" i="139"/>
  <c r="H275" i="139" s="1"/>
  <c r="H278" i="139" s="1"/>
  <c r="K265" i="139" l="1"/>
  <c r="K295" i="139" s="1"/>
  <c r="K314" i="139" s="1"/>
  <c r="K337" i="149" s="1"/>
  <c r="L265" i="139"/>
  <c r="G298" i="139"/>
  <c r="G317" i="139" s="1"/>
  <c r="G340" i="149" s="1"/>
  <c r="L33" i="128"/>
  <c r="R411" i="149"/>
  <c r="R453" i="149" s="1"/>
  <c r="F228" i="139"/>
  <c r="F250" i="139"/>
  <c r="F275" i="139" s="1"/>
  <c r="F278" i="139" s="1"/>
  <c r="J425" i="149"/>
  <c r="J467" i="149" s="1"/>
  <c r="M28" i="128"/>
  <c r="F204" i="139"/>
  <c r="P30" i="128"/>
  <c r="AC419" i="149"/>
  <c r="W204" i="139"/>
  <c r="F125" i="144"/>
  <c r="F144" i="144"/>
  <c r="F129" i="144"/>
  <c r="F148" i="144"/>
  <c r="L152" i="144"/>
  <c r="L133" i="144"/>
  <c r="N122" i="144"/>
  <c r="N141" i="144"/>
  <c r="N153" i="144"/>
  <c r="N134" i="144"/>
  <c r="J124" i="144"/>
  <c r="J143" i="144"/>
  <c r="R146" i="144"/>
  <c r="R127" i="144"/>
  <c r="O144" i="144"/>
  <c r="T53" i="155" s="1"/>
  <c r="O125" i="144"/>
  <c r="K127" i="144"/>
  <c r="K146" i="144"/>
  <c r="O121" i="144"/>
  <c r="O140" i="144"/>
  <c r="G145" i="144"/>
  <c r="G126" i="144"/>
  <c r="J234" i="144"/>
  <c r="J266" i="144" s="1"/>
  <c r="Q328" i="139"/>
  <c r="Q337" i="139" s="1"/>
  <c r="Q346" i="149" s="1"/>
  <c r="V37" i="128"/>
  <c r="H126" i="144"/>
  <c r="H145" i="144"/>
  <c r="T134" i="144"/>
  <c r="T153" i="144"/>
  <c r="M123" i="144"/>
  <c r="M142" i="144"/>
  <c r="S150" i="144"/>
  <c r="S131" i="144"/>
  <c r="Z127" i="144"/>
  <c r="Z146" i="144"/>
  <c r="AE55" i="155" s="1"/>
  <c r="S144" i="144"/>
  <c r="X53" i="155" s="1"/>
  <c r="S125" i="144"/>
  <c r="L127" i="144"/>
  <c r="L146" i="144"/>
  <c r="Z153" i="144"/>
  <c r="Z134" i="144"/>
  <c r="AB152" i="144"/>
  <c r="AB133" i="144"/>
  <c r="O150" i="144"/>
  <c r="T59" i="155" s="1"/>
  <c r="O131" i="144"/>
  <c r="N140" i="144"/>
  <c r="N121" i="144"/>
  <c r="Q141" i="144"/>
  <c r="V50" i="155" s="1"/>
  <c r="Q122" i="144"/>
  <c r="R327" i="139"/>
  <c r="R336" i="139" s="1"/>
  <c r="R345" i="149" s="1"/>
  <c r="W36" i="128"/>
  <c r="F132" i="144"/>
  <c r="F151" i="144"/>
  <c r="T234" i="144"/>
  <c r="T266" i="144" s="1"/>
  <c r="F142" i="144"/>
  <c r="F123" i="144"/>
  <c r="V132" i="144"/>
  <c r="V151" i="144"/>
  <c r="S328" i="139"/>
  <c r="S337" i="139" s="1"/>
  <c r="S346" i="149" s="1"/>
  <c r="X37" i="128"/>
  <c r="F154" i="144"/>
  <c r="K63" i="155" s="1"/>
  <c r="F135" i="144"/>
  <c r="Y141" i="144"/>
  <c r="Y122" i="144"/>
  <c r="O129" i="144"/>
  <c r="O148" i="144"/>
  <c r="T57" i="155" s="1"/>
  <c r="R153" i="144"/>
  <c r="R134" i="144"/>
  <c r="K140" i="144"/>
  <c r="K121" i="144"/>
  <c r="AB134" i="144"/>
  <c r="AB153" i="144"/>
  <c r="R123" i="144"/>
  <c r="R142" i="144"/>
  <c r="W51" i="155" s="1"/>
  <c r="R152" i="144"/>
  <c r="R133" i="144"/>
  <c r="L234" i="144"/>
  <c r="Q166" i="144"/>
  <c r="Q244" i="144" s="1"/>
  <c r="Q276" i="144" s="1"/>
  <c r="Q142" i="144"/>
  <c r="Q123" i="144"/>
  <c r="N150" i="144"/>
  <c r="N131" i="144"/>
  <c r="Z152" i="144"/>
  <c r="Z133" i="144"/>
  <c r="L126" i="144"/>
  <c r="L145" i="144"/>
  <c r="Z122" i="144"/>
  <c r="Z141" i="144"/>
  <c r="Z150" i="144"/>
  <c r="AE59" i="155" s="1"/>
  <c r="Z131" i="144"/>
  <c r="M124" i="144"/>
  <c r="M143" i="144"/>
  <c r="L124" i="144"/>
  <c r="L143" i="144"/>
  <c r="K150" i="144"/>
  <c r="K131" i="144"/>
  <c r="N127" i="144"/>
  <c r="N146" i="144"/>
  <c r="S55" i="155" s="1"/>
  <c r="N130" i="144"/>
  <c r="N149" i="144"/>
  <c r="L135" i="144"/>
  <c r="L154" i="144"/>
  <c r="Q151" i="144"/>
  <c r="V60" i="155" s="1"/>
  <c r="Q132" i="144"/>
  <c r="F130" i="144"/>
  <c r="F149" i="144"/>
  <c r="V129" i="144"/>
  <c r="V148" i="144"/>
  <c r="J328" i="139"/>
  <c r="J337" i="139" s="1"/>
  <c r="J346" i="149" s="1"/>
  <c r="O37" i="128"/>
  <c r="H234" i="144"/>
  <c r="H266" i="144" s="1"/>
  <c r="S152" i="144"/>
  <c r="X61" i="155" s="1"/>
  <c r="S133" i="144"/>
  <c r="F122" i="144"/>
  <c r="F141" i="144"/>
  <c r="V121" i="144"/>
  <c r="V140" i="144"/>
  <c r="AA154" i="144"/>
  <c r="AA135" i="144"/>
  <c r="O146" i="144"/>
  <c r="O127" i="144"/>
  <c r="S145" i="144"/>
  <c r="S126" i="144"/>
  <c r="M122" i="144"/>
  <c r="M141" i="144"/>
  <c r="N148" i="144"/>
  <c r="N129" i="144"/>
  <c r="K152" i="144"/>
  <c r="K133" i="144"/>
  <c r="Z123" i="144"/>
  <c r="Z142" i="144"/>
  <c r="K143" i="144"/>
  <c r="K124" i="144"/>
  <c r="AB124" i="144"/>
  <c r="AB143" i="144"/>
  <c r="J125" i="144"/>
  <c r="J144" i="144"/>
  <c r="O53" i="155" s="1"/>
  <c r="V234" i="144"/>
  <c r="V266" i="144" s="1"/>
  <c r="F131" i="144"/>
  <c r="F150" i="144"/>
  <c r="V130" i="144"/>
  <c r="V149" i="144"/>
  <c r="I328" i="139"/>
  <c r="I337" i="139" s="1"/>
  <c r="I346" i="149" s="1"/>
  <c r="N37" i="128"/>
  <c r="K419" i="149"/>
  <c r="K461" i="149" s="1"/>
  <c r="Q170" i="144"/>
  <c r="Q243" i="144" s="1"/>
  <c r="Q275" i="144" s="1"/>
  <c r="Q146" i="144"/>
  <c r="Q127" i="144"/>
  <c r="E129" i="144"/>
  <c r="E148" i="144"/>
  <c r="O142" i="144"/>
  <c r="O123" i="144"/>
  <c r="R140" i="144"/>
  <c r="R121" i="144"/>
  <c r="K149" i="144"/>
  <c r="K130" i="144"/>
  <c r="T122" i="144"/>
  <c r="T141" i="144"/>
  <c r="Y50" i="155" s="1"/>
  <c r="T129" i="144"/>
  <c r="T148" i="144"/>
  <c r="Y57" i="155" s="1"/>
  <c r="AB125" i="144"/>
  <c r="AB144" i="144"/>
  <c r="AG53" i="155" s="1"/>
  <c r="K154" i="144"/>
  <c r="K135" i="144"/>
  <c r="T132" i="144"/>
  <c r="T151" i="144"/>
  <c r="Y60" i="155" s="1"/>
  <c r="S151" i="144"/>
  <c r="S132" i="144"/>
  <c r="E143" i="144"/>
  <c r="E124" i="144"/>
  <c r="F143" i="144"/>
  <c r="F124" i="144"/>
  <c r="U234" i="144"/>
  <c r="U266" i="144" s="1"/>
  <c r="V123" i="144"/>
  <c r="V142" i="144"/>
  <c r="H134" i="144"/>
  <c r="H153" i="144"/>
  <c r="K142" i="144"/>
  <c r="K123" i="144"/>
  <c r="Z129" i="144"/>
  <c r="Z148" i="144"/>
  <c r="O133" i="144"/>
  <c r="O152" i="144"/>
  <c r="T142" i="144"/>
  <c r="Y51" i="155" s="1"/>
  <c r="T123" i="144"/>
  <c r="R130" i="144"/>
  <c r="R149" i="144"/>
  <c r="W58" i="155" s="1"/>
  <c r="K141" i="144"/>
  <c r="K122" i="144"/>
  <c r="J154" i="144"/>
  <c r="J135" i="144"/>
  <c r="Q152" i="144"/>
  <c r="Q133" i="144"/>
  <c r="V44" i="155" s="1"/>
  <c r="X328" i="139"/>
  <c r="X337" i="139" s="1"/>
  <c r="X346" i="149" s="1"/>
  <c r="AC37" i="128"/>
  <c r="E142" i="144"/>
  <c r="E123" i="144"/>
  <c r="F133" i="144"/>
  <c r="F152" i="144"/>
  <c r="V141" i="144"/>
  <c r="V122" i="144"/>
  <c r="AB204" i="139"/>
  <c r="AG37" i="128"/>
  <c r="AC181" i="144"/>
  <c r="J153" i="144"/>
  <c r="J134" i="144"/>
  <c r="R144" i="144"/>
  <c r="R125" i="144"/>
  <c r="O145" i="144"/>
  <c r="O126" i="144"/>
  <c r="K145" i="144"/>
  <c r="K126" i="144"/>
  <c r="N124" i="144"/>
  <c r="N143" i="144"/>
  <c r="J132" i="144"/>
  <c r="J151" i="144"/>
  <c r="O60" i="155" s="1"/>
  <c r="T146" i="144"/>
  <c r="T127" i="144"/>
  <c r="Z149" i="144"/>
  <c r="Z130" i="144"/>
  <c r="U328" i="139"/>
  <c r="U337" i="139" s="1"/>
  <c r="U346" i="149" s="1"/>
  <c r="Z37" i="128"/>
  <c r="E122" i="144"/>
  <c r="E141" i="144"/>
  <c r="F134" i="144"/>
  <c r="F153" i="144"/>
  <c r="V131" i="144"/>
  <c r="V150" i="144"/>
  <c r="F328" i="139"/>
  <c r="F337" i="139" s="1"/>
  <c r="F346" i="149" s="1"/>
  <c r="K37" i="128"/>
  <c r="Y133" i="144"/>
  <c r="Y152" i="144"/>
  <c r="R145" i="144"/>
  <c r="R126" i="144"/>
  <c r="M154" i="144"/>
  <c r="M135" i="144"/>
  <c r="R141" i="144"/>
  <c r="W50" i="155" s="1"/>
  <c r="R122" i="144"/>
  <c r="J127" i="144"/>
  <c r="J146" i="144"/>
  <c r="O55" i="155" s="1"/>
  <c r="T131" i="144"/>
  <c r="T150" i="144"/>
  <c r="Y59" i="155" s="1"/>
  <c r="R131" i="144"/>
  <c r="R150" i="144"/>
  <c r="W59" i="155" s="1"/>
  <c r="AB123" i="144"/>
  <c r="AB142" i="144"/>
  <c r="T145" i="144"/>
  <c r="T126" i="144"/>
  <c r="J131" i="144"/>
  <c r="O42" i="155" s="1"/>
  <c r="J150" i="144"/>
  <c r="O59" i="155" s="1"/>
  <c r="L130" i="144"/>
  <c r="L149" i="144"/>
  <c r="K148" i="144"/>
  <c r="P57" i="155" s="1"/>
  <c r="K129" i="144"/>
  <c r="Z135" i="144"/>
  <c r="Z154" i="144"/>
  <c r="R154" i="144"/>
  <c r="R135" i="144"/>
  <c r="AA204" i="139"/>
  <c r="AF37" i="128"/>
  <c r="V143" i="144"/>
  <c r="V124" i="144"/>
  <c r="AB131" i="144"/>
  <c r="AB150" i="144"/>
  <c r="AG59" i="155" s="1"/>
  <c r="M130" i="144"/>
  <c r="M149" i="144"/>
  <c r="Z144" i="144"/>
  <c r="AE53" i="155" s="1"/>
  <c r="Z125" i="144"/>
  <c r="E127" i="144"/>
  <c r="J38" i="155" s="1"/>
  <c r="E146" i="144"/>
  <c r="F127" i="144"/>
  <c r="F146" i="144"/>
  <c r="V152" i="144"/>
  <c r="V133" i="144"/>
  <c r="Y124" i="144"/>
  <c r="Y143" i="144"/>
  <c r="E126" i="144"/>
  <c r="E145" i="144"/>
  <c r="AA133" i="144"/>
  <c r="AA152" i="144"/>
  <c r="I327" i="139"/>
  <c r="I336" i="139" s="1"/>
  <c r="I345" i="149" s="1"/>
  <c r="N36" i="128"/>
  <c r="J126" i="144"/>
  <c r="J145" i="144"/>
  <c r="L134" i="144"/>
  <c r="L153" i="144"/>
  <c r="AB132" i="144"/>
  <c r="AB151" i="144"/>
  <c r="AG60" i="155" s="1"/>
  <c r="N178" i="144"/>
  <c r="N245" i="144" s="1"/>
  <c r="N277" i="144" s="1"/>
  <c r="N154" i="144"/>
  <c r="N135" i="144"/>
  <c r="V169" i="144"/>
  <c r="L141" i="144"/>
  <c r="L122" i="144"/>
  <c r="K134" i="144"/>
  <c r="K153" i="144"/>
  <c r="Q143" i="144"/>
  <c r="Q124" i="144"/>
  <c r="V35" i="155" s="1"/>
  <c r="E149" i="144"/>
  <c r="E130" i="144"/>
  <c r="AF327" i="139"/>
  <c r="AF336" i="139" s="1"/>
  <c r="AF345" i="149" s="1"/>
  <c r="AK36" i="128"/>
  <c r="AE234" i="144"/>
  <c r="AE266" i="144" s="1"/>
  <c r="V134" i="144"/>
  <c r="V153" i="144"/>
  <c r="AE327" i="139"/>
  <c r="AE336" i="139" s="1"/>
  <c r="AE345" i="149" s="1"/>
  <c r="AJ36" i="128"/>
  <c r="Q144" i="144"/>
  <c r="V53" i="155" s="1"/>
  <c r="Q125" i="144"/>
  <c r="L129" i="144"/>
  <c r="L148" i="144"/>
  <c r="M145" i="144"/>
  <c r="M126" i="144"/>
  <c r="AF234" i="144"/>
  <c r="AF266" i="144" s="1"/>
  <c r="G150" i="144"/>
  <c r="G131" i="144"/>
  <c r="V135" i="144"/>
  <c r="V154" i="144"/>
  <c r="H154" i="144"/>
  <c r="H135" i="144"/>
  <c r="V126" i="144"/>
  <c r="V145" i="144"/>
  <c r="L121" i="144"/>
  <c r="L140" i="144"/>
  <c r="O151" i="144"/>
  <c r="T60" i="155" s="1"/>
  <c r="O132" i="144"/>
  <c r="O143" i="144"/>
  <c r="O124" i="144"/>
  <c r="O149" i="144"/>
  <c r="O130" i="144"/>
  <c r="L144" i="144"/>
  <c r="Q53" i="155" s="1"/>
  <c r="L125" i="144"/>
  <c r="T135" i="144"/>
  <c r="T154" i="144"/>
  <c r="Y63" i="155" s="1"/>
  <c r="R143" i="144"/>
  <c r="R124" i="144"/>
  <c r="Q145" i="144"/>
  <c r="Q126" i="144"/>
  <c r="V37" i="155" s="1"/>
  <c r="E133" i="144"/>
  <c r="E152" i="144"/>
  <c r="G148" i="144"/>
  <c r="G129" i="144"/>
  <c r="AF328" i="139"/>
  <c r="AF337" i="139" s="1"/>
  <c r="AF346" i="149" s="1"/>
  <c r="AK37" i="128"/>
  <c r="Y145" i="144"/>
  <c r="Y126" i="144"/>
  <c r="Q149" i="144"/>
  <c r="V58" i="155" s="1"/>
  <c r="Q130" i="144"/>
  <c r="J149" i="144"/>
  <c r="O58" i="155" s="1"/>
  <c r="J130" i="144"/>
  <c r="G234" i="144"/>
  <c r="G266" i="144" s="1"/>
  <c r="L142" i="144"/>
  <c r="L123" i="144"/>
  <c r="O122" i="144"/>
  <c r="O141" i="144"/>
  <c r="M150" i="144"/>
  <c r="R59" i="155" s="1"/>
  <c r="M131" i="144"/>
  <c r="S148" i="144"/>
  <c r="X57" i="155" s="1"/>
  <c r="S129" i="144"/>
  <c r="Q131" i="144"/>
  <c r="Q150" i="144"/>
  <c r="V59" i="155" s="1"/>
  <c r="G146" i="144"/>
  <c r="G127" i="144"/>
  <c r="R328" i="139"/>
  <c r="R337" i="139" s="1"/>
  <c r="R346" i="149" s="1"/>
  <c r="W37" i="128"/>
  <c r="H150" i="144"/>
  <c r="H131" i="144"/>
  <c r="M153" i="144"/>
  <c r="M134" i="144"/>
  <c r="T143" i="144"/>
  <c r="Y52" i="155" s="1"/>
  <c r="T124" i="144"/>
  <c r="L131" i="144"/>
  <c r="L150" i="144"/>
  <c r="R132" i="144"/>
  <c r="R151" i="144"/>
  <c r="W60" i="155" s="1"/>
  <c r="Q154" i="144"/>
  <c r="V63" i="155" s="1"/>
  <c r="Q135" i="144"/>
  <c r="E134" i="144"/>
  <c r="E153" i="144"/>
  <c r="AD328" i="139"/>
  <c r="AD337" i="139" s="1"/>
  <c r="AD346" i="149" s="1"/>
  <c r="AI37" i="128"/>
  <c r="AB122" i="144"/>
  <c r="AB141" i="144"/>
  <c r="AB148" i="144"/>
  <c r="AG57" i="155" s="1"/>
  <c r="AB129" i="144"/>
  <c r="J122" i="144"/>
  <c r="J141" i="144"/>
  <c r="N145" i="144"/>
  <c r="N126" i="144"/>
  <c r="AB121" i="144"/>
  <c r="AG32" i="155" s="1"/>
  <c r="AB140" i="144"/>
  <c r="Z145" i="144"/>
  <c r="Z126" i="144"/>
  <c r="Q153" i="144"/>
  <c r="Q134" i="144"/>
  <c r="V45" i="155" s="1"/>
  <c r="E150" i="144"/>
  <c r="E131" i="144"/>
  <c r="Y204" i="139"/>
  <c r="AD37" i="128"/>
  <c r="X327" i="139"/>
  <c r="X336" i="139" s="1"/>
  <c r="X345" i="149" s="1"/>
  <c r="AC36" i="128"/>
  <c r="G140" i="144"/>
  <c r="G121" i="144"/>
  <c r="G144" i="144"/>
  <c r="G125" i="144"/>
  <c r="AB135" i="144"/>
  <c r="AB154" i="144"/>
  <c r="S154" i="144"/>
  <c r="X63" i="155" s="1"/>
  <c r="S135" i="144"/>
  <c r="AB130" i="144"/>
  <c r="AB149" i="144"/>
  <c r="S134" i="144"/>
  <c r="S153" i="144"/>
  <c r="O134" i="144"/>
  <c r="O153" i="144"/>
  <c r="N151" i="144"/>
  <c r="S60" i="155" s="1"/>
  <c r="N132" i="144"/>
  <c r="S43" i="155" s="1"/>
  <c r="S124" i="144"/>
  <c r="S143" i="144"/>
  <c r="X52" i="155" s="1"/>
  <c r="T152" i="144"/>
  <c r="T133" i="144"/>
  <c r="T130" i="144"/>
  <c r="T149" i="144"/>
  <c r="M151" i="144"/>
  <c r="R60" i="155" s="1"/>
  <c r="M132" i="144"/>
  <c r="J121" i="144"/>
  <c r="J140" i="144"/>
  <c r="N204" i="139"/>
  <c r="S37" i="128"/>
  <c r="H204" i="139"/>
  <c r="M37" i="128"/>
  <c r="AE122" i="144"/>
  <c r="AE141" i="144"/>
  <c r="AJ50" i="155" s="1"/>
  <c r="G151" i="144"/>
  <c r="G132" i="144"/>
  <c r="Z151" i="144"/>
  <c r="AE60" i="155" s="1"/>
  <c r="Z132" i="144"/>
  <c r="M140" i="144"/>
  <c r="M121" i="144"/>
  <c r="J142" i="144"/>
  <c r="O51" i="155" s="1"/>
  <c r="J123" i="144"/>
  <c r="M327" i="139"/>
  <c r="M336" i="139" s="1"/>
  <c r="M345" i="149" s="1"/>
  <c r="R36" i="128"/>
  <c r="U327" i="139"/>
  <c r="U336" i="139" s="1"/>
  <c r="U345" i="149" s="1"/>
  <c r="Z36" i="128"/>
  <c r="G142" i="144"/>
  <c r="G123" i="144"/>
  <c r="W150" i="144"/>
  <c r="W131" i="144"/>
  <c r="AA123" i="144"/>
  <c r="AA142" i="144"/>
  <c r="S146" i="144"/>
  <c r="X55" i="155" s="1"/>
  <c r="S127" i="144"/>
  <c r="M144" i="144"/>
  <c r="R53" i="155" s="1"/>
  <c r="M125" i="144"/>
  <c r="T168" i="144"/>
  <c r="T242" i="144" s="1"/>
  <c r="T274" i="144" s="1"/>
  <c r="T144" i="144"/>
  <c r="T125" i="144"/>
  <c r="S130" i="144"/>
  <c r="S149" i="144"/>
  <c r="M148" i="144"/>
  <c r="R57" i="155" s="1"/>
  <c r="M129" i="144"/>
  <c r="R172" i="144"/>
  <c r="R232" i="144" s="1"/>
  <c r="R264" i="144" s="1"/>
  <c r="R129" i="144"/>
  <c r="R148" i="144"/>
  <c r="AB126" i="144"/>
  <c r="AG37" i="155" s="1"/>
  <c r="AB145" i="144"/>
  <c r="S234" i="144"/>
  <c r="S266" i="144" s="1"/>
  <c r="Q140" i="144"/>
  <c r="Q121" i="144"/>
  <c r="V32" i="155" s="1"/>
  <c r="E151" i="144"/>
  <c r="E132" i="144"/>
  <c r="H231" i="144"/>
  <c r="H263" i="144" s="1"/>
  <c r="P328" i="139"/>
  <c r="P337" i="139" s="1"/>
  <c r="P346" i="149" s="1"/>
  <c r="G143" i="144"/>
  <c r="G124" i="144"/>
  <c r="W86" i="144"/>
  <c r="J152" i="144"/>
  <c r="J133" i="144"/>
  <c r="E135" i="144"/>
  <c r="E154" i="144"/>
  <c r="N123" i="144"/>
  <c r="N142" i="144"/>
  <c r="S51" i="155" s="1"/>
  <c r="L175" i="144"/>
  <c r="L239" i="144" s="1"/>
  <c r="L271" i="144" s="1"/>
  <c r="L288" i="144" s="1"/>
  <c r="R20" i="155" s="1"/>
  <c r="L151" i="144"/>
  <c r="L132" i="144"/>
  <c r="K168" i="144"/>
  <c r="K242" i="144" s="1"/>
  <c r="P93" i="155" s="1"/>
  <c r="K125" i="144"/>
  <c r="K144" i="144"/>
  <c r="S140" i="144"/>
  <c r="X49" i="155" s="1"/>
  <c r="S121" i="144"/>
  <c r="Q129" i="144"/>
  <c r="Q148" i="144"/>
  <c r="V57" i="155" s="1"/>
  <c r="F321" i="144"/>
  <c r="F365" i="149" s="1"/>
  <c r="F424" i="149" s="1"/>
  <c r="F466" i="149" s="1"/>
  <c r="H228" i="144"/>
  <c r="H260" i="144" s="1"/>
  <c r="H226" i="144"/>
  <c r="H258" i="144" s="1"/>
  <c r="G152" i="144"/>
  <c r="G133" i="144"/>
  <c r="W84" i="144"/>
  <c r="H152" i="144"/>
  <c r="H133" i="144"/>
  <c r="J148" i="144"/>
  <c r="O57" i="155" s="1"/>
  <c r="J129" i="144"/>
  <c r="N144" i="144"/>
  <c r="S53" i="155" s="1"/>
  <c r="N125" i="144"/>
  <c r="N152" i="144"/>
  <c r="N133" i="144"/>
  <c r="K132" i="144"/>
  <c r="K151" i="144"/>
  <c r="P60" i="155" s="1"/>
  <c r="S123" i="144"/>
  <c r="S142" i="144"/>
  <c r="X51" i="155" s="1"/>
  <c r="Z121" i="144"/>
  <c r="Z140" i="144"/>
  <c r="AE49" i="155" s="1"/>
  <c r="S141" i="144"/>
  <c r="X50" i="155" s="1"/>
  <c r="S122" i="144"/>
  <c r="M146" i="144"/>
  <c r="R55" i="155" s="1"/>
  <c r="M127" i="144"/>
  <c r="T121" i="144"/>
  <c r="T140" i="144"/>
  <c r="Z143" i="144"/>
  <c r="Z124" i="144"/>
  <c r="M133" i="144"/>
  <c r="M152" i="144"/>
  <c r="O135" i="144"/>
  <c r="O154" i="144"/>
  <c r="AB146" i="144"/>
  <c r="AB127" i="144"/>
  <c r="H223" i="144"/>
  <c r="H255" i="144" s="1"/>
  <c r="W87" i="144"/>
  <c r="AE328" i="139"/>
  <c r="AE337" i="139" s="1"/>
  <c r="AE346" i="149" s="1"/>
  <c r="AJ37" i="128"/>
  <c r="Z327" i="139"/>
  <c r="Z336" i="139" s="1"/>
  <c r="Z345" i="149" s="1"/>
  <c r="AE36" i="128"/>
  <c r="P85" i="144"/>
  <c r="P107" i="144" s="1"/>
  <c r="W116" i="144"/>
  <c r="W177" i="144"/>
  <c r="W85" i="144"/>
  <c r="W107" i="144" s="1"/>
  <c r="W90" i="144"/>
  <c r="W95" i="144"/>
  <c r="W117" i="144" s="1"/>
  <c r="W93" i="144"/>
  <c r="AF111" i="144"/>
  <c r="W92" i="144"/>
  <c r="W114" i="144" s="1"/>
  <c r="W82" i="144"/>
  <c r="AB71" i="138"/>
  <c r="T71" i="138"/>
  <c r="L71" i="138"/>
  <c r="AI71" i="138"/>
  <c r="AA71" i="138"/>
  <c r="S71" i="138"/>
  <c r="K71" i="138"/>
  <c r="AH71" i="138"/>
  <c r="Z71" i="138"/>
  <c r="R71" i="138"/>
  <c r="J71" i="138"/>
  <c r="P71" i="138"/>
  <c r="AG71" i="138"/>
  <c r="Y71" i="138"/>
  <c r="Q71" i="138"/>
  <c r="I71" i="138"/>
  <c r="AF71" i="138"/>
  <c r="X71" i="138"/>
  <c r="H71" i="138"/>
  <c r="AE71" i="138"/>
  <c r="W71" i="138"/>
  <c r="AD71" i="138"/>
  <c r="V71" i="138"/>
  <c r="N71" i="138"/>
  <c r="AC71" i="138"/>
  <c r="U71" i="138"/>
  <c r="M71" i="138"/>
  <c r="O71" i="138"/>
  <c r="AF83" i="138"/>
  <c r="X83" i="138"/>
  <c r="P83" i="138"/>
  <c r="H83" i="138"/>
  <c r="AE83" i="138"/>
  <c r="W83" i="138"/>
  <c r="O83" i="138"/>
  <c r="T83" i="138"/>
  <c r="AD83" i="138"/>
  <c r="V83" i="138"/>
  <c r="N83" i="138"/>
  <c r="AC83" i="138"/>
  <c r="U83" i="138"/>
  <c r="M83" i="138"/>
  <c r="AB83" i="138"/>
  <c r="L83" i="138"/>
  <c r="AA83" i="138"/>
  <c r="S83" i="138"/>
  <c r="K83" i="138"/>
  <c r="AH83" i="138"/>
  <c r="Z83" i="138"/>
  <c r="R83" i="138"/>
  <c r="J83" i="138"/>
  <c r="AG83" i="138"/>
  <c r="Y83" i="138"/>
  <c r="Q83" i="138"/>
  <c r="I83" i="138"/>
  <c r="AI83" i="138"/>
  <c r="AH46" i="138"/>
  <c r="Z46" i="138"/>
  <c r="R46" i="138"/>
  <c r="J46" i="138"/>
  <c r="AG46" i="138"/>
  <c r="Y46" i="138"/>
  <c r="Q46" i="138"/>
  <c r="I46" i="138"/>
  <c r="V46" i="138"/>
  <c r="AF46" i="138"/>
  <c r="X46" i="138"/>
  <c r="P46" i="138"/>
  <c r="H46" i="138"/>
  <c r="AC46" i="138"/>
  <c r="AE46" i="138"/>
  <c r="W46" i="138"/>
  <c r="O46" i="138"/>
  <c r="AD46" i="138"/>
  <c r="N46" i="138"/>
  <c r="U46" i="138"/>
  <c r="M46" i="138"/>
  <c r="AB46" i="138"/>
  <c r="T46" i="138"/>
  <c r="L46" i="138"/>
  <c r="AI46" i="138"/>
  <c r="AA46" i="138"/>
  <c r="S46" i="138"/>
  <c r="K46" i="138"/>
  <c r="W81" i="144"/>
  <c r="W83" i="144"/>
  <c r="W105" i="144" s="1"/>
  <c r="W89" i="144"/>
  <c r="U28" i="128"/>
  <c r="R33" i="128"/>
  <c r="U27" i="128"/>
  <c r="AA33" i="128"/>
  <c r="Z27" i="128"/>
  <c r="W261" i="139"/>
  <c r="W291" i="139" s="1"/>
  <c r="W310" i="139" s="1"/>
  <c r="W333" i="149" s="1"/>
  <c r="P261" i="139"/>
  <c r="P291" i="139" s="1"/>
  <c r="P310" i="139" s="1"/>
  <c r="P333" i="149" s="1"/>
  <c r="O415" i="149"/>
  <c r="O457" i="149" s="1"/>
  <c r="AA415" i="149"/>
  <c r="AA457" i="149" s="1"/>
  <c r="P33" i="128"/>
  <c r="T28" i="128"/>
  <c r="Z24" i="128"/>
  <c r="V28" i="128"/>
  <c r="AD32" i="128"/>
  <c r="T32" i="128"/>
  <c r="AA28" i="128"/>
  <c r="Y31" i="128"/>
  <c r="X204" i="139"/>
  <c r="AE204" i="139"/>
  <c r="R32" i="128"/>
  <c r="R25" i="128"/>
  <c r="O204" i="139"/>
  <c r="O328" i="139"/>
  <c r="O337" i="139" s="1"/>
  <c r="O346" i="149" s="1"/>
  <c r="K328" i="139"/>
  <c r="K337" i="139" s="1"/>
  <c r="K346" i="149" s="1"/>
  <c r="V204" i="139"/>
  <c r="I204" i="139"/>
  <c r="R27" i="128"/>
  <c r="AD28" i="128"/>
  <c r="Y425" i="149"/>
  <c r="Y467" i="149" s="1"/>
  <c r="W328" i="139"/>
  <c r="W337" i="139" s="1"/>
  <c r="W346" i="149" s="1"/>
  <c r="J204" i="139"/>
  <c r="K204" i="139"/>
  <c r="AJ33" i="128"/>
  <c r="O33" i="128"/>
  <c r="AC28" i="128"/>
  <c r="X24" i="128"/>
  <c r="H328" i="139"/>
  <c r="H337" i="139" s="1"/>
  <c r="H346" i="149" s="1"/>
  <c r="S27" i="128"/>
  <c r="S28" i="128"/>
  <c r="W28" i="128"/>
  <c r="AK32" i="128"/>
  <c r="N33" i="128"/>
  <c r="Y28" i="128"/>
  <c r="AK25" i="128"/>
  <c r="AB328" i="139"/>
  <c r="AB337" i="139" s="1"/>
  <c r="AB346" i="149" s="1"/>
  <c r="Q204" i="139"/>
  <c r="Q327" i="139"/>
  <c r="Q336" i="139" s="1"/>
  <c r="Q345" i="149" s="1"/>
  <c r="AF94" i="155"/>
  <c r="G165" i="144"/>
  <c r="G233" i="144" s="1"/>
  <c r="G265" i="144" s="1"/>
  <c r="G104" i="144"/>
  <c r="W173" i="144"/>
  <c r="W237" i="144" s="1"/>
  <c r="W269" i="144" s="1"/>
  <c r="W286" i="144" s="1"/>
  <c r="AC18" i="155" s="1"/>
  <c r="W112" i="144"/>
  <c r="I107" i="144"/>
  <c r="G173" i="144"/>
  <c r="G237" i="144" s="1"/>
  <c r="G269" i="144" s="1"/>
  <c r="G286" i="144" s="1"/>
  <c r="M18" i="155" s="1"/>
  <c r="G112" i="144"/>
  <c r="V312" i="144"/>
  <c r="V356" i="149" s="1"/>
  <c r="V107" i="144"/>
  <c r="W176" i="144"/>
  <c r="W115" i="144"/>
  <c r="G178" i="144"/>
  <c r="G245" i="144" s="1"/>
  <c r="G277" i="144" s="1"/>
  <c r="G117" i="144"/>
  <c r="AE224" i="144"/>
  <c r="AE256" i="144" s="1"/>
  <c r="E308" i="144"/>
  <c r="E352" i="149" s="1"/>
  <c r="E411" i="149" s="1"/>
  <c r="E453" i="149" s="1"/>
  <c r="E103" i="144"/>
  <c r="F164" i="144"/>
  <c r="F103" i="144"/>
  <c r="E107" i="144"/>
  <c r="F313" i="144"/>
  <c r="F357" i="149" s="1"/>
  <c r="F416" i="149" s="1"/>
  <c r="F458" i="149" s="1"/>
  <c r="F108" i="144"/>
  <c r="G177" i="144"/>
  <c r="G116" i="144"/>
  <c r="V314" i="144"/>
  <c r="V358" i="149" s="1"/>
  <c r="V417" i="149" s="1"/>
  <c r="V459" i="149" s="1"/>
  <c r="V109" i="144"/>
  <c r="W164" i="144"/>
  <c r="W103" i="144"/>
  <c r="AE229" i="144"/>
  <c r="AE261" i="144" s="1"/>
  <c r="U32" i="128"/>
  <c r="T328" i="139"/>
  <c r="T337" i="139" s="1"/>
  <c r="T346" i="149" s="1"/>
  <c r="N32" i="128"/>
  <c r="AF204" i="139"/>
  <c r="S33" i="128"/>
  <c r="AE28" i="128"/>
  <c r="T229" i="144"/>
  <c r="T261" i="144" s="1"/>
  <c r="N425" i="149"/>
  <c r="N467" i="149" s="1"/>
  <c r="T224" i="144"/>
  <c r="T256" i="144" s="1"/>
  <c r="T204" i="139"/>
  <c r="P28" i="128"/>
  <c r="AC24" i="128"/>
  <c r="AE411" i="149"/>
  <c r="AE453" i="149" s="1"/>
  <c r="S422" i="149"/>
  <c r="S464" i="149" s="1"/>
  <c r="AA32" i="128"/>
  <c r="AE27" i="128"/>
  <c r="V24" i="128"/>
  <c r="Y24" i="128"/>
  <c r="S421" i="149"/>
  <c r="S463" i="149" s="1"/>
  <c r="R416" i="149"/>
  <c r="R458" i="149" s="1"/>
  <c r="M413" i="149"/>
  <c r="M455" i="149" s="1"/>
  <c r="M421" i="149"/>
  <c r="M463" i="149" s="1"/>
  <c r="U33" i="128"/>
  <c r="W298" i="139"/>
  <c r="W317" i="139" s="1"/>
  <c r="W340" i="149" s="1"/>
  <c r="J420" i="149"/>
  <c r="J462" i="149" s="1"/>
  <c r="T414" i="149"/>
  <c r="T456" i="149" s="1"/>
  <c r="V327" i="139"/>
  <c r="V336" i="139" s="1"/>
  <c r="V345" i="149" s="1"/>
  <c r="Z421" i="149"/>
  <c r="Z463" i="149" s="1"/>
  <c r="Y411" i="149"/>
  <c r="Y453" i="149" s="1"/>
  <c r="AB421" i="149"/>
  <c r="AB463" i="149" s="1"/>
  <c r="R422" i="149"/>
  <c r="R464" i="149" s="1"/>
  <c r="M417" i="149"/>
  <c r="M459" i="149" s="1"/>
  <c r="Y413" i="149"/>
  <c r="Y455" i="149" s="1"/>
  <c r="O422" i="149"/>
  <c r="O464" i="149" s="1"/>
  <c r="I416" i="149"/>
  <c r="I458" i="149" s="1"/>
  <c r="K421" i="149"/>
  <c r="K463" i="149" s="1"/>
  <c r="S417" i="149"/>
  <c r="S459" i="149" s="1"/>
  <c r="AK27" i="128"/>
  <c r="X32" i="128"/>
  <c r="X33" i="128"/>
  <c r="X413" i="149"/>
  <c r="X455" i="149" s="1"/>
  <c r="N412" i="149"/>
  <c r="N454" i="149" s="1"/>
  <c r="T411" i="149"/>
  <c r="T453" i="149" s="1"/>
  <c r="O417" i="149"/>
  <c r="O459" i="149" s="1"/>
  <c r="K422" i="149"/>
  <c r="K464" i="149" s="1"/>
  <c r="S411" i="149"/>
  <c r="S453" i="149" s="1"/>
  <c r="Y421" i="149"/>
  <c r="Y463" i="149" s="1"/>
  <c r="Z417" i="149"/>
  <c r="Z459" i="149" s="1"/>
  <c r="W27" i="128"/>
  <c r="Z33" i="128"/>
  <c r="J422" i="149"/>
  <c r="J464" i="149" s="1"/>
  <c r="R417" i="149"/>
  <c r="R459" i="149" s="1"/>
  <c r="M414" i="149"/>
  <c r="M456" i="149" s="1"/>
  <c r="AD421" i="149"/>
  <c r="AD463" i="149" s="1"/>
  <c r="AA411" i="149"/>
  <c r="AA453" i="149" s="1"/>
  <c r="T413" i="149"/>
  <c r="T455" i="149" s="1"/>
  <c r="K417" i="149"/>
  <c r="K459" i="149" s="1"/>
  <c r="Q411" i="149"/>
  <c r="Q453" i="149" s="1"/>
  <c r="Z416" i="149"/>
  <c r="Z458" i="149" s="1"/>
  <c r="S425" i="149"/>
  <c r="S467" i="149" s="1"/>
  <c r="AK28" i="128"/>
  <c r="R420" i="149"/>
  <c r="R462" i="149" s="1"/>
  <c r="J421" i="149"/>
  <c r="J463" i="149" s="1"/>
  <c r="Y422" i="149"/>
  <c r="Y464" i="149" s="1"/>
  <c r="S416" i="149"/>
  <c r="S458" i="149" s="1"/>
  <c r="AB417" i="149"/>
  <c r="AB459" i="149" s="1"/>
  <c r="X422" i="149"/>
  <c r="X464" i="149" s="1"/>
  <c r="Z411" i="149"/>
  <c r="Z453" i="149" s="1"/>
  <c r="T416" i="149"/>
  <c r="T458" i="149" s="1"/>
  <c r="R425" i="149"/>
  <c r="R467" i="149" s="1"/>
  <c r="H425" i="149"/>
  <c r="H467" i="149" s="1"/>
  <c r="AK31" i="128"/>
  <c r="H417" i="149"/>
  <c r="H459" i="149" s="1"/>
  <c r="T417" i="149"/>
  <c r="T459" i="149" s="1"/>
  <c r="T420" i="149"/>
  <c r="T462" i="149" s="1"/>
  <c r="S420" i="149"/>
  <c r="S462" i="149" s="1"/>
  <c r="N416" i="149"/>
  <c r="N458" i="149" s="1"/>
  <c r="AE422" i="149"/>
  <c r="AE464" i="149" s="1"/>
  <c r="I422" i="149"/>
  <c r="I464" i="149" s="1"/>
  <c r="K411" i="149"/>
  <c r="K453" i="149" s="1"/>
  <c r="AE421" i="149"/>
  <c r="AE463" i="149" s="1"/>
  <c r="H416" i="149"/>
  <c r="H458" i="149" s="1"/>
  <c r="AB415" i="149"/>
  <c r="AB457" i="149" s="1"/>
  <c r="AC32" i="128"/>
  <c r="R24" i="128"/>
  <c r="AE420" i="149"/>
  <c r="AE462" i="149" s="1"/>
  <c r="Y416" i="149"/>
  <c r="Y458" i="149" s="1"/>
  <c r="R413" i="149"/>
  <c r="R455" i="149" s="1"/>
  <c r="N413" i="149"/>
  <c r="N455" i="149" s="1"/>
  <c r="J287" i="139"/>
  <c r="J306" i="139" s="1"/>
  <c r="J329" i="149" s="1"/>
  <c r="J411" i="149" s="1"/>
  <c r="J453" i="149" s="1"/>
  <c r="H422" i="149"/>
  <c r="H464" i="149" s="1"/>
  <c r="AE417" i="149"/>
  <c r="AE459" i="149" s="1"/>
  <c r="J417" i="149"/>
  <c r="J459" i="149" s="1"/>
  <c r="N411" i="149"/>
  <c r="N453" i="149" s="1"/>
  <c r="S413" i="149"/>
  <c r="S455" i="149" s="1"/>
  <c r="Z422" i="149"/>
  <c r="Z464" i="149" s="1"/>
  <c r="T425" i="149"/>
  <c r="T467" i="149" s="1"/>
  <c r="F425" i="149"/>
  <c r="F467" i="149" s="1"/>
  <c r="AA416" i="149"/>
  <c r="AA458" i="149" s="1"/>
  <c r="N420" i="149"/>
  <c r="N462" i="149" s="1"/>
  <c r="AE416" i="149"/>
  <c r="AE458" i="149" s="1"/>
  <c r="R421" i="149"/>
  <c r="R463" i="149" s="1"/>
  <c r="L415" i="149"/>
  <c r="L457" i="149" s="1"/>
  <c r="H411" i="149"/>
  <c r="H453" i="149" s="1"/>
  <c r="Y417" i="149"/>
  <c r="Y459" i="149" s="1"/>
  <c r="I417" i="149"/>
  <c r="I459" i="149" s="1"/>
  <c r="N417" i="149"/>
  <c r="N459" i="149" s="1"/>
  <c r="X411" i="149"/>
  <c r="X453" i="149" s="1"/>
  <c r="T422" i="149"/>
  <c r="T464" i="149" s="1"/>
  <c r="U31" i="128"/>
  <c r="AD33" i="128"/>
  <c r="AE33" i="128"/>
  <c r="V27" i="128"/>
  <c r="Y27" i="128"/>
  <c r="O32" i="128"/>
  <c r="W293" i="139"/>
  <c r="W312" i="139" s="1"/>
  <c r="W335" i="149" s="1"/>
  <c r="I97" i="144"/>
  <c r="K33" i="128"/>
  <c r="AG28" i="128"/>
  <c r="S327" i="139"/>
  <c r="S336" i="139" s="1"/>
  <c r="S345" i="149" s="1"/>
  <c r="Z25" i="128"/>
  <c r="X27" i="128"/>
  <c r="AC33" i="128"/>
  <c r="AC322" i="139"/>
  <c r="AC333" i="149"/>
  <c r="AC415" i="149" s="1"/>
  <c r="AC457" i="149" s="1"/>
  <c r="AC470" i="149" s="1"/>
  <c r="AC471" i="149" s="1"/>
  <c r="P32" i="128"/>
  <c r="V97" i="144"/>
  <c r="S204" i="139"/>
  <c r="AE32" i="128"/>
  <c r="V31" i="128"/>
  <c r="AG32" i="128"/>
  <c r="I164" i="144"/>
  <c r="P97" i="144"/>
  <c r="U204" i="139"/>
  <c r="AA25" i="128"/>
  <c r="R28" i="128"/>
  <c r="Z28" i="128"/>
  <c r="E97" i="144"/>
  <c r="AD97" i="144"/>
  <c r="F97" i="144"/>
  <c r="AF97" i="144"/>
  <c r="U97" i="144"/>
  <c r="W97" i="144"/>
  <c r="W33" i="128"/>
  <c r="T33" i="128"/>
  <c r="E164" i="144"/>
  <c r="G97" i="144"/>
  <c r="X97" i="144"/>
  <c r="R204" i="139"/>
  <c r="AD24" i="128"/>
  <c r="N27" i="128"/>
  <c r="AK33" i="128"/>
  <c r="AJ27" i="128"/>
  <c r="W327" i="139"/>
  <c r="W336" i="139" s="1"/>
  <c r="W345" i="149" s="1"/>
  <c r="N28" i="128"/>
  <c r="W32" i="128"/>
  <c r="Y33" i="128"/>
  <c r="V32" i="128"/>
  <c r="T327" i="139"/>
  <c r="T336" i="139" s="1"/>
  <c r="T345" i="149" s="1"/>
  <c r="AF27" i="128"/>
  <c r="V33" i="128"/>
  <c r="K28" i="128"/>
  <c r="AD27" i="128"/>
  <c r="P312" i="144"/>
  <c r="P356" i="149" s="1"/>
  <c r="AB33" i="128"/>
  <c r="M27" i="128"/>
  <c r="L294" i="139"/>
  <c r="L313" i="139" s="1"/>
  <c r="U296" i="139"/>
  <c r="U315" i="139" s="1"/>
  <c r="U338" i="149" s="1"/>
  <c r="Y328" i="139"/>
  <c r="Y337" i="139" s="1"/>
  <c r="Y346" i="149" s="1"/>
  <c r="S24" i="128"/>
  <c r="N328" i="139"/>
  <c r="N337" i="139" s="1"/>
  <c r="N346" i="149" s="1"/>
  <c r="AJ28" i="128"/>
  <c r="O28" i="128"/>
  <c r="W292" i="139"/>
  <c r="W311" i="139" s="1"/>
  <c r="W334" i="149" s="1"/>
  <c r="AA328" i="139"/>
  <c r="AA337" i="139" s="1"/>
  <c r="AA346" i="149" s="1"/>
  <c r="F327" i="139"/>
  <c r="F336" i="139" s="1"/>
  <c r="F345" i="149" s="1"/>
  <c r="W24" i="128"/>
  <c r="M33" i="128"/>
  <c r="AJ32" i="128"/>
  <c r="M204" i="139"/>
  <c r="H261" i="139"/>
  <c r="H291" i="139" s="1"/>
  <c r="H310" i="139" s="1"/>
  <c r="H333" i="149" s="1"/>
  <c r="H415" i="149" s="1"/>
  <c r="H457" i="149" s="1"/>
  <c r="N261" i="139"/>
  <c r="N291" i="139" s="1"/>
  <c r="N310" i="139" s="1"/>
  <c r="N333" i="149" s="1"/>
  <c r="N415" i="149" s="1"/>
  <c r="N457" i="149" s="1"/>
  <c r="Z32" i="128"/>
  <c r="AE265" i="139"/>
  <c r="AA265" i="139"/>
  <c r="M265" i="139"/>
  <c r="J265" i="139"/>
  <c r="R265" i="139"/>
  <c r="P265" i="139"/>
  <c r="W265" i="139"/>
  <c r="AB265" i="139"/>
  <c r="Z265" i="139"/>
  <c r="AF265" i="139"/>
  <c r="O265" i="139"/>
  <c r="H265" i="139"/>
  <c r="U265" i="139"/>
  <c r="V265" i="139"/>
  <c r="S265" i="139"/>
  <c r="X265" i="139"/>
  <c r="F265" i="139"/>
  <c r="T265" i="139"/>
  <c r="I265" i="139"/>
  <c r="N265" i="139"/>
  <c r="AF261" i="139"/>
  <c r="AF291" i="139" s="1"/>
  <c r="AF310" i="139" s="1"/>
  <c r="AF333" i="149" s="1"/>
  <c r="K261" i="139"/>
  <c r="K291" i="139" s="1"/>
  <c r="K310" i="139" s="1"/>
  <c r="K333" i="149" s="1"/>
  <c r="K415" i="149" s="1"/>
  <c r="K457" i="149" s="1"/>
  <c r="Y265" i="139"/>
  <c r="M261" i="139"/>
  <c r="M291" i="139" s="1"/>
  <c r="M310" i="139" s="1"/>
  <c r="M333" i="149" s="1"/>
  <c r="M415" i="149" s="1"/>
  <c r="M457" i="149" s="1"/>
  <c r="X261" i="139"/>
  <c r="X291" i="139" s="1"/>
  <c r="X310" i="139" s="1"/>
  <c r="X333" i="149" s="1"/>
  <c r="S261" i="139"/>
  <c r="S291" i="139" s="1"/>
  <c r="S310" i="139" s="1"/>
  <c r="S333" i="149" s="1"/>
  <c r="S415" i="149" s="1"/>
  <c r="S457" i="149" s="1"/>
  <c r="Y261" i="139"/>
  <c r="Y291" i="139" s="1"/>
  <c r="Y310" i="139" s="1"/>
  <c r="Y333" i="149" s="1"/>
  <c r="AG33" i="128"/>
  <c r="Q261" i="139"/>
  <c r="Q291" i="139" s="1"/>
  <c r="Q310" i="139" s="1"/>
  <c r="Q333" i="149" s="1"/>
  <c r="Q415" i="149" s="1"/>
  <c r="Q457" i="149" s="1"/>
  <c r="I261" i="139"/>
  <c r="I291" i="139" s="1"/>
  <c r="I310" i="139" s="1"/>
  <c r="I333" i="149" s="1"/>
  <c r="I415" i="149" s="1"/>
  <c r="I457" i="149" s="1"/>
  <c r="X31" i="128"/>
  <c r="F261" i="139"/>
  <c r="AC27" i="128"/>
  <c r="U261" i="139"/>
  <c r="U291" i="139" s="1"/>
  <c r="U310" i="139" s="1"/>
  <c r="U333" i="149" s="1"/>
  <c r="V261" i="139"/>
  <c r="V291" i="139" s="1"/>
  <c r="V310" i="139" s="1"/>
  <c r="V333" i="149" s="1"/>
  <c r="AB298" i="139"/>
  <c r="AB317" i="139" s="1"/>
  <c r="AB340" i="149" s="1"/>
  <c r="AB422" i="149" s="1"/>
  <c r="AB464" i="149" s="1"/>
  <c r="Z261" i="139"/>
  <c r="Z291" i="139" s="1"/>
  <c r="Z310" i="139" s="1"/>
  <c r="Z333" i="149" s="1"/>
  <c r="Z415" i="149" s="1"/>
  <c r="Z457" i="149" s="1"/>
  <c r="Q265" i="139"/>
  <c r="U297" i="139"/>
  <c r="U316" i="139" s="1"/>
  <c r="U339" i="149" s="1"/>
  <c r="U24" i="128"/>
  <c r="R261" i="139"/>
  <c r="R291" i="139" s="1"/>
  <c r="R310" i="139" s="1"/>
  <c r="R333" i="149" s="1"/>
  <c r="R415" i="149" s="1"/>
  <c r="R457" i="149" s="1"/>
  <c r="Y25" i="128"/>
  <c r="J261" i="139"/>
  <c r="J291" i="139" s="1"/>
  <c r="J310" i="139" s="1"/>
  <c r="J333" i="149" s="1"/>
  <c r="J415" i="149" s="1"/>
  <c r="J457" i="149" s="1"/>
  <c r="T261" i="139"/>
  <c r="T291" i="139" s="1"/>
  <c r="T310" i="139" s="1"/>
  <c r="T333" i="149" s="1"/>
  <c r="T415" i="149" s="1"/>
  <c r="T457" i="149" s="1"/>
  <c r="AE261" i="139"/>
  <c r="AE291" i="139" s="1"/>
  <c r="AE310" i="139" s="1"/>
  <c r="AE333" i="149" s="1"/>
  <c r="AE415" i="149" s="1"/>
  <c r="AE457" i="149" s="1"/>
  <c r="O31" i="128"/>
  <c r="S31" i="128"/>
  <c r="W31" i="128"/>
  <c r="AH26" i="128"/>
  <c r="AH29" i="128"/>
  <c r="AA241" i="144"/>
  <c r="AA273" i="144" s="1"/>
  <c r="AA290" i="144" s="1"/>
  <c r="AG22" i="155" s="1"/>
  <c r="AA239" i="144"/>
  <c r="AA271" i="144" s="1"/>
  <c r="AA288" i="144" s="1"/>
  <c r="AG20" i="155" s="1"/>
  <c r="AA240" i="144"/>
  <c r="AA272" i="144" s="1"/>
  <c r="AA289" i="144" s="1"/>
  <c r="AG21" i="155" s="1"/>
  <c r="AK187" i="164"/>
  <c r="AL186" i="164"/>
  <c r="AL187" i="164" s="1"/>
  <c r="P319" i="144"/>
  <c r="P363" i="149" s="1"/>
  <c r="P422" i="149" s="1"/>
  <c r="E316" i="144"/>
  <c r="E360" i="149" s="1"/>
  <c r="E419" i="149" s="1"/>
  <c r="E461" i="149" s="1"/>
  <c r="E311" i="144"/>
  <c r="E355" i="149" s="1"/>
  <c r="E414" i="149" s="1"/>
  <c r="E456" i="149" s="1"/>
  <c r="E169" i="144"/>
  <c r="E236" i="144" s="1"/>
  <c r="E268" i="144" s="1"/>
  <c r="E173" i="144"/>
  <c r="E237" i="144" s="1"/>
  <c r="E269" i="144" s="1"/>
  <c r="E286" i="144" s="1"/>
  <c r="K18" i="155" s="1"/>
  <c r="E322" i="144"/>
  <c r="E366" i="149" s="1"/>
  <c r="E425" i="149" s="1"/>
  <c r="E467" i="149" s="1"/>
  <c r="E320" i="144"/>
  <c r="E364" i="149" s="1"/>
  <c r="E423" i="149" s="1"/>
  <c r="E321" i="144"/>
  <c r="E365" i="149" s="1"/>
  <c r="E424" i="149" s="1"/>
  <c r="E466" i="149" s="1"/>
  <c r="E310" i="144"/>
  <c r="E354" i="149" s="1"/>
  <c r="E413" i="149" s="1"/>
  <c r="E455" i="149" s="1"/>
  <c r="E170" i="144"/>
  <c r="E243" i="144" s="1"/>
  <c r="E275" i="144" s="1"/>
  <c r="E312" i="144"/>
  <c r="E356" i="149" s="1"/>
  <c r="E415" i="149" s="1"/>
  <c r="E457" i="149" s="1"/>
  <c r="E318" i="144"/>
  <c r="E362" i="149" s="1"/>
  <c r="E421" i="149" s="1"/>
  <c r="E463" i="149" s="1"/>
  <c r="E309" i="144"/>
  <c r="E353" i="149" s="1"/>
  <c r="E412" i="149" s="1"/>
  <c r="E454" i="149" s="1"/>
  <c r="E319" i="144"/>
  <c r="E363" i="149" s="1"/>
  <c r="E422" i="149" s="1"/>
  <c r="E464" i="149" s="1"/>
  <c r="E174" i="144"/>
  <c r="E235" i="144" s="1"/>
  <c r="E267" i="144" s="1"/>
  <c r="AC292" i="144"/>
  <c r="AI24" i="155" s="1"/>
  <c r="Q228" i="144"/>
  <c r="Q260" i="144" s="1"/>
  <c r="Q223" i="144"/>
  <c r="Q255" i="144" s="1"/>
  <c r="Q95" i="155"/>
  <c r="L277" i="144"/>
  <c r="L292" i="144" s="1"/>
  <c r="R24" i="155" s="1"/>
  <c r="AA94" i="155"/>
  <c r="V276" i="144"/>
  <c r="V292" i="144" s="1"/>
  <c r="AB24" i="155" s="1"/>
  <c r="AH92" i="155"/>
  <c r="AC274" i="144"/>
  <c r="AC291" i="144" s="1"/>
  <c r="AI23" i="155" s="1"/>
  <c r="T95" i="155"/>
  <c r="O277" i="144"/>
  <c r="O292" i="144" s="1"/>
  <c r="U24" i="155" s="1"/>
  <c r="K274" i="144"/>
  <c r="K291" i="144" s="1"/>
  <c r="Q23" i="155" s="1"/>
  <c r="Q86" i="155"/>
  <c r="L268" i="144"/>
  <c r="Q85" i="155"/>
  <c r="L266" i="144"/>
  <c r="AH93" i="155"/>
  <c r="AH95" i="155"/>
  <c r="Q226" i="144"/>
  <c r="Q258" i="144" s="1"/>
  <c r="Q231" i="144"/>
  <c r="Q263" i="144" s="1"/>
  <c r="T94" i="155"/>
  <c r="Q82" i="155"/>
  <c r="AA95" i="155"/>
  <c r="Q84" i="155"/>
  <c r="Q83" i="155"/>
  <c r="Q94" i="155"/>
  <c r="AH94" i="155"/>
  <c r="AF236" i="144"/>
  <c r="AF268" i="144" s="1"/>
  <c r="AF226" i="144"/>
  <c r="AF258" i="144" s="1"/>
  <c r="AF231" i="144"/>
  <c r="AF263" i="144" s="1"/>
  <c r="G236" i="144"/>
  <c r="G226" i="144"/>
  <c r="G258" i="144" s="1"/>
  <c r="G231" i="144"/>
  <c r="G263" i="144" s="1"/>
  <c r="AC236" i="144"/>
  <c r="AC226" i="144"/>
  <c r="AC258" i="144" s="1"/>
  <c r="AC231" i="144"/>
  <c r="AC263" i="144" s="1"/>
  <c r="M231" i="144"/>
  <c r="M263" i="144" s="1"/>
  <c r="M236" i="144"/>
  <c r="M268" i="144" s="1"/>
  <c r="M226" i="144"/>
  <c r="M258" i="144" s="1"/>
  <c r="P236" i="144"/>
  <c r="P268" i="144" s="1"/>
  <c r="P226" i="144"/>
  <c r="P258" i="144" s="1"/>
  <c r="P231" i="144"/>
  <c r="P263" i="144" s="1"/>
  <c r="V236" i="144"/>
  <c r="V268" i="144" s="1"/>
  <c r="V226" i="144"/>
  <c r="V258" i="144" s="1"/>
  <c r="V231" i="144"/>
  <c r="V263" i="144" s="1"/>
  <c r="O236" i="144"/>
  <c r="O268" i="144" s="1"/>
  <c r="O226" i="144"/>
  <c r="O258" i="144" s="1"/>
  <c r="O231" i="144"/>
  <c r="O263" i="144" s="1"/>
  <c r="E314" i="144"/>
  <c r="E358" i="149" s="1"/>
  <c r="E417" i="149" s="1"/>
  <c r="E459" i="149" s="1"/>
  <c r="V170" i="144"/>
  <c r="V243" i="144" s="1"/>
  <c r="V275" i="144" s="1"/>
  <c r="E166" i="144"/>
  <c r="E244" i="144" s="1"/>
  <c r="E276" i="144" s="1"/>
  <c r="V308" i="144"/>
  <c r="V352" i="149" s="1"/>
  <c r="V411" i="149" s="1"/>
  <c r="V453" i="149" s="1"/>
  <c r="E165" i="144"/>
  <c r="E233" i="144" s="1"/>
  <c r="E265" i="144" s="1"/>
  <c r="L238" i="144"/>
  <c r="L270" i="144" s="1"/>
  <c r="L287" i="144" s="1"/>
  <c r="R19" i="155" s="1"/>
  <c r="L240" i="144"/>
  <c r="L272" i="144" s="1"/>
  <c r="L289" i="144" s="1"/>
  <c r="R21" i="155" s="1"/>
  <c r="F169" i="144"/>
  <c r="Q178" i="144"/>
  <c r="Q245" i="144" s="1"/>
  <c r="AC239" i="144"/>
  <c r="AC271" i="144" s="1"/>
  <c r="AC288" i="144" s="1"/>
  <c r="AI20" i="155" s="1"/>
  <c r="AC241" i="144"/>
  <c r="AC273" i="144" s="1"/>
  <c r="AC290" i="144" s="1"/>
  <c r="AI22" i="155" s="1"/>
  <c r="AC238" i="144"/>
  <c r="AC270" i="144" s="1"/>
  <c r="AC287" i="144" s="1"/>
  <c r="AI19" i="155" s="1"/>
  <c r="AC240" i="144"/>
  <c r="AC272" i="144" s="1"/>
  <c r="W225" i="144"/>
  <c r="W257" i="144" s="1"/>
  <c r="W230" i="144"/>
  <c r="W262" i="144" s="1"/>
  <c r="AF223" i="144"/>
  <c r="AF255" i="144" s="1"/>
  <c r="AF228" i="144"/>
  <c r="AF260" i="144" s="1"/>
  <c r="W224" i="144"/>
  <c r="W256" i="144" s="1"/>
  <c r="W229" i="144"/>
  <c r="W261" i="144" s="1"/>
  <c r="E167" i="144"/>
  <c r="F177" i="144"/>
  <c r="P222" i="144"/>
  <c r="P254" i="144" s="1"/>
  <c r="P227" i="144"/>
  <c r="P259" i="144" s="1"/>
  <c r="G225" i="144"/>
  <c r="G257" i="144" s="1"/>
  <c r="G230" i="144"/>
  <c r="G262" i="144" s="1"/>
  <c r="R222" i="144"/>
  <c r="R254" i="144" s="1"/>
  <c r="R227" i="144"/>
  <c r="R259" i="144" s="1"/>
  <c r="P223" i="144"/>
  <c r="P255" i="144" s="1"/>
  <c r="P228" i="144"/>
  <c r="P260" i="144" s="1"/>
  <c r="G224" i="144"/>
  <c r="G229" i="144"/>
  <c r="G261" i="144" s="1"/>
  <c r="E178" i="144"/>
  <c r="E245" i="144" s="1"/>
  <c r="E277" i="144" s="1"/>
  <c r="AC223" i="144"/>
  <c r="AC255" i="144" s="1"/>
  <c r="AC228" i="144"/>
  <c r="AC260" i="144" s="1"/>
  <c r="S224" i="144"/>
  <c r="S256" i="144" s="1"/>
  <c r="S229" i="144"/>
  <c r="S261" i="144" s="1"/>
  <c r="V224" i="144"/>
  <c r="V256" i="144" s="1"/>
  <c r="V229" i="144"/>
  <c r="V261" i="144" s="1"/>
  <c r="AD223" i="144"/>
  <c r="AD255" i="144" s="1"/>
  <c r="AD228" i="144"/>
  <c r="AD260" i="144" s="1"/>
  <c r="AC222" i="144"/>
  <c r="AC254" i="144" s="1"/>
  <c r="AC227" i="144"/>
  <c r="AC259" i="144" s="1"/>
  <c r="V62" i="155"/>
  <c r="L224" i="144"/>
  <c r="L229" i="144"/>
  <c r="AF224" i="144"/>
  <c r="AF256" i="144" s="1"/>
  <c r="AF229" i="144"/>
  <c r="AF261" i="144" s="1"/>
  <c r="N223" i="144"/>
  <c r="N255" i="144" s="1"/>
  <c r="N228" i="144"/>
  <c r="N260" i="144" s="1"/>
  <c r="E177" i="144"/>
  <c r="P224" i="144"/>
  <c r="P256" i="144" s="1"/>
  <c r="P229" i="144"/>
  <c r="P261" i="144" s="1"/>
  <c r="U224" i="144"/>
  <c r="U256" i="144" s="1"/>
  <c r="U229" i="144"/>
  <c r="U261" i="144" s="1"/>
  <c r="AC225" i="144"/>
  <c r="AC257" i="144" s="1"/>
  <c r="AC230" i="144"/>
  <c r="AC262" i="144" s="1"/>
  <c r="V176" i="144"/>
  <c r="V52" i="155"/>
  <c r="J61" i="155"/>
  <c r="J54" i="155"/>
  <c r="J43" i="155"/>
  <c r="J46" i="155"/>
  <c r="J35" i="155"/>
  <c r="E313" i="144"/>
  <c r="E357" i="149" s="1"/>
  <c r="E416" i="149" s="1"/>
  <c r="E458" i="149" s="1"/>
  <c r="J57" i="155"/>
  <c r="AD167" i="144"/>
  <c r="J58" i="155"/>
  <c r="J33" i="155"/>
  <c r="Q174" i="144"/>
  <c r="Q235" i="144" s="1"/>
  <c r="Q173" i="144"/>
  <c r="Q237" i="144" s="1"/>
  <c r="Q269" i="144" s="1"/>
  <c r="Q286" i="144" s="1"/>
  <c r="W18" i="155" s="1"/>
  <c r="V40" i="155"/>
  <c r="Q172" i="144"/>
  <c r="Q232" i="144" s="1"/>
  <c r="Q264" i="144" s="1"/>
  <c r="V42" i="155"/>
  <c r="J34" i="155"/>
  <c r="Q175" i="144"/>
  <c r="V54" i="155"/>
  <c r="V46" i="155"/>
  <c r="V41" i="155"/>
  <c r="E317" i="144"/>
  <c r="E361" i="149" s="1"/>
  <c r="E420" i="149" s="1"/>
  <c r="E462" i="149" s="1"/>
  <c r="E176" i="144"/>
  <c r="V49" i="155"/>
  <c r="V61" i="155"/>
  <c r="J62" i="155"/>
  <c r="J42" i="155"/>
  <c r="F308" i="144"/>
  <c r="F352" i="149" s="1"/>
  <c r="F411" i="149" s="1"/>
  <c r="F453" i="149" s="1"/>
  <c r="I169" i="144"/>
  <c r="V55" i="155"/>
  <c r="V38" i="155"/>
  <c r="V43" i="155"/>
  <c r="V51" i="155"/>
  <c r="V34" i="155"/>
  <c r="Q119" i="144"/>
  <c r="X317" i="144"/>
  <c r="X361" i="149" s="1"/>
  <c r="X420" i="149" s="1"/>
  <c r="X462" i="149" s="1"/>
  <c r="Q168" i="144"/>
  <c r="Q242" i="144" s="1"/>
  <c r="V33" i="155"/>
  <c r="V36" i="155"/>
  <c r="R46" i="155"/>
  <c r="R63" i="155"/>
  <c r="AJ44" i="155"/>
  <c r="AJ61" i="155"/>
  <c r="Y37" i="155"/>
  <c r="Y54" i="155"/>
  <c r="O37" i="155"/>
  <c r="O54" i="155"/>
  <c r="S44" i="155"/>
  <c r="S61" i="155"/>
  <c r="S40" i="155"/>
  <c r="S57" i="155"/>
  <c r="Q45" i="155"/>
  <c r="Q62" i="155"/>
  <c r="AF43" i="155"/>
  <c r="AF60" i="155"/>
  <c r="AE40" i="155"/>
  <c r="AE57" i="155"/>
  <c r="AH32" i="155"/>
  <c r="AH49" i="155"/>
  <c r="M41" i="155"/>
  <c r="M58" i="155"/>
  <c r="AD35" i="155"/>
  <c r="AD52" i="155"/>
  <c r="AG49" i="155"/>
  <c r="R35" i="155"/>
  <c r="R52" i="155"/>
  <c r="AE46" i="155"/>
  <c r="AE63" i="155"/>
  <c r="S37" i="155"/>
  <c r="S54" i="155"/>
  <c r="Y36" i="155"/>
  <c r="Y53" i="155"/>
  <c r="X43" i="155"/>
  <c r="X60" i="155"/>
  <c r="P32" i="155"/>
  <c r="P49" i="155"/>
  <c r="Q32" i="155"/>
  <c r="Q49" i="155"/>
  <c r="AD113" i="144"/>
  <c r="AD44" i="155"/>
  <c r="AD61" i="155"/>
  <c r="AH42" i="155"/>
  <c r="AH59" i="155"/>
  <c r="AJ36" i="155"/>
  <c r="AJ53" i="155"/>
  <c r="AG41" i="155"/>
  <c r="AG58" i="155"/>
  <c r="AH33" i="155"/>
  <c r="AH50" i="155"/>
  <c r="AF40" i="155"/>
  <c r="AF57" i="155"/>
  <c r="P33" i="155"/>
  <c r="P50" i="155"/>
  <c r="AD42" i="155"/>
  <c r="AD59" i="155"/>
  <c r="AE45" i="155"/>
  <c r="AE62" i="155"/>
  <c r="W46" i="155"/>
  <c r="W63" i="155"/>
  <c r="R44" i="155"/>
  <c r="R61" i="155"/>
  <c r="P46" i="155"/>
  <c r="P63" i="155"/>
  <c r="R37" i="155"/>
  <c r="R54" i="155"/>
  <c r="AG34" i="155"/>
  <c r="AG51" i="155"/>
  <c r="W32" i="155"/>
  <c r="W49" i="155"/>
  <c r="Q42" i="155"/>
  <c r="Q59" i="155"/>
  <c r="T46" i="155"/>
  <c r="T63" i="155"/>
  <c r="AJ34" i="155"/>
  <c r="AJ51" i="155"/>
  <c r="Q33" i="155"/>
  <c r="Q50" i="155"/>
  <c r="AF46" i="155"/>
  <c r="AF63" i="155"/>
  <c r="W35" i="155"/>
  <c r="W52" i="155"/>
  <c r="AJ32" i="155"/>
  <c r="AJ49" i="155"/>
  <c r="S32" i="155"/>
  <c r="S49" i="155"/>
  <c r="T33" i="155"/>
  <c r="T50" i="155"/>
  <c r="Q37" i="155"/>
  <c r="Q54" i="155"/>
  <c r="X45" i="155"/>
  <c r="X62" i="155"/>
  <c r="AJ38" i="155"/>
  <c r="AJ55" i="155"/>
  <c r="AJ33" i="155"/>
  <c r="T41" i="155"/>
  <c r="T58" i="155"/>
  <c r="AH40" i="155"/>
  <c r="AH57" i="155"/>
  <c r="S42" i="155"/>
  <c r="S59" i="155"/>
  <c r="R34" i="155"/>
  <c r="R51" i="155"/>
  <c r="M33" i="155"/>
  <c r="M50" i="155"/>
  <c r="P41" i="155"/>
  <c r="P58" i="155"/>
  <c r="S45" i="155"/>
  <c r="S62" i="155"/>
  <c r="M38" i="155"/>
  <c r="M55" i="155"/>
  <c r="AE33" i="155"/>
  <c r="AE50" i="155"/>
  <c r="AH35" i="155"/>
  <c r="AH52" i="155"/>
  <c r="Y45" i="155"/>
  <c r="Y62" i="155"/>
  <c r="AD33" i="155"/>
  <c r="AD50" i="155"/>
  <c r="P34" i="155"/>
  <c r="P51" i="155"/>
  <c r="Y32" i="155"/>
  <c r="Y49" i="155"/>
  <c r="AH38" i="155"/>
  <c r="AH55" i="155"/>
  <c r="Y41" i="155"/>
  <c r="Y58" i="155"/>
  <c r="AD41" i="155"/>
  <c r="AD58" i="155"/>
  <c r="T32" i="155"/>
  <c r="T49" i="155"/>
  <c r="R32" i="155"/>
  <c r="R49" i="155"/>
  <c r="AE41" i="155"/>
  <c r="AE58" i="155"/>
  <c r="W37" i="155"/>
  <c r="W54" i="155"/>
  <c r="AH34" i="155"/>
  <c r="AH51" i="155"/>
  <c r="O45" i="155"/>
  <c r="O62" i="155"/>
  <c r="AH37" i="155"/>
  <c r="AH54" i="155"/>
  <c r="Q41" i="155"/>
  <c r="Q58" i="155"/>
  <c r="AF42" i="155"/>
  <c r="AF59" i="155"/>
  <c r="AF38" i="155"/>
  <c r="AF55" i="155"/>
  <c r="O33" i="155"/>
  <c r="O50" i="155"/>
  <c r="AJ35" i="155"/>
  <c r="AJ52" i="155"/>
  <c r="AF41" i="155"/>
  <c r="AF58" i="155"/>
  <c r="P42" i="155"/>
  <c r="P59" i="155"/>
  <c r="O44" i="155"/>
  <c r="O61" i="155"/>
  <c r="AG44" i="155"/>
  <c r="AG61" i="155"/>
  <c r="AF33" i="155"/>
  <c r="AF50" i="155"/>
  <c r="P36" i="155"/>
  <c r="P53" i="155"/>
  <c r="AD45" i="155"/>
  <c r="AD62" i="155"/>
  <c r="AG54" i="155"/>
  <c r="M45" i="155"/>
  <c r="M62" i="155"/>
  <c r="Q46" i="155"/>
  <c r="Q63" i="155"/>
  <c r="X42" i="155"/>
  <c r="X59" i="155"/>
  <c r="Q44" i="155"/>
  <c r="Q61" i="155"/>
  <c r="AH43" i="155"/>
  <c r="AH60" i="155"/>
  <c r="R33" i="155"/>
  <c r="R50" i="155"/>
  <c r="Q40" i="155"/>
  <c r="Q57" i="155"/>
  <c r="P37" i="155"/>
  <c r="P54" i="155"/>
  <c r="T37" i="155"/>
  <c r="T54" i="155"/>
  <c r="AJ37" i="155"/>
  <c r="AJ54" i="155"/>
  <c r="AH41" i="155"/>
  <c r="AH58" i="155"/>
  <c r="M44" i="155"/>
  <c r="M61" i="155"/>
  <c r="O35" i="155"/>
  <c r="O52" i="155"/>
  <c r="T38" i="155"/>
  <c r="T55" i="155"/>
  <c r="T35" i="155"/>
  <c r="T52" i="155"/>
  <c r="W45" i="155"/>
  <c r="W62" i="155"/>
  <c r="AJ45" i="155"/>
  <c r="AJ62" i="155"/>
  <c r="AD32" i="155"/>
  <c r="AD49" i="155"/>
  <c r="O46" i="155"/>
  <c r="O63" i="155"/>
  <c r="AH44" i="155"/>
  <c r="AH61" i="155"/>
  <c r="S33" i="155"/>
  <c r="S50" i="155"/>
  <c r="AG45" i="155"/>
  <c r="AG62" i="155"/>
  <c r="P44" i="155"/>
  <c r="P61" i="155"/>
  <c r="AJ46" i="155"/>
  <c r="AJ63" i="155"/>
  <c r="AF32" i="155"/>
  <c r="AF49" i="155"/>
  <c r="W38" i="155"/>
  <c r="W55" i="155"/>
  <c r="AH45" i="155"/>
  <c r="AH62" i="155"/>
  <c r="M46" i="155"/>
  <c r="M63" i="155"/>
  <c r="T45" i="155"/>
  <c r="T62" i="155"/>
  <c r="AH46" i="155"/>
  <c r="AH63" i="155"/>
  <c r="Q38" i="155"/>
  <c r="Q55" i="155"/>
  <c r="S35" i="155"/>
  <c r="S52" i="155"/>
  <c r="AF44" i="155"/>
  <c r="AF61" i="155"/>
  <c r="X41" i="155"/>
  <c r="X58" i="155"/>
  <c r="P35" i="155"/>
  <c r="P52" i="155"/>
  <c r="Y44" i="155"/>
  <c r="Y61" i="155"/>
  <c r="M37" i="155"/>
  <c r="M54" i="155"/>
  <c r="AF34" i="155"/>
  <c r="AF51" i="155"/>
  <c r="P38" i="155"/>
  <c r="P55" i="155"/>
  <c r="AF35" i="155"/>
  <c r="AF52" i="155"/>
  <c r="S41" i="155"/>
  <c r="S58" i="155"/>
  <c r="Y38" i="155"/>
  <c r="Y55" i="155"/>
  <c r="AD37" i="155"/>
  <c r="AD54" i="155"/>
  <c r="AG38" i="155"/>
  <c r="AG55" i="155"/>
  <c r="M32" i="155"/>
  <c r="M49" i="155"/>
  <c r="O32" i="155"/>
  <c r="O49" i="155"/>
  <c r="AH36" i="155"/>
  <c r="AH53" i="155"/>
  <c r="AG33" i="155"/>
  <c r="AG50" i="155"/>
  <c r="AF45" i="155"/>
  <c r="AF62" i="155"/>
  <c r="Q43" i="155"/>
  <c r="Q60" i="155"/>
  <c r="P45" i="155"/>
  <c r="P62" i="155"/>
  <c r="T44" i="155"/>
  <c r="T61" i="155"/>
  <c r="Q34" i="155"/>
  <c r="Q51" i="155"/>
  <c r="AE44" i="155"/>
  <c r="AE61" i="155"/>
  <c r="AG46" i="155"/>
  <c r="AG63" i="155"/>
  <c r="T34" i="155"/>
  <c r="T51" i="155"/>
  <c r="M40" i="155"/>
  <c r="M57" i="155"/>
  <c r="AE34" i="155"/>
  <c r="AE51" i="155"/>
  <c r="W36" i="155"/>
  <c r="W53" i="155"/>
  <c r="R45" i="155"/>
  <c r="R62" i="155"/>
  <c r="Q35" i="155"/>
  <c r="Q52" i="155"/>
  <c r="M35" i="155"/>
  <c r="M52" i="155"/>
  <c r="AE35" i="155"/>
  <c r="AE52" i="155"/>
  <c r="X37" i="155"/>
  <c r="X54" i="155"/>
  <c r="S46" i="155"/>
  <c r="S63" i="155"/>
  <c r="AG35" i="155"/>
  <c r="AG52" i="155"/>
  <c r="M42" i="155"/>
  <c r="M59" i="155"/>
  <c r="AE37" i="155"/>
  <c r="AE54" i="155"/>
  <c r="W44" i="155"/>
  <c r="W61" i="155"/>
  <c r="W40" i="155"/>
  <c r="W57" i="155"/>
  <c r="R41" i="155"/>
  <c r="R58" i="155"/>
  <c r="AF37" i="155"/>
  <c r="AF54" i="155"/>
  <c r="S175" i="144"/>
  <c r="X32" i="155"/>
  <c r="T166" i="144"/>
  <c r="T244" i="144" s="1"/>
  <c r="T276" i="144" s="1"/>
  <c r="Y34" i="155"/>
  <c r="R166" i="144"/>
  <c r="R244" i="144" s="1"/>
  <c r="R276" i="144" s="1"/>
  <c r="W34" i="155"/>
  <c r="AB172" i="144"/>
  <c r="AB232" i="144" s="1"/>
  <c r="AB264" i="144" s="1"/>
  <c r="AG40" i="155"/>
  <c r="S166" i="144"/>
  <c r="S244" i="144" s="1"/>
  <c r="S276" i="144" s="1"/>
  <c r="X34" i="155"/>
  <c r="O172" i="144"/>
  <c r="O232" i="144" s="1"/>
  <c r="O264" i="144" s="1"/>
  <c r="T40" i="155"/>
  <c r="J170" i="144"/>
  <c r="J243" i="144" s="1"/>
  <c r="J275" i="144" s="1"/>
  <c r="O38" i="155"/>
  <c r="H166" i="144"/>
  <c r="H244" i="144" s="1"/>
  <c r="H276" i="144" s="1"/>
  <c r="H292" i="144" s="1"/>
  <c r="N24" i="155" s="1"/>
  <c r="M34" i="155"/>
  <c r="AE174" i="144"/>
  <c r="AE235" i="144" s="1"/>
  <c r="AE267" i="144" s="1"/>
  <c r="AJ42" i="155"/>
  <c r="S176" i="144"/>
  <c r="X44" i="155"/>
  <c r="J166" i="144"/>
  <c r="J244" i="144" s="1"/>
  <c r="J276" i="144" s="1"/>
  <c r="J292" i="144" s="1"/>
  <c r="P24" i="155" s="1"/>
  <c r="O34" i="155"/>
  <c r="H172" i="144"/>
  <c r="H232" i="144" s="1"/>
  <c r="AC180" i="144"/>
  <c r="S174" i="144"/>
  <c r="S235" i="144" s="1"/>
  <c r="S267" i="144" s="1"/>
  <c r="M167" i="144"/>
  <c r="Y172" i="144"/>
  <c r="Y232" i="144" s="1"/>
  <c r="Y264" i="144" s="1"/>
  <c r="AD40" i="155"/>
  <c r="N175" i="144"/>
  <c r="Z168" i="144"/>
  <c r="AE36" i="155"/>
  <c r="AE172" i="144"/>
  <c r="AE232" i="144" s="1"/>
  <c r="AJ40" i="155"/>
  <c r="R173" i="144"/>
  <c r="R237" i="144" s="1"/>
  <c r="R269" i="144" s="1"/>
  <c r="R286" i="144" s="1"/>
  <c r="X18" i="155" s="1"/>
  <c r="W41" i="155"/>
  <c r="T165" i="144"/>
  <c r="T233" i="144" s="1"/>
  <c r="T265" i="144" s="1"/>
  <c r="Y33" i="155"/>
  <c r="M168" i="144"/>
  <c r="M242" i="144" s="1"/>
  <c r="M274" i="144" s="1"/>
  <c r="R36" i="155"/>
  <c r="AB174" i="144"/>
  <c r="AB235" i="144" s="1"/>
  <c r="AG42" i="155"/>
  <c r="R174" i="144"/>
  <c r="R235" i="144" s="1"/>
  <c r="R267" i="144" s="1"/>
  <c r="W42" i="155"/>
  <c r="M172" i="144"/>
  <c r="M232" i="144" s="1"/>
  <c r="M264" i="144" s="1"/>
  <c r="R40" i="155"/>
  <c r="T178" i="144"/>
  <c r="T245" i="144" s="1"/>
  <c r="Y46" i="155"/>
  <c r="Y170" i="144"/>
  <c r="Y243" i="144" s="1"/>
  <c r="AD38" i="155"/>
  <c r="Z172" i="144"/>
  <c r="Z232" i="144" s="1"/>
  <c r="Z264" i="144" s="1"/>
  <c r="S173" i="144"/>
  <c r="S237" i="144" s="1"/>
  <c r="S269" i="144" s="1"/>
  <c r="S286" i="144" s="1"/>
  <c r="Y18" i="155" s="1"/>
  <c r="S169" i="144"/>
  <c r="R170" i="144"/>
  <c r="R243" i="144" s="1"/>
  <c r="R168" i="144"/>
  <c r="R242" i="144" s="1"/>
  <c r="R274" i="144" s="1"/>
  <c r="Y178" i="144"/>
  <c r="Y245" i="144" s="1"/>
  <c r="Y277" i="144" s="1"/>
  <c r="AD46" i="155"/>
  <c r="Z119" i="144"/>
  <c r="AE32" i="155"/>
  <c r="AE173" i="144"/>
  <c r="AE237" i="144" s="1"/>
  <c r="AE269" i="144" s="1"/>
  <c r="AE286" i="144" s="1"/>
  <c r="AK18" i="155" s="1"/>
  <c r="AJ41" i="155"/>
  <c r="AA168" i="144"/>
  <c r="AA242" i="144" s="1"/>
  <c r="AA274" i="144" s="1"/>
  <c r="AA291" i="144" s="1"/>
  <c r="AG23" i="155" s="1"/>
  <c r="AF36" i="155"/>
  <c r="Z170" i="144"/>
  <c r="Z243" i="144" s="1"/>
  <c r="AE38" i="155"/>
  <c r="T172" i="144"/>
  <c r="T232" i="144" s="1"/>
  <c r="T264" i="144" s="1"/>
  <c r="Y40" i="155"/>
  <c r="M174" i="144"/>
  <c r="M235" i="144" s="1"/>
  <c r="M267" i="144" s="1"/>
  <c r="R42" i="155"/>
  <c r="T167" i="144"/>
  <c r="Y35" i="155"/>
  <c r="O168" i="144"/>
  <c r="T36" i="155"/>
  <c r="K174" i="144"/>
  <c r="K235" i="144" s="1"/>
  <c r="K267" i="144" s="1"/>
  <c r="T177" i="144"/>
  <c r="Z178" i="144"/>
  <c r="Z245" i="144" s="1"/>
  <c r="Z277" i="144" s="1"/>
  <c r="Z292" i="144" s="1"/>
  <c r="AF24" i="155" s="1"/>
  <c r="J174" i="144"/>
  <c r="J235" i="144" s="1"/>
  <c r="J267" i="144" s="1"/>
  <c r="J173" i="144"/>
  <c r="J237" i="144" s="1"/>
  <c r="J269" i="144" s="1"/>
  <c r="J286" i="144" s="1"/>
  <c r="P18" i="155" s="1"/>
  <c r="O41" i="155"/>
  <c r="H175" i="144"/>
  <c r="M43" i="155"/>
  <c r="Z175" i="144"/>
  <c r="AE43" i="155"/>
  <c r="M175" i="144"/>
  <c r="R43" i="155"/>
  <c r="R178" i="144"/>
  <c r="R245" i="144" s="1"/>
  <c r="R277" i="144" s="1"/>
  <c r="K166" i="144"/>
  <c r="S165" i="144"/>
  <c r="S233" i="144" s="1"/>
  <c r="S265" i="144" s="1"/>
  <c r="X33" i="155"/>
  <c r="M170" i="144"/>
  <c r="M243" i="144" s="1"/>
  <c r="R38" i="155"/>
  <c r="AB175" i="144"/>
  <c r="AG43" i="155"/>
  <c r="T174" i="144"/>
  <c r="T235" i="144" s="1"/>
  <c r="T267" i="144" s="1"/>
  <c r="K175" i="144"/>
  <c r="P43" i="155"/>
  <c r="J168" i="144"/>
  <c r="J242" i="144" s="1"/>
  <c r="O36" i="155"/>
  <c r="M166" i="144"/>
  <c r="AE178" i="144"/>
  <c r="AE245" i="144" s="1"/>
  <c r="AE277" i="144" s="1"/>
  <c r="AE166" i="144"/>
  <c r="AE244" i="144" s="1"/>
  <c r="H168" i="144"/>
  <c r="H242" i="144" s="1"/>
  <c r="H274" i="144" s="1"/>
  <c r="H291" i="144" s="1"/>
  <c r="N23" i="155" s="1"/>
  <c r="M36" i="155"/>
  <c r="Y166" i="144"/>
  <c r="Y244" i="144" s="1"/>
  <c r="AD34" i="155"/>
  <c r="S170" i="144"/>
  <c r="S243" i="144" s="1"/>
  <c r="X38" i="155"/>
  <c r="N168" i="144"/>
  <c r="N242" i="144" s="1"/>
  <c r="N274" i="144" s="1"/>
  <c r="S36" i="155"/>
  <c r="O175" i="144"/>
  <c r="T43" i="155"/>
  <c r="S168" i="144"/>
  <c r="S242" i="144" s="1"/>
  <c r="S274" i="144" s="1"/>
  <c r="X36" i="155"/>
  <c r="K172" i="144"/>
  <c r="K232" i="144" s="1"/>
  <c r="P40" i="155"/>
  <c r="Y175" i="144"/>
  <c r="AD43" i="155"/>
  <c r="S167" i="144"/>
  <c r="X35" i="155"/>
  <c r="J175" i="144"/>
  <c r="O43" i="155"/>
  <c r="S178" i="144"/>
  <c r="S245" i="144" s="1"/>
  <c r="X46" i="155"/>
  <c r="O174" i="144"/>
  <c r="O235" i="144" s="1"/>
  <c r="T42" i="155"/>
  <c r="T175" i="144"/>
  <c r="Y43" i="155"/>
  <c r="N166" i="144"/>
  <c r="N244" i="144" s="1"/>
  <c r="S34" i="155"/>
  <c r="R175" i="144"/>
  <c r="W43" i="155"/>
  <c r="AE168" i="144"/>
  <c r="AE242" i="144" s="1"/>
  <c r="AE274" i="144" s="1"/>
  <c r="AE291" i="144" s="1"/>
  <c r="AK23" i="155" s="1"/>
  <c r="Y174" i="144"/>
  <c r="Y235" i="144" s="1"/>
  <c r="T173" i="144"/>
  <c r="T237" i="144" s="1"/>
  <c r="T269" i="144" s="1"/>
  <c r="T286" i="144" s="1"/>
  <c r="Z18" i="155" s="1"/>
  <c r="T170" i="144"/>
  <c r="T243" i="144" s="1"/>
  <c r="AB168" i="144"/>
  <c r="AG36" i="155"/>
  <c r="Z174" i="144"/>
  <c r="Z235" i="144" s="1"/>
  <c r="AE42" i="155"/>
  <c r="R165" i="144"/>
  <c r="R233" i="144" s="1"/>
  <c r="R265" i="144" s="1"/>
  <c r="W33" i="155"/>
  <c r="J172" i="144"/>
  <c r="J232" i="144" s="1"/>
  <c r="J264" i="144" s="1"/>
  <c r="O40" i="155"/>
  <c r="AE175" i="144"/>
  <c r="AJ43" i="155"/>
  <c r="L168" i="144"/>
  <c r="L181" i="144" s="1"/>
  <c r="Q36" i="155"/>
  <c r="N170" i="144"/>
  <c r="N243" i="144" s="1"/>
  <c r="S38" i="155"/>
  <c r="S172" i="144"/>
  <c r="S232" i="144" s="1"/>
  <c r="S264" i="144" s="1"/>
  <c r="X40" i="155"/>
  <c r="AA172" i="144"/>
  <c r="AA232" i="144" s="1"/>
  <c r="N172" i="144"/>
  <c r="N232" i="144" s="1"/>
  <c r="F317" i="144"/>
  <c r="F361" i="149" s="1"/>
  <c r="F420" i="149" s="1"/>
  <c r="F462" i="149" s="1"/>
  <c r="F173" i="144"/>
  <c r="F237" i="144" s="1"/>
  <c r="F269" i="144" s="1"/>
  <c r="F286" i="144" s="1"/>
  <c r="L18" i="155" s="1"/>
  <c r="AD319" i="144"/>
  <c r="AD363" i="149" s="1"/>
  <c r="AD422" i="149" s="1"/>
  <c r="AD464" i="149" s="1"/>
  <c r="AD316" i="144"/>
  <c r="AD360" i="149" s="1"/>
  <c r="X112" i="144"/>
  <c r="AD108" i="144"/>
  <c r="AD164" i="144"/>
  <c r="X114" i="144"/>
  <c r="X167" i="144"/>
  <c r="AC119" i="144"/>
  <c r="AB119" i="144"/>
  <c r="K119" i="144"/>
  <c r="F311" i="144"/>
  <c r="F355" i="149" s="1"/>
  <c r="F414" i="149" s="1"/>
  <c r="F456" i="149" s="1"/>
  <c r="F167" i="144"/>
  <c r="F320" i="144"/>
  <c r="F364" i="149" s="1"/>
  <c r="F423" i="149" s="1"/>
  <c r="F176" i="144"/>
  <c r="F314" i="144"/>
  <c r="F358" i="149" s="1"/>
  <c r="F417" i="149" s="1"/>
  <c r="F459" i="149" s="1"/>
  <c r="F170" i="144"/>
  <c r="F243" i="144" s="1"/>
  <c r="F275" i="144" s="1"/>
  <c r="R119" i="144"/>
  <c r="AE119" i="144"/>
  <c r="AD313" i="144"/>
  <c r="AD357" i="149" s="1"/>
  <c r="AD416" i="149" s="1"/>
  <c r="AD458" i="149" s="1"/>
  <c r="F318" i="144"/>
  <c r="F362" i="149" s="1"/>
  <c r="F421" i="149" s="1"/>
  <c r="F463" i="149" s="1"/>
  <c r="T119" i="144"/>
  <c r="X103" i="144"/>
  <c r="X165" i="144"/>
  <c r="X233" i="144" s="1"/>
  <c r="X265" i="144" s="1"/>
  <c r="O119" i="144"/>
  <c r="M119" i="144"/>
  <c r="N119" i="144"/>
  <c r="R164" i="144"/>
  <c r="S119" i="144"/>
  <c r="K57" i="155"/>
  <c r="L119" i="144"/>
  <c r="AA119" i="144"/>
  <c r="H119" i="144"/>
  <c r="J119" i="144"/>
  <c r="V165" i="144"/>
  <c r="V233" i="144" s="1"/>
  <c r="V265" i="144" s="1"/>
  <c r="F309" i="144"/>
  <c r="F353" i="149" s="1"/>
  <c r="F412" i="149" s="1"/>
  <c r="F454" i="149" s="1"/>
  <c r="F165" i="144"/>
  <c r="F233" i="144" s="1"/>
  <c r="F265" i="144" s="1"/>
  <c r="F310" i="144"/>
  <c r="F354" i="149" s="1"/>
  <c r="F413" i="149" s="1"/>
  <c r="F455" i="149" s="1"/>
  <c r="U311" i="144"/>
  <c r="U355" i="149" s="1"/>
  <c r="U414" i="149" s="1"/>
  <c r="U456" i="149" s="1"/>
  <c r="U106" i="144"/>
  <c r="P316" i="144"/>
  <c r="P360" i="149" s="1"/>
  <c r="AF311" i="144"/>
  <c r="AF355" i="149" s="1"/>
  <c r="AF414" i="149" s="1"/>
  <c r="AF456" i="149" s="1"/>
  <c r="AF106" i="144"/>
  <c r="W314" i="144"/>
  <c r="W358" i="149" s="1"/>
  <c r="G314" i="144"/>
  <c r="G358" i="149" s="1"/>
  <c r="G417" i="149" s="1"/>
  <c r="G459" i="149" s="1"/>
  <c r="I320" i="144"/>
  <c r="I364" i="149" s="1"/>
  <c r="I423" i="149" s="1"/>
  <c r="I115" i="144"/>
  <c r="V322" i="144"/>
  <c r="V366" i="149" s="1"/>
  <c r="V425" i="149" s="1"/>
  <c r="V467" i="149" s="1"/>
  <c r="X316" i="144"/>
  <c r="X360" i="149" s="1"/>
  <c r="X111" i="144"/>
  <c r="U318" i="144"/>
  <c r="U362" i="149" s="1"/>
  <c r="U113" i="144"/>
  <c r="U317" i="144"/>
  <c r="U361" i="149" s="1"/>
  <c r="U112" i="144"/>
  <c r="P317" i="144"/>
  <c r="P361" i="149" s="1"/>
  <c r="P420" i="149" s="1"/>
  <c r="AF317" i="144"/>
  <c r="AF361" i="149" s="1"/>
  <c r="AF420" i="149" s="1"/>
  <c r="AF462" i="149" s="1"/>
  <c r="AF112" i="144"/>
  <c r="AF312" i="144"/>
  <c r="AF356" i="149" s="1"/>
  <c r="AF107" i="144"/>
  <c r="W312" i="144"/>
  <c r="W356" i="149" s="1"/>
  <c r="W313" i="144"/>
  <c r="W357" i="149" s="1"/>
  <c r="G318" i="144"/>
  <c r="G362" i="149" s="1"/>
  <c r="G421" i="149" s="1"/>
  <c r="G463" i="149" s="1"/>
  <c r="I103" i="144"/>
  <c r="I308" i="144"/>
  <c r="I352" i="149" s="1"/>
  <c r="I411" i="149" s="1"/>
  <c r="I453" i="149" s="1"/>
  <c r="I310" i="144"/>
  <c r="I354" i="149" s="1"/>
  <c r="I413" i="149" s="1"/>
  <c r="I455" i="149" s="1"/>
  <c r="I105" i="144"/>
  <c r="X312" i="144"/>
  <c r="X356" i="149" s="1"/>
  <c r="X107" i="144"/>
  <c r="U312" i="144"/>
  <c r="U356" i="149" s="1"/>
  <c r="U107" i="144"/>
  <c r="P318" i="144"/>
  <c r="P362" i="149" s="1"/>
  <c r="P421" i="149" s="1"/>
  <c r="AF319" i="144"/>
  <c r="AF363" i="149" s="1"/>
  <c r="AF422" i="149" s="1"/>
  <c r="AF464" i="149" s="1"/>
  <c r="AF114" i="144"/>
  <c r="W309" i="144"/>
  <c r="W353" i="149" s="1"/>
  <c r="W412" i="149" s="1"/>
  <c r="W454" i="149" s="1"/>
  <c r="I316" i="144"/>
  <c r="I360" i="149" s="1"/>
  <c r="I111" i="144"/>
  <c r="I322" i="144"/>
  <c r="I366" i="149" s="1"/>
  <c r="I425" i="149" s="1"/>
  <c r="I467" i="149" s="1"/>
  <c r="I117" i="144"/>
  <c r="I108" i="144"/>
  <c r="U103" i="144"/>
  <c r="P320" i="144"/>
  <c r="P364" i="149" s="1"/>
  <c r="P423" i="149" s="1"/>
  <c r="P314" i="144"/>
  <c r="P358" i="149" s="1"/>
  <c r="P417" i="149" s="1"/>
  <c r="AF313" i="144"/>
  <c r="AF357" i="149" s="1"/>
  <c r="AF416" i="149" s="1"/>
  <c r="AF458" i="149" s="1"/>
  <c r="AF108" i="144"/>
  <c r="AF316" i="144"/>
  <c r="AF360" i="149" s="1"/>
  <c r="W316" i="144"/>
  <c r="W360" i="149" s="1"/>
  <c r="W318" i="144"/>
  <c r="W362" i="149" s="1"/>
  <c r="W421" i="149" s="1"/>
  <c r="W463" i="149" s="1"/>
  <c r="G316" i="144"/>
  <c r="G360" i="149" s="1"/>
  <c r="G419" i="149" s="1"/>
  <c r="G461" i="149" s="1"/>
  <c r="G172" i="144"/>
  <c r="G232" i="144" s="1"/>
  <c r="G264" i="144" s="1"/>
  <c r="X320" i="144"/>
  <c r="X364" i="149" s="1"/>
  <c r="X423" i="149" s="1"/>
  <c r="X115" i="144"/>
  <c r="V317" i="144"/>
  <c r="V361" i="149" s="1"/>
  <c r="V420" i="149" s="1"/>
  <c r="V462" i="149" s="1"/>
  <c r="P310" i="144"/>
  <c r="P354" i="149" s="1"/>
  <c r="P413" i="149" s="1"/>
  <c r="AF322" i="144"/>
  <c r="AF366" i="149" s="1"/>
  <c r="AF425" i="149" s="1"/>
  <c r="AF467" i="149" s="1"/>
  <c r="AF117" i="144"/>
  <c r="W319" i="144"/>
  <c r="W363" i="149" s="1"/>
  <c r="X318" i="144"/>
  <c r="X362" i="149" s="1"/>
  <c r="X421" i="149" s="1"/>
  <c r="X463" i="149" s="1"/>
  <c r="X113" i="144"/>
  <c r="U314" i="144"/>
  <c r="U358" i="149" s="1"/>
  <c r="U417" i="149" s="1"/>
  <c r="U459" i="149" s="1"/>
  <c r="U109" i="144"/>
  <c r="U313" i="144"/>
  <c r="U357" i="149" s="1"/>
  <c r="U416" i="149" s="1"/>
  <c r="U458" i="149" s="1"/>
  <c r="U108" i="144"/>
  <c r="F312" i="144"/>
  <c r="F356" i="149" s="1"/>
  <c r="K53" i="155"/>
  <c r="P309" i="144"/>
  <c r="P353" i="149" s="1"/>
  <c r="P412" i="149" s="1"/>
  <c r="AF321" i="144"/>
  <c r="AF365" i="149" s="1"/>
  <c r="AF424" i="149" s="1"/>
  <c r="AF466" i="149" s="1"/>
  <c r="AF116" i="144"/>
  <c r="AF309" i="144"/>
  <c r="AF353" i="149" s="1"/>
  <c r="AF412" i="149" s="1"/>
  <c r="AF454" i="149" s="1"/>
  <c r="AF104" i="144"/>
  <c r="AD321" i="144"/>
  <c r="AD365" i="149" s="1"/>
  <c r="AD424" i="149" s="1"/>
  <c r="AD466" i="149" s="1"/>
  <c r="AD116" i="144"/>
  <c r="W322" i="144"/>
  <c r="W366" i="149" s="1"/>
  <c r="W425" i="149" s="1"/>
  <c r="W467" i="149" s="1"/>
  <c r="G311" i="144"/>
  <c r="G355" i="149" s="1"/>
  <c r="G414" i="149" s="1"/>
  <c r="G456" i="149" s="1"/>
  <c r="G317" i="144"/>
  <c r="G361" i="149" s="1"/>
  <c r="G420" i="149" s="1"/>
  <c r="G462" i="149" s="1"/>
  <c r="G320" i="144"/>
  <c r="G364" i="149" s="1"/>
  <c r="G423" i="149" s="1"/>
  <c r="X311" i="144"/>
  <c r="X355" i="149" s="1"/>
  <c r="X414" i="149" s="1"/>
  <c r="X456" i="149" s="1"/>
  <c r="X106" i="144"/>
  <c r="X321" i="144"/>
  <c r="X365" i="149" s="1"/>
  <c r="X424" i="149" s="1"/>
  <c r="X466" i="149" s="1"/>
  <c r="X116" i="144"/>
  <c r="I311" i="144"/>
  <c r="I355" i="149" s="1"/>
  <c r="I414" i="149" s="1"/>
  <c r="I456" i="149" s="1"/>
  <c r="I106" i="144"/>
  <c r="V321" i="144"/>
  <c r="V365" i="149" s="1"/>
  <c r="V424" i="149" s="1"/>
  <c r="V466" i="149" s="1"/>
  <c r="I109" i="144"/>
  <c r="U322" i="144"/>
  <c r="U366" i="149" s="1"/>
  <c r="U425" i="149" s="1"/>
  <c r="U467" i="149" s="1"/>
  <c r="U117" i="144"/>
  <c r="AF318" i="144"/>
  <c r="AF362" i="149" s="1"/>
  <c r="AF421" i="149" s="1"/>
  <c r="AF463" i="149" s="1"/>
  <c r="AF113" i="144"/>
  <c r="G309" i="144"/>
  <c r="G353" i="149" s="1"/>
  <c r="G412" i="149" s="1"/>
  <c r="G454" i="149" s="1"/>
  <c r="I317" i="144"/>
  <c r="I361" i="149" s="1"/>
  <c r="I420" i="149" s="1"/>
  <c r="I462" i="149" s="1"/>
  <c r="I112" i="144"/>
  <c r="X314" i="144"/>
  <c r="X358" i="149" s="1"/>
  <c r="X417" i="149" s="1"/>
  <c r="X459" i="149" s="1"/>
  <c r="X109" i="144"/>
  <c r="V309" i="144"/>
  <c r="V353" i="149" s="1"/>
  <c r="V412" i="149" s="1"/>
  <c r="V454" i="149" s="1"/>
  <c r="U321" i="144"/>
  <c r="U365" i="149" s="1"/>
  <c r="U424" i="149" s="1"/>
  <c r="U466" i="149" s="1"/>
  <c r="U116" i="144"/>
  <c r="U320" i="144"/>
  <c r="U364" i="149" s="1"/>
  <c r="U423" i="149" s="1"/>
  <c r="U115" i="144"/>
  <c r="AD320" i="144"/>
  <c r="AD364" i="149" s="1"/>
  <c r="AD423" i="149" s="1"/>
  <c r="AD115" i="144"/>
  <c r="P313" i="144"/>
  <c r="P357" i="149" s="1"/>
  <c r="P416" i="149" s="1"/>
  <c r="AF310" i="144"/>
  <c r="AF354" i="149" s="1"/>
  <c r="AF413" i="149" s="1"/>
  <c r="AF455" i="149" s="1"/>
  <c r="AF105" i="144"/>
  <c r="AD317" i="144"/>
  <c r="AD361" i="149" s="1"/>
  <c r="AD420" i="149" s="1"/>
  <c r="AD462" i="149" s="1"/>
  <c r="AD112" i="144"/>
  <c r="W320" i="144"/>
  <c r="W364" i="149" s="1"/>
  <c r="W423" i="149" s="1"/>
  <c r="AD322" i="144"/>
  <c r="AD366" i="149" s="1"/>
  <c r="AD425" i="149" s="1"/>
  <c r="AD467" i="149" s="1"/>
  <c r="AD117" i="144"/>
  <c r="G310" i="144"/>
  <c r="G354" i="149" s="1"/>
  <c r="G413" i="149" s="1"/>
  <c r="G455" i="149" s="1"/>
  <c r="L51" i="155"/>
  <c r="I321" i="144"/>
  <c r="I365" i="149" s="1"/>
  <c r="I424" i="149" s="1"/>
  <c r="I466" i="149" s="1"/>
  <c r="I116" i="144"/>
  <c r="V316" i="144"/>
  <c r="V360" i="149" s="1"/>
  <c r="AA57" i="155"/>
  <c r="X322" i="144"/>
  <c r="X366" i="149" s="1"/>
  <c r="X425" i="149" s="1"/>
  <c r="X467" i="149" s="1"/>
  <c r="X117" i="144"/>
  <c r="X313" i="144"/>
  <c r="X357" i="149" s="1"/>
  <c r="X416" i="149" s="1"/>
  <c r="X458" i="149" s="1"/>
  <c r="X108" i="144"/>
  <c r="V313" i="144"/>
  <c r="V357" i="149" s="1"/>
  <c r="V416" i="149" s="1"/>
  <c r="V458" i="149" s="1"/>
  <c r="K51" i="155"/>
  <c r="G321" i="144"/>
  <c r="G365" i="149" s="1"/>
  <c r="G424" i="149" s="1"/>
  <c r="G466" i="149" s="1"/>
  <c r="G322" i="144"/>
  <c r="G366" i="149" s="1"/>
  <c r="G425" i="149" s="1"/>
  <c r="G467" i="149" s="1"/>
  <c r="I318" i="144"/>
  <c r="I362" i="149" s="1"/>
  <c r="I421" i="149" s="1"/>
  <c r="I463" i="149" s="1"/>
  <c r="I113" i="144"/>
  <c r="V311" i="144"/>
  <c r="V355" i="149" s="1"/>
  <c r="V414" i="149" s="1"/>
  <c r="V456" i="149" s="1"/>
  <c r="AA52" i="155"/>
  <c r="V319" i="144"/>
  <c r="V363" i="149" s="1"/>
  <c r="V422" i="149" s="1"/>
  <c r="V464" i="149" s="1"/>
  <c r="X105" i="144"/>
  <c r="V310" i="144"/>
  <c r="V354" i="149" s="1"/>
  <c r="V413" i="149" s="1"/>
  <c r="V455" i="149" s="1"/>
  <c r="AA49" i="155"/>
  <c r="F319" i="144"/>
  <c r="F363" i="149" s="1"/>
  <c r="F422" i="149" s="1"/>
  <c r="F464" i="149" s="1"/>
  <c r="K60" i="155"/>
  <c r="W311" i="144"/>
  <c r="W355" i="149" s="1"/>
  <c r="W414" i="149" s="1"/>
  <c r="W456" i="149" s="1"/>
  <c r="G313" i="144"/>
  <c r="G357" i="149" s="1"/>
  <c r="G416" i="149" s="1"/>
  <c r="G458" i="149" s="1"/>
  <c r="U310" i="144"/>
  <c r="U354" i="149" s="1"/>
  <c r="U413" i="149" s="1"/>
  <c r="U455" i="149" s="1"/>
  <c r="U105" i="144"/>
  <c r="U309" i="144"/>
  <c r="U353" i="149" s="1"/>
  <c r="U412" i="149" s="1"/>
  <c r="U454" i="149" s="1"/>
  <c r="U104" i="144"/>
  <c r="AD308" i="144"/>
  <c r="AD352" i="149" s="1"/>
  <c r="AD411" i="149" s="1"/>
  <c r="AD453" i="149" s="1"/>
  <c r="AD111" i="144"/>
  <c r="AD103" i="144"/>
  <c r="AD106" i="144"/>
  <c r="P322" i="144"/>
  <c r="P366" i="149" s="1"/>
  <c r="P425" i="149" s="1"/>
  <c r="AF314" i="144"/>
  <c r="AF358" i="149" s="1"/>
  <c r="AF417" i="149" s="1"/>
  <c r="AF459" i="149" s="1"/>
  <c r="AF109" i="144"/>
  <c r="AD309" i="144"/>
  <c r="AD353" i="149" s="1"/>
  <c r="AD412" i="149" s="1"/>
  <c r="AD454" i="149" s="1"/>
  <c r="AD104" i="144"/>
  <c r="W317" i="144"/>
  <c r="W361" i="149" s="1"/>
  <c r="W420" i="149" s="1"/>
  <c r="W462" i="149" s="1"/>
  <c r="AD312" i="144"/>
  <c r="AD356" i="149" s="1"/>
  <c r="AD107" i="144"/>
  <c r="AD310" i="144"/>
  <c r="AD354" i="149" s="1"/>
  <c r="AD413" i="149" s="1"/>
  <c r="AD455" i="149" s="1"/>
  <c r="AD105" i="144"/>
  <c r="U319" i="144"/>
  <c r="U363" i="149" s="1"/>
  <c r="U422" i="149" s="1"/>
  <c r="U464" i="149" s="1"/>
  <c r="U114" i="144"/>
  <c r="U316" i="144"/>
  <c r="U360" i="149" s="1"/>
  <c r="U111" i="144"/>
  <c r="P321" i="144"/>
  <c r="P365" i="149" s="1"/>
  <c r="P424" i="149" s="1"/>
  <c r="P311" i="144"/>
  <c r="P355" i="149" s="1"/>
  <c r="P414" i="149" s="1"/>
  <c r="AF320" i="144"/>
  <c r="AF364" i="149" s="1"/>
  <c r="AF423" i="149" s="1"/>
  <c r="AF115" i="144"/>
  <c r="AF103" i="144"/>
  <c r="W310" i="144"/>
  <c r="W354" i="149" s="1"/>
  <c r="W413" i="149" s="1"/>
  <c r="W455" i="149" s="1"/>
  <c r="W321" i="144"/>
  <c r="W365" i="149" s="1"/>
  <c r="W424" i="149" s="1"/>
  <c r="W466" i="149" s="1"/>
  <c r="G319" i="144"/>
  <c r="G363" i="149" s="1"/>
  <c r="G422" i="149" s="1"/>
  <c r="G464" i="149" s="1"/>
  <c r="L60" i="155"/>
  <c r="G312" i="144"/>
  <c r="G356" i="149" s="1"/>
  <c r="G415" i="149" s="1"/>
  <c r="G457" i="149" s="1"/>
  <c r="L53" i="155"/>
  <c r="AD114" i="144"/>
  <c r="AD314" i="144"/>
  <c r="AD358" i="149" s="1"/>
  <c r="AD417" i="149" s="1"/>
  <c r="AD459" i="149" s="1"/>
  <c r="AD109" i="144"/>
  <c r="V318" i="144"/>
  <c r="V362" i="149" s="1"/>
  <c r="V421" i="149" s="1"/>
  <c r="V463" i="149" s="1"/>
  <c r="AA59" i="155"/>
  <c r="I114" i="144"/>
  <c r="X309" i="144"/>
  <c r="X353" i="149" s="1"/>
  <c r="X412" i="149" s="1"/>
  <c r="X454" i="149" s="1"/>
  <c r="X104" i="144"/>
  <c r="I104" i="144"/>
  <c r="K59" i="155"/>
  <c r="G308" i="144"/>
  <c r="G352" i="149" s="1"/>
  <c r="G411" i="149" s="1"/>
  <c r="G453" i="149" s="1"/>
  <c r="W308" i="144"/>
  <c r="W352" i="149" s="1"/>
  <c r="W411" i="149" s="1"/>
  <c r="W453" i="149" s="1"/>
  <c r="P308" i="144"/>
  <c r="P352" i="149" s="1"/>
  <c r="P411" i="149" s="1"/>
  <c r="AF308" i="144"/>
  <c r="AF352" i="149" s="1"/>
  <c r="AF411" i="149" s="1"/>
  <c r="AF453" i="149" s="1"/>
  <c r="U308" i="144"/>
  <c r="U352" i="149" s="1"/>
  <c r="U411" i="149" s="1"/>
  <c r="U453" i="149" s="1"/>
  <c r="AF26" i="128"/>
  <c r="AG26" i="128"/>
  <c r="L26" i="128"/>
  <c r="Q26" i="128"/>
  <c r="T26" i="128"/>
  <c r="J26" i="128"/>
  <c r="Q29" i="128"/>
  <c r="I250" i="139"/>
  <c r="I275" i="139" s="1"/>
  <c r="I278" i="139" s="1"/>
  <c r="AC274" i="139"/>
  <c r="AC277" i="139" s="1"/>
  <c r="AD314" i="139"/>
  <c r="AD337" i="149" s="1"/>
  <c r="V250" i="139"/>
  <c r="V275" i="139" s="1"/>
  <c r="V278" i="139" s="1"/>
  <c r="I228" i="139"/>
  <c r="W250" i="139"/>
  <c r="W275" i="139" s="1"/>
  <c r="W278" i="139" s="1"/>
  <c r="V228" i="139"/>
  <c r="AF240" i="139" a="1"/>
  <c r="AF240" i="139" s="1"/>
  <c r="W228" i="139"/>
  <c r="AD291" i="139"/>
  <c r="AD310" i="139" s="1"/>
  <c r="AD333" i="149" s="1"/>
  <c r="L274" i="139"/>
  <c r="L277" i="139" s="1"/>
  <c r="Q240" i="139" a="1"/>
  <c r="Q240" i="139" s="1"/>
  <c r="Q228" i="139"/>
  <c r="R240" i="139" a="1"/>
  <c r="R240" i="139" s="1"/>
  <c r="R228" i="139"/>
  <c r="AD240" i="139" a="1"/>
  <c r="AD240" i="139" s="1"/>
  <c r="AD264" i="139" s="1"/>
  <c r="AD228" i="139"/>
  <c r="E240" i="139" a="1"/>
  <c r="E240" i="139" s="1"/>
  <c r="E228" i="139"/>
  <c r="AB240" i="139" a="1"/>
  <c r="AB240" i="139" s="1"/>
  <c r="AB228" i="139"/>
  <c r="J240" i="139" a="1"/>
  <c r="J240" i="139" s="1"/>
  <c r="J228" i="139"/>
  <c r="K240" i="139" a="1"/>
  <c r="K240" i="139" s="1"/>
  <c r="K228" i="139"/>
  <c r="Y228" i="139"/>
  <c r="T240" i="139" a="1"/>
  <c r="T240" i="139" s="1"/>
  <c r="T228" i="139"/>
  <c r="U240" i="139" a="1"/>
  <c r="U240" i="139" s="1"/>
  <c r="U228" i="139"/>
  <c r="G240" i="139" a="1"/>
  <c r="G240" i="139" s="1"/>
  <c r="G228" i="139"/>
  <c r="X240" i="139" a="1"/>
  <c r="X240" i="139" s="1"/>
  <c r="X228" i="139"/>
  <c r="S240" i="139" a="1"/>
  <c r="S240" i="139" s="1"/>
  <c r="S228" i="139"/>
  <c r="P240" i="139" a="1"/>
  <c r="P240" i="139" s="1"/>
  <c r="P228" i="139"/>
  <c r="M240" i="139" a="1"/>
  <c r="M240" i="139" s="1"/>
  <c r="M228" i="139"/>
  <c r="AE240" i="139" a="1"/>
  <c r="AE240" i="139" s="1"/>
  <c r="AE228" i="139"/>
  <c r="O240" i="139" a="1"/>
  <c r="O240" i="139" s="1"/>
  <c r="O228" i="139"/>
  <c r="L295" i="139" l="1"/>
  <c r="L314" i="139" s="1"/>
  <c r="L337" i="149" s="1"/>
  <c r="L419" i="149" s="1"/>
  <c r="L461" i="149" s="1"/>
  <c r="Q30" i="128"/>
  <c r="I122" i="144"/>
  <c r="I141" i="144"/>
  <c r="N50" i="155" s="1"/>
  <c r="I130" i="144"/>
  <c r="I149" i="144"/>
  <c r="AF134" i="144"/>
  <c r="AF153" i="144"/>
  <c r="V295" i="139"/>
  <c r="V314" i="139" s="1"/>
  <c r="V337" i="149" s="1"/>
  <c r="V419" i="149" s="1"/>
  <c r="V461" i="149" s="1"/>
  <c r="W152" i="144"/>
  <c r="AB61" i="155" s="1"/>
  <c r="W133" i="144"/>
  <c r="AB242" i="144"/>
  <c r="AB274" i="144" s="1"/>
  <c r="AB291" i="144" s="1"/>
  <c r="AH23" i="155" s="1"/>
  <c r="AB181" i="144"/>
  <c r="U143" i="144"/>
  <c r="U124" i="144"/>
  <c r="M244" i="144"/>
  <c r="M276" i="144" s="1"/>
  <c r="M292" i="144" s="1"/>
  <c r="S24" i="155" s="1"/>
  <c r="M181" i="144"/>
  <c r="AD129" i="144"/>
  <c r="AD148" i="144"/>
  <c r="AI57" i="155" s="1"/>
  <c r="U141" i="144"/>
  <c r="Z50" i="155" s="1"/>
  <c r="U122" i="144"/>
  <c r="AF126" i="144"/>
  <c r="AF145" i="144"/>
  <c r="O242" i="144"/>
  <c r="O181" i="144"/>
  <c r="U295" i="139"/>
  <c r="U314" i="139" s="1"/>
  <c r="U337" i="149" s="1"/>
  <c r="U419" i="149" s="1"/>
  <c r="U461" i="149" s="1"/>
  <c r="F291" i="139"/>
  <c r="F310" i="139" s="1"/>
  <c r="F333" i="149" s="1"/>
  <c r="F415" i="149" s="1"/>
  <c r="F457" i="149" s="1"/>
  <c r="K26" i="128"/>
  <c r="I129" i="144"/>
  <c r="I148" i="144"/>
  <c r="AF121" i="144"/>
  <c r="AF140" i="144"/>
  <c r="AF144" i="144"/>
  <c r="AK53" i="155" s="1"/>
  <c r="AF125" i="144"/>
  <c r="H295" i="139"/>
  <c r="H314" i="139" s="1"/>
  <c r="H337" i="149" s="1"/>
  <c r="H419" i="149" s="1"/>
  <c r="H461" i="149" s="1"/>
  <c r="V125" i="144"/>
  <c r="AA36" i="155" s="1"/>
  <c r="V144" i="144"/>
  <c r="AA53" i="155" s="1"/>
  <c r="AF133" i="144"/>
  <c r="AF152" i="144"/>
  <c r="U142" i="144"/>
  <c r="U123" i="144"/>
  <c r="I134" i="144"/>
  <c r="I153" i="144"/>
  <c r="AF150" i="144"/>
  <c r="AK59" i="155" s="1"/>
  <c r="AF131" i="144"/>
  <c r="L241" i="144"/>
  <c r="L273" i="144" s="1"/>
  <c r="L290" i="144" s="1"/>
  <c r="R22" i="155" s="1"/>
  <c r="P92" i="155"/>
  <c r="O295" i="139"/>
  <c r="O314" i="139" s="1"/>
  <c r="O337" i="149" s="1"/>
  <c r="O419" i="149" s="1"/>
  <c r="O461" i="149" s="1"/>
  <c r="W151" i="144"/>
  <c r="AB60" i="155" s="1"/>
  <c r="W132" i="144"/>
  <c r="AF149" i="144"/>
  <c r="AK58" i="155" s="1"/>
  <c r="AF130" i="144"/>
  <c r="AF295" i="139"/>
  <c r="AF314" i="139" s="1"/>
  <c r="AF337" i="149" s="1"/>
  <c r="AF419" i="149" s="1"/>
  <c r="AF461" i="149" s="1"/>
  <c r="E234" i="144"/>
  <c r="E266" i="144" s="1"/>
  <c r="G130" i="144"/>
  <c r="G149" i="144"/>
  <c r="AF129" i="144"/>
  <c r="AF148" i="144"/>
  <c r="AK57" i="155" s="1"/>
  <c r="W106" i="144"/>
  <c r="W167" i="144"/>
  <c r="W108" i="144"/>
  <c r="W169" i="144"/>
  <c r="AB295" i="139"/>
  <c r="AB314" i="139" s="1"/>
  <c r="AB337" i="149" s="1"/>
  <c r="AB419" i="149" s="1"/>
  <c r="AB461" i="149" s="1"/>
  <c r="I125" i="144"/>
  <c r="I144" i="144"/>
  <c r="N53" i="155" s="1"/>
  <c r="W135" i="144"/>
  <c r="W154" i="144"/>
  <c r="AB63" i="155" s="1"/>
  <c r="U148" i="144"/>
  <c r="Z57" i="155" s="1"/>
  <c r="U129" i="144"/>
  <c r="AD135" i="144"/>
  <c r="AD154" i="144"/>
  <c r="AI63" i="155" s="1"/>
  <c r="I127" i="144"/>
  <c r="I146" i="144"/>
  <c r="N55" i="155" s="1"/>
  <c r="U146" i="144"/>
  <c r="Z55" i="155" s="1"/>
  <c r="U127" i="144"/>
  <c r="I154" i="144"/>
  <c r="I135" i="144"/>
  <c r="U149" i="144"/>
  <c r="Z58" i="155" s="1"/>
  <c r="U130" i="144"/>
  <c r="X151" i="144"/>
  <c r="AC60" i="155" s="1"/>
  <c r="X132" i="144"/>
  <c r="W295" i="139"/>
  <c r="W314" i="139" s="1"/>
  <c r="W130" i="144"/>
  <c r="W149" i="144"/>
  <c r="AB58" i="155" s="1"/>
  <c r="P295" i="139"/>
  <c r="P314" i="139" s="1"/>
  <c r="P337" i="149" s="1"/>
  <c r="P419" i="149" s="1"/>
  <c r="W140" i="144"/>
  <c r="W121" i="144"/>
  <c r="W144" i="144"/>
  <c r="W125" i="144"/>
  <c r="AD234" i="144"/>
  <c r="AD266" i="144" s="1"/>
  <c r="U150" i="144"/>
  <c r="Z59" i="155" s="1"/>
  <c r="U131" i="144"/>
  <c r="R295" i="139"/>
  <c r="R314" i="139" s="1"/>
  <c r="R337" i="149" s="1"/>
  <c r="R419" i="149" s="1"/>
  <c r="R461" i="149" s="1"/>
  <c r="W234" i="144"/>
  <c r="W266" i="144" s="1"/>
  <c r="G122" i="144"/>
  <c r="G141" i="144"/>
  <c r="AD130" i="144"/>
  <c r="AD149" i="144"/>
  <c r="AI58" i="155" s="1"/>
  <c r="X130" i="144"/>
  <c r="AC41" i="155" s="1"/>
  <c r="X149" i="144"/>
  <c r="J295" i="139"/>
  <c r="J314" i="139" s="1"/>
  <c r="J337" i="149" s="1"/>
  <c r="J419" i="149" s="1"/>
  <c r="J461" i="149" s="1"/>
  <c r="V127" i="144"/>
  <c r="V146" i="144"/>
  <c r="AA55" i="155" s="1"/>
  <c r="W153" i="144"/>
  <c r="W134" i="144"/>
  <c r="U154" i="144"/>
  <c r="Z63" i="155" s="1"/>
  <c r="U135" i="144"/>
  <c r="M295" i="139"/>
  <c r="M314" i="139" s="1"/>
  <c r="M337" i="149" s="1"/>
  <c r="M419" i="149" s="1"/>
  <c r="M461" i="149" s="1"/>
  <c r="P125" i="144"/>
  <c r="P144" i="144"/>
  <c r="Q181" i="144"/>
  <c r="T181" i="144"/>
  <c r="X150" i="144"/>
  <c r="AC59" i="155" s="1"/>
  <c r="X131" i="144"/>
  <c r="AF123" i="144"/>
  <c r="AF142" i="144"/>
  <c r="AK51" i="155" s="1"/>
  <c r="AF132" i="144"/>
  <c r="AF151" i="144"/>
  <c r="AD131" i="144"/>
  <c r="AI42" i="155" s="1"/>
  <c r="AD150" i="144"/>
  <c r="AI59" i="155" s="1"/>
  <c r="AA295" i="139"/>
  <c r="AA314" i="139" s="1"/>
  <c r="AA337" i="149" s="1"/>
  <c r="AA419" i="149" s="1"/>
  <c r="AA461" i="149" s="1"/>
  <c r="G153" i="144"/>
  <c r="G134" i="144"/>
  <c r="W123" i="144"/>
  <c r="W142" i="144"/>
  <c r="AB51" i="155" s="1"/>
  <c r="AD145" i="144"/>
  <c r="AD126" i="144"/>
  <c r="AD123" i="144"/>
  <c r="AD142" i="144"/>
  <c r="X123" i="144"/>
  <c r="AC34" i="155" s="1"/>
  <c r="X142" i="144"/>
  <c r="AC51" i="155" s="1"/>
  <c r="X153" i="144"/>
  <c r="X134" i="144"/>
  <c r="AE295" i="139"/>
  <c r="AE314" i="139" s="1"/>
  <c r="AE337" i="149" s="1"/>
  <c r="AE419" i="149" s="1"/>
  <c r="AE461" i="149" s="1"/>
  <c r="X143" i="144"/>
  <c r="X124" i="144"/>
  <c r="I133" i="144"/>
  <c r="I152" i="144"/>
  <c r="F126" i="144"/>
  <c r="F145" i="144"/>
  <c r="U132" i="144"/>
  <c r="U151" i="144"/>
  <c r="Z60" i="155" s="1"/>
  <c r="K244" i="144"/>
  <c r="K276" i="144" s="1"/>
  <c r="K292" i="144" s="1"/>
  <c r="Q24" i="155" s="1"/>
  <c r="K181" i="144"/>
  <c r="I150" i="144"/>
  <c r="N59" i="155" s="1"/>
  <c r="I131" i="144"/>
  <c r="N42" i="155" s="1"/>
  <c r="AD152" i="144"/>
  <c r="AI61" i="155" s="1"/>
  <c r="AD133" i="144"/>
  <c r="AI44" i="155" s="1"/>
  <c r="X140" i="144"/>
  <c r="X121" i="144"/>
  <c r="Y295" i="139"/>
  <c r="Y314" i="139" s="1"/>
  <c r="Y337" i="149" s="1"/>
  <c r="Y419" i="149" s="1"/>
  <c r="Y461" i="149" s="1"/>
  <c r="S181" i="144"/>
  <c r="U144" i="144"/>
  <c r="Z53" i="155" s="1"/>
  <c r="U125" i="144"/>
  <c r="AD146" i="144"/>
  <c r="AI55" i="155" s="1"/>
  <c r="AD127" i="144"/>
  <c r="AD122" i="144"/>
  <c r="AD141" i="144"/>
  <c r="E125" i="144"/>
  <c r="E144" i="144"/>
  <c r="J53" i="155" s="1"/>
  <c r="W109" i="144"/>
  <c r="W170" i="144"/>
  <c r="W243" i="144" s="1"/>
  <c r="W275" i="144" s="1"/>
  <c r="AA181" i="144"/>
  <c r="N181" i="144"/>
  <c r="I126" i="144"/>
  <c r="I145" i="144"/>
  <c r="N54" i="155" s="1"/>
  <c r="X129" i="144"/>
  <c r="X148" i="144"/>
  <c r="U133" i="144"/>
  <c r="U152" i="144"/>
  <c r="Z61" i="155" s="1"/>
  <c r="X152" i="144"/>
  <c r="X133" i="144"/>
  <c r="X144" i="144"/>
  <c r="AC53" i="155" s="1"/>
  <c r="X125" i="144"/>
  <c r="F121" i="144"/>
  <c r="F140" i="144"/>
  <c r="AD151" i="144"/>
  <c r="AI60" i="155" s="1"/>
  <c r="AD132" i="144"/>
  <c r="AF127" i="144"/>
  <c r="AF146" i="144"/>
  <c r="AF124" i="144"/>
  <c r="AF143" i="144"/>
  <c r="AE181" i="144"/>
  <c r="Z242" i="144"/>
  <c r="Z274" i="144" s="1"/>
  <c r="Z181" i="144"/>
  <c r="N295" i="139"/>
  <c r="N314" i="139" s="1"/>
  <c r="N337" i="149" s="1"/>
  <c r="N419" i="149" s="1"/>
  <c r="N461" i="149" s="1"/>
  <c r="I224" i="144"/>
  <c r="I256" i="144" s="1"/>
  <c r="F234" i="144"/>
  <c r="F266" i="144" s="1"/>
  <c r="U153" i="144"/>
  <c r="U134" i="144"/>
  <c r="I123" i="144"/>
  <c r="I142" i="144"/>
  <c r="N51" i="155" s="1"/>
  <c r="I295" i="139"/>
  <c r="I314" i="139" s="1"/>
  <c r="I337" i="149" s="1"/>
  <c r="I419" i="149" s="1"/>
  <c r="I461" i="149" s="1"/>
  <c r="E121" i="144"/>
  <c r="E140" i="144"/>
  <c r="H181" i="144"/>
  <c r="Z295" i="139"/>
  <c r="Z314" i="139" s="1"/>
  <c r="Z337" i="149" s="1"/>
  <c r="Z419" i="149" s="1"/>
  <c r="Z461" i="149" s="1"/>
  <c r="I143" i="144"/>
  <c r="I124" i="144"/>
  <c r="AF135" i="144"/>
  <c r="AK46" i="155" s="1"/>
  <c r="AF154" i="144"/>
  <c r="AK63" i="155" s="1"/>
  <c r="AD153" i="144"/>
  <c r="AD134" i="144"/>
  <c r="T295" i="139"/>
  <c r="T314" i="139" s="1"/>
  <c r="T337" i="149" s="1"/>
  <c r="T419" i="149" s="1"/>
  <c r="T461" i="149" s="1"/>
  <c r="U145" i="144"/>
  <c r="Z54" i="155" s="1"/>
  <c r="U126" i="144"/>
  <c r="AD144" i="144"/>
  <c r="AI53" i="155" s="1"/>
  <c r="AD125" i="144"/>
  <c r="F295" i="139"/>
  <c r="F314" i="139" s="1"/>
  <c r="I151" i="144"/>
  <c r="N60" i="155" s="1"/>
  <c r="I132" i="144"/>
  <c r="X145" i="144"/>
  <c r="AC54" i="155" s="1"/>
  <c r="X126" i="144"/>
  <c r="AD140" i="144"/>
  <c r="AI49" i="155" s="1"/>
  <c r="AD121" i="144"/>
  <c r="X146" i="144"/>
  <c r="AC55" i="155" s="1"/>
  <c r="X127" i="144"/>
  <c r="AF141" i="144"/>
  <c r="AF122" i="144"/>
  <c r="I140" i="144"/>
  <c r="I121" i="144"/>
  <c r="F229" i="144"/>
  <c r="F261" i="144" s="1"/>
  <c r="X295" i="139"/>
  <c r="X314" i="139" s="1"/>
  <c r="X337" i="149" s="1"/>
  <c r="X419" i="149" s="1"/>
  <c r="X461" i="149" s="1"/>
  <c r="G135" i="144"/>
  <c r="G154" i="144"/>
  <c r="U121" i="144"/>
  <c r="U140" i="144"/>
  <c r="X122" i="144"/>
  <c r="X141" i="144"/>
  <c r="AC50" i="155" s="1"/>
  <c r="R234" i="144"/>
  <c r="W84" i="155" s="1"/>
  <c r="R181" i="144"/>
  <c r="AD124" i="144"/>
  <c r="AD143" i="144"/>
  <c r="X135" i="144"/>
  <c r="X154" i="144"/>
  <c r="AC63" i="155" s="1"/>
  <c r="F224" i="144"/>
  <c r="F256" i="144" s="1"/>
  <c r="Q295" i="139"/>
  <c r="Q314" i="139" s="1"/>
  <c r="Q337" i="149" s="1"/>
  <c r="Q419" i="149" s="1"/>
  <c r="Q461" i="149" s="1"/>
  <c r="S295" i="139"/>
  <c r="S314" i="139" s="1"/>
  <c r="S337" i="149" s="1"/>
  <c r="S419" i="149" s="1"/>
  <c r="S461" i="149" s="1"/>
  <c r="J181" i="144"/>
  <c r="W111" i="144"/>
  <c r="W172" i="144"/>
  <c r="W104" i="144"/>
  <c r="W165" i="144"/>
  <c r="AB26" i="128"/>
  <c r="W422" i="149"/>
  <c r="W464" i="149" s="1"/>
  <c r="G228" i="144"/>
  <c r="G260" i="144" s="1"/>
  <c r="G223" i="144"/>
  <c r="G255" i="144" s="1"/>
  <c r="V415" i="149"/>
  <c r="V457" i="149" s="1"/>
  <c r="AD415" i="149"/>
  <c r="AD457" i="149" s="1"/>
  <c r="E168" i="144"/>
  <c r="P415" i="149"/>
  <c r="P457" i="149" s="1"/>
  <c r="X415" i="149"/>
  <c r="X457" i="149" s="1"/>
  <c r="E229" i="144"/>
  <c r="E261" i="144" s="1"/>
  <c r="E224" i="144"/>
  <c r="E256" i="144" s="1"/>
  <c r="AD419" i="149"/>
  <c r="AD461" i="149" s="1"/>
  <c r="I229" i="144"/>
  <c r="I261" i="144" s="1"/>
  <c r="U415" i="149"/>
  <c r="U457" i="149" s="1"/>
  <c r="W415" i="149"/>
  <c r="W457" i="149" s="1"/>
  <c r="W417" i="149"/>
  <c r="W459" i="149" s="1"/>
  <c r="AF415" i="149"/>
  <c r="AF457" i="149" s="1"/>
  <c r="W416" i="149"/>
  <c r="W458" i="149" s="1"/>
  <c r="U421" i="149"/>
  <c r="U463" i="149" s="1"/>
  <c r="U420" i="149"/>
  <c r="U462" i="149" s="1"/>
  <c r="L322" i="139"/>
  <c r="L336" i="149"/>
  <c r="L418" i="149" s="1"/>
  <c r="L460" i="149" s="1"/>
  <c r="L470" i="149" s="1"/>
  <c r="L471" i="149" s="1"/>
  <c r="I234" i="144"/>
  <c r="I266" i="144" s="1"/>
  <c r="AE30" i="128"/>
  <c r="J32" i="155"/>
  <c r="E119" i="144"/>
  <c r="AA297" i="144"/>
  <c r="AB30" i="128"/>
  <c r="E264" i="139"/>
  <c r="E294" i="139" s="1"/>
  <c r="E313" i="139" s="1"/>
  <c r="G264" i="139"/>
  <c r="G294" i="139" s="1"/>
  <c r="G313" i="139" s="1"/>
  <c r="V30" i="128"/>
  <c r="AB29" i="128"/>
  <c r="G227" i="144"/>
  <c r="G259" i="144" s="1"/>
  <c r="G222" i="144"/>
  <c r="G254" i="144" s="1"/>
  <c r="P168" i="144"/>
  <c r="P242" i="144" s="1"/>
  <c r="P274" i="144" s="1"/>
  <c r="P291" i="144" s="1"/>
  <c r="V23" i="155" s="1"/>
  <c r="U32" i="155"/>
  <c r="U44" i="155"/>
  <c r="U50" i="155"/>
  <c r="U41" i="155"/>
  <c r="U35" i="155"/>
  <c r="U45" i="155"/>
  <c r="U59" i="155"/>
  <c r="U63" i="155"/>
  <c r="U40" i="155"/>
  <c r="U37" i="155"/>
  <c r="U60" i="155"/>
  <c r="U51" i="155"/>
  <c r="U38" i="155"/>
  <c r="E231" i="144"/>
  <c r="E263" i="144" s="1"/>
  <c r="J52" i="155"/>
  <c r="E226" i="144"/>
  <c r="E258" i="144" s="1"/>
  <c r="E230" i="144"/>
  <c r="E262" i="144" s="1"/>
  <c r="E225" i="144"/>
  <c r="E257" i="144" s="1"/>
  <c r="AC283" i="144"/>
  <c r="AI15" i="155" s="1"/>
  <c r="E292" i="144"/>
  <c r="K24" i="155" s="1"/>
  <c r="J36" i="155"/>
  <c r="E242" i="144"/>
  <c r="J93" i="155" s="1"/>
  <c r="L297" i="144"/>
  <c r="M285" i="144"/>
  <c r="S17" i="155" s="1"/>
  <c r="R292" i="144"/>
  <c r="X24" i="155" s="1"/>
  <c r="AC284" i="144"/>
  <c r="AI16" i="155" s="1"/>
  <c r="J285" i="144"/>
  <c r="P17" i="155" s="1"/>
  <c r="T285" i="144"/>
  <c r="Z17" i="155" s="1"/>
  <c r="J37" i="155"/>
  <c r="AC296" i="144"/>
  <c r="AC297" i="144"/>
  <c r="AC289" i="144"/>
  <c r="AI21" i="155" s="1"/>
  <c r="L285" i="144"/>
  <c r="R17" i="155" s="1"/>
  <c r="AC295" i="144"/>
  <c r="J44" i="155"/>
  <c r="X95" i="155"/>
  <c r="S277" i="144"/>
  <c r="S292" i="144" s="1"/>
  <c r="Y24" i="155" s="1"/>
  <c r="W93" i="155"/>
  <c r="R275" i="144"/>
  <c r="R291" i="144" s="1"/>
  <c r="X23" i="155" s="1"/>
  <c r="V85" i="155"/>
  <c r="Q267" i="144"/>
  <c r="Q285" i="144" s="1"/>
  <c r="W17" i="155" s="1"/>
  <c r="S86" i="155"/>
  <c r="N264" i="144"/>
  <c r="N285" i="144" s="1"/>
  <c r="T17" i="155" s="1"/>
  <c r="O92" i="155"/>
  <c r="J274" i="144"/>
  <c r="J291" i="144" s="1"/>
  <c r="P23" i="155" s="1"/>
  <c r="Q79" i="155"/>
  <c r="L261" i="144"/>
  <c r="L284" i="144" s="1"/>
  <c r="R16" i="155" s="1"/>
  <c r="AH86" i="155"/>
  <c r="AC268" i="144"/>
  <c r="Y275" i="144"/>
  <c r="AE85" i="155"/>
  <c r="Z267" i="144"/>
  <c r="Z285" i="144" s="1"/>
  <c r="AF17" i="155" s="1"/>
  <c r="X93" i="155"/>
  <c r="S275" i="144"/>
  <c r="S291" i="144" s="1"/>
  <c r="Y23" i="155" s="1"/>
  <c r="G256" i="144"/>
  <c r="AF86" i="155"/>
  <c r="AA264" i="144"/>
  <c r="S94" i="155"/>
  <c r="N276" i="144"/>
  <c r="N292" i="144" s="1"/>
  <c r="T24" i="155" s="1"/>
  <c r="AD94" i="155"/>
  <c r="Y276" i="144"/>
  <c r="Y292" i="144" s="1"/>
  <c r="AE24" i="155" s="1"/>
  <c r="Q74" i="155"/>
  <c r="L256" i="144"/>
  <c r="L283" i="144" s="1"/>
  <c r="R15" i="155" s="1"/>
  <c r="R93" i="155"/>
  <c r="M275" i="144"/>
  <c r="M291" i="144" s="1"/>
  <c r="S23" i="155" s="1"/>
  <c r="V92" i="155"/>
  <c r="Q274" i="144"/>
  <c r="Q291" i="144" s="1"/>
  <c r="W23" i="155" s="1"/>
  <c r="AG85" i="155"/>
  <c r="AB267" i="144"/>
  <c r="P86" i="155"/>
  <c r="K264" i="144"/>
  <c r="K285" i="144" s="1"/>
  <c r="Q17" i="155" s="1"/>
  <c r="Y93" i="155"/>
  <c r="T275" i="144"/>
  <c r="T291" i="144" s="1"/>
  <c r="Z23" i="155" s="1"/>
  <c r="L86" i="155"/>
  <c r="G268" i="144"/>
  <c r="G285" i="144" s="1"/>
  <c r="M17" i="155" s="1"/>
  <c r="AD85" i="155"/>
  <c r="Y267" i="144"/>
  <c r="Y285" i="144" s="1"/>
  <c r="AE17" i="155" s="1"/>
  <c r="AJ94" i="155"/>
  <c r="AE276" i="144"/>
  <c r="AE292" i="144" s="1"/>
  <c r="AK24" i="155" s="1"/>
  <c r="AJ86" i="155"/>
  <c r="AE264" i="144"/>
  <c r="AE285" i="144" s="1"/>
  <c r="AK17" i="155" s="1"/>
  <c r="V95" i="155"/>
  <c r="Q277" i="144"/>
  <c r="Q292" i="144" s="1"/>
  <c r="W24" i="155" s="1"/>
  <c r="S93" i="155"/>
  <c r="N275" i="144"/>
  <c r="N291" i="144" s="1"/>
  <c r="T23" i="155" s="1"/>
  <c r="T92" i="155"/>
  <c r="O274" i="144"/>
  <c r="O291" i="144" s="1"/>
  <c r="U23" i="155" s="1"/>
  <c r="AE93" i="155"/>
  <c r="Z275" i="144"/>
  <c r="Z291" i="144" s="1"/>
  <c r="AF23" i="155" s="1"/>
  <c r="T85" i="155"/>
  <c r="O267" i="144"/>
  <c r="O285" i="144" s="1"/>
  <c r="U17" i="155" s="1"/>
  <c r="Y95" i="155"/>
  <c r="T277" i="144"/>
  <c r="T292" i="144" s="1"/>
  <c r="Z24" i="155" s="1"/>
  <c r="M86" i="155"/>
  <c r="H264" i="144"/>
  <c r="H285" i="144" s="1"/>
  <c r="N17" i="155" s="1"/>
  <c r="T93" i="155"/>
  <c r="AH77" i="155"/>
  <c r="L83" i="155"/>
  <c r="V94" i="155"/>
  <c r="J94" i="155"/>
  <c r="Q73" i="155"/>
  <c r="AG86" i="155"/>
  <c r="V93" i="155"/>
  <c r="O85" i="155"/>
  <c r="Y83" i="155"/>
  <c r="W94" i="155"/>
  <c r="AH75" i="155"/>
  <c r="Q75" i="155"/>
  <c r="AE82" i="155"/>
  <c r="AE84" i="155"/>
  <c r="AE83" i="155"/>
  <c r="W85" i="155"/>
  <c r="AD82" i="155"/>
  <c r="AD83" i="155"/>
  <c r="AD84" i="155"/>
  <c r="T82" i="155"/>
  <c r="T84" i="155"/>
  <c r="T83" i="155"/>
  <c r="Y94" i="155"/>
  <c r="V82" i="155"/>
  <c r="V84" i="155"/>
  <c r="S95" i="155"/>
  <c r="Q80" i="155"/>
  <c r="Q72" i="155"/>
  <c r="S83" i="155"/>
  <c r="Q76" i="155"/>
  <c r="L84" i="155"/>
  <c r="O82" i="155"/>
  <c r="O84" i="155"/>
  <c r="O83" i="155"/>
  <c r="M92" i="155"/>
  <c r="M93" i="155"/>
  <c r="P85" i="155"/>
  <c r="Y82" i="155"/>
  <c r="Y84" i="155"/>
  <c r="AH78" i="155"/>
  <c r="AH84" i="155"/>
  <c r="Q77" i="155"/>
  <c r="O86" i="155"/>
  <c r="R82" i="155"/>
  <c r="R83" i="155"/>
  <c r="R84" i="155"/>
  <c r="O94" i="155"/>
  <c r="O95" i="155"/>
  <c r="AJ82" i="155"/>
  <c r="AJ83" i="155"/>
  <c r="AJ84" i="155"/>
  <c r="AJ85" i="155"/>
  <c r="X94" i="155"/>
  <c r="AH72" i="155"/>
  <c r="AH73" i="155"/>
  <c r="Y86" i="155"/>
  <c r="L85" i="155"/>
  <c r="AD86" i="155"/>
  <c r="Q78" i="155"/>
  <c r="W83" i="155"/>
  <c r="AJ92" i="155"/>
  <c r="AJ93" i="155"/>
  <c r="S92" i="155"/>
  <c r="AJ95" i="155"/>
  <c r="P94" i="155"/>
  <c r="P95" i="155"/>
  <c r="AD95" i="155"/>
  <c r="J95" i="155"/>
  <c r="AE86" i="155"/>
  <c r="Q81" i="155"/>
  <c r="V83" i="155"/>
  <c r="L180" i="144"/>
  <c r="L242" i="144"/>
  <c r="L274" i="144" s="1"/>
  <c r="L291" i="144" s="1"/>
  <c r="R23" i="155" s="1"/>
  <c r="AF92" i="155"/>
  <c r="AF93" i="155"/>
  <c r="Y85" i="155"/>
  <c r="W95" i="155"/>
  <c r="W92" i="155"/>
  <c r="R92" i="155"/>
  <c r="AE92" i="155"/>
  <c r="M82" i="155"/>
  <c r="M84" i="155"/>
  <c r="M85" i="155"/>
  <c r="M83" i="155"/>
  <c r="M94" i="155"/>
  <c r="M95" i="155"/>
  <c r="AG82" i="155"/>
  <c r="AG84" i="155"/>
  <c r="AG83" i="155"/>
  <c r="AH81" i="155"/>
  <c r="AH74" i="155"/>
  <c r="AC247" i="144"/>
  <c r="AH80" i="155"/>
  <c r="AH76" i="155"/>
  <c r="W86" i="155"/>
  <c r="AH83" i="155"/>
  <c r="AH79" i="155"/>
  <c r="P82" i="155"/>
  <c r="P84" i="155"/>
  <c r="P83" i="155"/>
  <c r="S82" i="155"/>
  <c r="S84" i="155"/>
  <c r="S85" i="155"/>
  <c r="O93" i="155"/>
  <c r="AF82" i="155"/>
  <c r="AF84" i="155"/>
  <c r="AF85" i="155"/>
  <c r="AF83" i="155"/>
  <c r="AG92" i="155"/>
  <c r="AG93" i="155"/>
  <c r="X92" i="155"/>
  <c r="AE95" i="155"/>
  <c r="AE94" i="155"/>
  <c r="R85" i="155"/>
  <c r="T86" i="155"/>
  <c r="R86" i="155"/>
  <c r="W82" i="155"/>
  <c r="AH85" i="155"/>
  <c r="L82" i="155"/>
  <c r="AH82" i="155"/>
  <c r="Y92" i="155"/>
  <c r="V86" i="155"/>
  <c r="I231" i="144"/>
  <c r="I263" i="144" s="1"/>
  <c r="I236" i="144"/>
  <c r="I268" i="144" s="1"/>
  <c r="I226" i="144"/>
  <c r="I258" i="144" s="1"/>
  <c r="S231" i="144"/>
  <c r="S263" i="144" s="1"/>
  <c r="S236" i="144"/>
  <c r="S226" i="144"/>
  <c r="S258" i="144" s="1"/>
  <c r="F236" i="144"/>
  <c r="F268" i="144" s="1"/>
  <c r="F226" i="144"/>
  <c r="F258" i="144" s="1"/>
  <c r="F231" i="144"/>
  <c r="F263" i="144" s="1"/>
  <c r="J45" i="155"/>
  <c r="J49" i="155"/>
  <c r="E228" i="144"/>
  <c r="E260" i="144" s="1"/>
  <c r="E223" i="144"/>
  <c r="E255" i="144" s="1"/>
  <c r="R239" i="144"/>
  <c r="R271" i="144" s="1"/>
  <c r="R288" i="144" s="1"/>
  <c r="X20" i="155" s="1"/>
  <c r="R241" i="144"/>
  <c r="R273" i="144" s="1"/>
  <c r="R238" i="144"/>
  <c r="R270" i="144" s="1"/>
  <c r="R287" i="144" s="1"/>
  <c r="X19" i="155" s="1"/>
  <c r="R240" i="144"/>
  <c r="R272" i="144" s="1"/>
  <c r="K240" i="144"/>
  <c r="K272" i="144" s="1"/>
  <c r="K239" i="144"/>
  <c r="K271" i="144" s="1"/>
  <c r="K288" i="144" s="1"/>
  <c r="Q20" i="155" s="1"/>
  <c r="K241" i="144"/>
  <c r="K273" i="144" s="1"/>
  <c r="K290" i="144" s="1"/>
  <c r="Q22" i="155" s="1"/>
  <c r="K238" i="144"/>
  <c r="K270" i="144" s="1"/>
  <c r="K287" i="144" s="1"/>
  <c r="Q19" i="155" s="1"/>
  <c r="H241" i="144"/>
  <c r="H273" i="144" s="1"/>
  <c r="H290" i="144" s="1"/>
  <c r="N22" i="155" s="1"/>
  <c r="H240" i="144"/>
  <c r="H272" i="144" s="1"/>
  <c r="H239" i="144"/>
  <c r="H271" i="144" s="1"/>
  <c r="H288" i="144" s="1"/>
  <c r="N20" i="155" s="1"/>
  <c r="H238" i="144"/>
  <c r="H270" i="144" s="1"/>
  <c r="H287" i="144" s="1"/>
  <c r="N19" i="155" s="1"/>
  <c r="AE241" i="144"/>
  <c r="AE273" i="144" s="1"/>
  <c r="AE290" i="144" s="1"/>
  <c r="AK22" i="155" s="1"/>
  <c r="AE238" i="144"/>
  <c r="AE270" i="144" s="1"/>
  <c r="AE287" i="144" s="1"/>
  <c r="AK19" i="155" s="1"/>
  <c r="AE240" i="144"/>
  <c r="AE272" i="144" s="1"/>
  <c r="AE239" i="144"/>
  <c r="AE271" i="144" s="1"/>
  <c r="AE288" i="144" s="1"/>
  <c r="AK20" i="155" s="1"/>
  <c r="J239" i="144"/>
  <c r="J271" i="144" s="1"/>
  <c r="J288" i="144" s="1"/>
  <c r="P20" i="155" s="1"/>
  <c r="J241" i="144"/>
  <c r="J273" i="144" s="1"/>
  <c r="J240" i="144"/>
  <c r="J272" i="144" s="1"/>
  <c r="J238" i="144"/>
  <c r="J270" i="144" s="1"/>
  <c r="J287" i="144" s="1"/>
  <c r="P19" i="155" s="1"/>
  <c r="S240" i="144"/>
  <c r="S272" i="144" s="1"/>
  <c r="S239" i="144"/>
  <c r="S271" i="144" s="1"/>
  <c r="S288" i="144" s="1"/>
  <c r="Y20" i="155" s="1"/>
  <c r="S241" i="144"/>
  <c r="S273" i="144" s="1"/>
  <c r="S290" i="144" s="1"/>
  <c r="Y22" i="155" s="1"/>
  <c r="S238" i="144"/>
  <c r="S270" i="144" s="1"/>
  <c r="S287" i="144" s="1"/>
  <c r="Y19" i="155" s="1"/>
  <c r="Q238" i="144"/>
  <c r="Q270" i="144" s="1"/>
  <c r="Q287" i="144" s="1"/>
  <c r="W19" i="155" s="1"/>
  <c r="Q240" i="144"/>
  <c r="Q272" i="144" s="1"/>
  <c r="Q239" i="144"/>
  <c r="Q271" i="144" s="1"/>
  <c r="Q288" i="144" s="1"/>
  <c r="W20" i="155" s="1"/>
  <c r="Q241" i="144"/>
  <c r="Q273" i="144" s="1"/>
  <c r="Q290" i="144" s="1"/>
  <c r="W22" i="155" s="1"/>
  <c r="J40" i="155"/>
  <c r="AB239" i="144"/>
  <c r="AB271" i="144" s="1"/>
  <c r="AB288" i="144" s="1"/>
  <c r="AH20" i="155" s="1"/>
  <c r="AB241" i="144"/>
  <c r="AB273" i="144" s="1"/>
  <c r="AB290" i="144" s="1"/>
  <c r="AH22" i="155" s="1"/>
  <c r="AB238" i="144"/>
  <c r="AB270" i="144" s="1"/>
  <c r="AB287" i="144" s="1"/>
  <c r="AH19" i="155" s="1"/>
  <c r="AB240" i="144"/>
  <c r="AB272" i="144" s="1"/>
  <c r="M241" i="144"/>
  <c r="M273" i="144" s="1"/>
  <c r="M238" i="144"/>
  <c r="M270" i="144" s="1"/>
  <c r="M287" i="144" s="1"/>
  <c r="S19" i="155" s="1"/>
  <c r="M240" i="144"/>
  <c r="M272" i="144" s="1"/>
  <c r="M239" i="144"/>
  <c r="M271" i="144" s="1"/>
  <c r="M288" i="144" s="1"/>
  <c r="S20" i="155" s="1"/>
  <c r="N239" i="144"/>
  <c r="N271" i="144" s="1"/>
  <c r="N288" i="144" s="1"/>
  <c r="T20" i="155" s="1"/>
  <c r="N241" i="144"/>
  <c r="N273" i="144" s="1"/>
  <c r="N290" i="144" s="1"/>
  <c r="T22" i="155" s="1"/>
  <c r="N238" i="144"/>
  <c r="N270" i="144" s="1"/>
  <c r="N287" i="144" s="1"/>
  <c r="T19" i="155" s="1"/>
  <c r="N240" i="144"/>
  <c r="N272" i="144" s="1"/>
  <c r="J59" i="155"/>
  <c r="T239" i="144"/>
  <c r="T271" i="144" s="1"/>
  <c r="T288" i="144" s="1"/>
  <c r="Z20" i="155" s="1"/>
  <c r="T241" i="144"/>
  <c r="T273" i="144" s="1"/>
  <c r="T238" i="144"/>
  <c r="T270" i="144" s="1"/>
  <c r="T287" i="144" s="1"/>
  <c r="Z19" i="155" s="1"/>
  <c r="T240" i="144"/>
  <c r="T272" i="144" s="1"/>
  <c r="E172" i="144"/>
  <c r="E232" i="144" s="1"/>
  <c r="Z239" i="144"/>
  <c r="Z271" i="144" s="1"/>
  <c r="Z288" i="144" s="1"/>
  <c r="AF20" i="155" s="1"/>
  <c r="Z240" i="144"/>
  <c r="Z272" i="144" s="1"/>
  <c r="Z241" i="144"/>
  <c r="Z273" i="144" s="1"/>
  <c r="Z290" i="144" s="1"/>
  <c r="AF22" i="155" s="1"/>
  <c r="Z238" i="144"/>
  <c r="Z270" i="144" s="1"/>
  <c r="Z287" i="144" s="1"/>
  <c r="AF19" i="155" s="1"/>
  <c r="Y238" i="144"/>
  <c r="Y270" i="144" s="1"/>
  <c r="Y287" i="144" s="1"/>
  <c r="AE19" i="155" s="1"/>
  <c r="Y240" i="144"/>
  <c r="Y272" i="144" s="1"/>
  <c r="Y239" i="144"/>
  <c r="Y271" i="144" s="1"/>
  <c r="Y288" i="144" s="1"/>
  <c r="AE20" i="155" s="1"/>
  <c r="Y241" i="144"/>
  <c r="Y273" i="144" s="1"/>
  <c r="Y290" i="144" s="1"/>
  <c r="AE22" i="155" s="1"/>
  <c r="O238" i="144"/>
  <c r="O270" i="144" s="1"/>
  <c r="O287" i="144" s="1"/>
  <c r="U19" i="155" s="1"/>
  <c r="O241" i="144"/>
  <c r="O273" i="144" s="1"/>
  <c r="O290" i="144" s="1"/>
  <c r="U22" i="155" s="1"/>
  <c r="O240" i="144"/>
  <c r="O272" i="144" s="1"/>
  <c r="O239" i="144"/>
  <c r="O271" i="144" s="1"/>
  <c r="O288" i="144" s="1"/>
  <c r="U20" i="155" s="1"/>
  <c r="S222" i="144"/>
  <c r="S254" i="144" s="1"/>
  <c r="S227" i="144"/>
  <c r="S259" i="144" s="1"/>
  <c r="J222" i="144"/>
  <c r="J254" i="144" s="1"/>
  <c r="J227" i="144"/>
  <c r="J259" i="144" s="1"/>
  <c r="J225" i="144"/>
  <c r="J257" i="144" s="1"/>
  <c r="J230" i="144"/>
  <c r="J262" i="144" s="1"/>
  <c r="M222" i="144"/>
  <c r="M254" i="144" s="1"/>
  <c r="M227" i="144"/>
  <c r="M259" i="144" s="1"/>
  <c r="T223" i="144"/>
  <c r="T255" i="144" s="1"/>
  <c r="T228" i="144"/>
  <c r="T260" i="144" s="1"/>
  <c r="Q222" i="144"/>
  <c r="Q254" i="144" s="1"/>
  <c r="Q227" i="144"/>
  <c r="Q259" i="144" s="1"/>
  <c r="Y225" i="144"/>
  <c r="Y257" i="144" s="1"/>
  <c r="Y230" i="144"/>
  <c r="Y262" i="144" s="1"/>
  <c r="M225" i="144"/>
  <c r="M230" i="144"/>
  <c r="R223" i="144"/>
  <c r="R255" i="144" s="1"/>
  <c r="R228" i="144"/>
  <c r="O225" i="144"/>
  <c r="O257" i="144" s="1"/>
  <c r="O230" i="144"/>
  <c r="O262" i="144" s="1"/>
  <c r="Z222" i="144"/>
  <c r="Z254" i="144" s="1"/>
  <c r="Z227" i="144"/>
  <c r="Z259" i="144" s="1"/>
  <c r="R225" i="144"/>
  <c r="R257" i="144" s="1"/>
  <c r="R230" i="144"/>
  <c r="R262" i="144" s="1"/>
  <c r="Y222" i="144"/>
  <c r="Y254" i="144" s="1"/>
  <c r="Y227" i="144"/>
  <c r="Y259" i="144" s="1"/>
  <c r="O222" i="144"/>
  <c r="O227" i="144"/>
  <c r="J51" i="155"/>
  <c r="AB222" i="144"/>
  <c r="AB254" i="144" s="1"/>
  <c r="AB227" i="144"/>
  <c r="AB259" i="144" s="1"/>
  <c r="F223" i="144"/>
  <c r="F255" i="144" s="1"/>
  <c r="F228" i="144"/>
  <c r="F260" i="144" s="1"/>
  <c r="X223" i="144"/>
  <c r="X255" i="144" s="1"/>
  <c r="X228" i="144"/>
  <c r="X260" i="144" s="1"/>
  <c r="K225" i="144"/>
  <c r="K257" i="144" s="1"/>
  <c r="K230" i="144"/>
  <c r="K262" i="144" s="1"/>
  <c r="T222" i="144"/>
  <c r="T254" i="144" s="1"/>
  <c r="T227" i="144"/>
  <c r="T259" i="144" s="1"/>
  <c r="AA222" i="144"/>
  <c r="AA254" i="144" s="1"/>
  <c r="AA283" i="144" s="1"/>
  <c r="AG15" i="155" s="1"/>
  <c r="AA227" i="144"/>
  <c r="AA259" i="144" s="1"/>
  <c r="T225" i="144"/>
  <c r="T257" i="144" s="1"/>
  <c r="T230" i="144"/>
  <c r="T262" i="144" s="1"/>
  <c r="Z225" i="144"/>
  <c r="Z257" i="144" s="1"/>
  <c r="Z230" i="144"/>
  <c r="Z262" i="144" s="1"/>
  <c r="K222" i="144"/>
  <c r="K254" i="144" s="1"/>
  <c r="K227" i="144"/>
  <c r="K259" i="144" s="1"/>
  <c r="E175" i="144"/>
  <c r="S223" i="144"/>
  <c r="S255" i="144" s="1"/>
  <c r="S228" i="144"/>
  <c r="S260" i="144" s="1"/>
  <c r="AB225" i="144"/>
  <c r="AB257" i="144" s="1"/>
  <c r="AB230" i="144"/>
  <c r="AB262" i="144" s="1"/>
  <c r="AE222" i="144"/>
  <c r="AE254" i="144" s="1"/>
  <c r="AE227" i="144"/>
  <c r="AE259" i="144" s="1"/>
  <c r="S225" i="144"/>
  <c r="S257" i="144" s="1"/>
  <c r="S230" i="144"/>
  <c r="S262" i="144" s="1"/>
  <c r="AE225" i="144"/>
  <c r="AE230" i="144"/>
  <c r="AE262" i="144" s="1"/>
  <c r="J50" i="155"/>
  <c r="J60" i="155"/>
  <c r="H222" i="144"/>
  <c r="H254" i="144" s="1"/>
  <c r="H283" i="144" s="1"/>
  <c r="N15" i="155" s="1"/>
  <c r="H227" i="144"/>
  <c r="H259" i="144" s="1"/>
  <c r="H284" i="144" s="1"/>
  <c r="N16" i="155" s="1"/>
  <c r="V223" i="144"/>
  <c r="V255" i="144" s="1"/>
  <c r="V228" i="144"/>
  <c r="V260" i="144" s="1"/>
  <c r="AD224" i="144"/>
  <c r="AD256" i="144" s="1"/>
  <c r="AD229" i="144"/>
  <c r="AD261" i="144" s="1"/>
  <c r="N222" i="144"/>
  <c r="N254" i="144" s="1"/>
  <c r="N283" i="144" s="1"/>
  <c r="T15" i="155" s="1"/>
  <c r="N227" i="144"/>
  <c r="Q225" i="144"/>
  <c r="Q257" i="144" s="1"/>
  <c r="Q230" i="144"/>
  <c r="R224" i="144"/>
  <c r="R256" i="144" s="1"/>
  <c r="R229" i="144"/>
  <c r="R261" i="144" s="1"/>
  <c r="J41" i="155"/>
  <c r="Q180" i="144"/>
  <c r="J63" i="155"/>
  <c r="J55" i="155"/>
  <c r="Q156" i="144"/>
  <c r="AD174" i="144"/>
  <c r="AD235" i="144" s="1"/>
  <c r="AD267" i="144" s="1"/>
  <c r="Q137" i="144"/>
  <c r="T137" i="144"/>
  <c r="Y42" i="155"/>
  <c r="J180" i="144"/>
  <c r="Z180" i="144"/>
  <c r="T180" i="144"/>
  <c r="AA137" i="144"/>
  <c r="S180" i="144"/>
  <c r="AE180" i="144"/>
  <c r="O137" i="144"/>
  <c r="M156" i="144"/>
  <c r="Z156" i="144"/>
  <c r="R156" i="144"/>
  <c r="H137" i="144"/>
  <c r="S156" i="144"/>
  <c r="AC137" i="144"/>
  <c r="N37" i="155"/>
  <c r="AK35" i="155"/>
  <c r="L45" i="155"/>
  <c r="L62" i="155"/>
  <c r="AC33" i="155"/>
  <c r="K41" i="155"/>
  <c r="K58" i="155"/>
  <c r="U46" i="155"/>
  <c r="Z34" i="155"/>
  <c r="Z51" i="155"/>
  <c r="L32" i="155"/>
  <c r="L49" i="155"/>
  <c r="AA45" i="155"/>
  <c r="AA62" i="155"/>
  <c r="AC35" i="155"/>
  <c r="AC52" i="155"/>
  <c r="N32" i="155"/>
  <c r="N49" i="155"/>
  <c r="N44" i="155"/>
  <c r="N61" i="155"/>
  <c r="AC32" i="155"/>
  <c r="AC49" i="155"/>
  <c r="AF167" i="144"/>
  <c r="N180" i="144"/>
  <c r="S137" i="144"/>
  <c r="M180" i="144"/>
  <c r="O156" i="144"/>
  <c r="T156" i="144"/>
  <c r="AB41" i="155"/>
  <c r="K37" i="155"/>
  <c r="K54" i="155"/>
  <c r="AA33" i="155"/>
  <c r="AA50" i="155"/>
  <c r="AB42" i="155"/>
  <c r="AB59" i="155"/>
  <c r="N40" i="155"/>
  <c r="N57" i="155"/>
  <c r="L42" i="155"/>
  <c r="L59" i="155"/>
  <c r="AA44" i="155"/>
  <c r="AA61" i="155"/>
  <c r="H156" i="144"/>
  <c r="AK32" i="155"/>
  <c r="AK49" i="155"/>
  <c r="AI35" i="155"/>
  <c r="AI52" i="155"/>
  <c r="L37" i="155"/>
  <c r="L54" i="155"/>
  <c r="AA37" i="155"/>
  <c r="AA54" i="155"/>
  <c r="K38" i="155"/>
  <c r="K55" i="155"/>
  <c r="L44" i="155"/>
  <c r="L61" i="155"/>
  <c r="AB32" i="155"/>
  <c r="AB49" i="155"/>
  <c r="L38" i="155"/>
  <c r="L55" i="155"/>
  <c r="Z35" i="155"/>
  <c r="Z52" i="155"/>
  <c r="U167" i="144"/>
  <c r="K180" i="144"/>
  <c r="N156" i="144"/>
  <c r="K156" i="144"/>
  <c r="AC156" i="144"/>
  <c r="AK44" i="155"/>
  <c r="AK61" i="155"/>
  <c r="AI33" i="155"/>
  <c r="AI50" i="155"/>
  <c r="AB44" i="155"/>
  <c r="AI45" i="155"/>
  <c r="AI62" i="155"/>
  <c r="U33" i="155"/>
  <c r="AA41" i="155"/>
  <c r="AA58" i="155"/>
  <c r="U61" i="155"/>
  <c r="AC40" i="155"/>
  <c r="AC57" i="155"/>
  <c r="R137" i="144"/>
  <c r="AB45" i="155"/>
  <c r="AB62" i="155"/>
  <c r="AA43" i="155"/>
  <c r="AA60" i="155"/>
  <c r="AI32" i="155"/>
  <c r="AA34" i="155"/>
  <c r="AA51" i="155"/>
  <c r="N35" i="155"/>
  <c r="N52" i="155"/>
  <c r="K45" i="155"/>
  <c r="K62" i="155"/>
  <c r="AA38" i="155"/>
  <c r="N45" i="155"/>
  <c r="N62" i="155"/>
  <c r="L41" i="155"/>
  <c r="L58" i="155"/>
  <c r="X172" i="144"/>
  <c r="X232" i="144" s="1"/>
  <c r="X264" i="144" s="1"/>
  <c r="AA156" i="144"/>
  <c r="J156" i="144"/>
  <c r="AE156" i="144"/>
  <c r="L156" i="144"/>
  <c r="AB156" i="144"/>
  <c r="L35" i="155"/>
  <c r="L52" i="155"/>
  <c r="K32" i="155"/>
  <c r="K49" i="155"/>
  <c r="AI34" i="155"/>
  <c r="AI51" i="155"/>
  <c r="AK38" i="155"/>
  <c r="AK55" i="155"/>
  <c r="L46" i="155"/>
  <c r="L63" i="155"/>
  <c r="Z44" i="155"/>
  <c r="N41" i="155"/>
  <c r="N58" i="155"/>
  <c r="K44" i="155"/>
  <c r="K61" i="155"/>
  <c r="AK33" i="155"/>
  <c r="AK50" i="155"/>
  <c r="AC44" i="155"/>
  <c r="AC61" i="155"/>
  <c r="Z32" i="155"/>
  <c r="Z49" i="155"/>
  <c r="AK43" i="155"/>
  <c r="AK60" i="155"/>
  <c r="AB36" i="155"/>
  <c r="AB53" i="155"/>
  <c r="AA46" i="155"/>
  <c r="AA63" i="155"/>
  <c r="AI37" i="155"/>
  <c r="AI54" i="155"/>
  <c r="L137" i="144"/>
  <c r="K137" i="144"/>
  <c r="AB180" i="144"/>
  <c r="AC45" i="155"/>
  <c r="AC62" i="155"/>
  <c r="K33" i="155"/>
  <c r="K50" i="155"/>
  <c r="Z45" i="155"/>
  <c r="Z62" i="155"/>
  <c r="L50" i="155"/>
  <c r="AK45" i="155"/>
  <c r="AK62" i="155"/>
  <c r="L40" i="155"/>
  <c r="L57" i="155"/>
  <c r="AK37" i="155"/>
  <c r="AK54" i="155"/>
  <c r="N46" i="155"/>
  <c r="N63" i="155"/>
  <c r="K35" i="155"/>
  <c r="K52" i="155"/>
  <c r="AC58" i="155"/>
  <c r="AE137" i="144"/>
  <c r="AB137" i="144"/>
  <c r="N137" i="144"/>
  <c r="J137" i="144"/>
  <c r="AA180" i="144"/>
  <c r="M137" i="144"/>
  <c r="X166" i="144"/>
  <c r="X244" i="144" s="1"/>
  <c r="X276" i="144" s="1"/>
  <c r="F174" i="144"/>
  <c r="F235" i="144" s="1"/>
  <c r="F267" i="144" s="1"/>
  <c r="K42" i="155"/>
  <c r="I165" i="144"/>
  <c r="I233" i="144" s="1"/>
  <c r="I265" i="144" s="1"/>
  <c r="N33" i="155"/>
  <c r="AD168" i="144"/>
  <c r="AD242" i="144" s="1"/>
  <c r="AD274" i="144" s="1"/>
  <c r="AI36" i="155"/>
  <c r="AF166" i="144"/>
  <c r="AK34" i="155"/>
  <c r="I170" i="144"/>
  <c r="I243" i="144" s="1"/>
  <c r="I275" i="144" s="1"/>
  <c r="N38" i="155"/>
  <c r="U169" i="144"/>
  <c r="Z37" i="155"/>
  <c r="AF178" i="144"/>
  <c r="AF245" i="144" s="1"/>
  <c r="AF277" i="144" s="1"/>
  <c r="AF168" i="144"/>
  <c r="AF242" i="144" s="1"/>
  <c r="AF274" i="144" s="1"/>
  <c r="AF291" i="144" s="1"/>
  <c r="AL23" i="155" s="1"/>
  <c r="AK36" i="155"/>
  <c r="AF172" i="144"/>
  <c r="AK40" i="155"/>
  <c r="AD170" i="144"/>
  <c r="AD243" i="144" s="1"/>
  <c r="AI38" i="155"/>
  <c r="W166" i="144"/>
  <c r="W244" i="144" s="1"/>
  <c r="W276" i="144" s="1"/>
  <c r="AB34" i="155"/>
  <c r="V119" i="144"/>
  <c r="AA32" i="155"/>
  <c r="V167" i="144"/>
  <c r="AA35" i="155"/>
  <c r="X178" i="144"/>
  <c r="X245" i="144" s="1"/>
  <c r="X277" i="144" s="1"/>
  <c r="AC46" i="155"/>
  <c r="W178" i="144"/>
  <c r="W245" i="144" s="1"/>
  <c r="AB46" i="155"/>
  <c r="U174" i="144"/>
  <c r="U235" i="144" s="1"/>
  <c r="U267" i="144" s="1"/>
  <c r="Z42" i="155"/>
  <c r="I172" i="144"/>
  <c r="I232" i="144" s="1"/>
  <c r="I264" i="144" s="1"/>
  <c r="AD169" i="144"/>
  <c r="X175" i="144"/>
  <c r="AC43" i="155"/>
  <c r="Z137" i="144"/>
  <c r="AD173" i="144"/>
  <c r="AD237" i="144" s="1"/>
  <c r="AD269" i="144" s="1"/>
  <c r="AD286" i="144" s="1"/>
  <c r="AJ18" i="155" s="1"/>
  <c r="AI41" i="155"/>
  <c r="AD175" i="144"/>
  <c r="AI43" i="155"/>
  <c r="U172" i="144"/>
  <c r="U232" i="144" s="1"/>
  <c r="U264" i="144" s="1"/>
  <c r="Z40" i="155"/>
  <c r="F166" i="144"/>
  <c r="F244" i="144" s="1"/>
  <c r="F276" i="144" s="1"/>
  <c r="K34" i="155"/>
  <c r="AD178" i="144"/>
  <c r="AD245" i="144" s="1"/>
  <c r="AD277" i="144" s="1"/>
  <c r="AI46" i="155"/>
  <c r="AF174" i="144"/>
  <c r="AF235" i="144" s="1"/>
  <c r="AK42" i="155"/>
  <c r="U170" i="144"/>
  <c r="U243" i="144" s="1"/>
  <c r="U275" i="144" s="1"/>
  <c r="Z38" i="155"/>
  <c r="U168" i="144"/>
  <c r="U242" i="144" s="1"/>
  <c r="U274" i="144" s="1"/>
  <c r="Z36" i="155"/>
  <c r="AF173" i="144"/>
  <c r="AF237" i="144" s="1"/>
  <c r="AF269" i="144" s="1"/>
  <c r="AF286" i="144" s="1"/>
  <c r="AL18" i="155" s="1"/>
  <c r="AK41" i="155"/>
  <c r="I168" i="144"/>
  <c r="I242" i="144" s="1"/>
  <c r="N36" i="155"/>
  <c r="O180" i="144"/>
  <c r="W175" i="144"/>
  <c r="AB43" i="155"/>
  <c r="V168" i="144"/>
  <c r="V242" i="144" s="1"/>
  <c r="G168" i="144"/>
  <c r="G242" i="144" s="1"/>
  <c r="G274" i="144" s="1"/>
  <c r="G291" i="144" s="1"/>
  <c r="M23" i="155" s="1"/>
  <c r="L36" i="155"/>
  <c r="F178" i="144"/>
  <c r="F245" i="144" s="1"/>
  <c r="K46" i="155"/>
  <c r="I174" i="144"/>
  <c r="I235" i="144" s="1"/>
  <c r="I267" i="144" s="1"/>
  <c r="V172" i="144"/>
  <c r="V232" i="144" s="1"/>
  <c r="V264" i="144" s="1"/>
  <c r="AA40" i="155"/>
  <c r="I175" i="144"/>
  <c r="N43" i="155"/>
  <c r="U175" i="144"/>
  <c r="Z43" i="155"/>
  <c r="X170" i="144"/>
  <c r="X243" i="144" s="1"/>
  <c r="AC38" i="155"/>
  <c r="X174" i="144"/>
  <c r="X235" i="144" s="1"/>
  <c r="X267" i="144" s="1"/>
  <c r="AC42" i="155"/>
  <c r="X168" i="144"/>
  <c r="X242" i="144" s="1"/>
  <c r="X274" i="144" s="1"/>
  <c r="AC36" i="155"/>
  <c r="R180" i="144"/>
  <c r="V175" i="144"/>
  <c r="U166" i="144"/>
  <c r="U244" i="144" s="1"/>
  <c r="U276" i="144" s="1"/>
  <c r="X169" i="144"/>
  <c r="AC37" i="155"/>
  <c r="F168" i="144"/>
  <c r="F242" i="144" s="1"/>
  <c r="K36" i="155"/>
  <c r="I166" i="144"/>
  <c r="I244" i="144" s="1"/>
  <c r="I276" i="144" s="1"/>
  <c r="I292" i="144" s="1"/>
  <c r="O24" i="155" s="1"/>
  <c r="N34" i="155"/>
  <c r="V174" i="144"/>
  <c r="V235" i="144" s="1"/>
  <c r="V267" i="144" s="1"/>
  <c r="AA42" i="155"/>
  <c r="G175" i="144"/>
  <c r="L43" i="155"/>
  <c r="AD172" i="144"/>
  <c r="AD232" i="144" s="1"/>
  <c r="AD264" i="144" s="1"/>
  <c r="AI40" i="155"/>
  <c r="W168" i="144"/>
  <c r="W242" i="144" s="1"/>
  <c r="W274" i="144" s="1"/>
  <c r="W291" i="144" s="1"/>
  <c r="AC23" i="155" s="1"/>
  <c r="AF175" i="144"/>
  <c r="U178" i="144"/>
  <c r="U245" i="144" s="1"/>
  <c r="U277" i="144" s="1"/>
  <c r="Z46" i="155"/>
  <c r="U165" i="144"/>
  <c r="Z33" i="155"/>
  <c r="F175" i="144"/>
  <c r="K43" i="155"/>
  <c r="G166" i="144"/>
  <c r="G244" i="144" s="1"/>
  <c r="G276" i="144" s="1"/>
  <c r="G292" i="144" s="1"/>
  <c r="M24" i="155" s="1"/>
  <c r="L34" i="155"/>
  <c r="U173" i="144"/>
  <c r="U237" i="144" s="1"/>
  <c r="U269" i="144" s="1"/>
  <c r="U286" i="144" s="1"/>
  <c r="AA18" i="155" s="1"/>
  <c r="Z41" i="155"/>
  <c r="F172" i="144"/>
  <c r="F232" i="144" s="1"/>
  <c r="F264" i="144" s="1"/>
  <c r="K40" i="155"/>
  <c r="AD166" i="144"/>
  <c r="AD244" i="144" s="1"/>
  <c r="H180" i="144"/>
  <c r="G119" i="144"/>
  <c r="I119" i="144"/>
  <c r="AF119" i="144"/>
  <c r="W119" i="144"/>
  <c r="F119" i="144"/>
  <c r="AD119" i="144"/>
  <c r="U119" i="144"/>
  <c r="X119" i="144"/>
  <c r="X164" i="144"/>
  <c r="AG30" i="128"/>
  <c r="AC30" i="128"/>
  <c r="AD26" i="128"/>
  <c r="Y30" i="128"/>
  <c r="Z26" i="128"/>
  <c r="O26" i="128"/>
  <c r="N26" i="128"/>
  <c r="AK30" i="128"/>
  <c r="K30" i="128"/>
  <c r="V26" i="128"/>
  <c r="O30" i="128"/>
  <c r="R30" i="128"/>
  <c r="M26" i="128"/>
  <c r="AC26" i="128"/>
  <c r="AI26" i="128"/>
  <c r="Y26" i="128"/>
  <c r="S26" i="128"/>
  <c r="X30" i="128"/>
  <c r="AF30" i="128"/>
  <c r="N30" i="128"/>
  <c r="AI30" i="128"/>
  <c r="T30" i="128"/>
  <c r="S30" i="128"/>
  <c r="AJ26" i="128"/>
  <c r="R26" i="128"/>
  <c r="W26" i="128"/>
  <c r="M30" i="128"/>
  <c r="AA26" i="128"/>
  <c r="U26" i="128"/>
  <c r="AK26" i="128"/>
  <c r="U30" i="128"/>
  <c r="AD30" i="128"/>
  <c r="W30" i="128"/>
  <c r="Z30" i="128"/>
  <c r="AE26" i="128"/>
  <c r="X26" i="128"/>
  <c r="P26" i="128"/>
  <c r="AJ30" i="128"/>
  <c r="AA30" i="128"/>
  <c r="AI240" i="139"/>
  <c r="O250" i="139"/>
  <c r="O275" i="139" s="1"/>
  <c r="O278" i="139" s="1"/>
  <c r="M250" i="139"/>
  <c r="M275" i="139" s="1"/>
  <c r="M278" i="139" s="1"/>
  <c r="AB250" i="139"/>
  <c r="AB275" i="139" s="1"/>
  <c r="AB278" i="139" s="1"/>
  <c r="R250" i="139"/>
  <c r="R275" i="139" s="1"/>
  <c r="R278" i="139" s="1"/>
  <c r="Q250" i="139"/>
  <c r="Q275" i="139" s="1"/>
  <c r="Q278" i="139" s="1"/>
  <c r="W274" i="139"/>
  <c r="W277" i="139" s="1"/>
  <c r="AF250" i="139"/>
  <c r="AF275" i="139" s="1"/>
  <c r="AF278" i="139" s="1"/>
  <c r="U250" i="139"/>
  <c r="U275" i="139" s="1"/>
  <c r="U278" i="139" s="1"/>
  <c r="E250" i="139"/>
  <c r="E275" i="139" s="1"/>
  <c r="AH240" i="139"/>
  <c r="S250" i="139"/>
  <c r="S275" i="139" s="1"/>
  <c r="S278" i="139" s="1"/>
  <c r="K250" i="139"/>
  <c r="K275" i="139" s="1"/>
  <c r="K278" i="139" s="1"/>
  <c r="G250" i="139"/>
  <c r="G275" i="139" s="1"/>
  <c r="AD250" i="139"/>
  <c r="AD275" i="139" s="1"/>
  <c r="AD278" i="139" s="1"/>
  <c r="J250" i="139"/>
  <c r="J275" i="139" s="1"/>
  <c r="J278" i="139" s="1"/>
  <c r="P250" i="139"/>
  <c r="P275" i="139" s="1"/>
  <c r="P278" i="139" s="1"/>
  <c r="X250" i="139"/>
  <c r="X275" i="139" s="1"/>
  <c r="X278" i="139" s="1"/>
  <c r="AE250" i="139"/>
  <c r="AE275" i="139" s="1"/>
  <c r="AE278" i="139" s="1"/>
  <c r="Y250" i="139"/>
  <c r="Y275" i="139" s="1"/>
  <c r="Y278" i="139" s="1"/>
  <c r="T250" i="139"/>
  <c r="T275" i="139" s="1"/>
  <c r="T278" i="139" s="1"/>
  <c r="H264" i="139" l="1"/>
  <c r="F264" i="139"/>
  <c r="F274" i="139" s="1"/>
  <c r="F277" i="139" s="1"/>
  <c r="AB264" i="139"/>
  <c r="AB294" i="139" s="1"/>
  <c r="AB313" i="139" s="1"/>
  <c r="V181" i="144"/>
  <c r="E181" i="144"/>
  <c r="W181" i="144"/>
  <c r="Y264" i="139"/>
  <c r="Y294" i="139" s="1"/>
  <c r="Y313" i="139" s="1"/>
  <c r="Y322" i="139" s="1"/>
  <c r="T264" i="139"/>
  <c r="T294" i="139" s="1"/>
  <c r="T313" i="139" s="1"/>
  <c r="T322" i="139" s="1"/>
  <c r="H294" i="139"/>
  <c r="H313" i="139" s="1"/>
  <c r="F337" i="149"/>
  <c r="F419" i="149" s="1"/>
  <c r="F461" i="149" s="1"/>
  <c r="W337" i="149"/>
  <c r="W419" i="149" s="1"/>
  <c r="W461" i="149" s="1"/>
  <c r="W470" i="149" s="1"/>
  <c r="W471" i="149" s="1"/>
  <c r="W322" i="139"/>
  <c r="W236" i="144"/>
  <c r="W268" i="144" s="1"/>
  <c r="W226" i="144"/>
  <c r="W258" i="144" s="1"/>
  <c r="W231" i="144"/>
  <c r="W263" i="144" s="1"/>
  <c r="W145" i="144"/>
  <c r="AB54" i="155" s="1"/>
  <c r="W126" i="144"/>
  <c r="AB37" i="155" s="1"/>
  <c r="W143" i="144"/>
  <c r="AB52" i="155" s="1"/>
  <c r="W124" i="144"/>
  <c r="AB35" i="155" s="1"/>
  <c r="AF244" i="144"/>
  <c r="AF276" i="144" s="1"/>
  <c r="AF181" i="144"/>
  <c r="F181" i="144"/>
  <c r="W141" i="144"/>
  <c r="AB50" i="155" s="1"/>
  <c r="W122" i="144"/>
  <c r="AB33" i="155" s="1"/>
  <c r="I181" i="144"/>
  <c r="AD181" i="144"/>
  <c r="W129" i="144"/>
  <c r="AB40" i="155" s="1"/>
  <c r="W148" i="144"/>
  <c r="AB57" i="155" s="1"/>
  <c r="U233" i="144"/>
  <c r="U265" i="144" s="1"/>
  <c r="U181" i="144"/>
  <c r="R266" i="144"/>
  <c r="R285" i="144" s="1"/>
  <c r="X17" i="155" s="1"/>
  <c r="X234" i="144"/>
  <c r="X266" i="144" s="1"/>
  <c r="X181" i="144"/>
  <c r="W146" i="144"/>
  <c r="AB55" i="155" s="1"/>
  <c r="W127" i="144"/>
  <c r="AB38" i="155" s="1"/>
  <c r="G181" i="144"/>
  <c r="R95" i="155"/>
  <c r="L298" i="144"/>
  <c r="E137" i="144"/>
  <c r="R94" i="155"/>
  <c r="W233" i="144"/>
  <c r="W223" i="144"/>
  <c r="W228" i="144"/>
  <c r="W232" i="144"/>
  <c r="W227" i="144"/>
  <c r="W222" i="144"/>
  <c r="AF232" i="144"/>
  <c r="AF264" i="144" s="1"/>
  <c r="AF227" i="144"/>
  <c r="AF259" i="144" s="1"/>
  <c r="G284" i="144"/>
  <c r="M16" i="155" s="1"/>
  <c r="L76" i="155"/>
  <c r="U53" i="155"/>
  <c r="U36" i="155"/>
  <c r="AB322" i="139"/>
  <c r="AB336" i="149"/>
  <c r="AB418" i="149" s="1"/>
  <c r="AB460" i="149" s="1"/>
  <c r="AB470" i="149" s="1"/>
  <c r="AB471" i="149" s="1"/>
  <c r="L72" i="155"/>
  <c r="L75" i="155"/>
  <c r="U62" i="155"/>
  <c r="L73" i="155"/>
  <c r="I180" i="144"/>
  <c r="G322" i="139"/>
  <c r="G336" i="149"/>
  <c r="G418" i="149" s="1"/>
  <c r="G460" i="149" s="1"/>
  <c r="G470" i="149" s="1"/>
  <c r="G471" i="149" s="1"/>
  <c r="E322" i="139"/>
  <c r="E336" i="149"/>
  <c r="E418" i="149" s="1"/>
  <c r="E460" i="149" s="1"/>
  <c r="E470" i="149" s="1"/>
  <c r="E471" i="149" s="1"/>
  <c r="L78" i="155"/>
  <c r="G283" i="144"/>
  <c r="M15" i="155" s="1"/>
  <c r="U49" i="155"/>
  <c r="M264" i="139"/>
  <c r="M294" i="139" s="1"/>
  <c r="M313" i="139" s="1"/>
  <c r="J264" i="139"/>
  <c r="J294" i="139" s="1"/>
  <c r="J313" i="139" s="1"/>
  <c r="P264" i="139"/>
  <c r="P294" i="139" s="1"/>
  <c r="P313" i="139" s="1"/>
  <c r="L80" i="155"/>
  <c r="U55" i="155"/>
  <c r="L81" i="155"/>
  <c r="AD294" i="139"/>
  <c r="AD313" i="139" s="1"/>
  <c r="AD336" i="149" s="1"/>
  <c r="AD418" i="149" s="1"/>
  <c r="AD460" i="149" s="1"/>
  <c r="AD470" i="149" s="1"/>
  <c r="AD471" i="149" s="1"/>
  <c r="L79" i="155"/>
  <c r="R264" i="139"/>
  <c r="R294" i="139" s="1"/>
  <c r="R313" i="139" s="1"/>
  <c r="AA264" i="139"/>
  <c r="AF29" i="128" s="1"/>
  <c r="Z264" i="139"/>
  <c r="Z294" i="139" s="1"/>
  <c r="Z313" i="139" s="1"/>
  <c r="N264" i="139"/>
  <c r="N294" i="139" s="1"/>
  <c r="N313" i="139" s="1"/>
  <c r="I264" i="139"/>
  <c r="I294" i="139" s="1"/>
  <c r="I313" i="139" s="1"/>
  <c r="V264" i="139"/>
  <c r="V294" i="139" s="1"/>
  <c r="V313" i="139" s="1"/>
  <c r="S264" i="139"/>
  <c r="S294" i="139" s="1"/>
  <c r="S313" i="139" s="1"/>
  <c r="U264" i="139"/>
  <c r="U294" i="139" s="1"/>
  <c r="U313" i="139" s="1"/>
  <c r="AE264" i="139"/>
  <c r="AE294" i="139" s="1"/>
  <c r="AE313" i="139" s="1"/>
  <c r="Q264" i="139"/>
  <c r="Q294" i="139" s="1"/>
  <c r="Q313" i="139" s="1"/>
  <c r="O264" i="139"/>
  <c r="O294" i="139" s="1"/>
  <c r="O313" i="139" s="1"/>
  <c r="AF264" i="139"/>
  <c r="AF294" i="139" s="1"/>
  <c r="AF313" i="139" s="1"/>
  <c r="K264" i="139"/>
  <c r="K294" i="139" s="1"/>
  <c r="K313" i="139" s="1"/>
  <c r="X264" i="139"/>
  <c r="X294" i="139" s="1"/>
  <c r="X313" i="139" s="1"/>
  <c r="AG29" i="128"/>
  <c r="J29" i="128"/>
  <c r="E274" i="139"/>
  <c r="E277" i="139" s="1"/>
  <c r="U93" i="155"/>
  <c r="U58" i="155"/>
  <c r="U43" i="155"/>
  <c r="U52" i="155"/>
  <c r="P175" i="144"/>
  <c r="P241" i="144" s="1"/>
  <c r="P273" i="144" s="1"/>
  <c r="P290" i="144" s="1"/>
  <c r="V22" i="155" s="1"/>
  <c r="L74" i="155"/>
  <c r="L77" i="155"/>
  <c r="U92" i="155"/>
  <c r="P119" i="144"/>
  <c r="U34" i="155"/>
  <c r="P166" i="144"/>
  <c r="U42" i="155"/>
  <c r="P174" i="144"/>
  <c r="P235" i="144" s="1"/>
  <c r="P267" i="144" s="1"/>
  <c r="P285" i="144" s="1"/>
  <c r="V17" i="155" s="1"/>
  <c r="U57" i="155"/>
  <c r="U54" i="155"/>
  <c r="L247" i="144"/>
  <c r="J92" i="155"/>
  <c r="E274" i="144"/>
  <c r="E291" i="144" s="1"/>
  <c r="K23" i="155" s="1"/>
  <c r="AF292" i="144"/>
  <c r="AL24" i="155" s="1"/>
  <c r="X292" i="144"/>
  <c r="AD24" i="155" s="1"/>
  <c r="U292" i="144"/>
  <c r="AA24" i="155" s="1"/>
  <c r="AE284" i="144"/>
  <c r="AK16" i="155" s="1"/>
  <c r="V285" i="144"/>
  <c r="AB17" i="155" s="1"/>
  <c r="T283" i="144"/>
  <c r="Z15" i="155" s="1"/>
  <c r="AB283" i="144"/>
  <c r="AH15" i="155" s="1"/>
  <c r="R283" i="144"/>
  <c r="X15" i="155" s="1"/>
  <c r="K283" i="144"/>
  <c r="Q15" i="155" s="1"/>
  <c r="AB298" i="144"/>
  <c r="F285" i="144"/>
  <c r="L17" i="155" s="1"/>
  <c r="Z283" i="144"/>
  <c r="AF15" i="155" s="1"/>
  <c r="J297" i="144"/>
  <c r="J289" i="144"/>
  <c r="P21" i="155" s="1"/>
  <c r="K296" i="144"/>
  <c r="K284" i="144"/>
  <c r="Q16" i="155" s="1"/>
  <c r="T284" i="144"/>
  <c r="Z16" i="155" s="1"/>
  <c r="AB284" i="144"/>
  <c r="AH16" i="155" s="1"/>
  <c r="O297" i="144"/>
  <c r="O289" i="144"/>
  <c r="U21" i="155" s="1"/>
  <c r="M298" i="144"/>
  <c r="M290" i="144"/>
  <c r="S22" i="155" s="1"/>
  <c r="Q297" i="144"/>
  <c r="Q289" i="144"/>
  <c r="W21" i="155" s="1"/>
  <c r="J298" i="144"/>
  <c r="J290" i="144"/>
  <c r="P22" i="155" s="1"/>
  <c r="H297" i="144"/>
  <c r="H289" i="144"/>
  <c r="N21" i="155" s="1"/>
  <c r="R298" i="144"/>
  <c r="R290" i="144"/>
  <c r="X22" i="155" s="1"/>
  <c r="U291" i="144"/>
  <c r="AA23" i="155" s="1"/>
  <c r="I285" i="144"/>
  <c r="O17" i="155" s="1"/>
  <c r="AB285" i="144"/>
  <c r="AH17" i="155" s="1"/>
  <c r="Z296" i="144"/>
  <c r="Z284" i="144"/>
  <c r="AF16" i="155" s="1"/>
  <c r="Z297" i="144"/>
  <c r="Z289" i="144"/>
  <c r="AF21" i="155" s="1"/>
  <c r="J284" i="144"/>
  <c r="P16" i="155" s="1"/>
  <c r="AE297" i="144"/>
  <c r="AE289" i="144"/>
  <c r="AK21" i="155" s="1"/>
  <c r="Q283" i="144"/>
  <c r="W15" i="155" s="1"/>
  <c r="J283" i="144"/>
  <c r="P15" i="155" s="1"/>
  <c r="T297" i="144"/>
  <c r="T289" i="144"/>
  <c r="Z21" i="155" s="1"/>
  <c r="N297" i="144"/>
  <c r="N289" i="144"/>
  <c r="T21" i="155" s="1"/>
  <c r="AA298" i="144"/>
  <c r="AA285" i="144"/>
  <c r="AG17" i="155" s="1"/>
  <c r="Y284" i="144"/>
  <c r="AE16" i="155" s="1"/>
  <c r="S284" i="144"/>
  <c r="Y16" i="155" s="1"/>
  <c r="Y297" i="144"/>
  <c r="Y289" i="144"/>
  <c r="AE21" i="155" s="1"/>
  <c r="S297" i="144"/>
  <c r="S289" i="144"/>
  <c r="Y21" i="155" s="1"/>
  <c r="K297" i="144"/>
  <c r="K289" i="144"/>
  <c r="Q21" i="155" s="1"/>
  <c r="AC298" i="144"/>
  <c r="AC303" i="144" s="1"/>
  <c r="AH105" i="155" s="1"/>
  <c r="AC285" i="144"/>
  <c r="AI17" i="155" s="1"/>
  <c r="AB297" i="144"/>
  <c r="AB289" i="144"/>
  <c r="AH21" i="155" s="1"/>
  <c r="AA296" i="144"/>
  <c r="AA284" i="144"/>
  <c r="AG16" i="155" s="1"/>
  <c r="Y283" i="144"/>
  <c r="AE15" i="155" s="1"/>
  <c r="S283" i="144"/>
  <c r="Y15" i="155" s="1"/>
  <c r="T298" i="144"/>
  <c r="T290" i="144"/>
  <c r="Z22" i="155" s="1"/>
  <c r="M297" i="144"/>
  <c r="M289" i="144"/>
  <c r="S21" i="155" s="1"/>
  <c r="R297" i="144"/>
  <c r="R289" i="144"/>
  <c r="X21" i="155" s="1"/>
  <c r="AB295" i="144"/>
  <c r="S296" i="144"/>
  <c r="H298" i="144"/>
  <c r="Y295" i="144"/>
  <c r="N298" i="144"/>
  <c r="L295" i="144"/>
  <c r="R295" i="144"/>
  <c r="AA295" i="144"/>
  <c r="N295" i="144"/>
  <c r="Z298" i="144"/>
  <c r="J296" i="144"/>
  <c r="AB296" i="144"/>
  <c r="N92" i="155"/>
  <c r="I274" i="144"/>
  <c r="I291" i="144" s="1"/>
  <c r="O23" i="155" s="1"/>
  <c r="T296" i="144"/>
  <c r="AE298" i="144"/>
  <c r="AI93" i="155"/>
  <c r="AD275" i="144"/>
  <c r="AD291" i="144" s="1"/>
  <c r="AJ23" i="155" s="1"/>
  <c r="R75" i="155"/>
  <c r="M257" i="144"/>
  <c r="M283" i="144" s="1"/>
  <c r="S15" i="155" s="1"/>
  <c r="AA92" i="155"/>
  <c r="V274" i="144"/>
  <c r="V291" i="144" s="1"/>
  <c r="AB23" i="155" s="1"/>
  <c r="V80" i="155"/>
  <c r="Q262" i="144"/>
  <c r="Q284" i="144" s="1"/>
  <c r="W16" i="155" s="1"/>
  <c r="H296" i="144"/>
  <c r="AE296" i="144"/>
  <c r="K295" i="144"/>
  <c r="T295" i="144"/>
  <c r="K298" i="144"/>
  <c r="L296" i="144"/>
  <c r="Q298" i="144"/>
  <c r="AK85" i="155"/>
  <c r="AF267" i="144"/>
  <c r="AF285" i="144" s="1"/>
  <c r="AL17" i="155" s="1"/>
  <c r="H295" i="144"/>
  <c r="Z295" i="144"/>
  <c r="X86" i="155"/>
  <c r="S268" i="144"/>
  <c r="O298" i="144"/>
  <c r="Y298" i="144"/>
  <c r="K95" i="155"/>
  <c r="F277" i="144"/>
  <c r="F292" i="144" s="1"/>
  <c r="L24" i="155" s="1"/>
  <c r="S295" i="144"/>
  <c r="S78" i="155"/>
  <c r="N259" i="144"/>
  <c r="T81" i="155"/>
  <c r="O259" i="144"/>
  <c r="J86" i="155"/>
  <c r="E264" i="144"/>
  <c r="E285" i="144" s="1"/>
  <c r="K17" i="155" s="1"/>
  <c r="AB95" i="155"/>
  <c r="W277" i="144"/>
  <c r="W292" i="144" s="1"/>
  <c r="AC24" i="155" s="1"/>
  <c r="AJ75" i="155"/>
  <c r="AE257" i="144"/>
  <c r="AE295" i="144" s="1"/>
  <c r="AI94" i="155"/>
  <c r="AD276" i="144"/>
  <c r="AD292" i="144" s="1"/>
  <c r="AJ24" i="155" s="1"/>
  <c r="K92" i="155"/>
  <c r="F274" i="144"/>
  <c r="F291" i="144" s="1"/>
  <c r="L23" i="155" s="1"/>
  <c r="AC93" i="155"/>
  <c r="X275" i="144"/>
  <c r="X291" i="144" s="1"/>
  <c r="AD23" i="155" s="1"/>
  <c r="T76" i="155"/>
  <c r="O254" i="144"/>
  <c r="O283" i="144" s="1"/>
  <c r="U15" i="155" s="1"/>
  <c r="Q295" i="144"/>
  <c r="J295" i="144"/>
  <c r="W78" i="155"/>
  <c r="R260" i="144"/>
  <c r="R80" i="155"/>
  <c r="M262" i="144"/>
  <c r="M296" i="144" s="1"/>
  <c r="Z94" i="155"/>
  <c r="AG80" i="155"/>
  <c r="X81" i="155"/>
  <c r="Y80" i="155"/>
  <c r="T75" i="155"/>
  <c r="X79" i="155"/>
  <c r="W81" i="155"/>
  <c r="AC94" i="155"/>
  <c r="X73" i="155"/>
  <c r="W73" i="155"/>
  <c r="R76" i="155"/>
  <c r="X84" i="155"/>
  <c r="AA83" i="155"/>
  <c r="AD80" i="155"/>
  <c r="O80" i="155"/>
  <c r="Z92" i="155"/>
  <c r="P80" i="155"/>
  <c r="N82" i="155"/>
  <c r="N84" i="155"/>
  <c r="P72" i="155"/>
  <c r="P74" i="155"/>
  <c r="K247" i="144"/>
  <c r="P73" i="155"/>
  <c r="P76" i="155"/>
  <c r="Z95" i="155"/>
  <c r="AA85" i="155"/>
  <c r="AI95" i="155"/>
  <c r="AK92" i="155"/>
  <c r="AK93" i="155"/>
  <c r="N93" i="155"/>
  <c r="K85" i="155"/>
  <c r="S77" i="155"/>
  <c r="S81" i="155"/>
  <c r="S79" i="155"/>
  <c r="S80" i="155"/>
  <c r="AE75" i="155"/>
  <c r="P75" i="155"/>
  <c r="T77" i="155"/>
  <c r="T79" i="155"/>
  <c r="T78" i="155"/>
  <c r="T80" i="155"/>
  <c r="V77" i="155"/>
  <c r="V78" i="155"/>
  <c r="V79" i="155"/>
  <c r="E222" i="144"/>
  <c r="E254" i="144" s="1"/>
  <c r="E283" i="144" s="1"/>
  <c r="K15" i="155" s="1"/>
  <c r="AA93" i="155"/>
  <c r="K93" i="155"/>
  <c r="X85" i="155"/>
  <c r="W72" i="155"/>
  <c r="K82" i="155"/>
  <c r="K84" i="155"/>
  <c r="N83" i="155"/>
  <c r="S72" i="155"/>
  <c r="N247" i="144"/>
  <c r="S74" i="155"/>
  <c r="S75" i="155"/>
  <c r="S76" i="155"/>
  <c r="O77" i="155"/>
  <c r="O79" i="155"/>
  <c r="O78" i="155"/>
  <c r="O81" i="155"/>
  <c r="W77" i="155"/>
  <c r="AK82" i="155"/>
  <c r="AK84" i="155"/>
  <c r="AK83" i="155"/>
  <c r="T72" i="155"/>
  <c r="T74" i="155"/>
  <c r="T73" i="155"/>
  <c r="O247" i="144"/>
  <c r="V72" i="155"/>
  <c r="V76" i="155"/>
  <c r="V74" i="155"/>
  <c r="V73" i="155"/>
  <c r="Q247" i="144"/>
  <c r="AB92" i="155"/>
  <c r="AB93" i="155"/>
  <c r="Z93" i="155"/>
  <c r="AJ80" i="155"/>
  <c r="X78" i="155"/>
  <c r="Y75" i="155"/>
  <c r="AD77" i="155"/>
  <c r="AD78" i="155"/>
  <c r="AD81" i="155"/>
  <c r="AD79" i="155"/>
  <c r="Y78" i="155"/>
  <c r="O72" i="155"/>
  <c r="O74" i="155"/>
  <c r="O76" i="155"/>
  <c r="O73" i="155"/>
  <c r="J247" i="144"/>
  <c r="X74" i="155"/>
  <c r="AG75" i="155"/>
  <c r="J82" i="155"/>
  <c r="J85" i="155"/>
  <c r="J84" i="155"/>
  <c r="U85" i="155"/>
  <c r="U82" i="155"/>
  <c r="AF77" i="155"/>
  <c r="AF80" i="155"/>
  <c r="AF79" i="155"/>
  <c r="AF78" i="155"/>
  <c r="AF81" i="155"/>
  <c r="AD72" i="155"/>
  <c r="AD73" i="155"/>
  <c r="AD76" i="155"/>
  <c r="AD74" i="155"/>
  <c r="Y73" i="155"/>
  <c r="X77" i="155"/>
  <c r="N86" i="155"/>
  <c r="R247" i="144"/>
  <c r="K83" i="155"/>
  <c r="N94" i="155"/>
  <c r="N95" i="155"/>
  <c r="AC92" i="155"/>
  <c r="AC95" i="155"/>
  <c r="AK95" i="155"/>
  <c r="AI92" i="155"/>
  <c r="W79" i="155"/>
  <c r="X80" i="155"/>
  <c r="AF72" i="155"/>
  <c r="AA247" i="144"/>
  <c r="AF74" i="155"/>
  <c r="AF75" i="155"/>
  <c r="AF76" i="155"/>
  <c r="AF73" i="155"/>
  <c r="W80" i="155"/>
  <c r="R77" i="155"/>
  <c r="R78" i="155"/>
  <c r="R79" i="155"/>
  <c r="X72" i="155"/>
  <c r="S247" i="144"/>
  <c r="W76" i="155"/>
  <c r="X83" i="155"/>
  <c r="L94" i="155"/>
  <c r="L95" i="155"/>
  <c r="K94" i="155"/>
  <c r="AB94" i="155"/>
  <c r="L92" i="155"/>
  <c r="L93" i="155"/>
  <c r="AA82" i="155"/>
  <c r="AA84" i="155"/>
  <c r="W74" i="155"/>
  <c r="X75" i="155"/>
  <c r="P77" i="155"/>
  <c r="P79" i="155"/>
  <c r="P81" i="155"/>
  <c r="P78" i="155"/>
  <c r="Y77" i="155"/>
  <c r="Y79" i="155"/>
  <c r="Y81" i="155"/>
  <c r="AG77" i="155"/>
  <c r="AG81" i="155"/>
  <c r="AG79" i="155"/>
  <c r="AG78" i="155"/>
  <c r="W75" i="155"/>
  <c r="R72" i="155"/>
  <c r="M247" i="144"/>
  <c r="R73" i="155"/>
  <c r="R74" i="155"/>
  <c r="X82" i="155"/>
  <c r="R81" i="155"/>
  <c r="M77" i="155"/>
  <c r="M78" i="155"/>
  <c r="M79" i="155"/>
  <c r="M80" i="155"/>
  <c r="M81" i="155"/>
  <c r="AJ77" i="155"/>
  <c r="AJ78" i="155"/>
  <c r="AJ79" i="155"/>
  <c r="AJ81" i="155"/>
  <c r="Y72" i="155"/>
  <c r="T247" i="144"/>
  <c r="Y76" i="155"/>
  <c r="Y74" i="155"/>
  <c r="AG72" i="155"/>
  <c r="AG76" i="155"/>
  <c r="AG73" i="155"/>
  <c r="AG74" i="155"/>
  <c r="AB247" i="144"/>
  <c r="AE77" i="155"/>
  <c r="AE81" i="155"/>
  <c r="AE79" i="155"/>
  <c r="AE78" i="155"/>
  <c r="K86" i="155"/>
  <c r="V81" i="155"/>
  <c r="N85" i="155"/>
  <c r="E180" i="144"/>
  <c r="V75" i="155"/>
  <c r="M72" i="155"/>
  <c r="M73" i="155"/>
  <c r="H247" i="144"/>
  <c r="M76" i="155"/>
  <c r="M74" i="155"/>
  <c r="M75" i="155"/>
  <c r="AJ72" i="155"/>
  <c r="AJ74" i="155"/>
  <c r="AE247" i="144"/>
  <c r="AJ73" i="155"/>
  <c r="AJ76" i="155"/>
  <c r="AE80" i="155"/>
  <c r="AE72" i="155"/>
  <c r="AE74" i="155"/>
  <c r="AE76" i="155"/>
  <c r="Z247" i="144"/>
  <c r="AE73" i="155"/>
  <c r="AD75" i="155"/>
  <c r="O75" i="155"/>
  <c r="X76" i="155"/>
  <c r="S73" i="155"/>
  <c r="AK86" i="155"/>
  <c r="Q92" i="155"/>
  <c r="Q93" i="155"/>
  <c r="AA86" i="155"/>
  <c r="J83" i="155"/>
  <c r="U231" i="144"/>
  <c r="U263" i="144" s="1"/>
  <c r="U236" i="144"/>
  <c r="U226" i="144"/>
  <c r="U258" i="144" s="1"/>
  <c r="AD236" i="144"/>
  <c r="AD226" i="144"/>
  <c r="AD258" i="144" s="1"/>
  <c r="AD231" i="144"/>
  <c r="AD263" i="144" s="1"/>
  <c r="X236" i="144"/>
  <c r="X226" i="144"/>
  <c r="X258" i="144" s="1"/>
  <c r="X231" i="144"/>
  <c r="X263" i="144" s="1"/>
  <c r="I238" i="144"/>
  <c r="I270" i="144" s="1"/>
  <c r="I287" i="144" s="1"/>
  <c r="O19" i="155" s="1"/>
  <c r="I240" i="144"/>
  <c r="I272" i="144" s="1"/>
  <c r="I239" i="144"/>
  <c r="I271" i="144" s="1"/>
  <c r="I288" i="144" s="1"/>
  <c r="O20" i="155" s="1"/>
  <c r="I241" i="144"/>
  <c r="I273" i="144" s="1"/>
  <c r="AF241" i="144"/>
  <c r="AF273" i="144" s="1"/>
  <c r="AF290" i="144" s="1"/>
  <c r="AL22" i="155" s="1"/>
  <c r="AF238" i="144"/>
  <c r="AF270" i="144" s="1"/>
  <c r="AF287" i="144" s="1"/>
  <c r="AL19" i="155" s="1"/>
  <c r="AF240" i="144"/>
  <c r="AF272" i="144" s="1"/>
  <c r="AF239" i="144"/>
  <c r="AF271" i="144" s="1"/>
  <c r="AF288" i="144" s="1"/>
  <c r="AL20" i="155" s="1"/>
  <c r="F239" i="144"/>
  <c r="F271" i="144" s="1"/>
  <c r="F288" i="144" s="1"/>
  <c r="L20" i="155" s="1"/>
  <c r="F241" i="144"/>
  <c r="F273" i="144" s="1"/>
  <c r="F238" i="144"/>
  <c r="F270" i="144" s="1"/>
  <c r="F287" i="144" s="1"/>
  <c r="L19" i="155" s="1"/>
  <c r="F240" i="144"/>
  <c r="F272" i="144" s="1"/>
  <c r="P238" i="144"/>
  <c r="P270" i="144" s="1"/>
  <c r="P287" i="144" s="1"/>
  <c r="V19" i="155" s="1"/>
  <c r="P239" i="144"/>
  <c r="P271" i="144" s="1"/>
  <c r="P288" i="144" s="1"/>
  <c r="V20" i="155" s="1"/>
  <c r="X241" i="144"/>
  <c r="X273" i="144" s="1"/>
  <c r="X290" i="144" s="1"/>
  <c r="AD22" i="155" s="1"/>
  <c r="X240" i="144"/>
  <c r="X272" i="144" s="1"/>
  <c r="X238" i="144"/>
  <c r="X270" i="144" s="1"/>
  <c r="X287" i="144" s="1"/>
  <c r="AD19" i="155" s="1"/>
  <c r="X239" i="144"/>
  <c r="X271" i="144" s="1"/>
  <c r="X288" i="144" s="1"/>
  <c r="AD20" i="155" s="1"/>
  <c r="E239" i="144"/>
  <c r="E271" i="144" s="1"/>
  <c r="E288" i="144" s="1"/>
  <c r="K20" i="155" s="1"/>
  <c r="E240" i="144"/>
  <c r="E272" i="144" s="1"/>
  <c r="E241" i="144"/>
  <c r="E273" i="144" s="1"/>
  <c r="E290" i="144" s="1"/>
  <c r="K22" i="155" s="1"/>
  <c r="E238" i="144"/>
  <c r="E270" i="144" s="1"/>
  <c r="E287" i="144" s="1"/>
  <c r="K19" i="155" s="1"/>
  <c r="U241" i="144"/>
  <c r="U273" i="144" s="1"/>
  <c r="U290" i="144" s="1"/>
  <c r="AA22" i="155" s="1"/>
  <c r="U239" i="144"/>
  <c r="U271" i="144" s="1"/>
  <c r="U288" i="144" s="1"/>
  <c r="AA20" i="155" s="1"/>
  <c r="U238" i="144"/>
  <c r="U270" i="144" s="1"/>
  <c r="U287" i="144" s="1"/>
  <c r="AA19" i="155" s="1"/>
  <c r="U240" i="144"/>
  <c r="U272" i="144" s="1"/>
  <c r="G238" i="144"/>
  <c r="G270" i="144" s="1"/>
  <c r="G240" i="144"/>
  <c r="G272" i="144" s="1"/>
  <c r="G241" i="144"/>
  <c r="G273" i="144" s="1"/>
  <c r="G239" i="144"/>
  <c r="G271" i="144" s="1"/>
  <c r="AD239" i="144"/>
  <c r="AD271" i="144" s="1"/>
  <c r="AD288" i="144" s="1"/>
  <c r="AJ20" i="155" s="1"/>
  <c r="AD241" i="144"/>
  <c r="AD273" i="144" s="1"/>
  <c r="AD290" i="144" s="1"/>
  <c r="AJ22" i="155" s="1"/>
  <c r="AD238" i="144"/>
  <c r="AD270" i="144" s="1"/>
  <c r="AD287" i="144" s="1"/>
  <c r="AJ19" i="155" s="1"/>
  <c r="AD240" i="144"/>
  <c r="AD272" i="144" s="1"/>
  <c r="W238" i="144"/>
  <c r="W270" i="144" s="1"/>
  <c r="W287" i="144" s="1"/>
  <c r="AC19" i="155" s="1"/>
  <c r="W241" i="144"/>
  <c r="W273" i="144" s="1"/>
  <c r="W240" i="144"/>
  <c r="W272" i="144" s="1"/>
  <c r="W239" i="144"/>
  <c r="W271" i="144" s="1"/>
  <c r="V239" i="144"/>
  <c r="V271" i="144" s="1"/>
  <c r="V288" i="144" s="1"/>
  <c r="AB20" i="155" s="1"/>
  <c r="V241" i="144"/>
  <c r="V273" i="144" s="1"/>
  <c r="V238" i="144"/>
  <c r="V270" i="144" s="1"/>
  <c r="V287" i="144" s="1"/>
  <c r="AB19" i="155" s="1"/>
  <c r="V240" i="144"/>
  <c r="V272" i="144" s="1"/>
  <c r="E227" i="144"/>
  <c r="E259" i="144" s="1"/>
  <c r="AF225" i="144"/>
  <c r="AF230" i="144"/>
  <c r="AF262" i="144" s="1"/>
  <c r="I222" i="144"/>
  <c r="I254" i="144" s="1"/>
  <c r="I227" i="144"/>
  <c r="I259" i="144" s="1"/>
  <c r="AF222" i="144"/>
  <c r="AF254" i="144" s="1"/>
  <c r="I223" i="144"/>
  <c r="I255" i="144" s="1"/>
  <c r="I228" i="144"/>
  <c r="I260" i="144" s="1"/>
  <c r="V225" i="144"/>
  <c r="V257" i="144" s="1"/>
  <c r="V230" i="144"/>
  <c r="V262" i="144" s="1"/>
  <c r="I225" i="144"/>
  <c r="I257" i="144" s="1"/>
  <c r="I230" i="144"/>
  <c r="I262" i="144" s="1"/>
  <c r="AD222" i="144"/>
  <c r="AD254" i="144" s="1"/>
  <c r="AD227" i="144"/>
  <c r="X224" i="144"/>
  <c r="X256" i="144" s="1"/>
  <c r="X229" i="144"/>
  <c r="X261" i="144" s="1"/>
  <c r="U225" i="144"/>
  <c r="U257" i="144" s="1"/>
  <c r="U230" i="144"/>
  <c r="U262" i="144" s="1"/>
  <c r="F225" i="144"/>
  <c r="F257" i="144" s="1"/>
  <c r="F230" i="144"/>
  <c r="F262" i="144" s="1"/>
  <c r="X222" i="144"/>
  <c r="X254" i="144" s="1"/>
  <c r="X227" i="144"/>
  <c r="X259" i="144" s="1"/>
  <c r="U222" i="144"/>
  <c r="U254" i="144" s="1"/>
  <c r="U227" i="144"/>
  <c r="U259" i="144" s="1"/>
  <c r="F222" i="144"/>
  <c r="F227" i="144"/>
  <c r="U223" i="144"/>
  <c r="U255" i="144" s="1"/>
  <c r="U228" i="144"/>
  <c r="U260" i="144" s="1"/>
  <c r="X225" i="144"/>
  <c r="X257" i="144" s="1"/>
  <c r="X230" i="144"/>
  <c r="X262" i="144" s="1"/>
  <c r="V222" i="144"/>
  <c r="V227" i="144"/>
  <c r="AD225" i="144"/>
  <c r="AD230" i="144"/>
  <c r="AD262" i="144" s="1"/>
  <c r="E156" i="144"/>
  <c r="AF156" i="144"/>
  <c r="AK52" i="155"/>
  <c r="G180" i="144"/>
  <c r="V180" i="144"/>
  <c r="G137" i="144"/>
  <c r="L33" i="155"/>
  <c r="W137" i="144"/>
  <c r="U156" i="144"/>
  <c r="V156" i="144"/>
  <c r="I156" i="144"/>
  <c r="I137" i="144"/>
  <c r="AD156" i="144"/>
  <c r="X156" i="144"/>
  <c r="F137" i="144"/>
  <c r="AD180" i="144"/>
  <c r="F180" i="144"/>
  <c r="AF137" i="144"/>
  <c r="X137" i="144"/>
  <c r="F156" i="144"/>
  <c r="U137" i="144"/>
  <c r="W180" i="144"/>
  <c r="AF180" i="144"/>
  <c r="W156" i="144"/>
  <c r="U180" i="144"/>
  <c r="AD137" i="144"/>
  <c r="G156" i="144"/>
  <c r="V137" i="144"/>
  <c r="X180" i="144"/>
  <c r="G274" i="139"/>
  <c r="G277" i="139" s="1"/>
  <c r="L29" i="128"/>
  <c r="AB274" i="139"/>
  <c r="AB277" i="139" s="1"/>
  <c r="F294" i="139" l="1"/>
  <c r="F313" i="139" s="1"/>
  <c r="K29" i="128"/>
  <c r="Y274" i="139"/>
  <c r="Y277" i="139" s="1"/>
  <c r="AD29" i="128"/>
  <c r="Y336" i="149"/>
  <c r="Y418" i="149" s="1"/>
  <c r="Y460" i="149" s="1"/>
  <c r="T336" i="149"/>
  <c r="T418" i="149" s="1"/>
  <c r="T460" i="149" s="1"/>
  <c r="T470" i="149" s="1"/>
  <c r="T471" i="149" s="1"/>
  <c r="AA294" i="139"/>
  <c r="AA313" i="139" s="1"/>
  <c r="AA322" i="139" s="1"/>
  <c r="AK94" i="155"/>
  <c r="P230" i="144"/>
  <c r="P262" i="144" s="1"/>
  <c r="P284" i="144" s="1"/>
  <c r="V16" i="155" s="1"/>
  <c r="P225" i="144"/>
  <c r="P257" i="144" s="1"/>
  <c r="P283" i="144" s="1"/>
  <c r="V15" i="155" s="1"/>
  <c r="P244" i="144"/>
  <c r="P181" i="144"/>
  <c r="W254" i="144"/>
  <c r="AB72" i="155"/>
  <c r="AB76" i="155"/>
  <c r="AB74" i="155"/>
  <c r="AB75" i="155"/>
  <c r="AB81" i="155"/>
  <c r="AB80" i="155"/>
  <c r="AB79" i="155"/>
  <c r="AB77" i="155"/>
  <c r="W259" i="144"/>
  <c r="W264" i="144"/>
  <c r="AB86" i="155"/>
  <c r="AB84" i="155"/>
  <c r="AB82" i="155"/>
  <c r="AB85" i="155"/>
  <c r="W260" i="144"/>
  <c r="AB78" i="155"/>
  <c r="W255" i="144"/>
  <c r="AB73" i="155"/>
  <c r="AF284" i="144"/>
  <c r="AL16" i="155" s="1"/>
  <c r="W265" i="144"/>
  <c r="AB83" i="155"/>
  <c r="P180" i="144"/>
  <c r="P240" i="144"/>
  <c r="P272" i="144" s="1"/>
  <c r="P297" i="144" s="1"/>
  <c r="U83" i="155"/>
  <c r="U86" i="155"/>
  <c r="Q274" i="139"/>
  <c r="Q277" i="139" s="1"/>
  <c r="V29" i="128"/>
  <c r="AF322" i="139"/>
  <c r="AF336" i="149"/>
  <c r="AF418" i="149" s="1"/>
  <c r="AF460" i="149" s="1"/>
  <c r="AF470" i="149" s="1"/>
  <c r="AF471" i="149" s="1"/>
  <c r="N322" i="139"/>
  <c r="N336" i="149"/>
  <c r="N418" i="149" s="1"/>
  <c r="N460" i="149" s="1"/>
  <c r="N470" i="149" s="1"/>
  <c r="N471" i="149" s="1"/>
  <c r="O322" i="139"/>
  <c r="O336" i="149"/>
  <c r="O418" i="149" s="1"/>
  <c r="O460" i="149" s="1"/>
  <c r="O470" i="149" s="1"/>
  <c r="O471" i="149" s="1"/>
  <c r="Z322" i="139"/>
  <c r="Z336" i="149"/>
  <c r="Z418" i="149" s="1"/>
  <c r="Z460" i="149" s="1"/>
  <c r="Z470" i="149" s="1"/>
  <c r="Z471" i="149" s="1"/>
  <c r="Q322" i="139"/>
  <c r="Q336" i="149"/>
  <c r="Q418" i="149" s="1"/>
  <c r="Q460" i="149" s="1"/>
  <c r="Q470" i="149" s="1"/>
  <c r="Q471" i="149" s="1"/>
  <c r="H322" i="139"/>
  <c r="H336" i="149"/>
  <c r="H418" i="149" s="1"/>
  <c r="H460" i="149" s="1"/>
  <c r="H470" i="149" s="1"/>
  <c r="H471" i="149" s="1"/>
  <c r="P322" i="139"/>
  <c r="P336" i="149"/>
  <c r="P418" i="149" s="1"/>
  <c r="P460" i="149" s="1"/>
  <c r="P470" i="149" s="1"/>
  <c r="P471" i="149" s="1"/>
  <c r="I322" i="139"/>
  <c r="I336" i="149"/>
  <c r="I418" i="149" s="1"/>
  <c r="I460" i="149" s="1"/>
  <c r="I470" i="149" s="1"/>
  <c r="I471" i="149" s="1"/>
  <c r="AE322" i="139"/>
  <c r="AE336" i="149"/>
  <c r="AE418" i="149" s="1"/>
  <c r="AE460" i="149" s="1"/>
  <c r="AE470" i="149" s="1"/>
  <c r="AE471" i="149" s="1"/>
  <c r="J322" i="139"/>
  <c r="J336" i="149"/>
  <c r="J418" i="149" s="1"/>
  <c r="J460" i="149" s="1"/>
  <c r="J470" i="149" s="1"/>
  <c r="J471" i="149" s="1"/>
  <c r="U322" i="139"/>
  <c r="U336" i="149"/>
  <c r="U418" i="149" s="1"/>
  <c r="U460" i="149" s="1"/>
  <c r="U470" i="149" s="1"/>
  <c r="U471" i="149" s="1"/>
  <c r="R322" i="139"/>
  <c r="R336" i="149"/>
  <c r="R418" i="149" s="1"/>
  <c r="R460" i="149" s="1"/>
  <c r="R470" i="149" s="1"/>
  <c r="R471" i="149" s="1"/>
  <c r="M322" i="139"/>
  <c r="M336" i="149"/>
  <c r="M418" i="149" s="1"/>
  <c r="M460" i="149" s="1"/>
  <c r="M470" i="149" s="1"/>
  <c r="M471" i="149" s="1"/>
  <c r="K322" i="139"/>
  <c r="K336" i="149"/>
  <c r="K418" i="149" s="1"/>
  <c r="K460" i="149" s="1"/>
  <c r="K470" i="149" s="1"/>
  <c r="K471" i="149" s="1"/>
  <c r="S322" i="139"/>
  <c r="S336" i="149"/>
  <c r="S418" i="149" s="1"/>
  <c r="S460" i="149" s="1"/>
  <c r="S470" i="149" s="1"/>
  <c r="S471" i="149" s="1"/>
  <c r="X322" i="139"/>
  <c r="X336" i="149"/>
  <c r="X418" i="149" s="1"/>
  <c r="X460" i="149" s="1"/>
  <c r="X470" i="149" s="1"/>
  <c r="X471" i="149" s="1"/>
  <c r="V322" i="139"/>
  <c r="V336" i="149"/>
  <c r="V418" i="149" s="1"/>
  <c r="V460" i="149" s="1"/>
  <c r="V470" i="149" s="1"/>
  <c r="V471" i="149" s="1"/>
  <c r="AD322" i="139"/>
  <c r="AD274" i="139"/>
  <c r="AD277" i="139" s="1"/>
  <c r="M29" i="128"/>
  <c r="P29" i="128"/>
  <c r="U29" i="128"/>
  <c r="AA29" i="128"/>
  <c r="AJ29" i="128"/>
  <c r="R29" i="128"/>
  <c r="S29" i="128"/>
  <c r="AK29" i="128"/>
  <c r="AI29" i="128"/>
  <c r="AE29" i="128"/>
  <c r="T29" i="128"/>
  <c r="O29" i="128"/>
  <c r="W29" i="128"/>
  <c r="Z29" i="128"/>
  <c r="Y29" i="128"/>
  <c r="AC29" i="128"/>
  <c r="N29" i="128"/>
  <c r="X29" i="128"/>
  <c r="U84" i="155"/>
  <c r="U94" i="155"/>
  <c r="P137" i="144"/>
  <c r="P156" i="144"/>
  <c r="Q296" i="144"/>
  <c r="V113" i="155" s="1"/>
  <c r="M295" i="144"/>
  <c r="R113" i="155" s="1"/>
  <c r="AB301" i="144"/>
  <c r="AG103" i="155" s="1"/>
  <c r="AJ113" i="155"/>
  <c r="W297" i="144"/>
  <c r="W289" i="144"/>
  <c r="AC21" i="155" s="1"/>
  <c r="G298" i="144"/>
  <c r="G290" i="144"/>
  <c r="M22" i="155" s="1"/>
  <c r="AF297" i="144"/>
  <c r="AF289" i="144"/>
  <c r="AL21" i="155" s="1"/>
  <c r="J300" i="144"/>
  <c r="O102" i="155" s="1"/>
  <c r="O113" i="155"/>
  <c r="Q113" i="155"/>
  <c r="P289" i="144"/>
  <c r="V21" i="155" s="1"/>
  <c r="U283" i="144"/>
  <c r="AA15" i="155" s="1"/>
  <c r="E296" i="144"/>
  <c r="E284" i="144"/>
  <c r="K16" i="155" s="1"/>
  <c r="G295" i="144"/>
  <c r="G287" i="144"/>
  <c r="M19" i="155" s="1"/>
  <c r="S298" i="144"/>
  <c r="S303" i="144" s="1"/>
  <c r="X105" i="155" s="1"/>
  <c r="S285" i="144"/>
  <c r="Y17" i="155" s="1"/>
  <c r="W288" i="144"/>
  <c r="AC20" i="155" s="1"/>
  <c r="G297" i="144"/>
  <c r="G289" i="144"/>
  <c r="M21" i="155" s="1"/>
  <c r="X284" i="144"/>
  <c r="AD16" i="155" s="1"/>
  <c r="V297" i="144"/>
  <c r="V289" i="144"/>
  <c r="AB21" i="155" s="1"/>
  <c r="AD297" i="144"/>
  <c r="AD289" i="144"/>
  <c r="AJ21" i="155" s="1"/>
  <c r="U297" i="144"/>
  <c r="U289" i="144"/>
  <c r="AA21" i="155" s="1"/>
  <c r="F297" i="144"/>
  <c r="F289" i="144"/>
  <c r="L21" i="155" s="1"/>
  <c r="I298" i="144"/>
  <c r="I290" i="144"/>
  <c r="O22" i="155" s="1"/>
  <c r="N296" i="144"/>
  <c r="N301" i="144" s="1"/>
  <c r="S103" i="155" s="1"/>
  <c r="N284" i="144"/>
  <c r="T16" i="155" s="1"/>
  <c r="AC301" i="144"/>
  <c r="AH103" i="155" s="1"/>
  <c r="AE283" i="144"/>
  <c r="AK15" i="155" s="1"/>
  <c r="G296" i="144"/>
  <c r="G288" i="144"/>
  <c r="M20" i="155" s="1"/>
  <c r="AC302" i="144"/>
  <c r="AH104" i="155" s="1"/>
  <c r="U296" i="144"/>
  <c r="U284" i="144"/>
  <c r="AA16" i="155" s="1"/>
  <c r="O296" i="144"/>
  <c r="O284" i="144"/>
  <c r="U16" i="155" s="1"/>
  <c r="X283" i="144"/>
  <c r="AD15" i="155" s="1"/>
  <c r="Z300" i="144"/>
  <c r="AE102" i="155" s="1"/>
  <c r="AE113" i="155"/>
  <c r="T300" i="144"/>
  <c r="Y102" i="155" s="1"/>
  <c r="Y113" i="155"/>
  <c r="AC300" i="144"/>
  <c r="AH102" i="155" s="1"/>
  <c r="AH113" i="155"/>
  <c r="E297" i="144"/>
  <c r="E289" i="144"/>
  <c r="K21" i="155" s="1"/>
  <c r="I284" i="144"/>
  <c r="O16" i="155" s="1"/>
  <c r="V298" i="144"/>
  <c r="V290" i="144"/>
  <c r="AB22" i="155" s="1"/>
  <c r="X297" i="144"/>
  <c r="X289" i="144"/>
  <c r="AD21" i="155" s="1"/>
  <c r="F298" i="144"/>
  <c r="F290" i="144"/>
  <c r="L22" i="155" s="1"/>
  <c r="I297" i="144"/>
  <c r="I289" i="144"/>
  <c r="O21" i="155" s="1"/>
  <c r="H300" i="144"/>
  <c r="M102" i="155" s="1"/>
  <c r="M113" i="155"/>
  <c r="P113" i="155"/>
  <c r="W298" i="144"/>
  <c r="W290" i="144"/>
  <c r="AC22" i="155" s="1"/>
  <c r="I283" i="144"/>
  <c r="O15" i="155" s="1"/>
  <c r="R296" i="144"/>
  <c r="R303" i="144" s="1"/>
  <c r="W105" i="155" s="1"/>
  <c r="R284" i="144"/>
  <c r="X16" i="155" s="1"/>
  <c r="AF113" i="155"/>
  <c r="AG113" i="155"/>
  <c r="M284" i="144"/>
  <c r="S16" i="155" s="1"/>
  <c r="AE300" i="144"/>
  <c r="AJ102" i="155" s="1"/>
  <c r="K300" i="144"/>
  <c r="P102" i="155" s="1"/>
  <c r="AB302" i="144"/>
  <c r="AG104" i="155" s="1"/>
  <c r="I295" i="144"/>
  <c r="J301" i="144"/>
  <c r="O103" i="155" s="1"/>
  <c r="Z302" i="144"/>
  <c r="AE104" i="155" s="1"/>
  <c r="J73" i="155"/>
  <c r="O295" i="144"/>
  <c r="AF298" i="144"/>
  <c r="K301" i="144"/>
  <c r="P103" i="155" s="1"/>
  <c r="L300" i="144"/>
  <c r="Q102" i="155" s="1"/>
  <c r="L303" i="144"/>
  <c r="Q105" i="155" s="1"/>
  <c r="L302" i="144"/>
  <c r="Q104" i="155" s="1"/>
  <c r="X295" i="144"/>
  <c r="Z303" i="144"/>
  <c r="AE105" i="155" s="1"/>
  <c r="L301" i="144"/>
  <c r="Q103" i="155" s="1"/>
  <c r="Z301" i="144"/>
  <c r="AE103" i="155" s="1"/>
  <c r="K303" i="144"/>
  <c r="P105" i="155" s="1"/>
  <c r="H302" i="144"/>
  <c r="M104" i="155" s="1"/>
  <c r="AE301" i="144"/>
  <c r="AJ103" i="155" s="1"/>
  <c r="H301" i="144"/>
  <c r="M103" i="155" s="1"/>
  <c r="AE302" i="144"/>
  <c r="AJ104" i="155" s="1"/>
  <c r="AA300" i="144"/>
  <c r="AF102" i="155" s="1"/>
  <c r="AA302" i="144"/>
  <c r="AF104" i="155" s="1"/>
  <c r="H303" i="144"/>
  <c r="M105" i="155" s="1"/>
  <c r="K302" i="144"/>
  <c r="P104" i="155" s="1"/>
  <c r="T303" i="144"/>
  <c r="Y105" i="155" s="1"/>
  <c r="AE303" i="144"/>
  <c r="AJ105" i="155" s="1"/>
  <c r="AA301" i="144"/>
  <c r="AF103" i="155" s="1"/>
  <c r="AF296" i="144"/>
  <c r="T301" i="144"/>
  <c r="Y103" i="155" s="1"/>
  <c r="AA303" i="144"/>
  <c r="AF105" i="155" s="1"/>
  <c r="J303" i="144"/>
  <c r="O105" i="155" s="1"/>
  <c r="AB300" i="144"/>
  <c r="AG102" i="155" s="1"/>
  <c r="T302" i="144"/>
  <c r="Y104" i="155" s="1"/>
  <c r="J302" i="144"/>
  <c r="O104" i="155" s="1"/>
  <c r="AB303" i="144"/>
  <c r="AG105" i="155" s="1"/>
  <c r="AI86" i="155"/>
  <c r="AD268" i="144"/>
  <c r="E298" i="144"/>
  <c r="K78" i="155"/>
  <c r="F259" i="144"/>
  <c r="I296" i="144"/>
  <c r="E295" i="144"/>
  <c r="AI75" i="155"/>
  <c r="AD257" i="144"/>
  <c r="AD295" i="144" s="1"/>
  <c r="K73" i="155"/>
  <c r="F254" i="144"/>
  <c r="F283" i="144" s="1"/>
  <c r="L15" i="155" s="1"/>
  <c r="Z86" i="155"/>
  <c r="U268" i="144"/>
  <c r="X296" i="144"/>
  <c r="AA78" i="155"/>
  <c r="V259" i="144"/>
  <c r="P298" i="144"/>
  <c r="AI79" i="155"/>
  <c r="AD259" i="144"/>
  <c r="AA73" i="155"/>
  <c r="V254" i="144"/>
  <c r="V283" i="144" s="1"/>
  <c r="AB15" i="155" s="1"/>
  <c r="AK75" i="155"/>
  <c r="AF257" i="144"/>
  <c r="AF295" i="144" s="1"/>
  <c r="AC86" i="155"/>
  <c r="X268" i="144"/>
  <c r="U295" i="144"/>
  <c r="W295" i="144"/>
  <c r="AC77" i="155"/>
  <c r="AC84" i="155"/>
  <c r="Z78" i="155"/>
  <c r="K80" i="155"/>
  <c r="N80" i="155"/>
  <c r="AI84" i="155"/>
  <c r="AC85" i="155"/>
  <c r="K75" i="155"/>
  <c r="N76" i="155"/>
  <c r="AA80" i="155"/>
  <c r="AI83" i="155"/>
  <c r="AC83" i="155"/>
  <c r="AC75" i="155"/>
  <c r="AC73" i="155"/>
  <c r="N73" i="155"/>
  <c r="W247" i="144"/>
  <c r="G247" i="144"/>
  <c r="AI81" i="155"/>
  <c r="J77" i="155"/>
  <c r="J81" i="155"/>
  <c r="J80" i="155"/>
  <c r="J79" i="155"/>
  <c r="AK77" i="155"/>
  <c r="AK81" i="155"/>
  <c r="AK78" i="155"/>
  <c r="AK79" i="155"/>
  <c r="Z73" i="155"/>
  <c r="AC72" i="155"/>
  <c r="X247" i="144"/>
  <c r="AI72" i="155"/>
  <c r="AD247" i="144"/>
  <c r="AI73" i="155"/>
  <c r="AK72" i="155"/>
  <c r="AF247" i="144"/>
  <c r="AK74" i="155"/>
  <c r="AK76" i="155"/>
  <c r="AK73" i="155"/>
  <c r="AI85" i="155"/>
  <c r="J78" i="155"/>
  <c r="Z84" i="155"/>
  <c r="AC78" i="155"/>
  <c r="Z72" i="155"/>
  <c r="U247" i="144"/>
  <c r="Z74" i="155"/>
  <c r="N75" i="155"/>
  <c r="Z82" i="155"/>
  <c r="AI74" i="155"/>
  <c r="Z85" i="155"/>
  <c r="AI80" i="155"/>
  <c r="N77" i="155"/>
  <c r="N79" i="155"/>
  <c r="U77" i="155"/>
  <c r="U79" i="155"/>
  <c r="AK80" i="155"/>
  <c r="AC81" i="155"/>
  <c r="Z83" i="155"/>
  <c r="AA72" i="155"/>
  <c r="V247" i="144"/>
  <c r="AA76" i="155"/>
  <c r="AA74" i="155"/>
  <c r="U75" i="155"/>
  <c r="U73" i="155"/>
  <c r="U74" i="155"/>
  <c r="U72" i="155"/>
  <c r="U76" i="155"/>
  <c r="Z75" i="155"/>
  <c r="AA75" i="155"/>
  <c r="AC76" i="155"/>
  <c r="K76" i="155"/>
  <c r="N81" i="155"/>
  <c r="AI82" i="155"/>
  <c r="K77" i="155"/>
  <c r="K79" i="155"/>
  <c r="Z76" i="155"/>
  <c r="K72" i="155"/>
  <c r="F247" i="144"/>
  <c r="K74" i="155"/>
  <c r="N72" i="155"/>
  <c r="I247" i="144"/>
  <c r="N74" i="155"/>
  <c r="AA77" i="155"/>
  <c r="AA79" i="155"/>
  <c r="AA81" i="155"/>
  <c r="Z80" i="155"/>
  <c r="Z81" i="155"/>
  <c r="AC80" i="155"/>
  <c r="Z77" i="155"/>
  <c r="Z79" i="155"/>
  <c r="AC79" i="155"/>
  <c r="N78" i="155"/>
  <c r="K81" i="155"/>
  <c r="AC82" i="155"/>
  <c r="AC74" i="155"/>
  <c r="AI77" i="155"/>
  <c r="AI78" i="155"/>
  <c r="AI76" i="155"/>
  <c r="J72" i="155"/>
  <c r="E247" i="144"/>
  <c r="J74" i="155"/>
  <c r="J75" i="155"/>
  <c r="J76" i="155"/>
  <c r="X274" i="139"/>
  <c r="X277" i="139" s="1"/>
  <c r="P274" i="139"/>
  <c r="P277" i="139" s="1"/>
  <c r="O274" i="139"/>
  <c r="O277" i="139" s="1"/>
  <c r="J274" i="139"/>
  <c r="J277" i="139" s="1"/>
  <c r="I274" i="139"/>
  <c r="I277" i="139" s="1"/>
  <c r="AF274" i="139"/>
  <c r="AF277" i="139" s="1"/>
  <c r="N274" i="139"/>
  <c r="N277" i="139" s="1"/>
  <c r="H274" i="139"/>
  <c r="H277" i="139" s="1"/>
  <c r="Z274" i="139"/>
  <c r="Z277" i="139" s="1"/>
  <c r="V274" i="139"/>
  <c r="V277" i="139" s="1"/>
  <c r="AA274" i="139"/>
  <c r="AA277" i="139" s="1"/>
  <c r="R274" i="139"/>
  <c r="R277" i="139" s="1"/>
  <c r="S274" i="139"/>
  <c r="S277" i="139" s="1"/>
  <c r="M274" i="139"/>
  <c r="M277" i="139" s="1"/>
  <c r="U274" i="139"/>
  <c r="U277" i="139" s="1"/>
  <c r="T274" i="139"/>
  <c r="T277" i="139" s="1"/>
  <c r="K274" i="139"/>
  <c r="K277" i="139" s="1"/>
  <c r="AE274" i="139"/>
  <c r="AE277" i="139" s="1"/>
  <c r="F336" i="149" l="1"/>
  <c r="F418" i="149" s="1"/>
  <c r="F460" i="149" s="1"/>
  <c r="F470" i="149" s="1"/>
  <c r="F471" i="149" s="1"/>
  <c r="F322" i="139"/>
  <c r="W284" i="144"/>
  <c r="AC16" i="155" s="1"/>
  <c r="AA336" i="149"/>
  <c r="AA418" i="149" s="1"/>
  <c r="AA460" i="149" s="1"/>
  <c r="AA470" i="149" s="1"/>
  <c r="AA471" i="149" s="1"/>
  <c r="W296" i="144"/>
  <c r="P296" i="144"/>
  <c r="P276" i="144"/>
  <c r="U95" i="155"/>
  <c r="U78" i="155"/>
  <c r="U81" i="155"/>
  <c r="U80" i="155"/>
  <c r="P247" i="144"/>
  <c r="W285" i="144"/>
  <c r="AC17" i="155" s="1"/>
  <c r="W283" i="144"/>
  <c r="AC15" i="155" s="1"/>
  <c r="M300" i="144"/>
  <c r="R102" i="155" s="1"/>
  <c r="M301" i="144"/>
  <c r="R103" i="155" s="1"/>
  <c r="Q303" i="144"/>
  <c r="V105" i="155" s="1"/>
  <c r="Q300" i="144"/>
  <c r="V102" i="155" s="1"/>
  <c r="Q302" i="144"/>
  <c r="V104" i="155" s="1"/>
  <c r="T113" i="155"/>
  <c r="Q301" i="144"/>
  <c r="V103" i="155" s="1"/>
  <c r="M303" i="144"/>
  <c r="R105" i="155" s="1"/>
  <c r="M302" i="144"/>
  <c r="R104" i="155" s="1"/>
  <c r="S300" i="144"/>
  <c r="X102" i="155" s="1"/>
  <c r="S301" i="144"/>
  <c r="X103" i="155" s="1"/>
  <c r="X113" i="155"/>
  <c r="I301" i="144"/>
  <c r="N103" i="155" s="1"/>
  <c r="O303" i="144"/>
  <c r="T105" i="155" s="1"/>
  <c r="S302" i="144"/>
  <c r="X104" i="155" s="1"/>
  <c r="G300" i="144"/>
  <c r="L102" i="155" s="1"/>
  <c r="G302" i="144"/>
  <c r="L104" i="155" s="1"/>
  <c r="X298" i="144"/>
  <c r="X300" i="144" s="1"/>
  <c r="AC102" i="155" s="1"/>
  <c r="X285" i="144"/>
  <c r="AD17" i="155" s="1"/>
  <c r="AD298" i="144"/>
  <c r="AD285" i="144"/>
  <c r="AJ17" i="155" s="1"/>
  <c r="V296" i="144"/>
  <c r="V284" i="144"/>
  <c r="AB16" i="155" s="1"/>
  <c r="AF302" i="144"/>
  <c r="AK104" i="155" s="1"/>
  <c r="AK113" i="155"/>
  <c r="G303" i="144"/>
  <c r="L105" i="155" s="1"/>
  <c r="N302" i="144"/>
  <c r="S104" i="155" s="1"/>
  <c r="E300" i="144"/>
  <c r="J102" i="155" s="1"/>
  <c r="J113" i="155"/>
  <c r="N300" i="144"/>
  <c r="S102" i="155" s="1"/>
  <c r="U298" i="144"/>
  <c r="Z113" i="155" s="1"/>
  <c r="U285" i="144"/>
  <c r="AA17" i="155" s="1"/>
  <c r="R301" i="144"/>
  <c r="W103" i="155" s="1"/>
  <c r="I302" i="144"/>
  <c r="N104" i="155" s="1"/>
  <c r="N303" i="144"/>
  <c r="S105" i="155" s="1"/>
  <c r="AF283" i="144"/>
  <c r="AL15" i="155" s="1"/>
  <c r="W113" i="155"/>
  <c r="F296" i="144"/>
  <c r="F284" i="144"/>
  <c r="L16" i="155" s="1"/>
  <c r="N113" i="155"/>
  <c r="S113" i="155"/>
  <c r="AD283" i="144"/>
  <c r="AJ15" i="155" s="1"/>
  <c r="G301" i="144"/>
  <c r="L103" i="155" s="1"/>
  <c r="R300" i="144"/>
  <c r="W102" i="155" s="1"/>
  <c r="W300" i="144"/>
  <c r="AB102" i="155" s="1"/>
  <c r="AB113" i="155"/>
  <c r="AD296" i="144"/>
  <c r="AD284" i="144"/>
  <c r="AJ16" i="155" s="1"/>
  <c r="I303" i="144"/>
  <c r="N105" i="155" s="1"/>
  <c r="R302" i="144"/>
  <c r="W104" i="155" s="1"/>
  <c r="L113" i="155"/>
  <c r="W301" i="144"/>
  <c r="AB103" i="155" s="1"/>
  <c r="E302" i="144"/>
  <c r="J104" i="155" s="1"/>
  <c r="AF301" i="144"/>
  <c r="AK103" i="155" s="1"/>
  <c r="V295" i="144"/>
  <c r="F295" i="144"/>
  <c r="AF303" i="144"/>
  <c r="AK105" i="155" s="1"/>
  <c r="O300" i="144"/>
  <c r="T102" i="155" s="1"/>
  <c r="O302" i="144"/>
  <c r="T104" i="155" s="1"/>
  <c r="O301" i="144"/>
  <c r="T103" i="155" s="1"/>
  <c r="I300" i="144"/>
  <c r="N102" i="155" s="1"/>
  <c r="W303" i="144"/>
  <c r="AB105" i="155" s="1"/>
  <c r="E301" i="144"/>
  <c r="J103" i="155" s="1"/>
  <c r="E303" i="144"/>
  <c r="J105" i="155" s="1"/>
  <c r="AF300" i="144"/>
  <c r="AK102" i="155" s="1"/>
  <c r="W302" i="144"/>
  <c r="AB104" i="155" s="1"/>
  <c r="P292" i="144" l="1"/>
  <c r="V24" i="155" s="1"/>
  <c r="P295" i="144"/>
  <c r="U300" i="144"/>
  <c r="Z102" i="155" s="1"/>
  <c r="X303" i="144"/>
  <c r="AC105" i="155" s="1"/>
  <c r="X301" i="144"/>
  <c r="AC103" i="155" s="1"/>
  <c r="AD300" i="144"/>
  <c r="AI102" i="155" s="1"/>
  <c r="U302" i="144"/>
  <c r="Z104" i="155" s="1"/>
  <c r="U303" i="144"/>
  <c r="Z105" i="155" s="1"/>
  <c r="X302" i="144"/>
  <c r="AC104" i="155" s="1"/>
  <c r="U301" i="144"/>
  <c r="Z103" i="155" s="1"/>
  <c r="AC113" i="155"/>
  <c r="AD301" i="144"/>
  <c r="AI103" i="155" s="1"/>
  <c r="V301" i="144"/>
  <c r="AA103" i="155" s="1"/>
  <c r="AA113" i="155"/>
  <c r="AI113" i="155"/>
  <c r="AD302" i="144"/>
  <c r="AI104" i="155" s="1"/>
  <c r="AD303" i="144"/>
  <c r="AI105" i="155" s="1"/>
  <c r="F301" i="144"/>
  <c r="K103" i="155" s="1"/>
  <c r="K113" i="155"/>
  <c r="F300" i="144"/>
  <c r="K102" i="155" s="1"/>
  <c r="F302" i="144"/>
  <c r="K104" i="155" s="1"/>
  <c r="F303" i="144"/>
  <c r="K105" i="155" s="1"/>
  <c r="V300" i="144"/>
  <c r="AA102" i="155" s="1"/>
  <c r="V302" i="144"/>
  <c r="AA104" i="155" s="1"/>
  <c r="V303" i="144"/>
  <c r="AA105" i="155" s="1"/>
  <c r="P300" i="144" l="1"/>
  <c r="U102" i="155" s="1"/>
  <c r="P303" i="144"/>
  <c r="U105" i="155" s="1"/>
  <c r="U113" i="155"/>
  <c r="P301" i="144"/>
  <c r="U103" i="155" s="1"/>
  <c r="P302" i="144"/>
  <c r="U104" i="155" s="1"/>
  <c r="B89" i="155"/>
  <c r="E408" i="165" l="1"/>
  <c r="J24" i="164" s="1"/>
  <c r="K24" i="164" s="1"/>
  <c r="L24" i="164" s="1"/>
  <c r="M24" i="164" s="1"/>
  <c r="N24" i="164" s="1"/>
  <c r="O24" i="164" s="1"/>
  <c r="P24" i="164" s="1"/>
  <c r="Q24" i="164" s="1"/>
  <c r="R24" i="164" s="1"/>
  <c r="S24" i="164" s="1"/>
  <c r="T24" i="164" s="1"/>
  <c r="U24" i="164" s="1"/>
  <c r="V24" i="164" s="1"/>
  <c r="W24" i="164" s="1"/>
  <c r="X24" i="164" s="1"/>
  <c r="Y24" i="164" s="1"/>
  <c r="Z24" i="164" s="1"/>
  <c r="AA24" i="164" s="1"/>
  <c r="AB24" i="164" s="1"/>
  <c r="AC24" i="164" s="1"/>
  <c r="AD24" i="164" s="1"/>
  <c r="AE24" i="164" s="1"/>
  <c r="AF24" i="164" s="1"/>
  <c r="AG24" i="164" s="1"/>
  <c r="AH24" i="164" s="1"/>
  <c r="AI24" i="164" s="1"/>
  <c r="AJ24" i="164" s="1"/>
  <c r="AK24" i="164" s="1"/>
  <c r="E410" i="165"/>
  <c r="J26" i="164" s="1"/>
  <c r="K26" i="164" s="1"/>
  <c r="L26" i="164" s="1"/>
  <c r="M26" i="164" s="1"/>
  <c r="N26" i="164" s="1"/>
  <c r="O26" i="164" s="1"/>
  <c r="P26" i="164" s="1"/>
  <c r="Q26" i="164" s="1"/>
  <c r="R26" i="164" s="1"/>
  <c r="S26" i="164" s="1"/>
  <c r="T26" i="164" s="1"/>
  <c r="U26" i="164" s="1"/>
  <c r="V26" i="164" s="1"/>
  <c r="W26" i="164" s="1"/>
  <c r="X26" i="164" s="1"/>
  <c r="Y26" i="164" s="1"/>
  <c r="Z26" i="164" s="1"/>
  <c r="AA26" i="164" s="1"/>
  <c r="AB26" i="164" s="1"/>
  <c r="AC26" i="164" s="1"/>
  <c r="AD26" i="164" s="1"/>
  <c r="AE26" i="164" s="1"/>
  <c r="AF26" i="164" s="1"/>
  <c r="AG26" i="164" s="1"/>
  <c r="AH26" i="164" s="1"/>
  <c r="AI26" i="164" s="1"/>
  <c r="AJ26" i="164" s="1"/>
  <c r="AK26" i="164" s="1"/>
  <c r="I410" i="165" l="1"/>
  <c r="J54" i="164" s="1"/>
  <c r="K54" i="164" s="1"/>
  <c r="L54" i="164" s="1"/>
  <c r="M54" i="164" s="1"/>
  <c r="N54" i="164" s="1"/>
  <c r="O54" i="164" s="1"/>
  <c r="P54" i="164" s="1"/>
  <c r="Q54" i="164" s="1"/>
  <c r="R54" i="164" s="1"/>
  <c r="S54" i="164" s="1"/>
  <c r="T54" i="164" s="1"/>
  <c r="U54" i="164" s="1"/>
  <c r="V54" i="164" s="1"/>
  <c r="W54" i="164" s="1"/>
  <c r="X54" i="164" s="1"/>
  <c r="Y54" i="164" s="1"/>
  <c r="Z54" i="164" s="1"/>
  <c r="AA54" i="164" s="1"/>
  <c r="AB54" i="164" s="1"/>
  <c r="AC54" i="164" s="1"/>
  <c r="AD54" i="164" s="1"/>
  <c r="AE54" i="164" s="1"/>
  <c r="AF54" i="164" s="1"/>
  <c r="AG54" i="164" s="1"/>
  <c r="AH54" i="164" s="1"/>
  <c r="AI54" i="164" s="1"/>
  <c r="AJ54" i="164" s="1"/>
  <c r="AK54" i="164" s="1"/>
  <c r="I409" i="165"/>
  <c r="J53" i="164" s="1"/>
  <c r="K53" i="164" s="1"/>
  <c r="L53" i="164" s="1"/>
  <c r="M53" i="164" s="1"/>
  <c r="N53" i="164" s="1"/>
  <c r="O53" i="164" s="1"/>
  <c r="P53" i="164" s="1"/>
  <c r="Q53" i="164" s="1"/>
  <c r="R53" i="164" s="1"/>
  <c r="S53" i="164" s="1"/>
  <c r="T53" i="164" s="1"/>
  <c r="U53" i="164" s="1"/>
  <c r="V53" i="164" s="1"/>
  <c r="W53" i="164" s="1"/>
  <c r="X53" i="164" s="1"/>
  <c r="Y53" i="164" s="1"/>
  <c r="Z53" i="164" s="1"/>
  <c r="AA53" i="164" s="1"/>
  <c r="AB53" i="164" s="1"/>
  <c r="AC53" i="164" s="1"/>
  <c r="AD53" i="164" s="1"/>
  <c r="AE53" i="164" s="1"/>
  <c r="AF53" i="164" s="1"/>
  <c r="AG53" i="164" s="1"/>
  <c r="AH53" i="164" s="1"/>
  <c r="AI53" i="164" s="1"/>
  <c r="AJ53" i="164" s="1"/>
  <c r="AK53" i="164" s="1"/>
  <c r="D409" i="165"/>
  <c r="J18" i="164" s="1"/>
  <c r="K18" i="164" s="1"/>
  <c r="L18" i="164" s="1"/>
  <c r="M18" i="164" s="1"/>
  <c r="N18" i="164" s="1"/>
  <c r="O18" i="164" s="1"/>
  <c r="P18" i="164" s="1"/>
  <c r="Q18" i="164" s="1"/>
  <c r="R18" i="164" s="1"/>
  <c r="S18" i="164" s="1"/>
  <c r="T18" i="164" s="1"/>
  <c r="U18" i="164" s="1"/>
  <c r="V18" i="164" s="1"/>
  <c r="W18" i="164" s="1"/>
  <c r="X18" i="164" s="1"/>
  <c r="Y18" i="164" s="1"/>
  <c r="Z18" i="164" s="1"/>
  <c r="AA18" i="164" s="1"/>
  <c r="AB18" i="164" s="1"/>
  <c r="AC18" i="164" s="1"/>
  <c r="AD18" i="164" s="1"/>
  <c r="AE18" i="164" s="1"/>
  <c r="AF18" i="164" s="1"/>
  <c r="AG18" i="164" s="1"/>
  <c r="AH18" i="164" s="1"/>
  <c r="AI18" i="164" s="1"/>
  <c r="AJ18" i="164" s="1"/>
  <c r="AK18" i="164" s="1"/>
  <c r="G409" i="165"/>
  <c r="J40" i="164" s="1"/>
  <c r="K40" i="164" s="1"/>
  <c r="L40" i="164" s="1"/>
  <c r="M40" i="164" s="1"/>
  <c r="N40" i="164" s="1"/>
  <c r="O40" i="164" s="1"/>
  <c r="P40" i="164" s="1"/>
  <c r="Q40" i="164" s="1"/>
  <c r="R40" i="164" s="1"/>
  <c r="S40" i="164" s="1"/>
  <c r="T40" i="164" s="1"/>
  <c r="U40" i="164" s="1"/>
  <c r="V40" i="164" s="1"/>
  <c r="W40" i="164" s="1"/>
  <c r="X40" i="164" s="1"/>
  <c r="Y40" i="164" s="1"/>
  <c r="Z40" i="164" s="1"/>
  <c r="AA40" i="164" s="1"/>
  <c r="AB40" i="164" s="1"/>
  <c r="AC40" i="164" s="1"/>
  <c r="AD40" i="164" s="1"/>
  <c r="AE40" i="164" s="1"/>
  <c r="AF40" i="164" s="1"/>
  <c r="AG40" i="164" s="1"/>
  <c r="AH40" i="164" s="1"/>
  <c r="AI40" i="164" s="1"/>
  <c r="AJ40" i="164" s="1"/>
  <c r="AK40" i="164" s="1"/>
  <c r="G410" i="165"/>
  <c r="J41" i="164" s="1"/>
  <c r="K41" i="164" s="1"/>
  <c r="L41" i="164" s="1"/>
  <c r="M41" i="164" s="1"/>
  <c r="N41" i="164" s="1"/>
  <c r="O41" i="164" s="1"/>
  <c r="P41" i="164" s="1"/>
  <c r="Q41" i="164" s="1"/>
  <c r="R41" i="164" s="1"/>
  <c r="S41" i="164" s="1"/>
  <c r="T41" i="164" s="1"/>
  <c r="U41" i="164" s="1"/>
  <c r="V41" i="164" s="1"/>
  <c r="W41" i="164" s="1"/>
  <c r="X41" i="164" s="1"/>
  <c r="Y41" i="164" s="1"/>
  <c r="Z41" i="164" s="1"/>
  <c r="AA41" i="164" s="1"/>
  <c r="AB41" i="164" s="1"/>
  <c r="AC41" i="164" s="1"/>
  <c r="AD41" i="164" s="1"/>
  <c r="AE41" i="164" s="1"/>
  <c r="AF41" i="164" s="1"/>
  <c r="AG41" i="164" s="1"/>
  <c r="AH41" i="164" s="1"/>
  <c r="AI41" i="164" s="1"/>
  <c r="AJ41" i="164" s="1"/>
  <c r="AK41" i="164" s="1"/>
  <c r="D410" i="165"/>
  <c r="J19" i="164" s="1"/>
  <c r="K19" i="164" s="1"/>
  <c r="L19" i="164" s="1"/>
  <c r="M19" i="164" s="1"/>
  <c r="N19" i="164" s="1"/>
  <c r="O19" i="164" s="1"/>
  <c r="P19" i="164" s="1"/>
  <c r="Q19" i="164" s="1"/>
  <c r="R19" i="164" s="1"/>
  <c r="S19" i="164" s="1"/>
  <c r="T19" i="164" s="1"/>
  <c r="U19" i="164" s="1"/>
  <c r="V19" i="164" s="1"/>
  <c r="W19" i="164" s="1"/>
  <c r="X19" i="164" s="1"/>
  <c r="Y19" i="164" s="1"/>
  <c r="Z19" i="164" s="1"/>
  <c r="AA19" i="164" s="1"/>
  <c r="AB19" i="164" s="1"/>
  <c r="AC19" i="164" s="1"/>
  <c r="AD19" i="164" s="1"/>
  <c r="AE19" i="164" s="1"/>
  <c r="AF19" i="164" s="1"/>
  <c r="AG19" i="164" s="1"/>
  <c r="AH19" i="164" s="1"/>
  <c r="AI19" i="164" s="1"/>
  <c r="AJ19" i="164" s="1"/>
  <c r="AK19" i="164" s="1"/>
  <c r="H408" i="165"/>
  <c r="J45" i="164" s="1"/>
  <c r="K45" i="164" s="1"/>
  <c r="L45" i="164" s="1"/>
  <c r="M45" i="164" s="1"/>
  <c r="N45" i="164" s="1"/>
  <c r="O45" i="164" s="1"/>
  <c r="P45" i="164" s="1"/>
  <c r="Q45" i="164" s="1"/>
  <c r="R45" i="164" s="1"/>
  <c r="S45" i="164" s="1"/>
  <c r="T45" i="164" s="1"/>
  <c r="U45" i="164" s="1"/>
  <c r="V45" i="164" s="1"/>
  <c r="W45" i="164" s="1"/>
  <c r="X45" i="164" s="1"/>
  <c r="Y45" i="164" s="1"/>
  <c r="Z45" i="164" s="1"/>
  <c r="AA45" i="164" s="1"/>
  <c r="AB45" i="164" s="1"/>
  <c r="AC45" i="164" s="1"/>
  <c r="AD45" i="164" s="1"/>
  <c r="AE45" i="164" s="1"/>
  <c r="AF45" i="164" s="1"/>
  <c r="AG45" i="164" s="1"/>
  <c r="AH45" i="164" s="1"/>
  <c r="AI45" i="164" s="1"/>
  <c r="AJ45" i="164" s="1"/>
  <c r="AK45" i="164" s="1"/>
  <c r="C408" i="165"/>
  <c r="J10" i="164" s="1"/>
  <c r="K10" i="164" s="1"/>
  <c r="L10" i="164" s="1"/>
  <c r="M10" i="164" s="1"/>
  <c r="N10" i="164" s="1"/>
  <c r="O10" i="164" s="1"/>
  <c r="P10" i="164" s="1"/>
  <c r="Q10" i="164" s="1"/>
  <c r="R10" i="164" s="1"/>
  <c r="S10" i="164" s="1"/>
  <c r="T10" i="164" s="1"/>
  <c r="U10" i="164" s="1"/>
  <c r="V10" i="164" s="1"/>
  <c r="W10" i="164" s="1"/>
  <c r="X10" i="164" s="1"/>
  <c r="Y10" i="164" s="1"/>
  <c r="Z10" i="164" s="1"/>
  <c r="AA10" i="164" s="1"/>
  <c r="AB10" i="164" s="1"/>
  <c r="AC10" i="164" s="1"/>
  <c r="AD10" i="164" s="1"/>
  <c r="AE10" i="164" s="1"/>
  <c r="AF10" i="164" s="1"/>
  <c r="AG10" i="164" s="1"/>
  <c r="AH10" i="164" s="1"/>
  <c r="AI10" i="164" s="1"/>
  <c r="AJ10" i="164" s="1"/>
  <c r="AK10" i="164" s="1"/>
  <c r="F408" i="165"/>
  <c r="J31" i="164" s="1"/>
  <c r="K31" i="164" s="1"/>
  <c r="L31" i="164" s="1"/>
  <c r="M31" i="164" s="1"/>
  <c r="N31" i="164" s="1"/>
  <c r="O31" i="164" s="1"/>
  <c r="P31" i="164" s="1"/>
  <c r="Q31" i="164" s="1"/>
  <c r="R31" i="164" s="1"/>
  <c r="S31" i="164" s="1"/>
  <c r="T31" i="164" s="1"/>
  <c r="U31" i="164" s="1"/>
  <c r="V31" i="164" s="1"/>
  <c r="W31" i="164" s="1"/>
  <c r="X31" i="164" s="1"/>
  <c r="Y31" i="164" s="1"/>
  <c r="Z31" i="164" s="1"/>
  <c r="AA31" i="164" s="1"/>
  <c r="AB31" i="164" s="1"/>
  <c r="AC31" i="164" s="1"/>
  <c r="AD31" i="164" s="1"/>
  <c r="AE31" i="164" s="1"/>
  <c r="AF31" i="164" s="1"/>
  <c r="AG31" i="164" s="1"/>
  <c r="AH31" i="164" s="1"/>
  <c r="AI31" i="164" s="1"/>
  <c r="AJ31" i="164" s="1"/>
  <c r="AK31" i="164" s="1"/>
  <c r="F409" i="165"/>
  <c r="J32" i="164" s="1"/>
  <c r="K32" i="164" s="1"/>
  <c r="L32" i="164" s="1"/>
  <c r="M32" i="164" s="1"/>
  <c r="N32" i="164" s="1"/>
  <c r="O32" i="164" s="1"/>
  <c r="P32" i="164" s="1"/>
  <c r="Q32" i="164" s="1"/>
  <c r="R32" i="164" s="1"/>
  <c r="S32" i="164" s="1"/>
  <c r="T32" i="164" s="1"/>
  <c r="U32" i="164" s="1"/>
  <c r="V32" i="164" s="1"/>
  <c r="W32" i="164" s="1"/>
  <c r="X32" i="164" s="1"/>
  <c r="Y32" i="164" s="1"/>
  <c r="Z32" i="164" s="1"/>
  <c r="AA32" i="164" s="1"/>
  <c r="AB32" i="164" s="1"/>
  <c r="AC32" i="164" s="1"/>
  <c r="AD32" i="164" s="1"/>
  <c r="AE32" i="164" s="1"/>
  <c r="AF32" i="164" s="1"/>
  <c r="AG32" i="164" s="1"/>
  <c r="AH32" i="164" s="1"/>
  <c r="AI32" i="164" s="1"/>
  <c r="AJ32" i="164" s="1"/>
  <c r="AK32" i="164" s="1"/>
  <c r="H409" i="165"/>
  <c r="J46" i="164" s="1"/>
  <c r="K46" i="164" s="1"/>
  <c r="L46" i="164" s="1"/>
  <c r="M46" i="164" s="1"/>
  <c r="N46" i="164" s="1"/>
  <c r="O46" i="164" s="1"/>
  <c r="P46" i="164" s="1"/>
  <c r="Q46" i="164" s="1"/>
  <c r="R46" i="164" s="1"/>
  <c r="S46" i="164" s="1"/>
  <c r="T46" i="164" s="1"/>
  <c r="U46" i="164" s="1"/>
  <c r="V46" i="164" s="1"/>
  <c r="W46" i="164" s="1"/>
  <c r="X46" i="164" s="1"/>
  <c r="Y46" i="164" s="1"/>
  <c r="Z46" i="164" s="1"/>
  <c r="AA46" i="164" s="1"/>
  <c r="AB46" i="164" s="1"/>
  <c r="AC46" i="164" s="1"/>
  <c r="AD46" i="164" s="1"/>
  <c r="AE46" i="164" s="1"/>
  <c r="AF46" i="164" s="1"/>
  <c r="AG46" i="164" s="1"/>
  <c r="AH46" i="164" s="1"/>
  <c r="AI46" i="164" s="1"/>
  <c r="AJ46" i="164" s="1"/>
  <c r="AK46" i="164" s="1"/>
  <c r="C409" i="165"/>
  <c r="J11" i="164" s="1"/>
  <c r="K11" i="164" s="1"/>
  <c r="L11" i="164" s="1"/>
  <c r="M11" i="164" s="1"/>
  <c r="N11" i="164" s="1"/>
  <c r="O11" i="164" s="1"/>
  <c r="P11" i="164" s="1"/>
  <c r="Q11" i="164" s="1"/>
  <c r="R11" i="164" s="1"/>
  <c r="S11" i="164" s="1"/>
  <c r="T11" i="164" s="1"/>
  <c r="U11" i="164" s="1"/>
  <c r="V11" i="164" s="1"/>
  <c r="W11" i="164" s="1"/>
  <c r="X11" i="164" s="1"/>
  <c r="Y11" i="164" s="1"/>
  <c r="Z11" i="164" s="1"/>
  <c r="AA11" i="164" s="1"/>
  <c r="AB11" i="164" s="1"/>
  <c r="AC11" i="164" s="1"/>
  <c r="AD11" i="164" s="1"/>
  <c r="AE11" i="164" s="1"/>
  <c r="AF11" i="164" s="1"/>
  <c r="AG11" i="164" s="1"/>
  <c r="AH11" i="164" s="1"/>
  <c r="AI11" i="164" s="1"/>
  <c r="AJ11" i="164" s="1"/>
  <c r="AK11" i="164" s="1"/>
  <c r="C410" i="165"/>
  <c r="J12" i="164" s="1"/>
  <c r="K12" i="164" s="1"/>
  <c r="L12" i="164" s="1"/>
  <c r="M12" i="164" s="1"/>
  <c r="N12" i="164" s="1"/>
  <c r="O12" i="164" s="1"/>
  <c r="P12" i="164" s="1"/>
  <c r="Q12" i="164" s="1"/>
  <c r="R12" i="164" s="1"/>
  <c r="S12" i="164" s="1"/>
  <c r="T12" i="164" s="1"/>
  <c r="U12" i="164" s="1"/>
  <c r="V12" i="164" s="1"/>
  <c r="W12" i="164" s="1"/>
  <c r="X12" i="164" s="1"/>
  <c r="Y12" i="164" s="1"/>
  <c r="Z12" i="164" s="1"/>
  <c r="AA12" i="164" s="1"/>
  <c r="AB12" i="164" s="1"/>
  <c r="AC12" i="164" s="1"/>
  <c r="AD12" i="164" s="1"/>
  <c r="AE12" i="164" s="1"/>
  <c r="AF12" i="164" s="1"/>
  <c r="AG12" i="164" s="1"/>
  <c r="AH12" i="164" s="1"/>
  <c r="AI12" i="164" s="1"/>
  <c r="AJ12" i="164" s="1"/>
  <c r="AK12" i="164" s="1"/>
  <c r="H410" i="165"/>
  <c r="J47" i="164" s="1"/>
  <c r="K47" i="164" s="1"/>
  <c r="L47" i="164" s="1"/>
  <c r="M47" i="164" s="1"/>
  <c r="N47" i="164" s="1"/>
  <c r="O47" i="164" s="1"/>
  <c r="P47" i="164" s="1"/>
  <c r="Q47" i="164" s="1"/>
  <c r="R47" i="164" s="1"/>
  <c r="S47" i="164" s="1"/>
  <c r="T47" i="164" s="1"/>
  <c r="U47" i="164" s="1"/>
  <c r="V47" i="164" s="1"/>
  <c r="W47" i="164" s="1"/>
  <c r="X47" i="164" s="1"/>
  <c r="Y47" i="164" s="1"/>
  <c r="Z47" i="164" s="1"/>
  <c r="AA47" i="164" s="1"/>
  <c r="AB47" i="164" s="1"/>
  <c r="AC47" i="164" s="1"/>
  <c r="AD47" i="164" s="1"/>
  <c r="AE47" i="164" s="1"/>
  <c r="AF47" i="164" s="1"/>
  <c r="AG47" i="164" s="1"/>
  <c r="AH47" i="164" s="1"/>
  <c r="AI47" i="164" s="1"/>
  <c r="AJ47" i="164" s="1"/>
  <c r="AK47" i="164" s="1"/>
  <c r="F410" i="165"/>
  <c r="J33" i="164" s="1"/>
  <c r="K33" i="164" s="1"/>
  <c r="L33" i="164" s="1"/>
  <c r="M33" i="164" s="1"/>
  <c r="N33" i="164" s="1"/>
  <c r="O33" i="164" s="1"/>
  <c r="P33" i="164" s="1"/>
  <c r="Q33" i="164" s="1"/>
  <c r="R33" i="164" s="1"/>
  <c r="S33" i="164" s="1"/>
  <c r="T33" i="164" s="1"/>
  <c r="U33" i="164" s="1"/>
  <c r="V33" i="164" s="1"/>
  <c r="W33" i="164" s="1"/>
  <c r="X33" i="164" s="1"/>
  <c r="Y33" i="164" s="1"/>
  <c r="Z33" i="164" s="1"/>
  <c r="AA33" i="164" s="1"/>
  <c r="AB33" i="164" s="1"/>
  <c r="AC33" i="164" s="1"/>
  <c r="AD33" i="164" s="1"/>
  <c r="AE33" i="164" s="1"/>
  <c r="AF33" i="164" s="1"/>
  <c r="AG33" i="164" s="1"/>
  <c r="AH33" i="164" s="1"/>
  <c r="AI33" i="164" s="1"/>
  <c r="AJ33" i="164" s="1"/>
  <c r="AK33" i="164" s="1"/>
  <c r="E409" i="165"/>
  <c r="J25" i="164" s="1"/>
  <c r="K25" i="164" s="1"/>
  <c r="L25" i="164" s="1"/>
  <c r="M25" i="164" s="1"/>
  <c r="N25" i="164" s="1"/>
  <c r="O25" i="164" s="1"/>
  <c r="P25" i="164" s="1"/>
  <c r="Q25" i="164" s="1"/>
  <c r="R25" i="164" s="1"/>
  <c r="S25" i="164" s="1"/>
  <c r="T25" i="164" s="1"/>
  <c r="U25" i="164" s="1"/>
  <c r="V25" i="164" s="1"/>
  <c r="W25" i="164" s="1"/>
  <c r="X25" i="164" s="1"/>
  <c r="Y25" i="164" s="1"/>
  <c r="Z25" i="164" s="1"/>
  <c r="AA25" i="164" s="1"/>
  <c r="AB25" i="164" s="1"/>
  <c r="AC25" i="164" s="1"/>
  <c r="AD25" i="164" s="1"/>
  <c r="AE25" i="164" s="1"/>
  <c r="AF25" i="164" s="1"/>
  <c r="AG25" i="164" s="1"/>
  <c r="AH25" i="164" s="1"/>
  <c r="AI25" i="164" s="1"/>
  <c r="AJ25" i="164" s="1"/>
  <c r="AK25" i="164" s="1"/>
  <c r="I408" i="165"/>
  <c r="J52" i="164" s="1"/>
  <c r="K52" i="164" s="1"/>
  <c r="L52" i="164" s="1"/>
  <c r="M52" i="164" s="1"/>
  <c r="N52" i="164" s="1"/>
  <c r="O52" i="164" s="1"/>
  <c r="P52" i="164" s="1"/>
  <c r="Q52" i="164" s="1"/>
  <c r="R52" i="164" s="1"/>
  <c r="S52" i="164" s="1"/>
  <c r="T52" i="164" s="1"/>
  <c r="U52" i="164" s="1"/>
  <c r="V52" i="164" s="1"/>
  <c r="W52" i="164" s="1"/>
  <c r="X52" i="164" s="1"/>
  <c r="Y52" i="164" s="1"/>
  <c r="Z52" i="164" s="1"/>
  <c r="AA52" i="164" s="1"/>
  <c r="AB52" i="164" s="1"/>
  <c r="AC52" i="164" s="1"/>
  <c r="AD52" i="164" s="1"/>
  <c r="AE52" i="164" s="1"/>
  <c r="AF52" i="164" s="1"/>
  <c r="AG52" i="164" s="1"/>
  <c r="AH52" i="164" s="1"/>
  <c r="AI52" i="164" s="1"/>
  <c r="AJ52" i="164" s="1"/>
  <c r="AK52" i="164" s="1"/>
  <c r="D408" i="165"/>
  <c r="J17" i="164" s="1"/>
  <c r="K17" i="164" s="1"/>
  <c r="L17" i="164" s="1"/>
  <c r="M17" i="164" s="1"/>
  <c r="N17" i="164" s="1"/>
  <c r="O17" i="164" s="1"/>
  <c r="P17" i="164" s="1"/>
  <c r="Q17" i="164" s="1"/>
  <c r="R17" i="164" s="1"/>
  <c r="S17" i="164" s="1"/>
  <c r="T17" i="164" s="1"/>
  <c r="U17" i="164" s="1"/>
  <c r="V17" i="164" s="1"/>
  <c r="W17" i="164" s="1"/>
  <c r="X17" i="164" s="1"/>
  <c r="Y17" i="164" s="1"/>
  <c r="Z17" i="164" s="1"/>
  <c r="AA17" i="164" s="1"/>
  <c r="AB17" i="164" s="1"/>
  <c r="AC17" i="164" s="1"/>
  <c r="AD17" i="164" s="1"/>
  <c r="AE17" i="164" s="1"/>
  <c r="AF17" i="164" s="1"/>
  <c r="AG17" i="164" s="1"/>
  <c r="AH17" i="164" s="1"/>
  <c r="AI17" i="164" s="1"/>
  <c r="AJ17" i="164" s="1"/>
  <c r="AK17" i="164" s="1"/>
  <c r="G408" i="165"/>
  <c r="J39" i="164" s="1"/>
  <c r="K39" i="164" s="1"/>
  <c r="L39" i="164" s="1"/>
  <c r="M39" i="164" s="1"/>
  <c r="N39" i="164" s="1"/>
  <c r="O39" i="164" s="1"/>
  <c r="P39" i="164" s="1"/>
  <c r="Q39" i="164" s="1"/>
  <c r="R39" i="164" s="1"/>
  <c r="S39" i="164" s="1"/>
  <c r="T39" i="164" s="1"/>
  <c r="U39" i="164" s="1"/>
  <c r="V39" i="164" s="1"/>
  <c r="W39" i="164" s="1"/>
  <c r="X39" i="164" s="1"/>
  <c r="Y39" i="164" s="1"/>
  <c r="Z39" i="164" s="1"/>
  <c r="AA39" i="164" s="1"/>
  <c r="AB39" i="164" s="1"/>
  <c r="AC39" i="164" s="1"/>
  <c r="AD39" i="164" s="1"/>
  <c r="AE39" i="164" s="1"/>
  <c r="AF39" i="164" s="1"/>
  <c r="AG39" i="164" s="1"/>
  <c r="AH39" i="164" s="1"/>
  <c r="AI39" i="164" s="1"/>
  <c r="AJ39" i="164" s="1"/>
  <c r="AK39" i="164" s="1"/>
  <c r="AI85" i="144"/>
  <c r="AI83" i="144"/>
  <c r="AI93" i="144"/>
  <c r="AI88" i="144"/>
  <c r="AI90" i="144"/>
  <c r="AI95" i="144"/>
  <c r="AI87" i="144"/>
  <c r="AI92" i="144"/>
  <c r="AI94" i="144"/>
  <c r="AI86" i="144"/>
  <c r="AI84" i="144"/>
  <c r="AI81" i="144"/>
  <c r="AI91" i="144"/>
  <c r="Y97" i="144"/>
  <c r="AI82" i="144"/>
  <c r="AI89" i="144"/>
  <c r="Y107" i="144"/>
  <c r="Y168" i="144"/>
  <c r="Y312" i="144"/>
  <c r="Y356" i="149" s="1"/>
  <c r="Y415" i="149" s="1"/>
  <c r="Y457" i="149" s="1"/>
  <c r="Y470" i="149" s="1"/>
  <c r="Y471" i="149" s="1"/>
  <c r="Y242" i="144" l="1"/>
  <c r="Y181" i="144"/>
  <c r="Y125" i="144"/>
  <c r="Y144" i="144"/>
  <c r="AD93" i="155"/>
  <c r="Y247" i="144"/>
  <c r="Y274" i="144"/>
  <c r="AD92" i="155"/>
  <c r="Y156" i="144"/>
  <c r="AD53" i="155"/>
  <c r="Y180" i="144"/>
  <c r="Y119" i="144"/>
  <c r="AN51" i="155" l="1"/>
  <c r="AN52" i="155"/>
  <c r="AN60" i="155"/>
  <c r="AN63" i="155"/>
  <c r="AN54" i="155"/>
  <c r="AN58" i="155"/>
  <c r="AN59" i="155"/>
  <c r="AN55" i="155"/>
  <c r="AN50" i="155"/>
  <c r="AN56" i="155"/>
  <c r="AN62" i="155"/>
  <c r="AN49" i="155"/>
  <c r="AN57" i="155"/>
  <c r="AN61" i="155"/>
  <c r="AN53" i="155"/>
  <c r="Y137" i="144"/>
  <c r="AD36" i="155"/>
  <c r="Y296" i="144"/>
  <c r="Y291" i="144"/>
  <c r="AE23" i="155" s="1"/>
  <c r="AN40" i="155" l="1"/>
  <c r="AN43" i="155"/>
  <c r="AN36" i="155"/>
  <c r="Y303" i="144"/>
  <c r="AD105" i="155" s="1"/>
  <c r="Y300" i="144"/>
  <c r="AD102" i="155" s="1"/>
  <c r="Y301" i="144"/>
  <c r="AD103" i="155" s="1"/>
  <c r="AD113" i="155"/>
  <c r="Y302" i="144"/>
  <c r="AD104" i="155" s="1"/>
  <c r="AN35" i="155"/>
  <c r="AN32" i="155"/>
  <c r="AN45" i="155"/>
  <c r="AN34" i="155"/>
  <c r="AN38" i="155"/>
  <c r="AN44" i="155"/>
  <c r="AN41" i="155"/>
  <c r="AN46" i="155"/>
  <c r="AN33" i="155"/>
  <c r="AN42" i="155"/>
  <c r="AN37" i="155"/>
  <c r="AN39" i="1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DB28EB1A-1C7A-4306-BE02-8B009B3BB049}">
      <text>
        <r>
          <rPr>
            <b/>
            <sz val="9"/>
            <color indexed="81"/>
            <rFont val="Tahoma"/>
            <family val="2"/>
          </rPr>
          <t>Disclaimer:</t>
        </r>
        <r>
          <rPr>
            <sz val="9"/>
            <color indexed="81"/>
            <rFont val="Tahoma"/>
            <family val="2"/>
          </rPr>
          <t xml:space="preserve"> It is suggested to not modify the assumptions contained in this file unless you have a good reason and would you like to change the calibration of the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tc={1D86CE3C-FD18-4EB8-ADCB-4C1452264B67}</author>
  </authors>
  <commentList>
    <comment ref="AH82" authorId="0" shapeId="0" xr:uid="{B34FCCEE-B767-4E11-9FBA-F33D22D71263}">
      <text>
        <r>
          <rPr>
            <sz val="11"/>
            <color theme="1"/>
            <rFont val="Calibri"/>
            <family val="2"/>
            <scheme val="minor"/>
          </rPr>
          <t xml:space="preserve">  https://one.oecd.org/document/DSTI/SC(2024)3/FINAL/en/pdf</t>
        </r>
      </text>
    </comment>
    <comment ref="K85" authorId="0" shapeId="0" xr:uid="{0249EC2C-E7CB-4940-AD8A-9E17885C6101}">
      <text>
        <r>
          <rPr>
            <sz val="10"/>
            <color indexed="81"/>
            <rFont val="Tahoma"/>
            <family val="2"/>
          </rPr>
          <t>WSA suggest more BF-BOF than DRI; manually adjusted values</t>
        </r>
      </text>
    </comment>
    <comment ref="M165" authorId="0" shapeId="0" xr:uid="{51ECA912-A703-4483-854A-5B507D57E07D}">
      <text>
        <r>
          <rPr>
            <sz val="9"/>
            <color indexed="81"/>
            <rFont val="Tahoma"/>
            <family val="2"/>
          </rPr>
          <t>Energy missing for Brazil…...</t>
        </r>
      </text>
    </comment>
    <comment ref="M192" authorId="0" shapeId="0" xr:uid="{016CD6B8-59A7-408E-A9E9-07DF0B243AE8}">
      <text>
        <r>
          <rPr>
            <sz val="9"/>
            <color indexed="81"/>
            <rFont val="Tahoma"/>
            <family val="2"/>
          </rPr>
          <t>Added values based on median value of range</t>
        </r>
      </text>
    </comment>
    <comment ref="Y220" authorId="1" shapeId="0" xr:uid="{1D86CE3C-FD18-4EB8-ADCB-4C1452264B67}">
      <text>
        <t>[Threaded comment]
Your version of Excel allows you to read this threaded comment; however, any edits to it will get removed if the file is opened in a newer version of Excel. Learn more: https://go.microsoft.com/fwlink/?linkid=870924
Comment:
    Was 4.5*10-13, set to 0</t>
      </text>
    </comment>
    <comment ref="AD256" authorId="0" shapeId="0" xr:uid="{11F5C12A-5040-4EEB-9D26-46E661E359BD}">
      <text>
        <r>
          <rPr>
            <b/>
            <sz val="9"/>
            <color indexed="81"/>
            <rFont val="Tahoma"/>
            <family val="2"/>
          </rPr>
          <t>Author:</t>
        </r>
        <r>
          <rPr>
            <sz val="9"/>
            <color indexed="81"/>
            <rFont val="Tahoma"/>
            <family val="2"/>
          </rPr>
          <t xml:space="preserve">
Lower efficiency enabled due to open hearth production methods</t>
        </r>
      </text>
    </comment>
    <comment ref="C277" authorId="0" shapeId="0" xr:uid="{2901E0B0-2FF4-45AA-A709-EBA2E7873263}">
      <text>
        <r>
          <rPr>
            <sz val="9"/>
            <color indexed="81"/>
            <rFont val="Tahoma"/>
            <family val="2"/>
          </rPr>
          <t>For India, we use 85-90 %ile due to higher inefficiency plant https://www.globalefficiencyintel.com/steel-climate-impact-international-benchmarking-energy-co2-intensities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M8" authorId="0" shapeId="0" xr:uid="{73338BEF-9286-4015-9F91-A46116CF5DFE}">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AS8" authorId="0" shapeId="0" xr:uid="{8A47D88E-7637-4644-8D29-4DEF9F047F31}">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T8" authorId="0" shapeId="0" xr:uid="{82F62CE6-7704-42B8-824A-CC8D9662E4AE}">
      <text>
        <r>
          <rPr>
            <sz val="8"/>
            <color indexed="81"/>
            <rFont val="Tahoma"/>
            <family val="2"/>
          </rPr>
          <t xml:space="preserve">
Needed only when one wants to override the VEDA default assignment
</t>
        </r>
      </text>
    </comment>
    <comment ref="AU8" authorId="0" shapeId="0" xr:uid="{493A4D28-AE20-4101-8CF6-2DA92E7B0A0B}">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H9" authorId="0" shapeId="0" xr:uid="{FCF43CC7-C171-4DF6-8C03-8C20AEF09AAE}">
      <text>
        <r>
          <rPr>
            <sz val="11"/>
            <color theme="1"/>
            <rFont val="Calibri"/>
            <family val="2"/>
            <scheme val="minor"/>
          </rPr>
          <t>Capacity adjustment applied to these production numbers</t>
        </r>
      </text>
    </comment>
    <comment ref="H13" authorId="0" shapeId="0" xr:uid="{13793158-8691-448C-91BA-FBEA535CF1E9}">
      <text>
        <r>
          <rPr>
            <sz val="9"/>
            <color indexed="81"/>
            <rFont val="Tahoma"/>
            <family val="2"/>
          </rPr>
          <t>This could be improved based on GEM database and stock age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K10" authorId="0" shapeId="0" xr:uid="{41A1159C-68A8-44CC-ACD3-B8F3199D059E}">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AQ10" authorId="0" shapeId="0" xr:uid="{4C04067C-765B-44E8-9EF1-4CCB06010D84}">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R10" authorId="0" shapeId="0" xr:uid="{2F84C9D9-7391-47D9-A45B-521397B3EDBE}">
      <text>
        <r>
          <rPr>
            <sz val="8"/>
            <color indexed="81"/>
            <rFont val="Tahoma"/>
            <family val="2"/>
          </rPr>
          <t xml:space="preserve">
Needed only when one wants to override the VEDA default assignment
</t>
        </r>
      </text>
    </comment>
    <comment ref="AS10" authorId="0" shapeId="0" xr:uid="{608A85DF-ABDD-4C79-878F-7EB57B862095}">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7" authorId="0" shapeId="0" xr:uid="{B351292B-D701-4D26-BA78-D752988E5BA4}">
      <text>
        <r>
          <rPr>
            <sz val="9"/>
            <color indexed="81"/>
            <rFont val="Tahoma"/>
            <family val="2"/>
          </rPr>
          <t>Not all commodities in BY are included here; only those that are typically seen across regions</t>
        </r>
      </text>
    </comment>
    <comment ref="AK42" authorId="0" shapeId="0" xr:uid="{88D217CD-1A0A-4CDA-A90A-6BED9A89AA51}">
      <text>
        <r>
          <rPr>
            <sz val="9"/>
            <color indexed="81"/>
            <rFont val="Tahoma"/>
            <family val="2"/>
          </rPr>
          <t>Assumed value based on Pye et al 2022, with all other inputs proportionately reduced</t>
        </r>
      </text>
    </comment>
    <comment ref="AK48" authorId="0" shapeId="0" xr:uid="{9B74C0F3-4B62-4095-9F80-A2E430905545}">
      <text>
        <r>
          <rPr>
            <sz val="9"/>
            <color indexed="81"/>
            <rFont val="Tahoma"/>
            <family val="2"/>
          </rPr>
          <t>85% adjustment down in coal consumption, to represent new tech</t>
        </r>
      </text>
    </comment>
    <comment ref="AK52" authorId="0" shapeId="0" xr:uid="{E301FA41-D5AA-4C82-992A-D3E4ECF8B96B}">
      <text>
        <r>
          <rPr>
            <sz val="9"/>
            <color indexed="81"/>
            <rFont val="Tahoma"/>
            <family val="2"/>
          </rPr>
          <t>80% adjustment down in gas consumption, to represent new tech - and align with IEA (see Steel Costs)</t>
        </r>
      </text>
    </comment>
    <comment ref="AK56" authorId="0" shapeId="0" xr:uid="{2186D373-0342-40F3-B8DF-1E773A64797C}">
      <text>
        <r>
          <rPr>
            <sz val="9"/>
            <color indexed="81"/>
            <rFont val="Tahoma"/>
            <family val="2"/>
          </rPr>
          <t>Vogl et al 2018
50 kg H2 per tonne steel
1 kg = 34 KWh or 122 MJ
6.1 GJ per tonne
At 15% scrap, 2 MWh per tonne (see fig 2)
2MWh = 7.2 GJ (or 59 kg H2)
Note that this could be halved if scrap charge increased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4" authorId="0" shapeId="0" xr:uid="{1053D60D-839F-4202-84BB-2F38BC1EB820}">
      <text>
        <r>
          <rPr>
            <b/>
            <sz val="9"/>
            <color indexed="81"/>
            <rFont val="Tahoma"/>
            <family val="2"/>
          </rPr>
          <t>Author:</t>
        </r>
        <r>
          <rPr>
            <sz val="9"/>
            <color indexed="81"/>
            <rFont val="Tahoma"/>
            <family val="2"/>
          </rPr>
          <t xml:space="preserve">
Value provided equal to -0.055497873665586. Set to Zero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1" authorId="0" shapeId="0" xr:uid="{2C4CF3DE-755A-4208-8D2B-DF222B3441C7}">
      <text>
        <r>
          <rPr>
            <b/>
            <sz val="9"/>
            <color indexed="81"/>
            <rFont val="Tahoma"/>
            <family val="2"/>
          </rPr>
          <t>Author:</t>
        </r>
        <r>
          <rPr>
            <sz val="9"/>
            <color indexed="81"/>
            <rFont val="Tahoma"/>
            <family val="2"/>
          </rPr>
          <t xml:space="preserve">
Average EF of process emissions</t>
        </r>
      </text>
    </comment>
    <comment ref="N32" authorId="0" shapeId="0" xr:uid="{3D97D62E-AD79-4054-A0B2-C6C6F725BC79}">
      <text>
        <r>
          <rPr>
            <b/>
            <sz val="9"/>
            <color indexed="81"/>
            <rFont val="Tahoma"/>
            <family val="2"/>
          </rPr>
          <t>Author:</t>
        </r>
        <r>
          <rPr>
            <sz val="9"/>
            <color indexed="81"/>
            <rFont val="Tahoma"/>
            <family val="2"/>
          </rPr>
          <t xml:space="preserve">
Assume higher emission to bring cement / clinker ratio down</t>
        </r>
      </text>
    </comment>
    <comment ref="Z32" authorId="0" shapeId="0" xr:uid="{6B916647-F057-4058-B1B4-5274C0422256}">
      <text>
        <r>
          <rPr>
            <b/>
            <sz val="9"/>
            <color indexed="81"/>
            <rFont val="Tahoma"/>
            <family val="2"/>
          </rPr>
          <t>Author:</t>
        </r>
        <r>
          <rPr>
            <sz val="9"/>
            <color indexed="81"/>
            <rFont val="Tahoma"/>
            <family val="2"/>
          </rPr>
          <t xml:space="preserve">
Assume higher emission to bring cement / clinker ratio down</t>
        </r>
      </text>
    </comment>
    <comment ref="C49" authorId="0" shapeId="0" xr:uid="{3DD3B8AF-8C23-4F70-9B9B-515606E111CC}">
      <text>
        <r>
          <rPr>
            <sz val="9"/>
            <color indexed="81"/>
            <rFont val="Tahoma"/>
            <family val="2"/>
          </rPr>
          <t>Issue is we don't know utilisation of capacity. IEA see very low level of outputs from wet kilns (https://www.iea.org/data-and-statistics/charts/global-cement-production-by-technology-in-the-sustainable-development-scenario-2000-2070)</t>
        </r>
      </text>
    </comment>
    <comment ref="AC80" authorId="0" shapeId="0" xr:uid="{9D3D7D5C-BD73-4C96-B9F9-A9F39867F49F}">
      <text>
        <r>
          <rPr>
            <sz val="9"/>
            <color indexed="81"/>
            <rFont val="Tahoma"/>
            <family val="2"/>
          </rPr>
          <t>Adjustment made to allocate some of the cement production fuel to gas &amp; oil - not just to coal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8" authorId="0" shapeId="0" xr:uid="{F283AADA-6B4A-4CE0-8861-A09F51B04F8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Eventually we could remove the formula since this is an assumption actually</t>
        </r>
      </text>
    </comment>
    <comment ref="W384" authorId="0" shapeId="0" xr:uid="{E85B1768-237B-4229-BBAD-7DCDB0A349EC}">
      <text>
        <r>
          <rPr>
            <sz val="9"/>
            <color indexed="81"/>
            <rFont val="Tahoma"/>
            <family val="2"/>
          </rPr>
          <t>Use LAM region from GEO-TIMES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N8" authorId="0" shapeId="0" xr:uid="{4A999BE0-5367-4BE7-B4EB-1BBFBD87EDD7}">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AT8" authorId="0" shapeId="0" xr:uid="{0348EAF1-CB49-400E-9906-D49DB7D59189}">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U8" authorId="0" shapeId="0" xr:uid="{DC30BCC4-E47F-4447-A5FC-C9F215EF47A8}">
      <text>
        <r>
          <rPr>
            <sz val="8"/>
            <color indexed="81"/>
            <rFont val="Tahoma"/>
            <family val="2"/>
          </rPr>
          <t xml:space="preserve">
Needed only when one wants to override the VEDA default assignment
</t>
        </r>
      </text>
    </comment>
    <comment ref="AV8" authorId="0" shapeId="0" xr:uid="{572C2F5C-0298-497B-93FF-15E4B783CAB4}">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9" authorId="0" shapeId="0" xr:uid="{9D361F70-2AD3-495F-91F5-4441E0C7C877}">
      <text>
        <r>
          <rPr>
            <sz val="11"/>
            <color theme="1"/>
            <rFont val="Calibri"/>
            <family val="2"/>
            <scheme val="minor"/>
          </rPr>
          <t>Capacity adjustment applied to these production numbers based on SFI numbers</t>
        </r>
      </text>
    </comment>
    <comment ref="AM101" authorId="0" shapeId="0" xr:uid="{649D40E8-93F4-4545-A96E-B5A7061BD5F4}">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AR101" authorId="0" shapeId="0" xr:uid="{FEF8D340-C5B5-4F38-84FC-B0075EFCDF9E}">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S101" authorId="0" shapeId="0" xr:uid="{A08A7722-BAB8-49F9-8231-C537E1BEBB26}">
      <text>
        <r>
          <rPr>
            <sz val="8"/>
            <color indexed="81"/>
            <rFont val="Tahoma"/>
            <family val="2"/>
          </rPr>
          <t xml:space="preserve">
Needed only when one wants to override the VEDA default assignment
</t>
        </r>
      </text>
    </comment>
    <comment ref="AT101" authorId="0" shapeId="0" xr:uid="{ED1D3ABC-BA84-42C3-9833-8D52EB8112B8}">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K10" authorId="0" shapeId="0" xr:uid="{9C511283-1E44-42C4-B936-FCBEB0901EAA}">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AQ10" authorId="0" shapeId="0" xr:uid="{475DA8B2-DA0D-412F-9BB2-FAC143842017}">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R10" authorId="0" shapeId="0" xr:uid="{08199261-8D97-41B5-8632-9B0A0EEB876C}">
      <text>
        <r>
          <rPr>
            <sz val="8"/>
            <color indexed="81"/>
            <rFont val="Tahoma"/>
            <family val="2"/>
          </rPr>
          <t xml:space="preserve">
Needed only when one wants to override the VEDA default assignment
</t>
        </r>
      </text>
    </comment>
    <comment ref="AS10" authorId="0" shapeId="0" xr:uid="{DF9F6451-31A9-47DA-B95B-CEB79EFA2D9E}">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K21" authorId="0" shapeId="0" xr:uid="{B7C8AB0A-166E-45F1-AEFA-F99D72EB4A95}">
      <text>
        <r>
          <rPr>
            <b/>
            <sz val="9"/>
            <color indexed="81"/>
            <rFont val="Tahoma"/>
            <family val="2"/>
          </rPr>
          <t>Author:</t>
        </r>
        <r>
          <rPr>
            <sz val="9"/>
            <color indexed="81"/>
            <rFont val="Tahoma"/>
            <family val="2"/>
          </rPr>
          <t xml:space="preserve">
Should this be DMD</t>
        </r>
      </text>
    </comment>
    <comment ref="AO21" authorId="0" shapeId="0" xr:uid="{19502BF2-FE4E-4CB5-8134-0953AA571337}">
      <text>
        <r>
          <rPr>
            <b/>
            <sz val="9"/>
            <color indexed="81"/>
            <rFont val="Tahoma"/>
            <family val="2"/>
          </rPr>
          <t>Author:</t>
        </r>
        <r>
          <rPr>
            <sz val="9"/>
            <color indexed="81"/>
            <rFont val="Tahoma"/>
            <family val="2"/>
          </rPr>
          <t xml:space="preserve">
Should this be PJ/a</t>
        </r>
      </text>
    </comment>
    <comment ref="AL93" authorId="0" shapeId="0" xr:uid="{BC9E987D-67B1-472C-8611-D8F0CDFEEF77}">
      <text>
        <r>
          <rPr>
            <sz val="9"/>
            <color indexed="81"/>
            <rFont val="Tahoma"/>
            <family val="2"/>
          </rPr>
          <t>Check efficiency penalty</t>
        </r>
      </text>
    </comment>
    <comment ref="AL100" authorId="0" shapeId="0" xr:uid="{E8E3C0CA-981E-476A-857A-0D6E6C843D11}">
      <text>
        <r>
          <rPr>
            <sz val="9"/>
            <color indexed="81"/>
            <rFont val="Tahoma"/>
            <family val="2"/>
          </rPr>
          <t>Check efficiency penalty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37" authorId="0" shapeId="0" xr:uid="{AF4CFF86-FDAE-476E-B85C-62F39A4A4028}">
      <text>
        <r>
          <rPr>
            <sz val="11"/>
            <color theme="1"/>
            <rFont val="Arial"/>
            <family val="2"/>
          </rPr>
          <t>======
ID#AAAAMFoIo9A
shivika mittal    (2021-04-30 19:51:30)
70: 30 ratio between clinker and slag in  blended cement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G132" authorId="0" shapeId="0" xr:uid="{93749E88-771E-46A6-AC0D-B2BC861004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RUS is set to use CAN 2019 energy mix because of issues with UN energy balance (i.e. RUS only has electricity in INF balance and insufficient N.E.S energy to cover the remainder).</t>
        </r>
      </text>
    </comment>
    <comment ref="U134" authorId="0" shapeId="0" xr:uid="{C8F20977-71FF-4F35-BF3A-7A9F4D9053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Scaled to close calibration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42" authorId="0" shapeId="0" xr:uid="{FBF4A333-5F2E-4BD5-85EC-AD12927C25E8}">
      <text>
        <r>
          <rPr>
            <b/>
            <sz val="9"/>
            <color indexed="81"/>
            <rFont val="Tahoma"/>
            <family val="2"/>
          </rPr>
          <t>Author:</t>
        </r>
        <r>
          <rPr>
            <sz val="9"/>
            <color indexed="81"/>
            <rFont val="Tahoma"/>
            <family val="2"/>
          </rPr>
          <t xml:space="preserve">
No emissions</t>
        </r>
      </text>
    </comment>
    <comment ref="G48" authorId="0" shapeId="0" xr:uid="{A6456273-62DF-44AE-9E34-3C8D84F11174}">
      <text>
        <r>
          <rPr>
            <b/>
            <sz val="9"/>
            <color indexed="81"/>
            <rFont val="Tahoma"/>
            <family val="2"/>
          </rPr>
          <t>Author:</t>
        </r>
        <r>
          <rPr>
            <sz val="9"/>
            <color indexed="81"/>
            <rFont val="Tahoma"/>
            <family val="2"/>
          </rPr>
          <t xml:space="preserve">
No emissions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71" authorId="0" shapeId="0" xr:uid="{D24EA112-E8CB-4731-9FB2-63BD56C5E3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is the data we are using for ENGAGE</t>
        </r>
      </text>
    </comment>
    <comment ref="F229" authorId="0" shapeId="0" xr:uid="{9DD00BEA-332A-42CC-AD49-78AB9707AB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is the data we are using for ENGAGE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<sst xmlns="http://schemas.openxmlformats.org/spreadsheetml/2006/main" count="15284" uniqueCount="1709">
  <si>
    <t>Cement</t>
  </si>
  <si>
    <t>Aluminium</t>
  </si>
  <si>
    <t>OMNIA Model</t>
  </si>
  <si>
    <t>Document type:</t>
  </si>
  <si>
    <t>BY and NewTech Template</t>
  </si>
  <si>
    <t>Region:</t>
  </si>
  <si>
    <t>Global</t>
  </si>
  <si>
    <t>Sector:</t>
  </si>
  <si>
    <t>Industry - Detailed sectors</t>
  </si>
  <si>
    <t>IND</t>
  </si>
  <si>
    <t>Base-year</t>
  </si>
  <si>
    <t>Developer:</t>
  </si>
  <si>
    <t>UCL</t>
  </si>
  <si>
    <t>Version:</t>
  </si>
  <si>
    <t>0.4</t>
  </si>
  <si>
    <t>Date:</t>
  </si>
  <si>
    <t>Document description:</t>
  </si>
  <si>
    <t>This template holds the structure of the Final Energy Consumption in the Industrial sectors - Industry Sector</t>
  </si>
  <si>
    <t>Tab colour legend</t>
  </si>
  <si>
    <t>VEDA-TIMES data input tables</t>
  </si>
  <si>
    <t> </t>
  </si>
  <si>
    <t>Raw input data</t>
  </si>
  <si>
    <t>Processed raw input data</t>
  </si>
  <si>
    <t>EnergyBalance</t>
  </si>
  <si>
    <t>Table of contents</t>
  </si>
  <si>
    <t>Sheet</t>
  </si>
  <si>
    <t>Description</t>
  </si>
  <si>
    <t>Commodities</t>
  </si>
  <si>
    <t xml:space="preserve">Veda inputs: Definition of sector commodities </t>
  </si>
  <si>
    <t>Industry energy balance</t>
  </si>
  <si>
    <t>Inputs_BY IIS</t>
  </si>
  <si>
    <t>Processing of energy balance data for input into BY template</t>
  </si>
  <si>
    <t>IIS_BY Techs</t>
  </si>
  <si>
    <t>Veda inputs: Characterization of IIS base-year technologies</t>
  </si>
  <si>
    <t>IIS_New Techs</t>
  </si>
  <si>
    <t>Veda inputs: Characterization of IIS new technologies</t>
  </si>
  <si>
    <t>IIS_Prod</t>
  </si>
  <si>
    <t>Steel production statistics (PIOLab)</t>
  </si>
  <si>
    <t>IIS_Capacity</t>
  </si>
  <si>
    <t>Steel plant capacity (Global Energy Monitor)</t>
  </si>
  <si>
    <t>IIS_Costs</t>
  </si>
  <si>
    <t>Steel production technology costs</t>
  </si>
  <si>
    <t>Inputs_BY INM</t>
  </si>
  <si>
    <t>Inputs_NT INM</t>
  </si>
  <si>
    <t>New tech data for non-cement technologies</t>
  </si>
  <si>
    <t>INM_BY Techs</t>
  </si>
  <si>
    <t>Veda inputs: Characterization of INM base-year technologies</t>
  </si>
  <si>
    <t>INM_New Techs</t>
  </si>
  <si>
    <t>Veda inputs: Characterization of INM new technologies</t>
  </si>
  <si>
    <t>Cem_GCP_Prod</t>
  </si>
  <si>
    <t xml:space="preserve">Cement &amp; clinker production, and process-based CO2 emissions (GCP) </t>
  </si>
  <si>
    <t>Cem_SFI_Cap</t>
  </si>
  <si>
    <t>Cement plant capacity data (DRYAD)</t>
  </si>
  <si>
    <t>Cem_GNR_Metrics</t>
  </si>
  <si>
    <t>Cement &amp; clinker benchmark estimates (GNR project)</t>
  </si>
  <si>
    <t>Cem_NewTechs</t>
  </si>
  <si>
    <t>Cement production cost estimates</t>
  </si>
  <si>
    <t>IAL_INF_Techs</t>
  </si>
  <si>
    <t>INF_Commodities</t>
  </si>
  <si>
    <t>INF_BY</t>
  </si>
  <si>
    <t>Veda inputs: Characterization of INF base-year technologies</t>
  </si>
  <si>
    <t>INF_NewTech</t>
  </si>
  <si>
    <t>Veda inputs: Characterization of INF new technologies</t>
  </si>
  <si>
    <t>INF_Data</t>
  </si>
  <si>
    <t>Conversion factors</t>
  </si>
  <si>
    <t>EUR2015</t>
  </si>
  <si>
    <t>USD2021</t>
  </si>
  <si>
    <t>USD2019</t>
  </si>
  <si>
    <t>EUR2022</t>
  </si>
  <si>
    <t>EUR2019</t>
  </si>
  <si>
    <t>GBP2017</t>
  </si>
  <si>
    <t>USD2017</t>
  </si>
  <si>
    <t>GW</t>
  </si>
  <si>
    <t>PJ-y</t>
  </si>
  <si>
    <t>kg H2G</t>
  </si>
  <si>
    <t>GJ</t>
  </si>
  <si>
    <t>Inflator / Deflator (USA)</t>
  </si>
  <si>
    <t>https://data.worldbank.org/indicator/FP.CPI.TOTL?locations=US</t>
  </si>
  <si>
    <t>Emission Factors</t>
  </si>
  <si>
    <t>Are these needed here?</t>
  </si>
  <si>
    <t>Natural Gas</t>
  </si>
  <si>
    <t>kgCO2/GJ</t>
  </si>
  <si>
    <t>Coal</t>
  </si>
  <si>
    <t>Codes for processes and commodities names</t>
  </si>
  <si>
    <t>Dimension</t>
  </si>
  <si>
    <t>Code</t>
  </si>
  <si>
    <t>Notes</t>
  </si>
  <si>
    <t>Sub-sectors</t>
  </si>
  <si>
    <t>Iron and steel</t>
  </si>
  <si>
    <t>IS</t>
  </si>
  <si>
    <t>Non-metallic minerals</t>
  </si>
  <si>
    <t>NM</t>
  </si>
  <si>
    <t>Chemicals</t>
  </si>
  <si>
    <t>CH</t>
  </si>
  <si>
    <t>Pulp and paper</t>
  </si>
  <si>
    <t>PP</t>
  </si>
  <si>
    <t>Wood products</t>
  </si>
  <si>
    <t>WP</t>
  </si>
  <si>
    <t>Non-ferrous metals</t>
  </si>
  <si>
    <t>NF</t>
  </si>
  <si>
    <t>Other industries</t>
  </si>
  <si>
    <t>OI</t>
  </si>
  <si>
    <t>Generic manufacturing processes</t>
  </si>
  <si>
    <t>High temperature heat</t>
  </si>
  <si>
    <t>HTH</t>
  </si>
  <si>
    <t>Low temperature heat</t>
  </si>
  <si>
    <t>LTH</t>
  </si>
  <si>
    <t>Machine drive</t>
  </si>
  <si>
    <t>MDR</t>
  </si>
  <si>
    <t>Other services</t>
  </si>
  <si>
    <t>OTS</t>
  </si>
  <si>
    <t>Generic fuel types</t>
  </si>
  <si>
    <t>Blast furnace gas</t>
  </si>
  <si>
    <t>INDBFG</t>
  </si>
  <si>
    <t>Biogas</t>
  </si>
  <si>
    <t>INDBGS</t>
  </si>
  <si>
    <t>Biomass</t>
  </si>
  <si>
    <t>INDBIO</t>
  </si>
  <si>
    <t>Bioliquids</t>
  </si>
  <si>
    <t>INDBLQ</t>
  </si>
  <si>
    <t>INDCOA</t>
  </si>
  <si>
    <t>Coke oven gas</t>
  </si>
  <si>
    <t>INDCOG</t>
  </si>
  <si>
    <t>Coke oven coke</t>
  </si>
  <si>
    <t>INDCOK</t>
  </si>
  <si>
    <t>Electricity</t>
  </si>
  <si>
    <t>INDELC</t>
  </si>
  <si>
    <t>Natural gas</t>
  </si>
  <si>
    <t>INDGAS</t>
  </si>
  <si>
    <t>Heat</t>
  </si>
  <si>
    <t>INDHET</t>
  </si>
  <si>
    <t>LPG</t>
  </si>
  <si>
    <t>INDLPG</t>
  </si>
  <si>
    <t>Oil</t>
  </si>
  <si>
    <t>INDOIL</t>
  </si>
  <si>
    <t>Geothermal</t>
  </si>
  <si>
    <t>Concentrated solar power</t>
  </si>
  <si>
    <t>INDCSP</t>
  </si>
  <si>
    <t>Waste</t>
  </si>
  <si>
    <t>INDWAS</t>
  </si>
  <si>
    <t>Hydrogen</t>
  </si>
  <si>
    <t>INDH2G</t>
  </si>
  <si>
    <t>Gaseous hydrogen</t>
  </si>
  <si>
    <t>Natural gas H2 blend</t>
  </si>
  <si>
    <t>INDH2B</t>
  </si>
  <si>
    <t>Emissions</t>
  </si>
  <si>
    <r>
      <t>CO</t>
    </r>
    <r>
      <rPr>
        <vertAlign val="subscript"/>
        <sz val="11"/>
        <color theme="1"/>
        <rFont val="Calibri"/>
        <family val="2"/>
        <scheme val="minor"/>
      </rPr>
      <t>2eq</t>
    </r>
  </si>
  <si>
    <t>INDCO2e</t>
  </si>
  <si>
    <t>CO2 equivalent: includes all GHG (e.g. CO2, CH4, N2O)</t>
  </si>
  <si>
    <r>
      <t>CO</t>
    </r>
    <r>
      <rPr>
        <vertAlign val="subscript"/>
        <sz val="11"/>
        <color theme="1"/>
        <rFont val="Calibri"/>
        <family val="2"/>
        <scheme val="minor"/>
      </rPr>
      <t>2</t>
    </r>
  </si>
  <si>
    <t>INDCO2</t>
  </si>
  <si>
    <t>Carbon dioxide</t>
  </si>
  <si>
    <r>
      <t>CH</t>
    </r>
    <r>
      <rPr>
        <vertAlign val="subscript"/>
        <sz val="11"/>
        <color theme="1"/>
        <rFont val="Calibri"/>
        <family val="2"/>
        <scheme val="minor"/>
      </rPr>
      <t>4</t>
    </r>
  </si>
  <si>
    <t>INDCH4</t>
  </si>
  <si>
    <t>Methane</t>
  </si>
  <si>
    <r>
      <t>N</t>
    </r>
    <r>
      <rPr>
        <vertAlign val="subscript"/>
        <sz val="11"/>
        <color theme="1"/>
        <rFont val="Calibri"/>
        <family val="2"/>
        <scheme val="minor"/>
      </rPr>
      <t>2</t>
    </r>
    <r>
      <rPr>
        <sz val="11"/>
        <color theme="1"/>
        <rFont val="Calibri"/>
        <family val="2"/>
        <scheme val="minor"/>
      </rPr>
      <t>O</t>
    </r>
  </si>
  <si>
    <t>INDN2O</t>
  </si>
  <si>
    <t>Nitrous oxide</t>
  </si>
  <si>
    <r>
      <t>CO</t>
    </r>
    <r>
      <rPr>
        <vertAlign val="subscript"/>
        <sz val="11"/>
        <color theme="1"/>
        <rFont val="Calibri"/>
        <family val="2"/>
        <scheme val="minor"/>
      </rPr>
      <t>2</t>
    </r>
    <r>
      <rPr>
        <sz val="11"/>
        <color theme="1"/>
        <rFont val="Calibri"/>
        <family val="2"/>
        <scheme val="minor"/>
      </rPr>
      <t xml:space="preserve"> process</t>
    </r>
  </si>
  <si>
    <t>INDCO2p</t>
  </si>
  <si>
    <t>Model regions</t>
  </si>
  <si>
    <t>List of countries</t>
  </si>
  <si>
    <t>AFE</t>
  </si>
  <si>
    <t>Eastern Africa</t>
  </si>
  <si>
    <t>AFN</t>
  </si>
  <si>
    <t>Northern Africa</t>
  </si>
  <si>
    <t>AFW</t>
  </si>
  <si>
    <t>Western Africa</t>
  </si>
  <si>
    <t>AFZ</t>
  </si>
  <si>
    <t>Southern Africa</t>
  </si>
  <si>
    <t>ANZ</t>
  </si>
  <si>
    <t>Australia and New Zealand</t>
  </si>
  <si>
    <t>Australia,New Zealand</t>
  </si>
  <si>
    <t>ASC</t>
  </si>
  <si>
    <t>Central Asia</t>
  </si>
  <si>
    <t>ASE</t>
  </si>
  <si>
    <t>Southeast Asia</t>
  </si>
  <si>
    <t>ASO</t>
  </si>
  <si>
    <t>South Asia</t>
  </si>
  <si>
    <t>BRA</t>
  </si>
  <si>
    <t>Brazil</t>
  </si>
  <si>
    <t>CAN</t>
  </si>
  <si>
    <t>Canada</t>
  </si>
  <si>
    <t>CHL</t>
  </si>
  <si>
    <t>Chile</t>
  </si>
  <si>
    <t>CHN</t>
  </si>
  <si>
    <t>China</t>
  </si>
  <si>
    <t>People's Republic of China</t>
  </si>
  <si>
    <t>ENE</t>
  </si>
  <si>
    <t>Non-EU Eastern Europe</t>
  </si>
  <si>
    <t>ENW</t>
  </si>
  <si>
    <t>Non-EU Western Europe</t>
  </si>
  <si>
    <t>EUE</t>
  </si>
  <si>
    <t>Eastern Europe Union</t>
  </si>
  <si>
    <t>EUM</t>
  </si>
  <si>
    <t>Mediterranean- Europe Union</t>
  </si>
  <si>
    <t>EUW</t>
  </si>
  <si>
    <t>Western Europe Union</t>
  </si>
  <si>
    <t>IDN</t>
  </si>
  <si>
    <t>Indonesia, Philippines, Vietnam</t>
  </si>
  <si>
    <t>India</t>
  </si>
  <si>
    <t>JPN</t>
  </si>
  <si>
    <t>Japan</t>
  </si>
  <si>
    <t>LAM</t>
  </si>
  <si>
    <t>Latin America</t>
  </si>
  <si>
    <t>MDA</t>
  </si>
  <si>
    <t>Mediterranean Asia</t>
  </si>
  <si>
    <t>MEA</t>
  </si>
  <si>
    <t>Middle East (Gulf States)</t>
  </si>
  <si>
    <t>Korea</t>
  </si>
  <si>
    <t>MEX</t>
  </si>
  <si>
    <t>Mexico</t>
  </si>
  <si>
    <t>NIG</t>
  </si>
  <si>
    <t>Nigeria</t>
  </si>
  <si>
    <t>RUS</t>
  </si>
  <si>
    <t>Russia Federation</t>
  </si>
  <si>
    <t>Russian Federation</t>
  </si>
  <si>
    <t>SKT</t>
  </si>
  <si>
    <t>South Korea, Taiwan</t>
  </si>
  <si>
    <t>USA</t>
  </si>
  <si>
    <t>United States</t>
  </si>
  <si>
    <t>Sources - Non-Ferrous Metals</t>
  </si>
  <si>
    <t>Component</t>
  </si>
  <si>
    <t>Source n.</t>
  </si>
  <si>
    <t>Source</t>
  </si>
  <si>
    <t>Access</t>
  </si>
  <si>
    <t>URL</t>
  </si>
  <si>
    <t>Tonne alumina per tonne aluminium (global average):</t>
  </si>
  <si>
    <t>S1</t>
  </si>
  <si>
    <t>International aluminium institute (IAI)</t>
  </si>
  <si>
    <t>Public</t>
  </si>
  <si>
    <t>https://international-aluminium.org/resource/2019-life-cycle-inventory-lci-data-and-environmental-metrics/</t>
  </si>
  <si>
    <t>Cost data and secondary production energy use</t>
  </si>
  <si>
    <t>S2</t>
  </si>
  <si>
    <t>European Aluminium</t>
  </si>
  <si>
    <t>https://european-aluminium.eu/wp-content/uploads/2023/11/23-11-14-Net-Zero-by-2050-Science-based-Decarbonisation-Pathways-for-the-European-Aluminium-Industry_FULL-REPORT.pdf</t>
  </si>
  <si>
    <t>Secondary production energy use</t>
  </si>
  <si>
    <t>S3</t>
  </si>
  <si>
    <t xml:space="preserve">Multi-Model Assessment for Secondary Smelting Decarbonisation: The Role of Hydrogen in the Clean Energy Transition </t>
  </si>
  <si>
    <t>https://www.mdpi.com/2673-4141/4/1/7</t>
  </si>
  <si>
    <t>Cost data</t>
  </si>
  <si>
    <t>S4</t>
  </si>
  <si>
    <t>MPP Aluminium Technical Appendix</t>
  </si>
  <si>
    <t>https://3stepsolutions.s3-accelerate.amazonaws.com/assets/custom/010856/downloads/MPP-Aluminium-Technical-Appendix.pdf</t>
  </si>
  <si>
    <t>Primary production by country</t>
  </si>
  <si>
    <t>S5</t>
  </si>
  <si>
    <t>USGS Minerals Yearbook</t>
  </si>
  <si>
    <t>https://www.usgs.gov/centers/national-minerals-information-center/aluminum-statistics-and-information</t>
  </si>
  <si>
    <t>Secondary production by region</t>
  </si>
  <si>
    <t>S6</t>
  </si>
  <si>
    <t>Alucycle model</t>
  </si>
  <si>
    <t>https://alucycle.international-aluminium.org</t>
  </si>
  <si>
    <t>Secondary production by country</t>
  </si>
  <si>
    <t>S7</t>
  </si>
  <si>
    <t>World Bureau of Metal Statistics via Statista</t>
  </si>
  <si>
    <t>https://www.statista.com/markets/407/topic/434/metals/#overview</t>
  </si>
  <si>
    <t>Cost data for other non-ferrous</t>
  </si>
  <si>
    <t>S8</t>
  </si>
  <si>
    <t>Industrial Fuel
Switching Market
Engagement
Study</t>
  </si>
  <si>
    <t>https://assets.publishing.service.gov.uk/government/uploads/system/uploads/attachment_data/file/824592/industrial-fuel-switching.pdf</t>
  </si>
  <si>
    <t>S9</t>
  </si>
  <si>
    <t>EU Reference Scenario 2020</t>
  </si>
  <si>
    <t>https://energy.ec.europa.eu/data-and-analysis/energy-modelling/eu-reference-scenario-2020_en</t>
  </si>
  <si>
    <t>Sources - Steel</t>
  </si>
  <si>
    <t>Production data by pathway</t>
  </si>
  <si>
    <t>IS1</t>
  </si>
  <si>
    <t>PIOLab (physical input–output tables in a virtual laboratory)</t>
  </si>
  <si>
    <t>https://onlinelibrary.wiley.com/doi/full/10.1111/jiec.13215</t>
  </si>
  <si>
    <t>Energy intensity factors</t>
  </si>
  <si>
    <t>IS2</t>
  </si>
  <si>
    <t>IEA</t>
  </si>
  <si>
    <t>https://www.iea.org/reports/iron-and-steel-technology-roadmap</t>
  </si>
  <si>
    <t>Scrap level estimates</t>
  </si>
  <si>
    <t>IS3</t>
  </si>
  <si>
    <t>World Steel</t>
  </si>
  <si>
    <t>https://www.worldsteel.org/about-steel/steel-facts.html</t>
  </si>
  <si>
    <t>Process CO2 emission factors</t>
  </si>
  <si>
    <t>IS4</t>
  </si>
  <si>
    <t>IPCC</t>
  </si>
  <si>
    <t>https://www.ipcc-nggip.iges.or.jp/public/2019rf/pdf/3_Volume3/19R_V3_Ch04_Metal_Industry.pdf</t>
  </si>
  <si>
    <t>Production to capacity adjustment</t>
  </si>
  <si>
    <t>IS5</t>
  </si>
  <si>
    <t>OECD</t>
  </si>
  <si>
    <t>https://one.oecd.org/document/DSTI/SC(2024)3/FINAL/en/pdf</t>
  </si>
  <si>
    <t>Sources - Cement</t>
  </si>
  <si>
    <t>Production of cement and clinker</t>
  </si>
  <si>
    <t>NM1</t>
  </si>
  <si>
    <t>GCP-CEM - The Global Carbon Project CEMent-process emissions dataset</t>
  </si>
  <si>
    <t>https://essd.copernicus.org/preprints/essd-2017-77/essd-2017-77.pdf</t>
  </si>
  <si>
    <t>Process emissions from clinker production</t>
  </si>
  <si>
    <t>NM2</t>
  </si>
  <si>
    <t>NM3</t>
  </si>
  <si>
    <t>Getting the Numbers Right</t>
  </si>
  <si>
    <t>[TBC]</t>
  </si>
  <si>
    <t>N/A</t>
  </si>
  <si>
    <t>New technology data</t>
  </si>
  <si>
    <t>NM4</t>
  </si>
  <si>
    <t>Lerede et al (2021)</t>
  </si>
  <si>
    <t>Public (but paywalled journal paper)</t>
  </si>
  <si>
    <t>https://www.sciencedirect.com/science/article/abs/pii/S1364032121000381</t>
  </si>
  <si>
    <t>~FI_T</t>
  </si>
  <si>
    <t>~FI_Process</t>
  </si>
  <si>
    <t>Comm-OUT</t>
  </si>
  <si>
    <t>NCAP_AFA</t>
  </si>
  <si>
    <t>EFF</t>
  </si>
  <si>
    <t>Sets</t>
  </si>
  <si>
    <t>TechName</t>
  </si>
  <si>
    <t>TechDesc</t>
  </si>
  <si>
    <t>Tact</t>
  </si>
  <si>
    <t>Tcap</t>
  </si>
  <si>
    <t>Tslvl</t>
  </si>
  <si>
    <t>PrimaryCG</t>
  </si>
  <si>
    <t>Vintage</t>
  </si>
  <si>
    <t>Output Commodity</t>
  </si>
  <si>
    <t>Capacity to Activity Factor</t>
  </si>
  <si>
    <t>Efficiency</t>
  </si>
  <si>
    <t>Technology name</t>
  </si>
  <si>
    <t>Activity unit</t>
  </si>
  <si>
    <t>Capacity unit</t>
  </si>
  <si>
    <t>TimeSlice level of Process Activity</t>
  </si>
  <si>
    <t>Primary Commodity Group</t>
  </si>
  <si>
    <t>Vintage Tracking</t>
  </si>
  <si>
    <t>PRE</t>
  </si>
  <si>
    <t>PJ</t>
  </si>
  <si>
    <t>DayNite</t>
  </si>
  <si>
    <t>Comm-IN</t>
  </si>
  <si>
    <t>Attribute</t>
  </si>
  <si>
    <t>LimType</t>
  </si>
  <si>
    <t>Input Commodity</t>
  </si>
  <si>
    <t>TIMES attribute</t>
  </si>
  <si>
    <t>Sign of the equation</t>
  </si>
  <si>
    <t>COA</t>
  </si>
  <si>
    <t>UP</t>
  </si>
  <si>
    <t>COACOK</t>
  </si>
  <si>
    <t>GASNAT</t>
  </si>
  <si>
    <t>OILOPP</t>
  </si>
  <si>
    <t>BIOMASS</t>
  </si>
  <si>
    <t>Commodities definition</t>
  </si>
  <si>
    <t>~FI_Comm</t>
  </si>
  <si>
    <t>Csets</t>
  </si>
  <si>
    <t>CommName</t>
  </si>
  <si>
    <t>CommDesc</t>
  </si>
  <si>
    <t>Unit</t>
  </si>
  <si>
    <t>CTSLvl</t>
  </si>
  <si>
    <t>PeakTS</t>
  </si>
  <si>
    <t>Ctype</t>
  </si>
  <si>
    <t>*Commodity set</t>
  </si>
  <si>
    <t>Commodity name</t>
  </si>
  <si>
    <t>Unit of measure</t>
  </si>
  <si>
    <t>NRG</t>
  </si>
  <si>
    <t>ELC</t>
  </si>
  <si>
    <t>LTHEAT</t>
  </si>
  <si>
    <t>ENV</t>
  </si>
  <si>
    <t>kt</t>
  </si>
  <si>
    <t>Industry Sector Final Energy Balances</t>
  </si>
  <si>
    <t>Source:</t>
  </si>
  <si>
    <t>Omnia_Energy_Balance_NEW_29_4_2024.xlsx</t>
  </si>
  <si>
    <t>** All sectors are included here as this workbook will include multiple sectors**</t>
  </si>
  <si>
    <t>Subsector</t>
  </si>
  <si>
    <t>Subsector extended</t>
  </si>
  <si>
    <t>Primary energy commoditiy</t>
  </si>
  <si>
    <t>ICH</t>
  </si>
  <si>
    <t>Chemical and petrochemical</t>
  </si>
  <si>
    <t>TJ</t>
  </si>
  <si>
    <t>ICM</t>
  </si>
  <si>
    <t>Construction</t>
  </si>
  <si>
    <t>IIS</t>
  </si>
  <si>
    <t>INM</t>
  </si>
  <si>
    <t>Non metallic minerals</t>
  </si>
  <si>
    <t>INF</t>
  </si>
  <si>
    <t>Non ferrous metals</t>
  </si>
  <si>
    <t>IOI</t>
  </si>
  <si>
    <t>**Other industries is further broken down into further subsectors below [based on file Other_industries_breakdown]</t>
  </si>
  <si>
    <t>IPP</t>
  </si>
  <si>
    <t>IWW</t>
  </si>
  <si>
    <t>Wood and wood products</t>
  </si>
  <si>
    <t>IFT</t>
  </si>
  <si>
    <t>Food and tobacco</t>
  </si>
  <si>
    <t>IMC</t>
  </si>
  <si>
    <t>Machinery</t>
  </si>
  <si>
    <t>IMQ</t>
  </si>
  <si>
    <t>Mining and quarrying</t>
  </si>
  <si>
    <t>ITL</t>
  </si>
  <si>
    <t>Textile and leather</t>
  </si>
  <si>
    <t>INS</t>
  </si>
  <si>
    <t>Not elsewhere specified (industry)</t>
  </si>
  <si>
    <t>** Whilst blast furnace is a conversion sector in the energy balance, it has been included in the Iron and steel sector due to being an integral part of the BF-BOF process**</t>
  </si>
  <si>
    <t>Blast Furnace - Transformation Inputs</t>
  </si>
  <si>
    <t>Blast furnace</t>
  </si>
  <si>
    <t>UPSBIO</t>
  </si>
  <si>
    <t>UPSCOA</t>
  </si>
  <si>
    <t>UPSCOK</t>
  </si>
  <si>
    <t>UPSGAS</t>
  </si>
  <si>
    <t>UPSHFO</t>
  </si>
  <si>
    <t>UPSOIL2</t>
  </si>
  <si>
    <t>Blast Furnace - Transformation Outputs</t>
  </si>
  <si>
    <t>UPSBFG</t>
  </si>
  <si>
    <t>Energy Industry Own Uses</t>
  </si>
  <si>
    <t>OTH OwnUses</t>
  </si>
  <si>
    <t>Other energy industries own use</t>
  </si>
  <si>
    <t>UPSBDL</t>
  </si>
  <si>
    <t>UPSBGS</t>
  </si>
  <si>
    <t>UPSCOALIG</t>
  </si>
  <si>
    <t>UPSCOG</t>
  </si>
  <si>
    <t>UPSDSL</t>
  </si>
  <si>
    <t>UPSELC</t>
  </si>
  <si>
    <t>UPSGSL</t>
  </si>
  <si>
    <t>UPSHET</t>
  </si>
  <si>
    <t>UPSKER</t>
  </si>
  <si>
    <t>UPSLPG</t>
  </si>
  <si>
    <t>UPSNAP</t>
  </si>
  <si>
    <t>UPSOIL</t>
  </si>
  <si>
    <t>UPSWAS</t>
  </si>
  <si>
    <t>** It is not clear whether the own use by blast furnaces needs to be accounted for. The exception might be BFG to capture emissions from use; however care is need to avoid emissions double counting**</t>
  </si>
  <si>
    <t xml:space="preserve">% of Other energy industries own use computed from UN Energy statistics. </t>
  </si>
  <si>
    <t>Supplied by M Pied in Own_uses_Blastfurnaces.xlsx</t>
  </si>
  <si>
    <t>Commodity</t>
  </si>
  <si>
    <t>Own use by blast furnaces</t>
  </si>
  <si>
    <t>% of Other energy industries own use</t>
  </si>
  <si>
    <t>Blast furnaces</t>
  </si>
  <si>
    <t>Adjustment to other industries</t>
  </si>
  <si>
    <t>** In some of the industry sectors, there is insufficient (or too much) energy available for production, based on standardised benchmarks. Consequently, additionally required energy is appropriated from 'Other industries - NES'</t>
  </si>
  <si>
    <t>Sector requirements (-ve values mean unused / returned)</t>
  </si>
  <si>
    <t>IIS - Total</t>
  </si>
  <si>
    <t>INM - Total</t>
  </si>
  <si>
    <t>INF - Total</t>
  </si>
  <si>
    <r>
      <t xml:space="preserve">**The additional energy balance requirement (above) gets netted off the 'nes' subsector below; </t>
    </r>
    <r>
      <rPr>
        <b/>
        <i/>
        <sz val="11"/>
        <color rgb="FFFF0000"/>
        <rFont val="Calibri"/>
        <family val="2"/>
        <scheme val="minor"/>
      </rPr>
      <t>table below is prior to netting off</t>
    </r>
  </si>
  <si>
    <r>
      <t xml:space="preserve">**Table below is </t>
    </r>
    <r>
      <rPr>
        <b/>
        <i/>
        <u/>
        <sz val="11"/>
        <color rgb="FFFF0000"/>
        <rFont val="Calibri"/>
        <family val="2"/>
        <scheme val="minor"/>
      </rPr>
      <t xml:space="preserve">adjusted </t>
    </r>
    <r>
      <rPr>
        <b/>
        <i/>
        <sz val="11"/>
        <color rgb="FF00B050"/>
        <rFont val="Calibri"/>
        <family val="2"/>
        <scheme val="minor"/>
      </rPr>
      <t xml:space="preserve">'nes' subsector - this needs to remain positive to ensure enough energy in the balance to cover shortfalls elsewhere </t>
    </r>
    <r>
      <rPr>
        <b/>
        <i/>
        <u/>
        <sz val="11"/>
        <color rgb="FFFF0000"/>
        <rFont val="Calibri"/>
        <family val="2"/>
        <scheme val="minor"/>
      </rPr>
      <t>[THIS IS THE NES TABLE TO USE]</t>
    </r>
  </si>
  <si>
    <t>**Negative values in table from row 440 are shown, but removed from the table directly below and set to zero via adjustments made</t>
  </si>
  <si>
    <t>VALUES PRIOR TO ADJUSTMENT - NEGATIVE VALUES SHOWING NOT ENOUGH ALLOCATED ENERGY IN YELLOW; ADJUSTED TO ENSURE ZERO IN THE ABOVE</t>
  </si>
  <si>
    <t>Industry energy use</t>
  </si>
  <si>
    <t>ENERGY BALANCE - COKE OVENS / BF</t>
  </si>
  <si>
    <r>
      <rPr>
        <b/>
        <sz val="11"/>
        <color rgb="FFFF0000"/>
        <rFont val="Calibri"/>
        <family val="2"/>
        <scheme val="minor"/>
      </rPr>
      <t xml:space="preserve">Source: </t>
    </r>
    <r>
      <rPr>
        <sz val="11"/>
        <color rgb="FFFF0000"/>
        <rFont val="Calibri"/>
        <family val="2"/>
        <scheme val="minor"/>
      </rPr>
      <t>UN energy balances - Omnia_Energy_Balance_NEW_29_4_2024.xlsx</t>
    </r>
  </si>
  <si>
    <t>** Blast furnace and coke ovens are key sectors associated with steel production. Coke ovens is actually modelled in upstream (as a transformation sector) but captured here to understand flows.</t>
  </si>
  <si>
    <t>Transformation Energy Use</t>
  </si>
  <si>
    <t>Primary energy commodity</t>
  </si>
  <si>
    <t>Coke oven</t>
  </si>
  <si>
    <t>Transformation Energy Production</t>
  </si>
  <si>
    <t>% use in IIS</t>
  </si>
  <si>
    <t>** Coking coal is a traded commodity; table below highlights net balance (consumption) based on domestic  production + imports - exports</t>
  </si>
  <si>
    <t>Imports / Exports</t>
  </si>
  <si>
    <t>Import</t>
  </si>
  <si>
    <t>Export</t>
  </si>
  <si>
    <t>Regional use</t>
  </si>
  <si>
    <t>** The next section considers combining steel sector energy balances with production levels (see 'SteelProduction'), to estimate intensity of production values for each of the three production pathways</t>
  </si>
  <si>
    <t>ENERGY BALANCE - IIS</t>
  </si>
  <si>
    <t>Final Energy Use</t>
  </si>
  <si>
    <t>Thermal est. in EnBal</t>
  </si>
  <si>
    <t>BFG use per Mt Steel</t>
  </si>
  <si>
    <t>PJ/Mt</t>
  </si>
  <si>
    <t>METALS PRODUCTION DATA</t>
  </si>
  <si>
    <r>
      <rPr>
        <b/>
        <sz val="11"/>
        <color rgb="FFFF0000"/>
        <rFont val="Calibri"/>
        <family val="2"/>
        <scheme val="minor"/>
      </rPr>
      <t>Source</t>
    </r>
    <r>
      <rPr>
        <sz val="11"/>
        <color rgb="FFFF0000"/>
        <rFont val="Calibri"/>
        <family val="2"/>
        <scheme val="minor"/>
      </rPr>
      <t>: PIOT database (OMNIA_steel_production_2017_and_2019.xlsx)</t>
    </r>
  </si>
  <si>
    <t>Check</t>
  </si>
  <si>
    <t>Pig iron production</t>
  </si>
  <si>
    <t>Mt</t>
  </si>
  <si>
    <t>Sponge iron production</t>
  </si>
  <si>
    <t>Crude Steel production</t>
  </si>
  <si>
    <t>Capacity adjustment factor, based on OECD</t>
  </si>
  <si>
    <t>Shares by steel production pathway</t>
  </si>
  <si>
    <t>BF-BOF</t>
  </si>
  <si>
    <t>%</t>
  </si>
  <si>
    <t>DRI-EAF</t>
  </si>
  <si>
    <t>SCRP-EAF</t>
  </si>
  <si>
    <t>Scrap input</t>
  </si>
  <si>
    <t>t/t</t>
  </si>
  <si>
    <t>Scrap level</t>
  </si>
  <si>
    <t>Total</t>
  </si>
  <si>
    <t>BF-BOF output</t>
  </si>
  <si>
    <t>** This subsector will be located in upstream (as agreed with Marie)</t>
  </si>
  <si>
    <t>COKE PRODUCTION</t>
  </si>
  <si>
    <t>INPUT</t>
  </si>
  <si>
    <t>TJ / TJ COK</t>
  </si>
  <si>
    <t>OUTPUT</t>
  </si>
  <si>
    <t>TJ / COK</t>
  </si>
  <si>
    <t>** Approach to disaggregating EnBal across production pathways is to start off with determining DRI / EAF consumption via benchmarks</t>
  </si>
  <si>
    <t>** Note that we do not differentiate between energy intensity of production between regions which is a limitation of this approach</t>
  </si>
  <si>
    <t>ELECTRIC ARC FURNACE (SCRAP)</t>
  </si>
  <si>
    <t>EAF</t>
  </si>
  <si>
    <t>Benchmark</t>
  </si>
  <si>
    <t>GJ/t</t>
  </si>
  <si>
    <t>Benchmark estimate</t>
  </si>
  <si>
    <t>Share of IIS energy balance</t>
  </si>
  <si>
    <t>100% denotes EAF production but no or insufficient electricity input to achieve benchmark</t>
  </si>
  <si>
    <t>**This is the additional electricity requirement not provided in the energy balance to meet the benchmark</t>
  </si>
  <si>
    <t>Additional requirement</t>
  </si>
  <si>
    <t>Additional energy provided from other industry (NES)</t>
  </si>
  <si>
    <t>DRI + ELECTRIC ARC FURNACE</t>
  </si>
  <si>
    <t>DRI</t>
  </si>
  <si>
    <t>% DRI using gas</t>
  </si>
  <si>
    <t>Benchmark energy use (GJ/t)</t>
  </si>
  <si>
    <t>(Gas-based)</t>
  </si>
  <si>
    <t>(coal-based)</t>
  </si>
  <si>
    <t>Residual IIS gas</t>
  </si>
  <si>
    <t>IEA I&amp;S roadmap 2020 (Box 1.3)</t>
  </si>
  <si>
    <t>Residual IIS coal</t>
  </si>
  <si>
    <t>Share of REMAINING IIS energy balance</t>
  </si>
  <si>
    <t>**This is the additional electricity and gas requirement not provided in the energy balance to meet the benchmark</t>
  </si>
  <si>
    <t>Sector benchmark needs</t>
  </si>
  <si>
    <t>Available in balance</t>
  </si>
  <si>
    <t>This needs to come from another part of the EB</t>
  </si>
  <si>
    <t>The best available technology energy intensities have been compiled by the IEA from a variety of sources and reviewed by industry experts and shown in the table below. </t>
  </si>
  <si>
    <t>Balance of 'required' ELC</t>
  </si>
  <si>
    <t>This must not exceed 100%</t>
  </si>
  <si>
    <t>https://www.iea.org/articles/driving-energy-efficiency-in-heavy-industries</t>
  </si>
  <si>
    <t>Balance of 'required' GAS</t>
  </si>
  <si>
    <t>** Blast furnace allocation based on separate section of energy balance</t>
  </si>
  <si>
    <r>
      <t>PIG IRON PRODUCTION, BLAST FURNACE - EB calculated intensities (</t>
    </r>
    <r>
      <rPr>
        <b/>
        <sz val="12"/>
        <color rgb="FFFF0000"/>
        <rFont val="Calibri"/>
        <family val="2"/>
        <scheme val="minor"/>
      </rPr>
      <t>not used</t>
    </r>
    <r>
      <rPr>
        <b/>
        <sz val="12"/>
        <color theme="1"/>
        <rFont val="Calibri"/>
        <family val="2"/>
        <scheme val="minor"/>
      </rPr>
      <t>)</t>
    </r>
  </si>
  <si>
    <t>Pig Iron?</t>
  </si>
  <si>
    <t>Total energy (PJ)</t>
  </si>
  <si>
    <t>75th Percentile value</t>
  </si>
  <si>
    <t>90th %ile</t>
  </si>
  <si>
    <t>Total prod (Mt)</t>
  </si>
  <si>
    <t>PJ / Mt</t>
  </si>
  <si>
    <t>BFG production net of use in I&amp;S sector</t>
  </si>
  <si>
    <t>Energy intensity of BF / Mt Steel</t>
  </si>
  <si>
    <t>PJ/ Mt</t>
  </si>
  <si>
    <t>Energy intensity of BF / Mt Pig</t>
  </si>
  <si>
    <t>% use of UPSCOK consumed in BF</t>
  </si>
  <si>
    <t>PIG IRON PRODUCTION, BLAST FURNACE - recalc based on 90th percentile filter</t>
  </si>
  <si>
    <t>Total INPUT (BF) - adjusted 75th</t>
  </si>
  <si>
    <t>Total INPUT (BF) - calculated</t>
  </si>
  <si>
    <t>ENERGY BALANCE - IIS, NET OF EAF/DRI-EAF</t>
  </si>
  <si>
    <t>If 'No BOF', no energy should be considered here</t>
  </si>
  <si>
    <t>This includes additional requirements from other industry - nes</t>
  </si>
  <si>
    <t>Total (PJ)</t>
  </si>
  <si>
    <r>
      <t>BF-BOF (BOF component) - EB calculated intensities (</t>
    </r>
    <r>
      <rPr>
        <b/>
        <sz val="12"/>
        <color rgb="FFFF0000"/>
        <rFont val="Calibri"/>
        <family val="2"/>
        <scheme val="minor"/>
      </rPr>
      <t>not to be used</t>
    </r>
    <r>
      <rPr>
        <b/>
        <sz val="12"/>
        <color theme="1"/>
        <rFont val="Calibri"/>
        <family val="2"/>
        <scheme val="minor"/>
      </rPr>
      <t>)</t>
    </r>
  </si>
  <si>
    <t>BOF</t>
  </si>
  <si>
    <t>Total INPUT (BOF)</t>
  </si>
  <si>
    <t>BF-BOF (BOF component) - recalc based on 75th percentile filter</t>
  </si>
  <si>
    <t>** These values are re-estimated based on replacing very high ('erroneous') values with the 90th percentile value</t>
  </si>
  <si>
    <t>Total INPUT (BOF) - adjusted 75th</t>
  </si>
  <si>
    <t>Total INPUT (BOF) - calculated based on EB</t>
  </si>
  <si>
    <t>Total INPUT (BF-BOF) - adjusted 75th</t>
  </si>
  <si>
    <t>Total INPUT (BF-BOF) - calculated based on EB</t>
  </si>
  <si>
    <t>CHECKS - ENERGY USE</t>
  </si>
  <si>
    <t>Estimates of use in BASE YEAR [to check results against]</t>
  </si>
  <si>
    <t>IIS (excl. BF)</t>
  </si>
  <si>
    <t>Estimates of difference between BASE YEAR &amp; Energy Balance [-ve = surplus; +ve = deficit]</t>
  </si>
  <si>
    <t>% of IS energy balance</t>
  </si>
  <si>
    <t>Characterization of sectoral technologies</t>
  </si>
  <si>
    <t>Iron and Steel</t>
  </si>
  <si>
    <t>Code:</t>
  </si>
  <si>
    <t>Production pathways</t>
  </si>
  <si>
    <t xml:space="preserve"> https://www.ipcc-nggip.iges.or.jp/public/2019rf/pdf/3_Volume3/19R_V3_Ch04_Metal_Industry.pdf</t>
  </si>
  <si>
    <t>Process definition</t>
  </si>
  <si>
    <t>*Technology Description</t>
  </si>
  <si>
    <t>PRC_CAPACT</t>
  </si>
  <si>
    <t>FIXOM</t>
  </si>
  <si>
    <t>*NCAP_TLIFE</t>
  </si>
  <si>
    <t>*Unit</t>
  </si>
  <si>
    <t>*Comm-IN</t>
  </si>
  <si>
    <t>*Technology Name</t>
  </si>
  <si>
    <t>Availability factor</t>
  </si>
  <si>
    <t>Fixed costs ($M/Mt)</t>
  </si>
  <si>
    <t>Technical life</t>
  </si>
  <si>
    <t>TIMES attribute for regionalized variables -&gt;</t>
  </si>
  <si>
    <t>unit</t>
  </si>
  <si>
    <t>\I: Process Set Membership</t>
  </si>
  <si>
    <t/>
  </si>
  <si>
    <t>PRC_RESID</t>
  </si>
  <si>
    <t>DMD</t>
  </si>
  <si>
    <t>I-IS-BF_BOF</t>
  </si>
  <si>
    <t>IND Iron and Steel technology: BF-BOF</t>
  </si>
  <si>
    <t>I-IS-DRI_EAF_COA</t>
  </si>
  <si>
    <t>IND Iron and Steel technology: DRI using coal plus EAF</t>
  </si>
  <si>
    <t>I-IS-DRI_EAF_NGA</t>
  </si>
  <si>
    <t>IND Iron and Steel technology: DRI using gas plus EAF</t>
  </si>
  <si>
    <t>I-IS-SCP_EAF</t>
  </si>
  <si>
    <t>IND Iron and Steel technology: EAF using scrap (secondary)</t>
  </si>
  <si>
    <t>NCAP_TLIFE</t>
  </si>
  <si>
    <t>Years</t>
  </si>
  <si>
    <t>MAT</t>
  </si>
  <si>
    <t>I-IS-SCP_PRD</t>
  </si>
  <si>
    <t>IND Scrap IS Dummy</t>
  </si>
  <si>
    <t>Mta</t>
  </si>
  <si>
    <t>*</t>
  </si>
  <si>
    <t>Output commodity</t>
  </si>
  <si>
    <t>[UPS denotes input into BF; however technology combines both BF and BOF]</t>
  </si>
  <si>
    <t>IISSCP</t>
  </si>
  <si>
    <t>Mt / Mt</t>
  </si>
  <si>
    <t>Mt/Mt</t>
  </si>
  <si>
    <t>From IPCC, https://www.ipcc-nggip.iges.or.jp/public/2019rf/pdf/3_Volume3/19R_V3_Ch04_Metal_Industry.pdf</t>
  </si>
  <si>
    <t>Year</t>
  </si>
  <si>
    <t>IEA (2020) I&amp;S roadmap</t>
  </si>
  <si>
    <t>Range</t>
  </si>
  <si>
    <t>$/t</t>
  </si>
  <si>
    <t>COST</t>
  </si>
  <si>
    <t>M$/Mt</t>
  </si>
  <si>
    <t>Assumed to be 2019 basis so inflated to 2021</t>
  </si>
  <si>
    <t>Demands</t>
  </si>
  <si>
    <t>Sector commodity definition</t>
  </si>
  <si>
    <t>*CommDesc</t>
  </si>
  <si>
    <t>*Commodity</t>
  </si>
  <si>
    <t>Demand for industry (IND): Iron and Steel</t>
  </si>
  <si>
    <t>COM_PROJ</t>
  </si>
  <si>
    <t>DEM</t>
  </si>
  <si>
    <t>Scrap steel</t>
  </si>
  <si>
    <t xml:space="preserve">Characterization of new sectoral technology options </t>
  </si>
  <si>
    <t>New Steel Production Processes</t>
  </si>
  <si>
    <t>START</t>
  </si>
  <si>
    <t>Start year</t>
  </si>
  <si>
    <t>I-IS-BF_BOF01</t>
  </si>
  <si>
    <t>Mt_a</t>
  </si>
  <si>
    <t>I-IS-BF_BOF02</t>
  </si>
  <si>
    <t>IND Iron and Steel technology: BF-BOF - High bio</t>
  </si>
  <si>
    <t>I-IS-DRI_EAF_COA01</t>
  </si>
  <si>
    <t>I-IS-DRI_EAF_NGA01</t>
  </si>
  <si>
    <t>I-IS-DRI_EAF_H201</t>
  </si>
  <si>
    <t>IND Iron and Steel technology: DRI using H2 plus EAF</t>
  </si>
  <si>
    <t>I-IS-SCP_EAF01</t>
  </si>
  <si>
    <t>I-IS-BF_BOF01_CCS</t>
  </si>
  <si>
    <t>IND Iron and Steel technology: BF-BOF w/CCS</t>
  </si>
  <si>
    <t>I-IS-BF_BOF02_CCS</t>
  </si>
  <si>
    <t>IND Iron and Steel technology: BF-BOF - High bio w/CCS</t>
  </si>
  <si>
    <t>I-IS-DRI_EAF_COA01_CCS</t>
  </si>
  <si>
    <t>IND Iron and Steel technology: DRI using coal plus EAF w/CCS</t>
  </si>
  <si>
    <t>I-IS-DRI_EAF_NGA01_CCS</t>
  </si>
  <si>
    <t>IND Iron and Steel technology: DRI using gas plus EAF w/CCS</t>
  </si>
  <si>
    <t>I-IS-MOE01</t>
  </si>
  <si>
    <t>IND Iron and Steel technology: Molten Oxide Electrolysis</t>
  </si>
  <si>
    <t>Check H2 input per tonne of steel</t>
  </si>
  <si>
    <t>CCSCO2</t>
  </si>
  <si>
    <t>Capture rate</t>
  </si>
  <si>
    <t>Value needs to be sourced</t>
  </si>
  <si>
    <t>INVCOST</t>
  </si>
  <si>
    <t>$M/Mt</t>
  </si>
  <si>
    <t>Review further - as this cost may also include H2 production</t>
  </si>
  <si>
    <t>This needs to be sourced</t>
  </si>
  <si>
    <t>% CAPEX values from IIS_Costs</t>
  </si>
  <si>
    <t>PIOLab Data pasted in from:</t>
  </si>
  <si>
    <t>OMNIA_steel_production_2017_and_2019.xlsx</t>
  </si>
  <si>
    <t>PIOLab data to use</t>
  </si>
  <si>
    <t>WSA data for reference</t>
  </si>
  <si>
    <t>Iron_ore_Mt</t>
  </si>
  <si>
    <t>Pig_iron_Mt</t>
  </si>
  <si>
    <t>Sponge_iron_Mt</t>
  </si>
  <si>
    <t>Crude_steel_OBF_Mt</t>
  </si>
  <si>
    <t>Crude_steel_EAF_Mt</t>
  </si>
  <si>
    <t>Crude_steel_EAF_form_DRI_Mt</t>
  </si>
  <si>
    <t>Crude_steel_EAF_form_scrap_Mt</t>
  </si>
  <si>
    <t>Total_crude_steel_MT</t>
  </si>
  <si>
    <t>% shares by steel pathway</t>
  </si>
  <si>
    <t>Production of Iron Ore</t>
  </si>
  <si>
    <t>Production of Pig Iron</t>
  </si>
  <si>
    <t>Production of DRI</t>
  </si>
  <si>
    <t>Production of steel in Oxygen-blown converter</t>
  </si>
  <si>
    <t>Production of Crude Steel in EAF</t>
  </si>
  <si>
    <t>% difference with WSA</t>
  </si>
  <si>
    <t>Mt difference with WSA</t>
  </si>
  <si>
    <t>Checks</t>
  </si>
  <si>
    <t>TOTAL</t>
  </si>
  <si>
    <r>
      <t xml:space="preserve">From query </t>
    </r>
    <r>
      <rPr>
        <b/>
        <sz val="12"/>
        <color theme="1"/>
        <rFont val="Calibri"/>
        <family val="2"/>
        <scheme val="minor"/>
      </rPr>
      <t>qry7_CapacityXTAB</t>
    </r>
    <r>
      <rPr>
        <sz val="12"/>
        <color theme="1"/>
        <rFont val="Calibri"/>
        <family val="2"/>
        <scheme val="minor"/>
      </rPr>
      <t xml:space="preserve">, in database </t>
    </r>
    <r>
      <rPr>
        <b/>
        <sz val="12"/>
        <color theme="1"/>
        <rFont val="Calibri"/>
        <family val="2"/>
        <scheme val="minor"/>
      </rPr>
      <t>GEM_DBASE.accdb</t>
    </r>
  </si>
  <si>
    <t>Source: Global Energy Monitor, Global-Steel-Plant-Tracker-April-2024-Standard-Copy-V1.xlsx</t>
  </si>
  <si>
    <t>Main production process</t>
  </si>
  <si>
    <t>Cat</t>
  </si>
  <si>
    <t>electric</t>
  </si>
  <si>
    <t>OTH</t>
  </si>
  <si>
    <t>electric, oxygen</t>
  </si>
  <si>
    <t>integrated (BF and DRI)</t>
  </si>
  <si>
    <t>integrated (BF)</t>
  </si>
  <si>
    <t>OHF</t>
  </si>
  <si>
    <t>integrated (DRI)</t>
  </si>
  <si>
    <t>integrated (unknown)</t>
  </si>
  <si>
    <t>oxygen</t>
  </si>
  <si>
    <t>steelmaking (other)</t>
  </si>
  <si>
    <t>unknown</t>
  </si>
  <si>
    <t>Source: Pye et al. 2022</t>
  </si>
  <si>
    <r>
      <t xml:space="preserve">Table A2. Steel production technology costs assumptions. </t>
    </r>
    <r>
      <rPr>
        <sz val="10"/>
        <color rgb="FF44546A"/>
        <rFont val="Calibri"/>
        <family val="2"/>
        <scheme val="minor"/>
      </rPr>
      <t>Point estimates for CAPEX used in the model, based on range median.</t>
    </r>
  </si>
  <si>
    <t>X-check all of this with https://netzeroindustry.org/wp-content/uploads/pdf/net_zero_steel_report_ii.pdf</t>
  </si>
  <si>
    <t>Technology abbr.</t>
  </si>
  <si>
    <r>
      <t>CAPEX</t>
    </r>
    <r>
      <rPr>
        <b/>
        <vertAlign val="superscript"/>
        <sz val="10"/>
        <color theme="1"/>
        <rFont val="Calibri"/>
        <family val="2"/>
        <scheme val="minor"/>
      </rPr>
      <t>1</t>
    </r>
    <r>
      <rPr>
        <b/>
        <sz val="10"/>
        <color theme="1"/>
        <rFont val="Calibri"/>
        <family val="2"/>
        <scheme val="minor"/>
      </rPr>
      <t>, $2005/t (Range)</t>
    </r>
  </si>
  <si>
    <r>
      <t>CAPEX</t>
    </r>
    <r>
      <rPr>
        <b/>
        <vertAlign val="superscript"/>
        <sz val="10"/>
        <color theme="1"/>
        <rFont val="Calibri"/>
        <family val="2"/>
        <scheme val="minor"/>
      </rPr>
      <t>1</t>
    </r>
    <r>
      <rPr>
        <b/>
        <sz val="10"/>
        <color theme="1"/>
        <rFont val="Calibri"/>
        <family val="2"/>
        <scheme val="minor"/>
      </rPr>
      <t>, $2005/t (Point estimate)</t>
    </r>
  </si>
  <si>
    <r>
      <t>CAPEX</t>
    </r>
    <r>
      <rPr>
        <b/>
        <vertAlign val="superscript"/>
        <sz val="10"/>
        <color theme="1"/>
        <rFont val="Calibri"/>
        <family val="2"/>
        <scheme val="minor"/>
      </rPr>
      <t>1</t>
    </r>
    <r>
      <rPr>
        <b/>
        <sz val="10"/>
        <color theme="1"/>
        <rFont val="Calibri"/>
        <family val="2"/>
        <scheme val="minor"/>
      </rPr>
      <t>, $2019/t (Point estimate)</t>
    </r>
  </si>
  <si>
    <t>OPEX, % of CAPEX</t>
  </si>
  <si>
    <t>Electric Arc Furnace</t>
  </si>
  <si>
    <t>187-292</t>
  </si>
  <si>
    <t>Factor used in TIAM to convert between 2005 &amp; 2019</t>
  </si>
  <si>
    <t>Direct Reduction Iron and EAF</t>
  </si>
  <si>
    <t>459-471</t>
  </si>
  <si>
    <t>Today</t>
  </si>
  <si>
    <t>LT</t>
  </si>
  <si>
    <t>Direct Reduction Iron with hydrogen and EAF</t>
  </si>
  <si>
    <t>DRI-H2-EAF</t>
  </si>
  <si>
    <t>459-471 (excl. H2 production)</t>
  </si>
  <si>
    <t>IEA uplift for H2 DRI compared to NG DRI</t>
  </si>
  <si>
    <t>Direct Reduction Iron with CCS and EAF</t>
  </si>
  <si>
    <t>DRI-CCS-EAF</t>
  </si>
  <si>
    <t>Blast furnace and BOF</t>
  </si>
  <si>
    <t>490-597</t>
  </si>
  <si>
    <t>Blast furnace and BOF with CCS</t>
  </si>
  <si>
    <t>BF-BOF-CCS</t>
  </si>
  <si>
    <t>628-743</t>
  </si>
  <si>
    <r>
      <t>1</t>
    </r>
    <r>
      <rPr>
        <sz val="9"/>
        <color theme="1"/>
        <rFont val="Calibri"/>
        <family val="2"/>
        <scheme val="minor"/>
      </rPr>
      <t xml:space="preserve"> Upfront investment, not annualised</t>
    </r>
  </si>
  <si>
    <t>Table A3. Steel production technology non-cost assumptions</t>
  </si>
  <si>
    <r>
      <t>Energy input (GJ/t)</t>
    </r>
    <r>
      <rPr>
        <vertAlign val="superscript"/>
        <sz val="9"/>
        <color theme="1"/>
        <rFont val="Calibri"/>
        <family val="2"/>
        <scheme val="minor"/>
      </rPr>
      <t>2</t>
    </r>
  </si>
  <si>
    <r>
      <t>Capture rate</t>
    </r>
    <r>
      <rPr>
        <vertAlign val="superscript"/>
        <sz val="10"/>
        <color theme="1"/>
        <rFont val="Calibri"/>
        <family val="2"/>
        <scheme val="minor"/>
      </rPr>
      <t>1</t>
    </r>
  </si>
  <si>
    <r>
      <t>Scrap input (t)</t>
    </r>
    <r>
      <rPr>
        <vertAlign val="superscript"/>
        <sz val="10"/>
        <color theme="1"/>
        <rFont val="Calibri"/>
        <family val="2"/>
        <scheme val="minor"/>
      </rPr>
      <t>3</t>
    </r>
  </si>
  <si>
    <r>
      <t>1</t>
    </r>
    <r>
      <rPr>
        <sz val="9"/>
        <color theme="1"/>
        <rFont val="Calibri"/>
        <family val="2"/>
        <scheme val="minor"/>
      </rPr>
      <t xml:space="preserve"> 90% capture rate assumed </t>
    </r>
    <r>
      <rPr>
        <sz val="11"/>
        <color rgb="FF000000"/>
        <rFont val="Calibri"/>
        <family val="2"/>
        <scheme val="minor"/>
      </rPr>
      <t>(Bataille et al., 2021; IEA, 2020a)</t>
    </r>
  </si>
  <si>
    <r>
      <t>2</t>
    </r>
    <r>
      <rPr>
        <sz val="9"/>
        <color theme="1"/>
        <rFont val="Calibri"/>
        <family val="2"/>
        <scheme val="minor"/>
      </rPr>
      <t xml:space="preserve"> For DRI-H2-EAF, based on </t>
    </r>
    <r>
      <rPr>
        <sz val="11"/>
        <color rgb="FF000000"/>
        <rFont val="Calibri"/>
        <family val="2"/>
        <scheme val="minor"/>
      </rPr>
      <t>(Vogl et al., 2018)</t>
    </r>
    <r>
      <rPr>
        <sz val="9"/>
        <color theme="1"/>
        <rFont val="Calibri"/>
        <family val="2"/>
        <scheme val="minor"/>
      </rPr>
      <t>; 59 kg H2 per tonne steel, based on 15% scrap charge</t>
    </r>
  </si>
  <si>
    <r>
      <t>3</t>
    </r>
    <r>
      <rPr>
        <sz val="9"/>
        <color theme="1"/>
        <rFont val="Calibri"/>
        <family val="2"/>
        <scheme val="minor"/>
      </rPr>
      <t xml:space="preserve"> For primary production, these can vary significantly but are based on typical levels from the World Steel Association</t>
    </r>
  </si>
  <si>
    <t>https://iea.blob.core.windows.net/assets/29b027e5-fefc-47df-aed0-456b1bb38844/IEA-The-Future-of-Hydrogen-Assumptions-Annex_CORR.pdf</t>
  </si>
  <si>
    <t>ENERGY BALANCE - Non-metallic minerals</t>
  </si>
  <si>
    <t>Production estimates</t>
  </si>
  <si>
    <t>GCP production &amp; emission estimates</t>
  </si>
  <si>
    <t>Cement production</t>
  </si>
  <si>
    <t>Kt</t>
  </si>
  <si>
    <t>Clinker production</t>
  </si>
  <si>
    <t>Process emissions</t>
  </si>
  <si>
    <t>MtCO2</t>
  </si>
  <si>
    <t>Implied clinker production (based on GCP emissions)</t>
  </si>
  <si>
    <t>Clinker EF</t>
  </si>
  <si>
    <t>tCO2/t clinker</t>
  </si>
  <si>
    <t xml:space="preserve">Emission factors based on Andrew </t>
  </si>
  <si>
    <t>Difference (reported vs estimated)</t>
  </si>
  <si>
    <t>Clinker production est. used (prioritising 'reported')</t>
  </si>
  <si>
    <t>Estimate used in base year</t>
  </si>
  <si>
    <t>Clinker-cement ratio (reported)</t>
  </si>
  <si>
    <t>Clinker-cement ratio (implied by CO2)</t>
  </si>
  <si>
    <t>Low ration may imply imports e.g. Chile</t>
  </si>
  <si>
    <t>Process EF (based on reported)</t>
  </si>
  <si>
    <t>kgCO2/t cement</t>
  </si>
  <si>
    <t>Process EF (based on clinker prod est. used)</t>
  </si>
  <si>
    <t>kgCO2/t clinker</t>
  </si>
  <si>
    <r>
      <t xml:space="preserve">DRYAD capacity estimates </t>
    </r>
    <r>
      <rPr>
        <b/>
        <sz val="11"/>
        <color rgb="FFFF0000"/>
        <rFont val="Calibri"/>
        <family val="2"/>
        <scheme val="minor"/>
      </rPr>
      <t>[DATA NOT USED]</t>
    </r>
  </si>
  <si>
    <t>Integrated</t>
  </si>
  <si>
    <t>Dry</t>
  </si>
  <si>
    <t>Wet</t>
  </si>
  <si>
    <t>Grinding</t>
  </si>
  <si>
    <t>% wet</t>
  </si>
  <si>
    <t>Capacity above Production</t>
  </si>
  <si>
    <t>% wet (assumed)</t>
  </si>
  <si>
    <t>Subject to review, not confident to use DRYAD data</t>
  </si>
  <si>
    <t>Energy consumption (thermal)</t>
  </si>
  <si>
    <t>GNR benchmark intensity, dry</t>
  </si>
  <si>
    <t>MJ/t clinker</t>
  </si>
  <si>
    <t>GNR benchmark intensity, wet</t>
  </si>
  <si>
    <r>
      <t xml:space="preserve">Est. thermal consumption </t>
    </r>
    <r>
      <rPr>
        <b/>
        <sz val="11"/>
        <color theme="1"/>
        <rFont val="Calibri"/>
        <family val="2"/>
        <scheme val="minor"/>
      </rPr>
      <t>(used in model)</t>
    </r>
  </si>
  <si>
    <t>Cement, Dry</t>
  </si>
  <si>
    <t>Cement, Wet</t>
  </si>
  <si>
    <t>NMM</t>
  </si>
  <si>
    <t>Thermal energy deficit</t>
  </si>
  <si>
    <t>% of what is needed</t>
  </si>
  <si>
    <t>Required final energy</t>
  </si>
  <si>
    <t>Energy consumption (electric)</t>
  </si>
  <si>
    <t>GNR benchmark intensity</t>
  </si>
  <si>
    <t>KWh / tCement</t>
  </si>
  <si>
    <t>KWh to TJ</t>
  </si>
  <si>
    <r>
      <t xml:space="preserve">Est. electricity consumption </t>
    </r>
    <r>
      <rPr>
        <b/>
        <sz val="11"/>
        <color theme="1"/>
        <rFont val="Calibri"/>
        <family val="2"/>
        <scheme val="minor"/>
      </rPr>
      <t>(used in model)</t>
    </r>
  </si>
  <si>
    <t>Electricity est. in EnBal</t>
  </si>
  <si>
    <t>Electrical energy deficit</t>
  </si>
  <si>
    <t>Final energy use for INM - adjusted to make up for deficit in cement sector estimates</t>
  </si>
  <si>
    <t>Values in dark yellow shade manually adjusted to resolve energy balance issues</t>
  </si>
  <si>
    <t>IND % shares (as absent from EnBal)</t>
  </si>
  <si>
    <t>Check (must equal 1, unless adjusted)</t>
  </si>
  <si>
    <t>Energy consumption</t>
  </si>
  <si>
    <t>CEMENT - FUEL CONSUMPTION &amp; INTENSITY (adjustment down in some case due to insufficient energy from NES)</t>
  </si>
  <si>
    <t>Deficit = &lt;1 in sector energy for cement</t>
  </si>
  <si>
    <t>Check (must equal 1 unless adjusted)</t>
  </si>
  <si>
    <t>Cement, dry</t>
  </si>
  <si>
    <t>Cement, wet</t>
  </si>
  <si>
    <t>Cement, grind</t>
  </si>
  <si>
    <t>NMM (excl. CEMENT)</t>
  </si>
  <si>
    <t>Other NM</t>
  </si>
  <si>
    <t>Check (must equal 1)</t>
  </si>
  <si>
    <t>Fuel type</t>
  </si>
  <si>
    <t>Type of process</t>
  </si>
  <si>
    <t>Gas</t>
  </si>
  <si>
    <t>GAS</t>
  </si>
  <si>
    <t>HET</t>
  </si>
  <si>
    <t>Liquid</t>
  </si>
  <si>
    <t>OIL</t>
  </si>
  <si>
    <t>Solid</t>
  </si>
  <si>
    <t>BIO</t>
  </si>
  <si>
    <t>FINAL ENERGY - INPUT</t>
  </si>
  <si>
    <t>IND Non-metallic minerals technology: Low temperature heat using Electricity - Existing</t>
  </si>
  <si>
    <t>IND Non-metallic minerals technology: Machine drive using Electricity - Existing</t>
  </si>
  <si>
    <t>OTD</t>
  </si>
  <si>
    <t>IND Non-metallic minerals technology: Other services using Electricity - Existing</t>
  </si>
  <si>
    <t>IND Non-metallic minerals technology: High temperature heat using Gas - Existing</t>
  </si>
  <si>
    <t>IND Non-metallic minerals technology: Low temperature heat using Gas - Existing</t>
  </si>
  <si>
    <t>IND Non-metallic minerals technology: Other services using Gas - Existing</t>
  </si>
  <si>
    <t>IND Non-metallic minerals technology: High temperature heat using Heat - Existing</t>
  </si>
  <si>
    <t>IND Non-metallic minerals technology: High temperature heat using Liquid - Existing</t>
  </si>
  <si>
    <t>IND Non-metallic minerals technology: Low temperature heat using Liquid - Existing</t>
  </si>
  <si>
    <t>IND Non-metallic minerals technology: Machine drive using Liquid - Existing</t>
  </si>
  <si>
    <t>IND Non-metallic minerals technology: Other services using Liquid - Existing</t>
  </si>
  <si>
    <t>IND Non-metallic minerals technology: Low temperature heat using Solid - Existing</t>
  </si>
  <si>
    <t>IND Non-metallic minerals technology: High temperature heat using Biomass - Existing</t>
  </si>
  <si>
    <t>Check (should = 1)</t>
  </si>
  <si>
    <t>USEFUL ENERGY - OUTPUT</t>
  </si>
  <si>
    <t>Capacity, useful PJ</t>
  </si>
  <si>
    <t>Final energy use for NMM - additional requirement from IND 'NES' (see EnergyBalance Sheet)</t>
  </si>
  <si>
    <t>New technologies key inputs</t>
  </si>
  <si>
    <t>Table 1 - Technologies</t>
  </si>
  <si>
    <t>Innovation level</t>
  </si>
  <si>
    <t>Start Year</t>
  </si>
  <si>
    <t>Fuel</t>
  </si>
  <si>
    <t>Life</t>
  </si>
  <si>
    <t>Availability Factor</t>
  </si>
  <si>
    <t>All processes</t>
  </si>
  <si>
    <t>Ordinary</t>
  </si>
  <si>
    <t>Ord.</t>
  </si>
  <si>
    <t>Improved</t>
  </si>
  <si>
    <t>Imp.</t>
  </si>
  <si>
    <t>Advanced</t>
  </si>
  <si>
    <t>Adv.</t>
  </si>
  <si>
    <t>H2G</t>
  </si>
  <si>
    <t>Table 2 - Efficiency multipliers</t>
  </si>
  <si>
    <t>Efficiency multiplier</t>
  </si>
  <si>
    <t>EC, EU Reference Scenario 2020</t>
  </si>
  <si>
    <t>Regional efficiency multiplier</t>
  </si>
  <si>
    <t>Table 3- Efficiency</t>
  </si>
  <si>
    <t>BY Efficiency</t>
  </si>
  <si>
    <t>I-NM-HTH_ELC01</t>
  </si>
  <si>
    <t>I-NM-HTH_GAS01</t>
  </si>
  <si>
    <t>I-NM-HTH_HET01</t>
  </si>
  <si>
    <t>I-NM-HTH_OIL01</t>
  </si>
  <si>
    <t>I-NM-HTH_COA01</t>
  </si>
  <si>
    <t>I-NM-HTH_BIO01</t>
  </si>
  <si>
    <t>I-NM-HTH_ELC02</t>
  </si>
  <si>
    <t>I-NM-HTH_GAS02</t>
  </si>
  <si>
    <t>I-NM-HTH_HET02</t>
  </si>
  <si>
    <t>I-NM-HTH_OIL02</t>
  </si>
  <si>
    <t>I-NM-HTH_COA02</t>
  </si>
  <si>
    <t>I-NM-HTH_BIO02</t>
  </si>
  <si>
    <t>I-NM-HTH_ELC03</t>
  </si>
  <si>
    <t>I-NM-HTH_GAS03</t>
  </si>
  <si>
    <t>I-NM-HTH_HET03</t>
  </si>
  <si>
    <t>I-NM-HTH_OIL03</t>
  </si>
  <si>
    <t>I-NM-HTH_COA03</t>
  </si>
  <si>
    <t>I-NM-HTH_BIO03</t>
  </si>
  <si>
    <t>I-NM-LTH_H2G03</t>
  </si>
  <si>
    <t>I-NM-HTH_H2G03</t>
  </si>
  <si>
    <t>I-NM-LTH_ELC01</t>
  </si>
  <si>
    <t>I-NM-LTH_GAS01</t>
  </si>
  <si>
    <t>I-NM-LTH_HET01</t>
  </si>
  <si>
    <t>I-NM-LTH_OIL01</t>
  </si>
  <si>
    <t>I-NM-LTH_COA01</t>
  </si>
  <si>
    <t>I-NM-LTH_BIO01</t>
  </si>
  <si>
    <t>I-NM-LTH_ELC02</t>
  </si>
  <si>
    <t>I-NM-LTH_GAS02</t>
  </si>
  <si>
    <t>I-NM-LTH_HET02</t>
  </si>
  <si>
    <t>I-NM-LTH_OIL02</t>
  </si>
  <si>
    <t>I-NM-LTH_COA02</t>
  </si>
  <si>
    <t>I-NM-LTH_BIO02</t>
  </si>
  <si>
    <t>I-NM-LTH_ELC03</t>
  </si>
  <si>
    <t>I-NM-LTH_GAS03</t>
  </si>
  <si>
    <t>I-NM-LTH_HET03</t>
  </si>
  <si>
    <t>I-NM-LTH_OIL03</t>
  </si>
  <si>
    <t>I-NM-LTH_COA03</t>
  </si>
  <si>
    <t>I-NM-LTH_BIO03</t>
  </si>
  <si>
    <t>I-NM-MDR_ELC01</t>
  </si>
  <si>
    <t>I-NM-MDR_ELC02</t>
  </si>
  <si>
    <t>I-NM-MDR_ELC03</t>
  </si>
  <si>
    <t>I-NM-OTS_ELC01</t>
  </si>
  <si>
    <t>I-NM-OTS_GAS01</t>
  </si>
  <si>
    <t>I-NM-OTS_HET01</t>
  </si>
  <si>
    <t>I-NM-OTS_OIL01</t>
  </si>
  <si>
    <t>I-NM-OTS_COA01</t>
  </si>
  <si>
    <t>I-NM-OTS_BIO01</t>
  </si>
  <si>
    <t>I-NM-OTS_ELC02</t>
  </si>
  <si>
    <t>I-NM-OTS_GAS02</t>
  </si>
  <si>
    <t>I-NM-OTS_HET02</t>
  </si>
  <si>
    <t>I-NM-OTS_OIL02</t>
  </si>
  <si>
    <t>I-NM-OTS_COA02</t>
  </si>
  <si>
    <t>I-NM-OTS_BIO02</t>
  </si>
  <si>
    <t>I-NM-OTS_ELC03</t>
  </si>
  <si>
    <t>I-NM-OTS_GAS03</t>
  </si>
  <si>
    <t>I-NM-OTS_HET03</t>
  </si>
  <si>
    <t>I-NM-OTS_OIL03</t>
  </si>
  <si>
    <t>I-NM-OTS_COA03</t>
  </si>
  <si>
    <t>I-NM-OTS_BIO03</t>
  </si>
  <si>
    <t>Table 4 - Investment costs multipliers</t>
  </si>
  <si>
    <t>Investment cost</t>
  </si>
  <si>
    <t>Investment cost multiplier</t>
  </si>
  <si>
    <t>MUSD21/GW</t>
  </si>
  <si>
    <t>Regional multiplier</t>
  </si>
  <si>
    <t>FIXOM share</t>
  </si>
  <si>
    <t>Table 5 - Investment costs</t>
  </si>
  <si>
    <t>BY Cost multiplier</t>
  </si>
  <si>
    <t>Table 16- Fuel shares</t>
  </si>
  <si>
    <t>Capacity adjustment</t>
  </si>
  <si>
    <t>ICMCLK</t>
  </si>
  <si>
    <t>I-CM-DRYKLN</t>
  </si>
  <si>
    <t>IND Cement technology: Dry Kiln</t>
  </si>
  <si>
    <t>I-CM-WETKLN</t>
  </si>
  <si>
    <t>IND Cement technology: Wet Kiln</t>
  </si>
  <si>
    <t>I-CM-GRND</t>
  </si>
  <si>
    <t>IND Cement technology: Grinding</t>
  </si>
  <si>
    <t>INMLTH</t>
  </si>
  <si>
    <t>I-NM-LTH_ELC00</t>
  </si>
  <si>
    <t>PJ/a</t>
  </si>
  <si>
    <t>INMMDR</t>
  </si>
  <si>
    <t>I-NM-MDR_ELC00</t>
  </si>
  <si>
    <t>INMOTS</t>
  </si>
  <si>
    <t>I-NM-OTS_ELC00</t>
  </si>
  <si>
    <t>INMHTH</t>
  </si>
  <si>
    <t>I-NM-HTH_GAS00</t>
  </si>
  <si>
    <t>I-NM-LTH_GAS00</t>
  </si>
  <si>
    <t>I-NM-OTS_GAS00</t>
  </si>
  <si>
    <t>I-NM-HTH_HET00</t>
  </si>
  <si>
    <t>I-NM-HTH_OIL00</t>
  </si>
  <si>
    <t>I-NM-LTH_OIL00</t>
  </si>
  <si>
    <t>I-NM-MDR_OIL00</t>
  </si>
  <si>
    <t>I-NM-OTS_OIL00</t>
  </si>
  <si>
    <t>I-NM-LTH_COA00</t>
  </si>
  <si>
    <t>I-NM-HTH_BIO00</t>
  </si>
  <si>
    <t>Share-I</t>
  </si>
  <si>
    <t>Demand process</t>
  </si>
  <si>
    <t>I-NM-DMD</t>
  </si>
  <si>
    <t>IND NM demand technology</t>
  </si>
  <si>
    <t>year</t>
  </si>
  <si>
    <t>Demand for industry (IND): Non-metallic minerals</t>
  </si>
  <si>
    <t>High temperature heat for Non-metallic minerals (IND)</t>
  </si>
  <si>
    <t>Low temperature heat for Non-metallic minerals (IND)</t>
  </si>
  <si>
    <t>Machine drive for Non-metallic minerals (IND)</t>
  </si>
  <si>
    <t>Other services for Non-metallic minerals (IND)</t>
  </si>
  <si>
    <t>Demand for industry (IND): Cement</t>
  </si>
  <si>
    <t>Clinker for cement</t>
  </si>
  <si>
    <t>Note that standard industry approach used for non-cement sectors - and lifted from GEO TIMES</t>
  </si>
  <si>
    <t>New Production Processes</t>
  </si>
  <si>
    <t>*PRC_CAPACT</t>
  </si>
  <si>
    <t>I-CM-DRYKILN01</t>
  </si>
  <si>
    <t>IND Cement technology: Dry kiln</t>
  </si>
  <si>
    <t>I-CM-DRYKILN-PH-PC01</t>
  </si>
  <si>
    <t>IND Cement technology: Dry kiln - Pre-heater &amp; pre-calciner</t>
  </si>
  <si>
    <t>I-CM-DRYKILN-AFBIO01</t>
  </si>
  <si>
    <t>IND Cement technology: Dry kiln - Alt. fuel bioenergy</t>
  </si>
  <si>
    <t>I-CM-DRYKILN-AFGAS01</t>
  </si>
  <si>
    <t>IND Cement technology: Dry kiln - Alt. fuel gas</t>
  </si>
  <si>
    <t>I-CM-DRYKILN-PSTCCS01</t>
  </si>
  <si>
    <t>IND Cement technology: Dry kiln - Post-combustion CCS</t>
  </si>
  <si>
    <t>I-CM-DRYKILN-OXYCCS01</t>
  </si>
  <si>
    <t>IND Cement technology: Dry kiln - Oxy fuel CCS</t>
  </si>
  <si>
    <t>I-CM-GRND01</t>
  </si>
  <si>
    <t>I-CM-GRND-LOWCNK01</t>
  </si>
  <si>
    <t>IND Cement technology: Grinding - Low clinker blend</t>
  </si>
  <si>
    <t>INDGAS,INDBGS,INDLPG</t>
  </si>
  <si>
    <t>IND Non-metallic minerals technology: High temperature heat using Gas - Ordinary</t>
  </si>
  <si>
    <t>YES</t>
  </si>
  <si>
    <t>IND Non-metallic minerals technology: High temperature heat using Heat - Ordinary</t>
  </si>
  <si>
    <t>INDOIL,INDBLQ</t>
  </si>
  <si>
    <t>IND Non-metallic minerals technology: High temperature heat using Liquid - Ordinary</t>
  </si>
  <si>
    <t>IND Non-metallic minerals technology: High temperature heat using Solid - Ordinary</t>
  </si>
  <si>
    <t>IND Non-metallic minerals technology: High temperature heat using Gas - Improved</t>
  </si>
  <si>
    <t>IND Non-metallic minerals technology: High temperature heat using Heat - Improved</t>
  </si>
  <si>
    <t>IND Non-metallic minerals technology: High temperature heat using Liquid - Improved</t>
  </si>
  <si>
    <t>IND Non-metallic minerals technology: High temperature heat using Solid - Improved</t>
  </si>
  <si>
    <t>INDELC,INDCSP</t>
  </si>
  <si>
    <t>IND Non-metallic minerals technology: High temperature heat using Electricity - Advanced</t>
  </si>
  <si>
    <t>IND Non-metallic minerals technology: High temperature heat using Gas - Advanced</t>
  </si>
  <si>
    <t>IND Non-metallic minerals technology: High temperature heat using Heat - Advanced</t>
  </si>
  <si>
    <t>IND Non-metallic minerals technology: High temperature heat using Liquid - Advanced</t>
  </si>
  <si>
    <t>IND Non-metallic minerals technology: High temperature heat using Solid - Advanced</t>
  </si>
  <si>
    <t>INDBIO,INDWAS</t>
  </si>
  <si>
    <t>IND Non-metallic minerals technology: High temperature heat using Biomass - Advanced</t>
  </si>
  <si>
    <t>IND Non-metallic minerals technology: High temperature heat using Hydrogen - Advanced</t>
  </si>
  <si>
    <t>IND Non-metallic minerals technology: Low temperature heat using Electricity - Ordinary</t>
  </si>
  <si>
    <t>IND Non-metallic minerals technology: Low temperature heat using Gas - Ordinary</t>
  </si>
  <si>
    <t>IND Non-metallic minerals technology: Low temperature heat using Heat - Ordinary</t>
  </si>
  <si>
    <t>IND Non-metallic minerals technology: Low temperature heat using Liquid - Ordinary</t>
  </si>
  <si>
    <t>IND Non-metallic minerals technology: Low temperature heat using Solid - Ordinary</t>
  </si>
  <si>
    <t>IND Non-metallic minerals technology: Low temperature heat using Biomass - Ordinary</t>
  </si>
  <si>
    <t>IND Non-metallic minerals technology: Low temperature heat using Electricity - Improved</t>
  </si>
  <si>
    <t>IND Non-metallic minerals technology: Low temperature heat using Gas - Improved</t>
  </si>
  <si>
    <t>IND Non-metallic minerals technology: Low temperature heat using Heat - Improved</t>
  </si>
  <si>
    <t>IND Non-metallic minerals technology: Low temperature heat using Liquid - Improved</t>
  </si>
  <si>
    <t>IND Non-metallic minerals technology: Low temperature heat using Solid - Improved</t>
  </si>
  <si>
    <t>IND Non-metallic minerals technology: Low temperature heat using Biomass - Improved</t>
  </si>
  <si>
    <t>IND Non-metallic minerals technology: Low temperature heat using Electricity - Advanced</t>
  </si>
  <si>
    <t>IND Non-metallic minerals technology: Low temperature heat using Gas - Advanced</t>
  </si>
  <si>
    <t>IND Non-metallic minerals technology: Low temperature heat using Heat - Advanced</t>
  </si>
  <si>
    <t>IND Non-metallic minerals technology: Low temperature heat using Liquid - Advanced</t>
  </si>
  <si>
    <t>IND Non-metallic minerals technology: Low temperature heat using Solid - Advanced</t>
  </si>
  <si>
    <t>IND Non-metallic minerals technology: Low temperature heat using Biomass - Advanced</t>
  </si>
  <si>
    <t>IND Non-metallic minerals technology: Low temperature heat using Hydrogen - Advanced</t>
  </si>
  <si>
    <t>IND Non-metallic minerals technology: Machine drive using Electricity - Ordinary</t>
  </si>
  <si>
    <t>IND Non-metallic minerals technology: Machine drive using Electricity - Improved</t>
  </si>
  <si>
    <t>IND Non-metallic minerals technology: Machine drive using Electricity - Advanced</t>
  </si>
  <si>
    <t>IND Non-metallic minerals technology: Other services using Electricity - Ordinary</t>
  </si>
  <si>
    <t>IND Non-metallic minerals technology: Other services using Electricity - Improved</t>
  </si>
  <si>
    <t>IND Non-metallic minerals technology: Other services using Electricity - Advanced</t>
  </si>
  <si>
    <t>SECTOR: CEMENT</t>
  </si>
  <si>
    <t>Shares</t>
  </si>
  <si>
    <t>Value</t>
  </si>
  <si>
    <t>Assumed min level</t>
  </si>
  <si>
    <t>Adjustment</t>
  </si>
  <si>
    <t>To be reviewed</t>
  </si>
  <si>
    <t>Adjustment factor</t>
  </si>
  <si>
    <t>$2021/Mt</t>
  </si>
  <si>
    <t>This seem low cost……</t>
  </si>
  <si>
    <t>To be sourced</t>
  </si>
  <si>
    <t>SECTOR: NMM (EXCL. CEMENT)</t>
  </si>
  <si>
    <t>*EFF</t>
  </si>
  <si>
    <t>*INVCOST</t>
  </si>
  <si>
    <t>MUSD/GW</t>
  </si>
  <si>
    <t>*FIXOM</t>
  </si>
  <si>
    <t>MUSD/GW-y</t>
  </si>
  <si>
    <t>Source: GCP-CEM -  The Global Carbon Project CEMent-process emissions dataset</t>
  </si>
  <si>
    <t>https://zenodo.org/records/11207133</t>
  </si>
  <si>
    <t>Retrieved from: CEM_PROD xlxs / mdb</t>
  </si>
  <si>
    <t>qry_CemProdOMNIA</t>
  </si>
  <si>
    <t>Ktonnes</t>
  </si>
  <si>
    <t>GTNR (G&amp;W cement)</t>
  </si>
  <si>
    <t>OMNIA_region</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</si>
  <si>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</si>
  <si>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</si>
  <si>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</si>
  <si>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</si>
  <si>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</si>
  <si>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</si>
  <si>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</si>
  <si>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</si>
  <si>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</si>
  <si>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</si>
  <si>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</si>
  <si>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</si>
  <si>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</si>
  <si>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</si>
  <si>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</si>
  <si>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</si>
  <si>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</si>
  <si>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</si>
  <si>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</si>
  <si>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</si>
  <si>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</si>
  <si>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</si>
  <si>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</si>
  <si>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</si>
  <si>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qry_ClinkProdOMNIA</t>
  </si>
  <si>
    <t>qry_CemPrcEmisOMNIA</t>
  </si>
  <si>
    <t>region</t>
  </si>
  <si>
    <t>Internal source: DRYAD.mdb / qryCemPlant</t>
  </si>
  <si>
    <t>plant_type</t>
  </si>
  <si>
    <t>production_type</t>
  </si>
  <si>
    <t>n/a</t>
  </si>
  <si>
    <t>Source: GCCA Getting the Numbers Right Project Emission Report 2021</t>
  </si>
  <si>
    <t>Data year: 2019</t>
  </si>
  <si>
    <t>Source XLS: University College_London_GNR Report.xlsx</t>
  </si>
  <si>
    <t>Sum of Value</t>
  </si>
  <si>
    <t>Column Labels</t>
  </si>
  <si>
    <t>Row Labels</t>
  </si>
  <si>
    <t>Egypt</t>
  </si>
  <si>
    <t>EU27</t>
  </si>
  <si>
    <t>Morocco + Algeria + Tunisia</t>
  </si>
  <si>
    <t>Northeast Asia</t>
  </si>
  <si>
    <t>Philippines</t>
  </si>
  <si>
    <t>South/Latin America</t>
  </si>
  <si>
    <t>United Kingdom of Great Britain and Northern Ireland</t>
  </si>
  <si>
    <t>United States of America</t>
  </si>
  <si>
    <t>World</t>
  </si>
  <si>
    <t>21TGWcm - Total production volumes of cement | Grey and white cement (t cement)</t>
  </si>
  <si>
    <t>25aAGK - Thermal energy consumption - Weighted average | excluding drying of fuels - Grey clinker - by kiln type (MJ / t clinker)</t>
  </si>
  <si>
    <t>DRY WITH PREHEATER AND PRECALCINER</t>
  </si>
  <si>
    <t>DRY WITH PREHEATER WITHOUT PRECALCINER</t>
  </si>
  <si>
    <t>DRY WITHOUT PREHEATER (LONG DRY KILN)</t>
  </si>
  <si>
    <t>SEMI-WET/SEMI DRY</t>
  </si>
  <si>
    <t>WET / SHAFT KILN</t>
  </si>
  <si>
    <t>33AGW - Cement plant power consumption - Weighted average ( (kWh / t cement)</t>
  </si>
  <si>
    <t>33eAGW - Power consumption up to and including clinker production - Weighted average | Grey and white clinker (kWh / t clinker)</t>
  </si>
  <si>
    <t>59cAGK - Gross CO2 emissions - Weighted average | excluding CO2 from on-site power generation - Grey clinker - by kiln type (kg CO2 / t clinker)</t>
  </si>
  <si>
    <t>71AG - Net CO2 emissions - Weighted average | excluding CO2 from on-site power generation - Grey clinker (kg CO2 / t clinker)</t>
  </si>
  <si>
    <t>71AGWce - Net CO2 emissions - Weighted average | excluding CO2 from on-site power generation - Grey and white cement equivalent (kg CO2 / t cement equivalent)</t>
  </si>
  <si>
    <t>8TGK - Total production volumes of clinker | Grey cement - by kiln type (t clinker)</t>
  </si>
  <si>
    <t>MIXED KILN TYPE</t>
  </si>
  <si>
    <t>92AGW - Clinker to cementitious ratio - Weighted average | Grey and white clinker in total cements and substitutes (%)</t>
  </si>
  <si>
    <t>Thermal consumption, dry kilns (weighted average), MJ/t</t>
  </si>
  <si>
    <t>Thermal consumption, wet kilns (weighted average), MJ/t</t>
  </si>
  <si>
    <t>Electricity consumption, KWh/t</t>
  </si>
  <si>
    <t>Units</t>
  </si>
  <si>
    <t>t cement</t>
  </si>
  <si>
    <t>MJ / t clinker</t>
  </si>
  <si>
    <t>kWh / t cement</t>
  </si>
  <si>
    <t>kWh / t clinker</t>
  </si>
  <si>
    <t>kg CO2 / t clinker</t>
  </si>
  <si>
    <t>kg CO2 / t cement equivalent</t>
  </si>
  <si>
    <t>t clinker</t>
  </si>
  <si>
    <t>Source: Lerede et al (2021)</t>
  </si>
  <si>
    <t>CAPEX</t>
  </si>
  <si>
    <t>Currency</t>
  </si>
  <si>
    <t>Input</t>
  </si>
  <si>
    <t>Values (PJ)</t>
  </si>
  <si>
    <t>Output</t>
  </si>
  <si>
    <t>Values</t>
  </si>
  <si>
    <t>Dry clinker</t>
  </si>
  <si>
    <t>$2021</t>
  </si>
  <si>
    <t>Heavy fuel oil</t>
  </si>
  <si>
    <t>Clinker</t>
  </si>
  <si>
    <t>1Mt</t>
  </si>
  <si>
    <t>Process CO2</t>
  </si>
  <si>
    <t>505kt</t>
  </si>
  <si>
    <t>Wet Clinker</t>
  </si>
  <si>
    <t>Dry clinker with post combustion CCS</t>
  </si>
  <si>
    <t>Captured CO2</t>
  </si>
  <si>
    <t>835kt</t>
  </si>
  <si>
    <t>Assumes 100% capture rate for combustion and process emissions! Unrealistic</t>
  </si>
  <si>
    <t>Steam</t>
  </si>
  <si>
    <t>Machine Drive</t>
  </si>
  <si>
    <t xml:space="preserve">Dry Clinker with oxyfuel CCS </t>
  </si>
  <si>
    <t>AAC (Alkali-activated cement-based binders)</t>
  </si>
  <si>
    <t>0kt</t>
  </si>
  <si>
    <t>Assumes only combustion emissions</t>
  </si>
  <si>
    <t>Belite Cement</t>
  </si>
  <si>
    <t>Cement Blending</t>
  </si>
  <si>
    <t>0.7Mt</t>
  </si>
  <si>
    <t>Slag</t>
  </si>
  <si>
    <t>0.3Mt</t>
  </si>
  <si>
    <t>I-AL-PRI00</t>
  </si>
  <si>
    <t>IND Primary Al prod - Existing</t>
  </si>
  <si>
    <t>I-AL-SEC00</t>
  </si>
  <si>
    <t>IND Secondary Al prod - Existing</t>
  </si>
  <si>
    <t>I-NF-DMD00</t>
  </si>
  <si>
    <t>IND Non-ferrous - final demand</t>
  </si>
  <si>
    <t>PJa</t>
  </si>
  <si>
    <t>I-AL-PRIELC01</t>
  </si>
  <si>
    <t>IND Primary Al prod - Electricity</t>
  </si>
  <si>
    <t>I-AL-PRIH2G01</t>
  </si>
  <si>
    <t>IND Primary Al prod - Hydrogen</t>
  </si>
  <si>
    <t>I-AL-PRIGAS01</t>
  </si>
  <si>
    <t>IND Primary Al prod - Natural gas</t>
  </si>
  <si>
    <t>I-AL-PRIELC-CCS01</t>
  </si>
  <si>
    <t>IND Primary Al prod - Electricity CCS</t>
  </si>
  <si>
    <t>I-AL-PRIH2G-CCS01</t>
  </si>
  <si>
    <t>IND Primary Al prod - Hydrogen CCS</t>
  </si>
  <si>
    <t>I-AL-PRIELC-IN01</t>
  </si>
  <si>
    <t>IND Primary Al prod - Electricity Inert Anode</t>
  </si>
  <si>
    <t>I-AL-PRIH2G-IN01</t>
  </si>
  <si>
    <t>IND Primary Al prod - Hydrogen Inert Anode</t>
  </si>
  <si>
    <t>I-AL-SECGAS01</t>
  </si>
  <si>
    <t>IND Secondary Al prod - Natural gas</t>
  </si>
  <si>
    <t>I-AL-SECELC01</t>
  </si>
  <si>
    <t>IND Secondary Al prod - Electricity</t>
  </si>
  <si>
    <t>I-AL-SECH2G01</t>
  </si>
  <si>
    <t>IND Secondary Al prod - Hydrogen</t>
  </si>
  <si>
    <t>I-AL-IALSCRPRD</t>
  </si>
  <si>
    <t>IND Scrap Al Dummy</t>
  </si>
  <si>
    <t>I-NF-HTHCOA00</t>
  </si>
  <si>
    <t>IND Non-ferrous - High temp heat - Coal - Existing</t>
  </si>
  <si>
    <t>I-NF-HTHCOK00</t>
  </si>
  <si>
    <t>IND Non-ferrous - High temp heat - Coke - Existing</t>
  </si>
  <si>
    <t>I-NF-HTHELC00</t>
  </si>
  <si>
    <t>IND Non-ferrous - High temp heat - Electricity - Existing</t>
  </si>
  <si>
    <t>I-NF-HTHGAS00</t>
  </si>
  <si>
    <t>IND Non-ferrous - High temp heat - Natural gas - Existing</t>
  </si>
  <si>
    <t>I-NF-HTHOIL00</t>
  </si>
  <si>
    <t>IND Non-ferrous - High temp heat - Oil - Existing</t>
  </si>
  <si>
    <t>I-NF-MDRCOA00</t>
  </si>
  <si>
    <t>IND Non-ferrous - Machine drive - Coal - Existing</t>
  </si>
  <si>
    <t>I-NF-MDRCOK00</t>
  </si>
  <si>
    <t>IND Non-ferrous - Machine drive - Coake - Existing</t>
  </si>
  <si>
    <t>I-NF-MDRGAS00</t>
  </si>
  <si>
    <t>IND Non-ferrous - Machine drive - Natural gas - Existing</t>
  </si>
  <si>
    <t>I-NF-MDRELC00</t>
  </si>
  <si>
    <t>IND Non-ferrous - Machine drive - Electricity - Existing</t>
  </si>
  <si>
    <t>I-NF-MDROIL00</t>
  </si>
  <si>
    <t>IND Non-ferrous - Machine drive - Oil - Existing</t>
  </si>
  <si>
    <t>I-NF-OTHBFG00</t>
  </si>
  <si>
    <t>IND Non-ferrous - Other - Blast furnace gas - Existing</t>
  </si>
  <si>
    <t>I-NF-OTHBGS00</t>
  </si>
  <si>
    <t>IND Non-ferrous - Other - Biogas - Existing</t>
  </si>
  <si>
    <t>I-NF-OTHBIO00</t>
  </si>
  <si>
    <t>IND Non-ferrous - Other - Biomass - Existing</t>
  </si>
  <si>
    <t>I-NF-OTHBLQ00</t>
  </si>
  <si>
    <t>IND Non-ferrous - Other - Bioliquids - Existing</t>
  </si>
  <si>
    <t>I-NF-OTHCOA00</t>
  </si>
  <si>
    <t>IND Non-ferrous - Other - Coal - Existing</t>
  </si>
  <si>
    <t>I-NF-OTHCOG00</t>
  </si>
  <si>
    <t>IND Non-ferrous - Other - Coke oven gas - Existing</t>
  </si>
  <si>
    <t>I-NF-OTHCOK00</t>
  </si>
  <si>
    <t>IND Non-ferrous - Other - Coke - Existing</t>
  </si>
  <si>
    <t>I-NF-OTHELC00</t>
  </si>
  <si>
    <t>IND Non-ferrous - Other - Electricity - Existing</t>
  </si>
  <si>
    <t>I-NF-OTHGAS00</t>
  </si>
  <si>
    <t>IND Non-ferrous - Other - Natural gas - Existing</t>
  </si>
  <si>
    <t>I-NF-OTHHET00</t>
  </si>
  <si>
    <t>IND Non-ferrous - Other - Heat - Existing</t>
  </si>
  <si>
    <t>I-NF-OTHLPG00</t>
  </si>
  <si>
    <t>IND Non-ferrous - Other - LPG - Existing</t>
  </si>
  <si>
    <t>I-NF-OTHOIL00</t>
  </si>
  <si>
    <t>IND Non-ferrous - Other - Oil - Existing</t>
  </si>
  <si>
    <t>I-NF-OTHCSP00</t>
  </si>
  <si>
    <t>IND Non-ferrous - Other - CSP - Existing</t>
  </si>
  <si>
    <t>I-NF-OTHWAS00</t>
  </si>
  <si>
    <t>IND Non-ferrous - Other - Waste - Existing</t>
  </si>
  <si>
    <t>I-NF-HTHCOA01</t>
  </si>
  <si>
    <t>IND Non-ferrous - High temp heat - Coal - Ord</t>
  </si>
  <si>
    <t>I-NF-HTHELC01</t>
  </si>
  <si>
    <t>IND Non-ferrous - High temp heat - Electricity - Ord</t>
  </si>
  <si>
    <t>I-NF-HTHGAS01</t>
  </si>
  <si>
    <t>IND Non-ferrous - High temp heat - Natural gas - Ord</t>
  </si>
  <si>
    <t>I-NF-HTHOIL01</t>
  </si>
  <si>
    <t>IND Non-ferrous - High temp heat - Oil - Ord</t>
  </si>
  <si>
    <t>I-NF-HTHBIO01</t>
  </si>
  <si>
    <t>IND Non-ferrous - High temp heat - Biomass - Ord</t>
  </si>
  <si>
    <t>I-NF-HTHH2G01</t>
  </si>
  <si>
    <t>IND Non-ferrous - High temp heat - Hydrogen - Ord</t>
  </si>
  <si>
    <t>I-NF-HTHCOA02</t>
  </si>
  <si>
    <t>IND Non-ferrous - High temp heat - Coal - Adv</t>
  </si>
  <si>
    <t>I-NF-HTHELC02</t>
  </si>
  <si>
    <t>IND Non-ferrous - High temp heat - Electricity - Adv</t>
  </si>
  <si>
    <t>I-NF-HTHGAS02</t>
  </si>
  <si>
    <t>IND Non-ferrous - High temp heat - Natural gas - Adv</t>
  </si>
  <si>
    <t>I-NF-HTHOIL02</t>
  </si>
  <si>
    <t>IND Non-ferrous - High temp heat - Oil - Adv</t>
  </si>
  <si>
    <t>I-NF-HTHBIO02</t>
  </si>
  <si>
    <t>IND Non-ferrous - High temp heat - Biomass - Adv</t>
  </si>
  <si>
    <t>I-NF-HTHH2G02</t>
  </si>
  <si>
    <t>IND Non-ferrous - High temp heat - Hydrogen - Adv</t>
  </si>
  <si>
    <t>I-NF-MDRCOA01</t>
  </si>
  <si>
    <t>IND Non-ferrous - Machine drive - Coal - Ord</t>
  </si>
  <si>
    <t>I-NF-MDRGAS01</t>
  </si>
  <si>
    <t>IND Non-ferrous - Machine drive - Natural gas - Ord</t>
  </si>
  <si>
    <t>I-NF-MDRELC01</t>
  </si>
  <si>
    <t>IND Non-ferrous - Machine drive - Electricity - Ord</t>
  </si>
  <si>
    <t>I-NF-MDROIL01</t>
  </si>
  <si>
    <t>IND Non-ferrous - Machine drive - Oil - Ord</t>
  </si>
  <si>
    <t>I-NF-MDRBIO01</t>
  </si>
  <si>
    <t>IND Non-ferrous - Machine drive - Biomass - Ord</t>
  </si>
  <si>
    <t>I-NF-MDRH2G01</t>
  </si>
  <si>
    <t>IND Non-ferrous - Machine drive - Hydrogen - Ord</t>
  </si>
  <si>
    <t>I-NF-MDRCOA02</t>
  </si>
  <si>
    <t>IND Non-ferrous - Machine drive - Coal - Adv</t>
  </si>
  <si>
    <t>I-NF-MDRGAS02</t>
  </si>
  <si>
    <t>IND Non-ferrous - Machine drive - Natural gas - Adv</t>
  </si>
  <si>
    <t>I-NF-MDRELC02</t>
  </si>
  <si>
    <t>IND Non-ferrous - Machine drive - Electricity - Adv</t>
  </si>
  <si>
    <t>I-NF-MDROIL02</t>
  </si>
  <si>
    <t>IND Non-ferrous - Machine drive - Oil - Adv</t>
  </si>
  <si>
    <t>I-NF-MDRBIO02</t>
  </si>
  <si>
    <t>IND Non-ferrous - Machine drive - Biomass - Adv</t>
  </si>
  <si>
    <t>I-NF-MDRH2G02</t>
  </si>
  <si>
    <t>IND Non-ferrous - Machine drive - Hydrogen - Adv</t>
  </si>
  <si>
    <t>I-NF-OTHBGS01</t>
  </si>
  <si>
    <t>IND Non-ferrous - Other - Blast furnace gas</t>
  </si>
  <si>
    <t>I-NF-OTHBIO01</t>
  </si>
  <si>
    <t>IND Non-ferrous - Other - Biogas</t>
  </si>
  <si>
    <t>I-NF-OTHBLQ01</t>
  </si>
  <si>
    <t>IND Non-ferrous - Other - Bioliquids</t>
  </si>
  <si>
    <t>I-NF-OTHCOA01</t>
  </si>
  <si>
    <t>IND Non-ferrous - Other - Coal</t>
  </si>
  <si>
    <t>I-NF-OTHELC01</t>
  </si>
  <si>
    <t>IND Non-ferrous - Other - Electricity</t>
  </si>
  <si>
    <t>I-NF-OTHGAS01</t>
  </si>
  <si>
    <t>IND Non-ferrous - Other - Natural gas</t>
  </si>
  <si>
    <t>I-NF-OTHLPG01</t>
  </si>
  <si>
    <t>IND Non-ferrous - Other - LPG</t>
  </si>
  <si>
    <t>I-NF-OTHOIL01</t>
  </si>
  <si>
    <t>IND Non-ferrous - Other - Oil</t>
  </si>
  <si>
    <t>I-NF-OTHH2G01</t>
  </si>
  <si>
    <t>IND Non-ferrous - Other - Hydrogen</t>
  </si>
  <si>
    <t>IAL</t>
  </si>
  <si>
    <t>Other non-ferrous</t>
  </si>
  <si>
    <t>IALSCR</t>
  </si>
  <si>
    <t>Scrap aluminium</t>
  </si>
  <si>
    <t>INFHTH</t>
  </si>
  <si>
    <t>Other Non Ferrous Metals High Temperature Heat</t>
  </si>
  <si>
    <t>INFMDR</t>
  </si>
  <si>
    <t>Other Non Ferrous Metals Machine Drive</t>
  </si>
  <si>
    <t>INFOTH</t>
  </si>
  <si>
    <t>Other Non Ferrous Metals Other Processes</t>
  </si>
  <si>
    <t>Calibration table</t>
  </si>
  <si>
    <t>INF Energy balance</t>
  </si>
  <si>
    <t>INF Energy balance NET (EB - modelled energy consumption)</t>
  </si>
  <si>
    <t>Sub-sector</t>
  </si>
  <si>
    <t>Final energy consumption Aluminium</t>
  </si>
  <si>
    <t>Initial industry n.e.s balance</t>
  </si>
  <si>
    <t>Other NF</t>
  </si>
  <si>
    <t>Final industry n.e.s balance</t>
  </si>
  <si>
    <t>Final energy consumption Other non-ferrous</t>
  </si>
  <si>
    <t>Energy Service</t>
  </si>
  <si>
    <t>Demand for industry (IND): Aluminium</t>
  </si>
  <si>
    <t>Demand for industry (IND): Other non-ferrous</t>
  </si>
  <si>
    <t>Production (Mt)</t>
  </si>
  <si>
    <t>Primary</t>
  </si>
  <si>
    <t>Secondary</t>
  </si>
  <si>
    <t>Production share</t>
  </si>
  <si>
    <t>Seconday</t>
  </si>
  <si>
    <t>LIFE</t>
  </si>
  <si>
    <t>ENV_ACT~INDCO2p</t>
  </si>
  <si>
    <t>PRC_RESID~2019</t>
  </si>
  <si>
    <t>Other Non-ferrous Metals</t>
  </si>
  <si>
    <t>Energy service demand</t>
  </si>
  <si>
    <t>* Other Non-Ferrous Metals HTH</t>
  </si>
  <si>
    <t>Final energy consumption (fuel/service)</t>
  </si>
  <si>
    <t>* Other Non-Ferrous Metals MDR</t>
  </si>
  <si>
    <t>* Other Non-Ferrous Metals OTH</t>
  </si>
  <si>
    <t>* Primary production routes</t>
  </si>
  <si>
    <t>VAROM</t>
  </si>
  <si>
    <t>* Secondary production routes</t>
  </si>
  <si>
    <t>Other non-ferrous metals</t>
  </si>
  <si>
    <t>Aluminium scrap availability</t>
  </si>
  <si>
    <t>TFM_INS</t>
  </si>
  <si>
    <t>TimeSlice</t>
  </si>
  <si>
    <t>Pset_PN</t>
  </si>
  <si>
    <t>ANNUAL</t>
  </si>
  <si>
    <t>ACT_BND</t>
  </si>
  <si>
    <t>Aluminium share of production from secondary</t>
  </si>
  <si>
    <t>UC_Sets: R_E: AllRegions</t>
  </si>
  <si>
    <t>UC_T</t>
  </si>
  <si>
    <t>UC_N</t>
  </si>
  <si>
    <t>Cset_CN</t>
  </si>
  <si>
    <t>UC_RHSRTS</t>
  </si>
  <si>
    <t>UC_RHSRTS~0</t>
  </si>
  <si>
    <t>UC_Desc</t>
  </si>
  <si>
    <t>UC_INF_MaxSecPrd</t>
  </si>
  <si>
    <t>I-AL-PRI*</t>
  </si>
  <si>
    <t>Share of secondary production in total prod</t>
  </si>
  <si>
    <t>I-AL-SEC*</t>
  </si>
  <si>
    <t>Growth in new aluminium production techs</t>
  </si>
  <si>
    <t>UC_ATTR~RHS</t>
  </si>
  <si>
    <t>UC_ACT~RHS</t>
  </si>
  <si>
    <t>UC_ACT~LHS</t>
  </si>
  <si>
    <t>UC_RHSRTS~AFE~2019</t>
  </si>
  <si>
    <t>UC_RHSRTS~AFN~2019</t>
  </si>
  <si>
    <t>UC_RHSRTS~AFW~2019</t>
  </si>
  <si>
    <t>UC_RHSRTS~AFZ~2019</t>
  </si>
  <si>
    <t>UC_RHSRTS~ANZ~2019</t>
  </si>
  <si>
    <t>UC_RHSRTS~ASC~2019</t>
  </si>
  <si>
    <t>UC_RHSRTS~ASE~2019</t>
  </si>
  <si>
    <t>UC_RHSRTS~ASO~2019</t>
  </si>
  <si>
    <t>UC_RHSRTS~BRA~2019</t>
  </si>
  <si>
    <t>UC_RHSRTS~CAN~2019</t>
  </si>
  <si>
    <t>UC_RHSRTS~CHL~2019</t>
  </si>
  <si>
    <t>UC_RHSRTS~CHN~2019</t>
  </si>
  <si>
    <t>UC_RHSRTS~ENE~2019</t>
  </si>
  <si>
    <t>UC_RHSRTS~ENW~2019</t>
  </si>
  <si>
    <t>UC_RHSRTS~EUE~2019</t>
  </si>
  <si>
    <t>UC_RHSRTS~EUM~2019</t>
  </si>
  <si>
    <t>UC_RHSRTS~EUW~2019</t>
  </si>
  <si>
    <t>UC_RHSRTS~IDN~2019</t>
  </si>
  <si>
    <t>UC_RHSRTS~IND~2019</t>
  </si>
  <si>
    <t>UC_RHSRTS~JPN~2019</t>
  </si>
  <si>
    <t>UC_RHSRTS~LAM~2019</t>
  </si>
  <si>
    <t>UC_RHSRTS~MDA~2019</t>
  </si>
  <si>
    <t>UC_RHSRTS~MEA~2019</t>
  </si>
  <si>
    <t>UC_RHSRTS~MEX~2019</t>
  </si>
  <si>
    <t>UC_RHSRTS~NIG~2019</t>
  </si>
  <si>
    <t>UC_RHSRTS~RUS~2019</t>
  </si>
  <si>
    <t>UC_RHSRTS~SKT~2019</t>
  </si>
  <si>
    <t>UC_RHSRTS~USA~2019</t>
  </si>
  <si>
    <t>ACT,GROWTH</t>
  </si>
  <si>
    <t>Max growth of I-AL-PRIELC01</t>
  </si>
  <si>
    <t>Max growth of I-AL-PRIH2G01</t>
  </si>
  <si>
    <t>Max growth of I-AL-PRIGAS01</t>
  </si>
  <si>
    <t>Max growth of I-AL-PRIELC-CCS01</t>
  </si>
  <si>
    <t>Max growth of I-AL-PRIH2G-CCS01</t>
  </si>
  <si>
    <t>Max growth of I-AL-PRIELC-IN01</t>
  </si>
  <si>
    <t>Max growth of I-AL-PRIH2G-IN01</t>
  </si>
  <si>
    <t>Max growth of I-AL-SECGAS01</t>
  </si>
  <si>
    <t>Max growth of I-AL-SECELC01</t>
  </si>
  <si>
    <t>Max growth of I-AL-SECH2G01</t>
  </si>
  <si>
    <t>SCRAP constraint</t>
  </si>
  <si>
    <t>Step 1: Determine scrap number based on running the model (it should match the calibrated number, in column F)</t>
  </si>
  <si>
    <t>Table Name: scrap</t>
  </si>
  <si>
    <t xml:space="preserve">Active Unit:  </t>
  </si>
  <si>
    <t>Scenario</t>
  </si>
  <si>
    <t>Region</t>
  </si>
  <si>
    <t>Process\Period</t>
  </si>
  <si>
    <t>From Bataille et al. 2021 (as used in Pye et al. 2022)</t>
  </si>
  <si>
    <t>From Bataille et al. 2024</t>
  </si>
  <si>
    <t>[REF]</t>
  </si>
  <si>
    <t>Prompt and EOL</t>
  </si>
  <si>
    <t>Annual growth</t>
  </si>
  <si>
    <t>Wang et al</t>
  </si>
  <si>
    <t>IEA NZ</t>
  </si>
  <si>
    <t>Xylia et al</t>
  </si>
  <si>
    <t>IEA NZE</t>
  </si>
  <si>
    <t>Sees 53% of steel production from EAF</t>
  </si>
  <si>
    <t>Mt Scrap</t>
  </si>
  <si>
    <t>This has good agreement with IEA value in cell L14</t>
  </si>
  <si>
    <t>Step 2: Assume some level of growth in scrap levels</t>
  </si>
  <si>
    <t>Determine scrap growth rate for different countries</t>
  </si>
  <si>
    <t>For example (used in Pye et al) split regions in the following</t>
  </si>
  <si>
    <t>DEV</t>
  </si>
  <si>
    <t>EMERG</t>
  </si>
  <si>
    <t>Then allocate high / lower than global rates e.g. DEV get higher, OECD lower</t>
  </si>
  <si>
    <t>[This has not been developed further as we need to discuss with ENGAGE team]</t>
  </si>
  <si>
    <t>Step 3: Assume two levels of constraint</t>
  </si>
  <si>
    <t>i. Global - this caps the total global supply</t>
  </si>
  <si>
    <t>ii. Regional - this assume a min. level by region, the aggregate of which is lower than 'Global'. This means that regions have the flexbility to gain more scrap as needed (without explicit modelling of trade)</t>
  </si>
  <si>
    <t>New Tech Growth constraints</t>
  </si>
  <si>
    <t>Primary production energy use (2019)</t>
  </si>
  <si>
    <t>Data source: S1</t>
  </si>
  <si>
    <t>Refining</t>
  </si>
  <si>
    <t>Anode</t>
  </si>
  <si>
    <t>Electrolysis</t>
  </si>
  <si>
    <t>Casting</t>
  </si>
  <si>
    <t>GLO</t>
  </si>
  <si>
    <t>SAM</t>
  </si>
  <si>
    <t>OCA</t>
  </si>
  <si>
    <t>NAM</t>
  </si>
  <si>
    <t>EUR</t>
  </si>
  <si>
    <t>GCC</t>
  </si>
  <si>
    <t>ROE</t>
  </si>
  <si>
    <t>AFR</t>
  </si>
  <si>
    <t>OAS</t>
  </si>
  <si>
    <t>CNA</t>
  </si>
  <si>
    <t>of which CAN</t>
  </si>
  <si>
    <t>CIS</t>
  </si>
  <si>
    <t>Heavy oil</t>
  </si>
  <si>
    <t>Diesel oil</t>
  </si>
  <si>
    <t>Other</t>
  </si>
  <si>
    <t>Total energy use per tonne</t>
  </si>
  <si>
    <t>Total process energy shares</t>
  </si>
  <si>
    <t>RUS is set to use CAN 2019 energy mix because of issues with UN energy balance (i.e. RUS only has electricity in INF balance and insufficient N.E.S energy to cover the remainder).</t>
  </si>
  <si>
    <t>Final energy PJ/Mt</t>
  </si>
  <si>
    <t>IAI total</t>
  </si>
  <si>
    <t>tScrap/tAl</t>
  </si>
  <si>
    <t>Thermal (assumed NGA)</t>
  </si>
  <si>
    <t>Scrap</t>
  </si>
  <si>
    <t>Thermal efficiency</t>
  </si>
  <si>
    <t>Table 6 from S2</t>
  </si>
  <si>
    <t>Rescaled to match IAI total energy instensity</t>
  </si>
  <si>
    <t>Thermal</t>
  </si>
  <si>
    <t xml:space="preserve">Source </t>
  </si>
  <si>
    <t>Table 9 S3</t>
  </si>
  <si>
    <t>Scrap per tonne of produced Al</t>
  </si>
  <si>
    <t>Future production energy use</t>
  </si>
  <si>
    <t>Assumed thermal efficiencies</t>
  </si>
  <si>
    <t>Expert judgement</t>
  </si>
  <si>
    <t>Anode production</t>
  </si>
  <si>
    <t>Assumed useful energy use</t>
  </si>
  <si>
    <t>Electric</t>
  </si>
  <si>
    <t>Electric anode production</t>
  </si>
  <si>
    <t>HH</t>
  </si>
  <si>
    <t>Electric casting</t>
  </si>
  <si>
    <t>H2 refining</t>
  </si>
  <si>
    <t>H2 anode prod</t>
  </si>
  <si>
    <t>HH+CCS</t>
  </si>
  <si>
    <t>H2 casting</t>
  </si>
  <si>
    <t>CCS of process CO2 consumes an extra 0.2 MWh/t or 0.72 GJ/t of Alu</t>
  </si>
  <si>
    <t>Gas refining</t>
  </si>
  <si>
    <t>Gas anode prod</t>
  </si>
  <si>
    <t>Gas casting</t>
  </si>
  <si>
    <t>Coal refining</t>
  </si>
  <si>
    <t>Final tech options energy use</t>
  </si>
  <si>
    <t>H2</t>
  </si>
  <si>
    <t>Electric+CCS</t>
  </si>
  <si>
    <t>H2+CCS</t>
  </si>
  <si>
    <t>Electric+Inert</t>
  </si>
  <si>
    <t>H2+Inert</t>
  </si>
  <si>
    <t>Primary Production data</t>
  </si>
  <si>
    <t>Primary Production (USGS)</t>
  </si>
  <si>
    <t>Country or locality</t>
  </si>
  <si>
    <t>Argentina</t>
  </si>
  <si>
    <t>Australia</t>
  </si>
  <si>
    <t>Azerbaijan</t>
  </si>
  <si>
    <t>USGS</t>
  </si>
  <si>
    <t>Bahrain</t>
  </si>
  <si>
    <t>MFA (AI)</t>
  </si>
  <si>
    <t>Bosnia and Herzegovina</t>
  </si>
  <si>
    <t>Cameroon</t>
  </si>
  <si>
    <t>France</t>
  </si>
  <si>
    <t>Germany</t>
  </si>
  <si>
    <t>Ghana</t>
  </si>
  <si>
    <t>Greece</t>
  </si>
  <si>
    <t>Iceland</t>
  </si>
  <si>
    <t>Indonesia</t>
  </si>
  <si>
    <t>Iran</t>
  </si>
  <si>
    <t>Kazakhstan</t>
  </si>
  <si>
    <t>Malaysia</t>
  </si>
  <si>
    <t>Montenegro</t>
  </si>
  <si>
    <t>Mozambique</t>
  </si>
  <si>
    <t>Netherlands</t>
  </si>
  <si>
    <t>New Zealand</t>
  </si>
  <si>
    <t>Norway</t>
  </si>
  <si>
    <t>Oman</t>
  </si>
  <si>
    <t>Qatar</t>
  </si>
  <si>
    <t>Romania</t>
  </si>
  <si>
    <t>Russia</t>
  </si>
  <si>
    <t>Saudi Arabia</t>
  </si>
  <si>
    <t>Slovakia</t>
  </si>
  <si>
    <t>Slovenia</t>
  </si>
  <si>
    <t>South Africa</t>
  </si>
  <si>
    <t>Spain</t>
  </si>
  <si>
    <t>Sweden</t>
  </si>
  <si>
    <t>Tajikistan</t>
  </si>
  <si>
    <t>Turkey</t>
  </si>
  <si>
    <t>United Arab Emirates</t>
  </si>
  <si>
    <t>United Kingdom</t>
  </si>
  <si>
    <t>Venezuela</t>
  </si>
  <si>
    <t>Secondary Production data (2019)</t>
  </si>
  <si>
    <t>Date</t>
  </si>
  <si>
    <t>Author</t>
  </si>
  <si>
    <t>Change</t>
  </si>
  <si>
    <t>James Price</t>
  </si>
  <si>
    <t>Switched to using UCL internal MFA data for secondary, old approach based on Alucycle below</t>
  </si>
  <si>
    <t>Methodology:</t>
  </si>
  <si>
    <t>1) For individual countries in alucycle data, take these unadjusted. Also do this for their Middle East region to OMNIA MEA</t>
  </si>
  <si>
    <t>2) For North America, trust USGS is correct for US, subtract this off and give all remaining production to Canada. Mexico assumed to have 0 secondary (I think this is wrong - JP).</t>
  </si>
  <si>
    <t>3) For Europe, Other Asia, South America and Other Producers, use USGS/World Bureau of Metal Statistics (via statista where available) secondary data to compute share of total per country and then split Alucycle data out using this. Reaggregate to OMNIA regions</t>
  </si>
  <si>
    <t>Issues:</t>
  </si>
  <si>
    <t>1) USGS data is rough in places. E.g., has no secondary production for Brazil in South America summary but does in country level spreadsheet.</t>
  </si>
  <si>
    <t>2) Some disagreement between USGS and World Bureau in places</t>
  </si>
  <si>
    <t>Secondary Production</t>
  </si>
  <si>
    <t>Allocated</t>
  </si>
  <si>
    <t>x</t>
  </si>
  <si>
    <t>Europe</t>
  </si>
  <si>
    <t>Alucycle</t>
  </si>
  <si>
    <t>Middle East</t>
  </si>
  <si>
    <t>Non producer</t>
  </si>
  <si>
    <t>North America</t>
  </si>
  <si>
    <t>Other Asia</t>
  </si>
  <si>
    <t>Other Producers</t>
  </si>
  <si>
    <t>Oceania</t>
  </si>
  <si>
    <t>South America</t>
  </si>
  <si>
    <t>US</t>
  </si>
  <si>
    <t>S5 secondary production by country</t>
  </si>
  <si>
    <t>United States:</t>
  </si>
  <si>
    <t>Primary production:</t>
  </si>
  <si>
    <t>Quantity</t>
  </si>
  <si>
    <r>
      <t>Secondary recovery:</t>
    </r>
    <r>
      <rPr>
        <vertAlign val="superscript"/>
        <sz val="8"/>
        <rFont val="Times New Roman"/>
        <family val="1"/>
      </rPr>
      <t>4</t>
    </r>
  </si>
  <si>
    <t>New scrap</t>
  </si>
  <si>
    <t>Old scrap</t>
  </si>
  <si>
    <t>USGS Secondary</t>
  </si>
  <si>
    <t>Secondary from S7</t>
  </si>
  <si>
    <t>No</t>
  </si>
  <si>
    <t>Pakistan</t>
  </si>
  <si>
    <t>Singapore</t>
  </si>
  <si>
    <t>South Korea</t>
  </si>
  <si>
    <t>Taiwan</t>
  </si>
  <si>
    <t>Thailand</t>
  </si>
  <si>
    <t>Vietnam</t>
  </si>
  <si>
    <t>Latin/South America</t>
  </si>
  <si>
    <t>Dominican Republic</t>
  </si>
  <si>
    <t>Guyana</t>
  </si>
  <si>
    <t>Haiti</t>
  </si>
  <si>
    <t>Jamaica</t>
  </si>
  <si>
    <t>Suriname</t>
  </si>
  <si>
    <t>Other Producing Countries</t>
  </si>
  <si>
    <t>Guinea</t>
  </si>
  <si>
    <t>Sierra Leone</t>
  </si>
  <si>
    <t>Solomon Islands</t>
  </si>
  <si>
    <t>Tanzania</t>
  </si>
  <si>
    <t>Zimbabwe</t>
  </si>
  <si>
    <t>USGS for Europe (2019)</t>
  </si>
  <si>
    <t>Country</t>
  </si>
  <si>
    <t>Albania</t>
  </si>
  <si>
    <t>Armenia</t>
  </si>
  <si>
    <t>Austria</t>
  </si>
  <si>
    <t>Belarus</t>
  </si>
  <si>
    <t>Belgium</t>
  </si>
  <si>
    <t>Bulgaria</t>
  </si>
  <si>
    <t>Croatia</t>
  </si>
  <si>
    <t>Cyprus</t>
  </si>
  <si>
    <t>Czechia</t>
  </si>
  <si>
    <t>Denmark</t>
  </si>
  <si>
    <t>Estonia</t>
  </si>
  <si>
    <t>Finland</t>
  </si>
  <si>
    <t>Georgia</t>
  </si>
  <si>
    <t>Hungary</t>
  </si>
  <si>
    <t>Ireland</t>
  </si>
  <si>
    <t>Italy</t>
  </si>
  <si>
    <t>Kosovo</t>
  </si>
  <si>
    <t>Kyrgyzstan</t>
  </si>
  <si>
    <t>Latvia</t>
  </si>
  <si>
    <t>Lithuania</t>
  </si>
  <si>
    <t>Luxembourg</t>
  </si>
  <si>
    <t>Malta</t>
  </si>
  <si>
    <t>Moldova</t>
  </si>
  <si>
    <t>North Macedonia</t>
  </si>
  <si>
    <t>Poland</t>
  </si>
  <si>
    <t>Portugal</t>
  </si>
  <si>
    <t>Serbia</t>
  </si>
  <si>
    <t>Switzerland</t>
  </si>
  <si>
    <t>Turkmenistan</t>
  </si>
  <si>
    <t>Ukraine</t>
  </si>
  <si>
    <t>Uzbekistan</t>
  </si>
  <si>
    <t>Costs and emissions</t>
  </si>
  <si>
    <t>Primary production routes</t>
  </si>
  <si>
    <t>Units:</t>
  </si>
  <si>
    <t>2020$/t alumina</t>
  </si>
  <si>
    <t>2019$/t alu</t>
  </si>
  <si>
    <t>Cost source:</t>
  </si>
  <si>
    <t>Tech</t>
  </si>
  <si>
    <t>Capex</t>
  </si>
  <si>
    <t>Fixed O&amp;M</t>
  </si>
  <si>
    <t>Variable O&amp;M</t>
  </si>
  <si>
    <t>Gas Boiler</t>
  </si>
  <si>
    <t>Electric boiler</t>
  </si>
  <si>
    <t>H2 boiler</t>
  </si>
  <si>
    <t>Fossil Calciner</t>
  </si>
  <si>
    <t>Electric Calciner</t>
  </si>
  <si>
    <t>H2 Calciner</t>
  </si>
  <si>
    <t>Smelting</t>
  </si>
  <si>
    <t>2020$/t alu</t>
  </si>
  <si>
    <t>HH+Inert</t>
  </si>
  <si>
    <t>Labeled as Total opex in MPP report</t>
  </si>
  <si>
    <t>JP cost assignment</t>
  </si>
  <si>
    <t>HH &amp; HH+CCS</t>
  </si>
  <si>
    <t>Variable</t>
  </si>
  <si>
    <t>Fixed</t>
  </si>
  <si>
    <t>Labour</t>
  </si>
  <si>
    <t>Other costs</t>
  </si>
  <si>
    <t>CCS O&amp;M</t>
  </si>
  <si>
    <t>Units: 2022 EUR/t alu</t>
  </si>
  <si>
    <t>Cost source: S2</t>
  </si>
  <si>
    <t>Fossil furnace</t>
  </si>
  <si>
    <t>Electric furnace</t>
  </si>
  <si>
    <t>H2 furnace</t>
  </si>
  <si>
    <t>Total costs</t>
  </si>
  <si>
    <t>Units: M 2019$/Mt</t>
  </si>
  <si>
    <t>Secondary production routes</t>
  </si>
  <si>
    <t>Remelting</t>
  </si>
  <si>
    <t>Scrap costs</t>
  </si>
  <si>
    <t>Source: UCL MFA</t>
  </si>
  <si>
    <t>scrap price $/kg</t>
  </si>
  <si>
    <t>EU</t>
  </si>
  <si>
    <t>SA</t>
  </si>
  <si>
    <t>NA</t>
  </si>
  <si>
    <t>UK</t>
  </si>
  <si>
    <t>OA</t>
  </si>
  <si>
    <t>ME</t>
  </si>
  <si>
    <t>OP</t>
  </si>
  <si>
    <t>tCO2/t Alu</t>
  </si>
  <si>
    <t>Anode process CO2</t>
  </si>
  <si>
    <t>Anode production process CO2</t>
  </si>
  <si>
    <t>CCS CO2 residual</t>
  </si>
  <si>
    <t>Other Non-ferrous</t>
  </si>
  <si>
    <t>Process</t>
  </si>
  <si>
    <t>Capex (£2017/kW)</t>
  </si>
  <si>
    <t>Capex (m$2019/PJa)</t>
  </si>
  <si>
    <t>Capex (EUR2015/kW)</t>
  </si>
  <si>
    <t>Based on Motor midsize in source</t>
  </si>
  <si>
    <t>All</t>
  </si>
  <si>
    <t>Based on average of "Horizontal processes" in source</t>
  </si>
  <si>
    <t>ENV_ACT</t>
  </si>
  <si>
    <t>GASBFG</t>
  </si>
  <si>
    <t>kt/Mt</t>
  </si>
  <si>
    <t>Uses the value from CHN as the basis for BFG generation (note the wide variation in regional base year values)</t>
  </si>
  <si>
    <t>ktCO2/Mt</t>
  </si>
  <si>
    <t>Check BFG total / EnBal</t>
  </si>
  <si>
    <t>BFG IIS use</t>
  </si>
  <si>
    <t>BFG non-IIS use</t>
  </si>
  <si>
    <t>KtCO2/PJ  for combustion of BFG (as a final energy commodity in the process)</t>
  </si>
  <si>
    <t>Efficiency penalty</t>
  </si>
  <si>
    <t>Emission factor</t>
  </si>
  <si>
    <t>Blast funace own consumption</t>
  </si>
  <si>
    <t>BFG IIS own use</t>
  </si>
  <si>
    <t>OILHFO</t>
  </si>
  <si>
    <t>INDCO2c</t>
  </si>
  <si>
    <t>Carbon dioxide from combustion</t>
  </si>
  <si>
    <t>KtCO2/Mt of steel (calibration factor for iron and steel process emissions)</t>
  </si>
  <si>
    <t>LOG TABLE</t>
  </si>
  <si>
    <t>TAB</t>
  </si>
  <si>
    <t>CELL(s)</t>
  </si>
  <si>
    <t>Description of the change</t>
  </si>
  <si>
    <t>AF29</t>
  </si>
  <si>
    <t>Round very small number for INDELC in MEA to 0</t>
  </si>
  <si>
    <t>T460-T462</t>
  </si>
  <si>
    <t>Change INDELC share to 100% from 0%</t>
  </si>
  <si>
    <t>T472,T484,T496</t>
  </si>
  <si>
    <t>G170-AH170</t>
  </si>
  <si>
    <t>G229-AH229</t>
  </si>
  <si>
    <t>Rounded primary IAL demands to minimum 1kt</t>
  </si>
  <si>
    <t>Rounded secondary IAL demands to minimum 1kt</t>
  </si>
  <si>
    <t>Electricity check</t>
  </si>
  <si>
    <t>30% assumed to be apportioned to kilns</t>
  </si>
  <si>
    <t>J34-AK34</t>
  </si>
  <si>
    <t>Corrected formula to point to correct values</t>
  </si>
  <si>
    <t xml:space="preserve">E128-AF128, E147-AF147 </t>
  </si>
  <si>
    <t>Electricity intensity factors corrected to account for assumed split between dry and wet kilns</t>
  </si>
  <si>
    <t>E121:AF135 &amp; E140:AF154</t>
  </si>
  <si>
    <t>Calculations adjusted slightly to ensure full calibration, using the clinker production value in row 35, not row 31</t>
  </si>
  <si>
    <t>Electricity intensity factors corrected to factor in clinker (not cement) production</t>
  </si>
  <si>
    <t>Rest allocated to wet kilns</t>
  </si>
  <si>
    <t>95% allocated to dry kilns</t>
  </si>
  <si>
    <t>G232-AH232</t>
  </si>
  <si>
    <t>Updated regional secondary aluminium production in base year to align with ENGAGE. Only minor changes</t>
  </si>
  <si>
    <t>China (CHN) </t>
  </si>
  <si>
    <t>Europe (EU) </t>
  </si>
  <si>
    <t>United Kingdom (UK) </t>
  </si>
  <si>
    <t>North America (NA) </t>
  </si>
  <si>
    <t>South America (SA) </t>
  </si>
  <si>
    <t>Japan (JPN) </t>
  </si>
  <si>
    <t>Other Asia (OA) </t>
  </si>
  <si>
    <t>Middle East (ME) </t>
  </si>
  <si>
    <t>Other Producers (OP) </t>
  </si>
  <si>
    <t>ACT_COST</t>
  </si>
  <si>
    <t>Rows 437-449</t>
  </si>
  <si>
    <t>Add new/adjust aluminium scrap cost data</t>
  </si>
  <si>
    <t>F147-AI147</t>
  </si>
  <si>
    <t>Add ACT_COST for aluminium scrap</t>
  </si>
  <si>
    <t>H97:AI99</t>
  </si>
  <si>
    <t>Reallocate OIL shares across INFHTH, INFMDR, INFOTH from 0.9, 0, 0.1 to 0.8, 0.1, 0.1</t>
  </si>
  <si>
    <t>E8:Q35</t>
  </si>
  <si>
    <t>Updated table with revised data from PIOLAB to improve matching with WSA data</t>
  </si>
  <si>
    <t>Y220</t>
  </si>
  <si>
    <t>Small number set to 0</t>
  </si>
  <si>
    <t>Removed ROUND function (now in line with close cells)</t>
  </si>
  <si>
    <t>REMOVE</t>
  </si>
  <si>
    <t>J68:AK69</t>
  </si>
  <si>
    <t>H146:AI146</t>
  </si>
  <si>
    <t>Aluminium scrap price set to 0 (ACT_COST)</t>
  </si>
  <si>
    <t>Steel scrap price set to 0 (COST)</t>
  </si>
  <si>
    <t>K85:87</t>
  </si>
  <si>
    <t>Hardcoded fix was no more working with new EB (see log 06/11). Restored the shares we were getting before EB update.</t>
  </si>
  <si>
    <t>G17:G20</t>
  </si>
  <si>
    <t>Initial year for steel techs with CCS 2035 instead of 2030</t>
  </si>
  <si>
    <t>Nigeria biomass consumption updated</t>
  </si>
  <si>
    <t>Enabled (0%-&gt;100%) OIL techs in Table 16 fuel shares for ASO - previously set to 100%</t>
  </si>
  <si>
    <t>INDGEO</t>
  </si>
  <si>
    <t>INDHET,INGEO</t>
  </si>
  <si>
    <t>I-NF-OTHGEO00</t>
  </si>
  <si>
    <t>I-NF-OTHGEO01</t>
  </si>
  <si>
    <t>IND Non-ferrous - Other - GEOermal</t>
  </si>
  <si>
    <t>IND Non-ferrous - Other - GEO thermal - Existing</t>
  </si>
  <si>
    <t>Taiwan+Kor</t>
  </si>
  <si>
    <t>INDGEOTH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</si>
</sst>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0.0"/>
    <numFmt numFmtId="166" formatCode="\ [$]mm/yyyy"/>
    <numFmt numFmtId="167" formatCode="\Te\x\t"/>
    <numFmt numFmtId="168" formatCode="0.0%"/>
    <numFmt numFmtId="169" formatCode="_-* #,##0_-;\-* #,##0_-;_-* &quot;-&quot;??_-;_-@_-"/>
    <numFmt numFmtId="170" formatCode="0.000"/>
    <numFmt numFmtId="171" formatCode="#,##0.0"/>
    <numFmt numFmtId="172" formatCode="0.000%"/>
    <numFmt numFmtId="173" formatCode="&quot;$&quot;#,##0"/>
    <numFmt numFmtId="174" formatCode="0.0000E+00"/>
    <numFmt numFmtId="175" formatCode="0.0000"/>
    <numFmt numFmtId="176" formatCode="#,##0.000"/>
    <numFmt numFmtId="177" formatCode="#,##0_ ;\-#,##0\ "/>
    <numFmt numFmtId="178" formatCode="_-* #,##0.000_-;\-* #,##0.000_-;_-* &quot;-&quot;??_-;_-@_-"/>
  </numFmts>
  <fonts count="91"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u/>
      <sz val="11"/>
      <name val="Calibri"/>
      <family val="2"/>
      <scheme val="minor"/>
    </font>
    <font>
      <u/>
      <sz val="11"/>
      <color theme="10"/>
      <name val="Calibri"/>
      <family val="2"/>
      <scheme val="minor"/>
    </font>
    <font>
      <sz val="11"/>
      <name val="Calibri"/>
      <family val="2"/>
      <scheme val="minor"/>
    </font>
    <font>
      <b/>
      <sz val="18"/>
      <color theme="1"/>
      <name val="Calibri"/>
      <family val="2"/>
      <scheme val="minor"/>
    </font>
    <font>
      <b/>
      <sz val="16"/>
      <color theme="1"/>
      <name val="Calibri"/>
      <family val="2"/>
      <scheme val="minor"/>
    </font>
    <font>
      <b/>
      <sz val="14"/>
      <color theme="0"/>
      <name val="Calibri"/>
      <family val="2"/>
      <scheme val="minor"/>
    </font>
    <font>
      <sz val="10"/>
      <name val="Arial"/>
      <family val="2"/>
    </font>
    <font>
      <b/>
      <sz val="9"/>
      <color indexed="81"/>
      <name val="Tahoma"/>
      <family val="2"/>
    </font>
    <font>
      <sz val="9"/>
      <color indexed="81"/>
      <name val="Tahoma"/>
      <family val="2"/>
    </font>
    <font>
      <sz val="11"/>
      <color theme="1"/>
      <name val="Calibri"/>
      <family val="2"/>
      <charset val="162"/>
      <scheme val="minor"/>
    </font>
    <font>
      <sz val="11"/>
      <color indexed="8"/>
      <name val="Calibri"/>
      <family val="2"/>
    </font>
    <font>
      <b/>
      <sz val="11"/>
      <name val="Calibri"/>
      <family val="2"/>
      <scheme val="minor"/>
    </font>
    <font>
      <b/>
      <sz val="14"/>
      <color theme="1"/>
      <name val="Calibri"/>
      <family val="2"/>
      <scheme val="minor"/>
    </font>
    <font>
      <sz val="10"/>
      <color theme="1"/>
      <name val="Calibri"/>
      <family val="2"/>
      <scheme val="minor"/>
    </font>
    <font>
      <sz val="11"/>
      <name val="Calibri"/>
      <family val="2"/>
    </font>
    <font>
      <sz val="10"/>
      <color rgb="FF000000"/>
      <name val="Arial"/>
      <family val="2"/>
    </font>
    <font>
      <sz val="12"/>
      <color theme="1"/>
      <name val="Calibri"/>
      <family val="2"/>
      <scheme val="minor"/>
    </font>
    <font>
      <sz val="8"/>
      <name val="Times"/>
    </font>
    <font>
      <sz val="11"/>
      <color rgb="FF000000"/>
      <name val="Calibri"/>
      <family val="2"/>
    </font>
    <font>
      <sz val="11"/>
      <color theme="1"/>
      <name val="Calibri"/>
      <family val="2"/>
    </font>
    <font>
      <b/>
      <sz val="12"/>
      <color theme="1"/>
      <name val="Calibri"/>
      <family val="2"/>
      <scheme val="minor"/>
    </font>
    <font>
      <b/>
      <u/>
      <sz val="11"/>
      <color theme="3"/>
      <name val="Calibri"/>
      <family val="2"/>
      <scheme val="minor"/>
    </font>
    <font>
      <sz val="11"/>
      <color theme="3"/>
      <name val="Calibri"/>
      <family val="2"/>
      <scheme val="minor"/>
    </font>
    <font>
      <i/>
      <sz val="12"/>
      <color theme="1"/>
      <name val="Calibri"/>
      <family val="2"/>
      <scheme val="minor"/>
    </font>
    <font>
      <vertAlign val="subscript"/>
      <sz val="11"/>
      <color theme="1"/>
      <name val="Calibri"/>
      <family val="2"/>
      <scheme val="minor"/>
    </font>
    <font>
      <b/>
      <sz val="11"/>
      <color indexed="12"/>
      <name val="Calibri"/>
      <family val="2"/>
      <scheme val="minor"/>
    </font>
    <font>
      <sz val="8"/>
      <color indexed="81"/>
      <name val="Tahoma"/>
      <family val="2"/>
    </font>
    <font>
      <b/>
      <sz val="8"/>
      <color indexed="81"/>
      <name val="Tahoma"/>
      <family val="2"/>
    </font>
    <font>
      <b/>
      <sz val="10"/>
      <color theme="1"/>
      <name val="Calibri"/>
      <family val="2"/>
      <scheme val="minor"/>
    </font>
    <font>
      <b/>
      <sz val="11"/>
      <color rgb="FFFF0000"/>
      <name val="Calibri"/>
      <family val="2"/>
      <scheme val="minor"/>
    </font>
    <font>
      <b/>
      <sz val="11"/>
      <color theme="4"/>
      <name val="Calibri"/>
      <family val="2"/>
      <scheme val="minor"/>
    </font>
    <font>
      <sz val="8"/>
      <color theme="1"/>
      <name val="Calibri"/>
      <family val="2"/>
      <scheme val="minor"/>
    </font>
    <font>
      <sz val="8"/>
      <color rgb="FF0070C0"/>
      <name val="Calibri"/>
      <family val="2"/>
      <scheme val="minor"/>
    </font>
    <font>
      <sz val="11"/>
      <color rgb="FFC00000"/>
      <name val="Calibri"/>
      <family val="2"/>
      <scheme val="minor"/>
    </font>
    <font>
      <sz val="11"/>
      <color rgb="FF0070C0"/>
      <name val="Calibri"/>
      <family val="2"/>
      <scheme val="minor"/>
    </font>
    <font>
      <i/>
      <sz val="11"/>
      <color rgb="FF00B050"/>
      <name val="Calibri"/>
      <family val="2"/>
      <scheme val="minor"/>
    </font>
    <font>
      <i/>
      <sz val="11"/>
      <color rgb="FFFF0000"/>
      <name val="Calibri"/>
      <family val="2"/>
      <scheme val="minor"/>
    </font>
    <font>
      <sz val="9"/>
      <color rgb="FF000000"/>
      <name val="Arial"/>
      <family val="2"/>
    </font>
    <font>
      <sz val="10"/>
      <color indexed="8"/>
      <name val="Arial"/>
      <family val="2"/>
    </font>
    <font>
      <i/>
      <sz val="11"/>
      <color theme="1"/>
      <name val="Calibri"/>
      <family val="2"/>
      <scheme val="minor"/>
    </font>
    <font>
      <sz val="10"/>
      <color indexed="8"/>
      <name val="Arial"/>
      <family val="2"/>
    </font>
    <font>
      <b/>
      <sz val="13"/>
      <color theme="1"/>
      <name val="Calibri"/>
      <family val="2"/>
      <scheme val="minor"/>
    </font>
    <font>
      <b/>
      <sz val="11"/>
      <color rgb="FF4472C4"/>
      <name val="Calibri"/>
      <family val="2"/>
      <scheme val="minor"/>
    </font>
    <font>
      <b/>
      <i/>
      <sz val="11"/>
      <color rgb="FF00B050"/>
      <name val="Calibri"/>
      <family val="2"/>
      <scheme val="minor"/>
    </font>
    <font>
      <i/>
      <sz val="12"/>
      <color rgb="FF00B050"/>
      <name val="Calibri"/>
      <family val="2"/>
      <scheme val="minor"/>
    </font>
    <font>
      <b/>
      <i/>
      <sz val="12"/>
      <color rgb="FF00B050"/>
      <name val="Calibri"/>
      <family val="2"/>
      <scheme val="minor"/>
    </font>
    <font>
      <b/>
      <sz val="11"/>
      <color rgb="FF000000"/>
      <name val="Aptos Narrow"/>
      <family val="2"/>
    </font>
    <font>
      <b/>
      <sz val="12"/>
      <color rgb="FF000000"/>
      <name val="Aptos Narrow"/>
      <family val="2"/>
    </font>
    <font>
      <sz val="11"/>
      <color rgb="FF000000"/>
      <name val="Aptos Narrow"/>
      <family val="2"/>
    </font>
    <font>
      <b/>
      <sz val="11"/>
      <color rgb="FFC00000"/>
      <name val="Calibri"/>
      <family val="2"/>
      <scheme val="minor"/>
    </font>
    <font>
      <b/>
      <sz val="10"/>
      <color rgb="FF44546A"/>
      <name val="Calibri"/>
      <family val="2"/>
      <scheme val="minor"/>
    </font>
    <font>
      <sz val="10"/>
      <color rgb="FF44546A"/>
      <name val="Calibri"/>
      <family val="2"/>
      <scheme val="minor"/>
    </font>
    <font>
      <b/>
      <vertAlign val="superscript"/>
      <sz val="10"/>
      <color theme="1"/>
      <name val="Calibri"/>
      <family val="2"/>
      <scheme val="minor"/>
    </font>
    <font>
      <vertAlign val="superscript"/>
      <sz val="9"/>
      <color theme="1"/>
      <name val="Calibri"/>
      <family val="2"/>
      <scheme val="minor"/>
    </font>
    <font>
      <sz val="9"/>
      <color theme="1"/>
      <name val="Calibri"/>
      <family val="2"/>
      <scheme val="minor"/>
    </font>
    <font>
      <vertAlign val="superscript"/>
      <sz val="10"/>
      <color theme="1"/>
      <name val="Calibri"/>
      <family val="2"/>
      <scheme val="minor"/>
    </font>
    <font>
      <sz val="11"/>
      <color rgb="FF000000"/>
      <name val="Calibri"/>
      <family val="2"/>
      <scheme val="minor"/>
    </font>
    <font>
      <i/>
      <sz val="10"/>
      <color theme="1"/>
      <name val="Calibri"/>
      <family val="2"/>
      <scheme val="minor"/>
    </font>
    <font>
      <sz val="10"/>
      <color rgb="FFFF0000"/>
      <name val="Calibri"/>
      <family val="2"/>
      <scheme val="minor"/>
    </font>
    <font>
      <i/>
      <sz val="10"/>
      <color rgb="FFFF0000"/>
      <name val="Calibri"/>
      <family val="2"/>
      <scheme val="minor"/>
    </font>
    <font>
      <sz val="11"/>
      <color theme="4"/>
      <name val="Calibri"/>
      <family val="2"/>
      <scheme val="minor"/>
    </font>
    <font>
      <b/>
      <sz val="12"/>
      <color rgb="FFC00000"/>
      <name val="Calibri"/>
      <family val="2"/>
      <scheme val="minor"/>
    </font>
    <font>
      <sz val="8"/>
      <name val="Calibri"/>
      <family val="2"/>
      <scheme val="minor"/>
    </font>
    <font>
      <sz val="15"/>
      <color theme="1"/>
      <name val="Calibri"/>
      <family val="2"/>
      <scheme val="minor"/>
    </font>
    <font>
      <b/>
      <i/>
      <sz val="11"/>
      <color theme="1"/>
      <name val="Calibri"/>
      <family val="2"/>
      <scheme val="minor"/>
    </font>
    <font>
      <b/>
      <sz val="12"/>
      <color rgb="FFFF0000"/>
      <name val="Calibri"/>
      <family val="2"/>
      <scheme val="minor"/>
    </font>
    <font>
      <sz val="11"/>
      <color rgb="FFFF0000"/>
      <name val="Calibri"/>
      <family val="2"/>
    </font>
    <font>
      <sz val="11"/>
      <color theme="1"/>
      <name val="Arial"/>
      <family val="2"/>
    </font>
    <font>
      <sz val="10"/>
      <color rgb="FF000000"/>
      <name val="Calibri"/>
      <family val="2"/>
      <scheme val="minor"/>
    </font>
    <font>
      <b/>
      <sz val="12"/>
      <color theme="0"/>
      <name val="Calibri"/>
      <family val="2"/>
      <scheme val="minor"/>
    </font>
    <font>
      <b/>
      <sz val="20"/>
      <color theme="1"/>
      <name val="Calibri"/>
      <family val="2"/>
      <scheme val="minor"/>
    </font>
    <font>
      <sz val="11"/>
      <name val="Helvetica"/>
      <family val="2"/>
    </font>
    <font>
      <vertAlign val="superscript"/>
      <sz val="8"/>
      <name val="Times New Roman"/>
      <family val="1"/>
    </font>
    <font>
      <sz val="8"/>
      <name val="Times New Roman"/>
      <family val="1"/>
    </font>
    <font>
      <sz val="20"/>
      <color theme="1"/>
      <name val="Calibri"/>
      <family val="2"/>
      <scheme val="minor"/>
    </font>
    <font>
      <sz val="11"/>
      <color theme="9"/>
      <name val="Calibri"/>
      <family val="2"/>
      <scheme val="minor"/>
    </font>
    <font>
      <sz val="11"/>
      <color theme="0"/>
      <name val="Calibri"/>
      <family val="2"/>
      <scheme val="minor"/>
    </font>
    <font>
      <sz val="11"/>
      <color rgb="FF242424"/>
      <name val="Aptos Narrow"/>
      <family val="2"/>
    </font>
    <font>
      <b/>
      <i/>
      <sz val="11"/>
      <color rgb="FFFF0000"/>
      <name val="Calibri"/>
      <family val="2"/>
      <scheme val="minor"/>
    </font>
    <font>
      <b/>
      <i/>
      <u/>
      <sz val="11"/>
      <color rgb="FFFF0000"/>
      <name val="Calibri"/>
      <family val="2"/>
      <scheme val="minor"/>
    </font>
    <font>
      <b/>
      <sz val="13"/>
      <color theme="0"/>
      <name val="Calibri"/>
      <family val="2"/>
      <scheme val="minor"/>
    </font>
    <font>
      <sz val="11"/>
      <color rgb="FF242424"/>
      <name val="Aptos Narrow"/>
      <family val="2"/>
    </font>
    <font>
      <sz val="9"/>
      <color theme="1"/>
      <name val="Segoe UI"/>
      <family val="2"/>
    </font>
    <font>
      <sz val="10"/>
      <color indexed="81"/>
      <name val="Tahoma"/>
      <family val="2"/>
    </font>
    <font>
      <sz val="9"/>
      <color rgb="FF000000"/>
      <name val="Calibri"/>
      <family val="2"/>
      <scheme val="minor"/>
    </font>
    <font>
      <b/>
      <sz val="24"/>
      <color theme="0"/>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indexed="22"/>
        <bgColor indexed="0"/>
      </patternFill>
    </fill>
    <fill>
      <patternFill patternType="solid">
        <fgColor theme="5"/>
        <bgColor indexed="64"/>
      </patternFill>
    </fill>
    <fill>
      <patternFill patternType="solid">
        <fgColor rgb="FFFDFDC5"/>
        <bgColor indexed="64"/>
      </patternFill>
    </fill>
    <fill>
      <patternFill patternType="solid">
        <fgColor rgb="FFFFFFCC"/>
        <bgColor indexed="64"/>
      </patternFill>
    </fill>
    <fill>
      <patternFill patternType="solid">
        <fgColor rgb="FFFFFFFF"/>
        <bgColor rgb="FF000000"/>
      </patternFill>
    </fill>
    <fill>
      <patternFill patternType="solid">
        <fgColor rgb="FFFDFDC5"/>
        <bgColor rgb="FF000000"/>
      </patternFill>
    </fill>
    <fill>
      <patternFill patternType="solid">
        <fgColor theme="4" tint="0.59999389629810485"/>
        <bgColor indexed="64"/>
      </patternFill>
    </fill>
    <fill>
      <patternFill patternType="solid">
        <fgColor rgb="FFBFBFBF"/>
        <bgColor indexed="64"/>
      </patternFill>
    </fill>
    <fill>
      <patternFill patternType="solid">
        <fgColor theme="8" tint="0.59999389629810485"/>
        <bgColor indexed="64"/>
      </patternFill>
    </fill>
    <fill>
      <patternFill patternType="solid">
        <fgColor theme="2"/>
        <bgColor indexed="64"/>
      </patternFill>
    </fill>
    <fill>
      <patternFill patternType="solid">
        <fgColor rgb="FFE7E6E6"/>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FFFF"/>
        <bgColor rgb="FFFFFFFF"/>
      </patternFill>
    </fill>
    <fill>
      <patternFill patternType="solid">
        <fgColor theme="9" tint="0.39997558519241921"/>
        <bgColor indexed="64"/>
      </patternFill>
    </fill>
    <fill>
      <patternFill patternType="solid">
        <fgColor rgb="FF00B0F0"/>
        <bgColor indexed="64"/>
      </patternFill>
    </fill>
    <fill>
      <patternFill patternType="solid">
        <fgColor theme="6" tint="0.59999389629810485"/>
        <bgColor indexed="64"/>
      </patternFill>
    </fill>
    <fill>
      <patternFill patternType="solid">
        <fgColor rgb="FFFF0000"/>
        <bgColor rgb="FF000000"/>
      </patternFill>
    </fill>
    <fill>
      <patternFill patternType="solid">
        <fgColor rgb="FF4472C4"/>
        <bgColor indexed="64"/>
      </patternFill>
    </fill>
    <fill>
      <patternFill patternType="solid">
        <fgColor rgb="FF0070C0"/>
        <bgColor indexed="64"/>
      </patternFill>
    </fill>
    <fill>
      <patternFill patternType="solid">
        <fgColor rgb="FFFF0000"/>
        <bgColor indexed="64"/>
      </patternFill>
    </fill>
    <fill>
      <patternFill patternType="solid">
        <fgColor theme="5" tint="-0.249977111117893"/>
        <bgColor indexed="64"/>
      </patternFill>
    </fill>
    <fill>
      <patternFill patternType="solid">
        <fgColor theme="1"/>
        <bgColor indexed="64"/>
      </patternFill>
    </fill>
  </fills>
  <borders count="4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theme="0"/>
      </top>
      <bottom style="medium">
        <color theme="0"/>
      </bottom>
      <diagonal/>
    </border>
    <border>
      <left/>
      <right/>
      <top style="medium">
        <color theme="0"/>
      </top>
      <bottom/>
      <diagonal/>
    </border>
    <border>
      <left/>
      <right/>
      <top style="medium">
        <color theme="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hair">
        <color indexed="64"/>
      </top>
      <bottom style="hair">
        <color indexed="64"/>
      </bottom>
      <diagonal/>
    </border>
    <border>
      <left/>
      <right/>
      <top/>
      <bottom style="hair">
        <color indexed="64"/>
      </bottom>
      <diagonal/>
    </border>
    <border>
      <left/>
      <right/>
      <top style="thin">
        <color theme="0"/>
      </top>
      <bottom/>
      <diagonal/>
    </border>
    <border>
      <left/>
      <right/>
      <top style="thin">
        <color rgb="FF000000"/>
      </top>
      <bottom/>
      <diagonal/>
    </border>
    <border>
      <left style="thin">
        <color indexed="64"/>
      </left>
      <right/>
      <top style="thin">
        <color auto="1"/>
      </top>
      <bottom style="medium">
        <color indexed="64"/>
      </bottom>
      <diagonal/>
    </border>
    <border>
      <left/>
      <right/>
      <top style="thin">
        <color auto="1"/>
      </top>
      <bottom style="medium">
        <color indexed="64"/>
      </bottom>
      <diagonal/>
    </border>
    <border>
      <left/>
      <right style="thin">
        <color indexed="64"/>
      </right>
      <top style="thin">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0"/>
      </left>
      <right/>
      <top style="thin">
        <color theme="0"/>
      </top>
      <bottom style="medium">
        <color theme="0"/>
      </bottom>
      <diagonal/>
    </border>
    <border>
      <left/>
      <right style="thin">
        <color theme="0"/>
      </right>
      <top style="thin">
        <color theme="0"/>
      </top>
      <bottom style="medium">
        <color theme="0"/>
      </bottom>
      <diagonal/>
    </border>
  </borders>
  <cellStyleXfs count="56">
    <xf numFmtId="0" fontId="0" fillId="0" borderId="0"/>
    <xf numFmtId="0" fontId="1" fillId="0" borderId="0"/>
    <xf numFmtId="0" fontId="6" fillId="0" borderId="0" applyNumberFormat="0" applyFill="0" applyBorder="0" applyAlignment="0" applyProtection="0"/>
    <xf numFmtId="0" fontId="1" fillId="0" borderId="0"/>
    <xf numFmtId="0" fontId="1" fillId="0" borderId="0"/>
    <xf numFmtId="0" fontId="11" fillId="0" borderId="0"/>
    <xf numFmtId="0" fontId="14" fillId="0" borderId="0"/>
    <xf numFmtId="0" fontId="15" fillId="0" borderId="0" applyFill="0" applyProtection="0"/>
    <xf numFmtId="9" fontId="1" fillId="0" borderId="0" applyFont="0" applyFill="0" applyBorder="0" applyAlignment="0" applyProtection="0"/>
    <xf numFmtId="43" fontId="1" fillId="0" borderId="0" applyFont="0" applyFill="0" applyBorder="0" applyAlignment="0" applyProtection="0"/>
    <xf numFmtId="0" fontId="20" fillId="0" borderId="0"/>
    <xf numFmtId="43" fontId="21" fillId="0" borderId="0" applyFont="0" applyFill="0" applyBorder="0" applyAlignment="0" applyProtection="0"/>
    <xf numFmtId="0" fontId="22" fillId="0" borderId="0"/>
    <xf numFmtId="0" fontId="21" fillId="0" borderId="0"/>
    <xf numFmtId="166" fontId="11" fillId="0" borderId="0"/>
    <xf numFmtId="0" fontId="23" fillId="0" borderId="0"/>
    <xf numFmtId="0" fontId="21" fillId="0" borderId="0"/>
    <xf numFmtId="164" fontId="21" fillId="0" borderId="0" applyFont="0" applyFill="0" applyBorder="0" applyAlignment="0" applyProtection="0"/>
    <xf numFmtId="0" fontId="20" fillId="0" borderId="0"/>
    <xf numFmtId="0" fontId="21" fillId="0" borderId="0"/>
    <xf numFmtId="0" fontId="1" fillId="0" borderId="0"/>
    <xf numFmtId="0" fontId="1" fillId="0" borderId="0"/>
    <xf numFmtId="0" fontId="1" fillId="0" borderId="0"/>
    <xf numFmtId="0" fontId="1" fillId="0" borderId="0"/>
    <xf numFmtId="0" fontId="1" fillId="0" borderId="0"/>
    <xf numFmtId="0" fontId="24" fillId="0" borderId="0"/>
    <xf numFmtId="0" fontId="11" fillId="0" borderId="0"/>
    <xf numFmtId="0" fontId="1" fillId="0" borderId="0"/>
    <xf numFmtId="9" fontId="2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0" fontId="43" fillId="0" borderId="0"/>
    <xf numFmtId="0" fontId="45" fillId="0" borderId="0"/>
    <xf numFmtId="0" fontId="43" fillId="0" borderId="0"/>
    <xf numFmtId="0" fontId="11" fillId="0" borderId="0"/>
    <xf numFmtId="0" fontId="21" fillId="0" borderId="0"/>
    <xf numFmtId="164" fontId="21" fillId="0" borderId="0" applyFont="0" applyFill="0" applyBorder="0" applyAlignment="0" applyProtection="0"/>
    <xf numFmtId="0" fontId="11" fillId="0" borderId="0"/>
    <xf numFmtId="43" fontId="11" fillId="0" borderId="0" applyFont="0" applyFill="0" applyBorder="0" applyAlignment="0" applyProtection="0"/>
    <xf numFmtId="0" fontId="1" fillId="0" borderId="0"/>
    <xf numFmtId="43" fontId="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0" fontId="21" fillId="0" borderId="0"/>
  </cellStyleXfs>
  <cellXfs count="683">
    <xf numFmtId="0" fontId="0" fillId="0" borderId="0" xfId="0"/>
    <xf numFmtId="0" fontId="0" fillId="0" borderId="0" xfId="0" applyAlignment="1">
      <alignment vertical="center"/>
    </xf>
    <xf numFmtId="0" fontId="7" fillId="2" borderId="0" xfId="2" applyFont="1" applyFill="1"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4" fillId="0" borderId="0" xfId="0" applyFont="1"/>
    <xf numFmtId="0" fontId="16" fillId="0" borderId="0" xfId="0" applyFont="1" applyAlignment="1">
      <alignment vertical="center" wrapText="1"/>
    </xf>
    <xf numFmtId="0" fontId="16" fillId="0" borderId="0" xfId="0" applyFont="1" applyAlignment="1">
      <alignment horizontal="left" vertical="center" wrapText="1"/>
    </xf>
    <xf numFmtId="0" fontId="8" fillId="0" borderId="0" xfId="0" applyFont="1" applyAlignment="1">
      <alignment horizontal="left" vertical="center"/>
    </xf>
    <xf numFmtId="0" fontId="0" fillId="0" borderId="0" xfId="0" applyAlignment="1">
      <alignment horizontal="left" vertical="center"/>
    </xf>
    <xf numFmtId="0" fontId="17" fillId="0" borderId="0" xfId="0" applyFont="1" applyAlignment="1">
      <alignment horizontal="left" vertical="center"/>
    </xf>
    <xf numFmtId="0" fontId="0" fillId="0" borderId="0" xfId="0" applyAlignment="1">
      <alignment horizontal="left"/>
    </xf>
    <xf numFmtId="0" fontId="4"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horizontal="left" vertical="center"/>
    </xf>
    <xf numFmtId="0" fontId="1" fillId="0" borderId="0" xfId="20" applyAlignment="1">
      <alignment vertical="center"/>
    </xf>
    <xf numFmtId="0" fontId="26" fillId="0" borderId="0" xfId="20" applyFont="1" applyAlignment="1">
      <alignment vertical="center"/>
    </xf>
    <xf numFmtId="0" fontId="5" fillId="2" borderId="0" xfId="21" applyFont="1" applyFill="1" applyAlignment="1">
      <alignment vertical="center"/>
    </xf>
    <xf numFmtId="0" fontId="3" fillId="0" borderId="0" xfId="20" quotePrefix="1" applyFont="1" applyAlignment="1">
      <alignment vertical="center"/>
    </xf>
    <xf numFmtId="0" fontId="1" fillId="0" borderId="0" xfId="20" applyAlignment="1">
      <alignment horizontal="left" vertical="center"/>
    </xf>
    <xf numFmtId="0" fontId="27" fillId="0" borderId="0" xfId="20" quotePrefix="1" applyFont="1" applyAlignment="1">
      <alignment vertical="center"/>
    </xf>
    <xf numFmtId="0" fontId="9" fillId="0" borderId="0" xfId="20" applyFont="1" applyAlignment="1">
      <alignment vertical="center"/>
    </xf>
    <xf numFmtId="0" fontId="5" fillId="2" borderId="0" xfId="22" applyFont="1" applyFill="1" applyAlignment="1">
      <alignment vertical="center"/>
    </xf>
    <xf numFmtId="14" fontId="1" fillId="0" borderId="0" xfId="20" applyNumberFormat="1" applyAlignment="1">
      <alignment horizontal="left" vertical="center"/>
    </xf>
    <xf numFmtId="0" fontId="10" fillId="3" borderId="1" xfId="20" applyFont="1" applyFill="1" applyBorder="1" applyAlignment="1">
      <alignment vertical="center"/>
    </xf>
    <xf numFmtId="0" fontId="1" fillId="0" borderId="4" xfId="20" applyBorder="1" applyAlignment="1">
      <alignment vertical="center"/>
    </xf>
    <xf numFmtId="0" fontId="1" fillId="5" borderId="5" xfId="23" applyFill="1" applyBorder="1" applyAlignment="1">
      <alignment vertical="center"/>
    </xf>
    <xf numFmtId="0" fontId="1" fillId="0" borderId="0" xfId="23" applyAlignment="1">
      <alignment vertical="center"/>
    </xf>
    <xf numFmtId="0" fontId="0" fillId="0" borderId="0" xfId="23" applyFont="1" applyAlignment="1">
      <alignment horizontal="left" vertical="center"/>
    </xf>
    <xf numFmtId="0" fontId="2" fillId="3" borderId="8" xfId="20" applyFont="1" applyFill="1" applyBorder="1" applyAlignment="1">
      <alignment horizontal="left" vertical="center"/>
    </xf>
    <xf numFmtId="0" fontId="4" fillId="0" borderId="0" xfId="20" applyFont="1" applyAlignment="1">
      <alignment vertical="center"/>
    </xf>
    <xf numFmtId="0" fontId="7" fillId="5" borderId="4" xfId="20" applyFont="1" applyFill="1" applyBorder="1" applyAlignment="1">
      <alignment vertical="center"/>
    </xf>
    <xf numFmtId="0" fontId="7" fillId="5" borderId="2" xfId="20" applyFont="1" applyFill="1" applyBorder="1" applyAlignment="1">
      <alignment vertical="center"/>
    </xf>
    <xf numFmtId="0" fontId="7" fillId="5" borderId="3" xfId="20" applyFont="1" applyFill="1" applyBorder="1" applyAlignment="1">
      <alignment vertical="center"/>
    </xf>
    <xf numFmtId="0" fontId="7" fillId="0" borderId="4" xfId="20" applyFont="1" applyBorder="1" applyAlignment="1">
      <alignment vertical="center"/>
    </xf>
    <xf numFmtId="0" fontId="2" fillId="3" borderId="8" xfId="24" applyFont="1" applyFill="1" applyBorder="1" applyAlignment="1">
      <alignment horizontal="left" vertical="center"/>
    </xf>
    <xf numFmtId="0" fontId="23" fillId="0" borderId="0" xfId="0" applyFont="1" applyAlignment="1">
      <alignment vertical="center"/>
    </xf>
    <xf numFmtId="0" fontId="23" fillId="0" borderId="0" xfId="0" applyFont="1" applyAlignment="1">
      <alignment horizontal="left" vertical="center" wrapText="1"/>
    </xf>
    <xf numFmtId="0" fontId="23" fillId="0" borderId="0" xfId="0" applyFont="1" applyAlignment="1">
      <alignment vertical="center" wrapText="1"/>
    </xf>
    <xf numFmtId="0" fontId="21" fillId="0" borderId="4" xfId="19" applyBorder="1" applyAlignment="1">
      <alignment vertical="center"/>
    </xf>
    <xf numFmtId="0" fontId="21" fillId="0" borderId="4" xfId="20" applyFont="1" applyBorder="1" applyAlignment="1">
      <alignment vertical="center"/>
    </xf>
    <xf numFmtId="0" fontId="21" fillId="0" borderId="4" xfId="19" applyBorder="1" applyAlignment="1">
      <alignment horizontal="left" vertical="center" wrapText="1"/>
    </xf>
    <xf numFmtId="0" fontId="30" fillId="0" borderId="0" xfId="5" applyFont="1" applyAlignment="1">
      <alignment horizontal="left" vertical="center"/>
    </xf>
    <xf numFmtId="167" fontId="0" fillId="0" borderId="0" xfId="0" applyNumberFormat="1" applyAlignment="1">
      <alignment vertical="center"/>
    </xf>
    <xf numFmtId="0" fontId="2" fillId="3" borderId="8" xfId="0" applyFont="1" applyFill="1" applyBorder="1" applyAlignment="1">
      <alignment horizontal="left" vertical="center"/>
    </xf>
    <xf numFmtId="0" fontId="18" fillId="6" borderId="10" xfId="0" applyFont="1" applyFill="1" applyBorder="1" applyAlignment="1">
      <alignment vertical="center" wrapText="1"/>
    </xf>
    <xf numFmtId="0" fontId="18" fillId="6" borderId="10" xfId="0" applyFont="1" applyFill="1" applyBorder="1" applyAlignment="1">
      <alignment vertical="center"/>
    </xf>
    <xf numFmtId="0" fontId="0" fillId="0" borderId="7" xfId="0" applyBorder="1" applyAlignment="1">
      <alignment horizontal="left" vertical="center"/>
    </xf>
    <xf numFmtId="0" fontId="3" fillId="0" borderId="0" xfId="0" applyFont="1" applyAlignment="1">
      <alignment vertical="center"/>
    </xf>
    <xf numFmtId="0" fontId="30" fillId="0" borderId="0" xfId="5" applyFont="1" applyAlignment="1">
      <alignment horizontal="left" vertical="center" wrapText="1"/>
    </xf>
    <xf numFmtId="0" fontId="18" fillId="6" borderId="7" xfId="0" applyFont="1" applyFill="1" applyBorder="1" applyAlignment="1">
      <alignment horizontal="left" vertical="center" wrapText="1"/>
    </xf>
    <xf numFmtId="0" fontId="18" fillId="6" borderId="10" xfId="0" applyFont="1" applyFill="1" applyBorder="1" applyAlignment="1">
      <alignment horizontal="left" vertical="center" wrapText="1"/>
    </xf>
    <xf numFmtId="167" fontId="30" fillId="0" borderId="0" xfId="5" applyNumberFormat="1" applyFont="1" applyAlignment="1">
      <alignment horizontal="left" vertical="center"/>
    </xf>
    <xf numFmtId="0" fontId="1" fillId="0" borderId="0" xfId="0" applyFont="1" applyAlignment="1">
      <alignment horizontal="left" vertical="center"/>
    </xf>
    <xf numFmtId="0" fontId="2" fillId="3" borderId="8" xfId="0" applyFont="1" applyFill="1" applyBorder="1" applyAlignment="1">
      <alignment horizontal="left" vertical="center" wrapText="1"/>
    </xf>
    <xf numFmtId="0" fontId="2" fillId="3" borderId="8" xfId="0" applyFont="1" applyFill="1" applyBorder="1" applyAlignment="1">
      <alignment vertical="center" wrapText="1"/>
    </xf>
    <xf numFmtId="0" fontId="18" fillId="6" borderId="7" xfId="0" applyFont="1" applyFill="1" applyBorder="1" applyAlignment="1">
      <alignment horizontal="left" vertical="center"/>
    </xf>
    <xf numFmtId="167" fontId="1" fillId="0" borderId="0" xfId="0" applyNumberFormat="1" applyFont="1" applyAlignment="1">
      <alignment horizontal="left" vertical="center"/>
    </xf>
    <xf numFmtId="0" fontId="0" fillId="0" borderId="4" xfId="20" applyFont="1" applyBorder="1" applyAlignment="1">
      <alignment vertical="center"/>
    </xf>
    <xf numFmtId="0" fontId="0" fillId="0" borderId="2" xfId="0" applyBorder="1" applyAlignment="1">
      <alignment horizontal="left" vertical="center"/>
    </xf>
    <xf numFmtId="0" fontId="0" fillId="0" borderId="2" xfId="0" applyBorder="1"/>
    <xf numFmtId="1" fontId="7" fillId="0" borderId="0" xfId="8" applyNumberFormat="1" applyFont="1" applyFill="1" applyAlignment="1">
      <alignment horizontal="left" vertical="center"/>
    </xf>
    <xf numFmtId="1" fontId="7" fillId="0" borderId="0" xfId="8" applyNumberFormat="1" applyFont="1" applyFill="1" applyBorder="1" applyAlignment="1">
      <alignment horizontal="left" vertical="center"/>
    </xf>
    <xf numFmtId="1" fontId="7" fillId="0" borderId="7" xfId="8" applyNumberFormat="1" applyFont="1" applyFill="1" applyBorder="1" applyAlignment="1">
      <alignment horizontal="left" vertical="center"/>
    </xf>
    <xf numFmtId="9" fontId="7" fillId="0" borderId="7" xfId="8" applyFont="1" applyFill="1" applyBorder="1" applyAlignment="1">
      <alignment horizontal="left" vertical="center"/>
    </xf>
    <xf numFmtId="9" fontId="3" fillId="0" borderId="0" xfId="8" applyFont="1" applyFill="1" applyBorder="1" applyAlignment="1">
      <alignment horizontal="left" vertical="center"/>
    </xf>
    <xf numFmtId="1" fontId="3" fillId="0" borderId="0" xfId="8" applyNumberFormat="1" applyFont="1" applyFill="1" applyBorder="1" applyAlignment="1">
      <alignment horizontal="left" vertical="center"/>
    </xf>
    <xf numFmtId="9" fontId="7" fillId="0" borderId="0" xfId="8" applyFont="1" applyFill="1" applyBorder="1" applyAlignment="1">
      <alignment horizontal="left" vertical="center"/>
    </xf>
    <xf numFmtId="165" fontId="7" fillId="0" borderId="0" xfId="8" applyNumberFormat="1" applyFont="1" applyFill="1" applyBorder="1" applyAlignment="1">
      <alignment horizontal="left" vertical="center"/>
    </xf>
    <xf numFmtId="165" fontId="7" fillId="0" borderId="7" xfId="8" applyNumberFormat="1" applyFont="1" applyFill="1" applyBorder="1" applyAlignment="1">
      <alignment horizontal="left" vertical="center"/>
    </xf>
    <xf numFmtId="0" fontId="0" fillId="0" borderId="6" xfId="0" applyBorder="1" applyAlignment="1">
      <alignment horizontal="left" vertical="center"/>
    </xf>
    <xf numFmtId="0" fontId="1" fillId="0" borderId="7" xfId="20" applyBorder="1" applyAlignment="1">
      <alignment vertical="center"/>
    </xf>
    <xf numFmtId="0" fontId="7" fillId="0" borderId="1" xfId="20" applyFont="1" applyBorder="1" applyAlignment="1">
      <alignment vertical="center"/>
    </xf>
    <xf numFmtId="0" fontId="7" fillId="0" borderId="3" xfId="20" applyFont="1" applyBorder="1" applyAlignment="1">
      <alignment vertical="center"/>
    </xf>
    <xf numFmtId="0" fontId="2" fillId="0" borderId="8" xfId="0" applyFont="1" applyBorder="1" applyAlignment="1">
      <alignment horizontal="left" vertical="center" wrapText="1"/>
    </xf>
    <xf numFmtId="0" fontId="18" fillId="0" borderId="0" xfId="0" applyFont="1" applyAlignment="1">
      <alignment horizontal="left" vertical="center" wrapText="1"/>
    </xf>
    <xf numFmtId="2" fontId="0" fillId="0" borderId="0" xfId="0" applyNumberFormat="1" applyAlignment="1">
      <alignment horizontal="left" vertical="center"/>
    </xf>
    <xf numFmtId="2" fontId="0" fillId="0" borderId="7" xfId="0" applyNumberFormat="1" applyBorder="1" applyAlignment="1">
      <alignment horizontal="left" vertical="center"/>
    </xf>
    <xf numFmtId="0" fontId="1" fillId="0" borderId="6" xfId="20" applyBorder="1" applyAlignment="1">
      <alignment vertical="center"/>
    </xf>
    <xf numFmtId="0" fontId="1" fillId="0" borderId="6" xfId="20" applyBorder="1" applyAlignment="1">
      <alignment horizontal="left" vertical="center"/>
    </xf>
    <xf numFmtId="0" fontId="1" fillId="0" borderId="7" xfId="20" applyBorder="1" applyAlignment="1">
      <alignment horizontal="left" vertical="center"/>
    </xf>
    <xf numFmtId="2" fontId="1" fillId="4" borderId="6" xfId="20" applyNumberFormat="1" applyFill="1" applyBorder="1" applyAlignment="1">
      <alignment horizontal="left" vertical="center"/>
    </xf>
    <xf numFmtId="2" fontId="1" fillId="4" borderId="0" xfId="20" applyNumberFormat="1" applyFill="1" applyAlignment="1">
      <alignment horizontal="left" vertical="center"/>
    </xf>
    <xf numFmtId="0" fontId="1" fillId="4" borderId="0" xfId="20" applyFill="1" applyAlignment="1">
      <alignment horizontal="left" vertical="center"/>
    </xf>
    <xf numFmtId="0" fontId="1" fillId="4" borderId="7" xfId="20" applyFill="1" applyBorder="1" applyAlignment="1">
      <alignment horizontal="left" vertical="center"/>
    </xf>
    <xf numFmtId="0" fontId="0" fillId="4" borderId="6" xfId="0" applyFill="1" applyBorder="1" applyAlignment="1">
      <alignment horizontal="left" vertical="center"/>
    </xf>
    <xf numFmtId="0" fontId="0" fillId="4" borderId="7" xfId="0" applyFill="1" applyBorder="1" applyAlignment="1">
      <alignment horizontal="left" vertical="center"/>
    </xf>
    <xf numFmtId="0" fontId="1" fillId="0" borderId="0" xfId="24" applyAlignment="1">
      <alignment vertical="center"/>
    </xf>
    <xf numFmtId="0" fontId="34" fillId="0" borderId="0" xfId="0" applyFont="1"/>
    <xf numFmtId="0" fontId="25" fillId="7" borderId="4" xfId="0" applyFont="1" applyFill="1" applyBorder="1"/>
    <xf numFmtId="0" fontId="4" fillId="7" borderId="4" xfId="0" applyFont="1" applyFill="1" applyBorder="1"/>
    <xf numFmtId="0" fontId="4" fillId="7" borderId="2" xfId="0" applyFont="1" applyFill="1" applyBorder="1"/>
    <xf numFmtId="0" fontId="4" fillId="7" borderId="3" xfId="0" applyFont="1" applyFill="1" applyBorder="1"/>
    <xf numFmtId="0" fontId="35" fillId="0" borderId="0" xfId="0" applyFont="1"/>
    <xf numFmtId="168" fontId="0" fillId="0" borderId="0" xfId="8" applyNumberFormat="1" applyFont="1"/>
    <xf numFmtId="49" fontId="0" fillId="0" borderId="0" xfId="20" applyNumberFormat="1" applyFont="1" applyAlignment="1">
      <alignment vertical="center"/>
    </xf>
    <xf numFmtId="0" fontId="21" fillId="0" borderId="4" xfId="19" applyBorder="1" applyAlignment="1">
      <alignment vertical="center" wrapText="1"/>
    </xf>
    <xf numFmtId="0" fontId="21" fillId="0" borderId="0" xfId="20" applyFont="1" applyAlignment="1">
      <alignment vertical="center"/>
    </xf>
    <xf numFmtId="1" fontId="0" fillId="0" borderId="0" xfId="0" applyNumberFormat="1"/>
    <xf numFmtId="169" fontId="4" fillId="0" borderId="11" xfId="9" applyNumberFormat="1" applyFont="1" applyBorder="1"/>
    <xf numFmtId="169" fontId="4" fillId="0" borderId="12" xfId="9" applyNumberFormat="1" applyFont="1" applyBorder="1"/>
    <xf numFmtId="9" fontId="0" fillId="0" borderId="0" xfId="8" applyFont="1"/>
    <xf numFmtId="165" fontId="0" fillId="0" borderId="0" xfId="0" applyNumberFormat="1"/>
    <xf numFmtId="0" fontId="0" fillId="0" borderId="14" xfId="0" applyBorder="1"/>
    <xf numFmtId="0" fontId="0" fillId="0" borderId="3" xfId="0" applyBorder="1"/>
    <xf numFmtId="0" fontId="0" fillId="0" borderId="2" xfId="0" applyBorder="1" applyAlignment="1">
      <alignment wrapText="1"/>
    </xf>
    <xf numFmtId="0" fontId="0" fillId="5" borderId="2" xfId="0" applyFill="1" applyBorder="1" applyAlignment="1">
      <alignment wrapText="1"/>
    </xf>
    <xf numFmtId="165" fontId="0" fillId="5" borderId="0" xfId="0" applyNumberFormat="1" applyFill="1"/>
    <xf numFmtId="169" fontId="4" fillId="5" borderId="13" xfId="9" applyNumberFormat="1" applyFont="1" applyFill="1" applyBorder="1"/>
    <xf numFmtId="9" fontId="0" fillId="8" borderId="0" xfId="8" applyFont="1" applyFill="1"/>
    <xf numFmtId="165" fontId="0" fillId="8" borderId="0" xfId="0" applyNumberFormat="1" applyFill="1"/>
    <xf numFmtId="0" fontId="4" fillId="7" borderId="0" xfId="0" applyFont="1" applyFill="1"/>
    <xf numFmtId="9" fontId="3" fillId="0" borderId="0" xfId="8" applyFont="1" applyAlignment="1">
      <alignment horizontal="center"/>
    </xf>
    <xf numFmtId="9" fontId="0" fillId="0" borderId="0" xfId="0" applyNumberFormat="1"/>
    <xf numFmtId="9" fontId="3" fillId="0" borderId="0" xfId="0" applyNumberFormat="1" applyFont="1" applyAlignment="1">
      <alignment horizontal="center"/>
    </xf>
    <xf numFmtId="0" fontId="36" fillId="0" borderId="0" xfId="0" applyFont="1" applyAlignment="1">
      <alignment horizontal="left"/>
    </xf>
    <xf numFmtId="2" fontId="37" fillId="0" borderId="0" xfId="0" applyNumberFormat="1" applyFont="1"/>
    <xf numFmtId="0" fontId="0" fillId="8" borderId="0" xfId="0" applyFill="1"/>
    <xf numFmtId="0" fontId="4" fillId="5" borderId="0" xfId="0" applyFont="1" applyFill="1"/>
    <xf numFmtId="0" fontId="0" fillId="5" borderId="0" xfId="0" applyFill="1"/>
    <xf numFmtId="0" fontId="0" fillId="10" borderId="0" xfId="0" applyFill="1"/>
    <xf numFmtId="0" fontId="3" fillId="0" borderId="0" xfId="0" applyFont="1"/>
    <xf numFmtId="0" fontId="25" fillId="9" borderId="4" xfId="0" applyFont="1" applyFill="1" applyBorder="1"/>
    <xf numFmtId="0" fontId="0" fillId="11" borderId="0" xfId="0" applyFill="1"/>
    <xf numFmtId="165" fontId="0" fillId="11" borderId="0" xfId="0" applyNumberFormat="1" applyFill="1"/>
    <xf numFmtId="0" fontId="3" fillId="0" borderId="0" xfId="0" quotePrefix="1" applyFont="1"/>
    <xf numFmtId="1" fontId="0" fillId="11" borderId="0" xfId="0" applyNumberFormat="1" applyFill="1"/>
    <xf numFmtId="168" fontId="38" fillId="11" borderId="0" xfId="8" applyNumberFormat="1" applyFont="1" applyFill="1"/>
    <xf numFmtId="9" fontId="0" fillId="11" borderId="0" xfId="8" applyFont="1" applyFill="1"/>
    <xf numFmtId="168" fontId="38" fillId="6" borderId="0" xfId="8" applyNumberFormat="1" applyFont="1" applyFill="1"/>
    <xf numFmtId="168" fontId="3" fillId="11" borderId="0" xfId="8" applyNumberFormat="1" applyFont="1" applyFill="1"/>
    <xf numFmtId="0" fontId="25" fillId="9" borderId="1" xfId="0" applyFont="1" applyFill="1" applyBorder="1"/>
    <xf numFmtId="0" fontId="25" fillId="9" borderId="3" xfId="0" applyFont="1" applyFill="1" applyBorder="1"/>
    <xf numFmtId="1" fontId="7" fillId="11" borderId="0" xfId="8" applyNumberFormat="1" applyFont="1" applyFill="1"/>
    <xf numFmtId="0" fontId="40" fillId="0" borderId="0" xfId="0" applyFont="1"/>
    <xf numFmtId="0" fontId="41" fillId="0" borderId="0" xfId="0" applyFont="1"/>
    <xf numFmtId="0" fontId="34" fillId="0" borderId="0" xfId="0" applyFont="1" applyAlignment="1">
      <alignment horizontal="right"/>
    </xf>
    <xf numFmtId="0" fontId="36" fillId="0" borderId="0" xfId="0" applyFont="1"/>
    <xf numFmtId="0" fontId="40" fillId="4" borderId="0" xfId="0" applyFont="1" applyFill="1"/>
    <xf numFmtId="0" fontId="0" fillId="4" borderId="0" xfId="0" applyFill="1"/>
    <xf numFmtId="0" fontId="42" fillId="0" borderId="0" xfId="0" applyFont="1"/>
    <xf numFmtId="0" fontId="6" fillId="0" borderId="0" xfId="2"/>
    <xf numFmtId="1" fontId="39" fillId="11" borderId="0" xfId="0" applyNumberFormat="1" applyFont="1" applyFill="1"/>
    <xf numFmtId="169" fontId="39" fillId="11" borderId="0" xfId="9" applyNumberFormat="1" applyFont="1" applyFill="1"/>
    <xf numFmtId="4" fontId="0" fillId="0" borderId="2" xfId="0" applyNumberFormat="1" applyBorder="1" applyAlignment="1">
      <alignment horizontal="left" vertical="center"/>
    </xf>
    <xf numFmtId="2" fontId="7" fillId="0" borderId="0" xfId="8" applyNumberFormat="1" applyFont="1" applyFill="1" applyBorder="1" applyAlignment="1">
      <alignment horizontal="left" vertical="center"/>
    </xf>
    <xf numFmtId="0" fontId="3" fillId="0" borderId="0" xfId="0" applyFont="1" applyAlignment="1">
      <alignment horizontal="left" vertical="center"/>
    </xf>
    <xf numFmtId="0" fontId="40" fillId="0" borderId="0" xfId="0" applyFont="1" applyAlignment="1">
      <alignment horizontal="left" vertical="center"/>
    </xf>
    <xf numFmtId="1" fontId="0" fillId="8" borderId="0" xfId="0" applyNumberFormat="1" applyFill="1"/>
    <xf numFmtId="1" fontId="3" fillId="0" borderId="0" xfId="0" applyNumberFormat="1" applyFont="1"/>
    <xf numFmtId="0" fontId="34" fillId="0" borderId="0" xfId="20" applyFont="1" applyAlignment="1">
      <alignment vertical="center"/>
    </xf>
    <xf numFmtId="0" fontId="15" fillId="12" borderId="15" xfId="36" applyFont="1" applyFill="1" applyBorder="1" applyAlignment="1">
      <alignment horizontal="center"/>
    </xf>
    <xf numFmtId="0" fontId="15" fillId="0" borderId="16" xfId="36" applyFont="1" applyBorder="1" applyAlignment="1">
      <alignment wrapText="1"/>
    </xf>
    <xf numFmtId="1" fontId="15" fillId="0" borderId="16" xfId="36" applyNumberFormat="1" applyFont="1" applyBorder="1" applyAlignment="1">
      <alignment horizontal="right" wrapText="1"/>
    </xf>
    <xf numFmtId="169" fontId="15" fillId="0" borderId="16" xfId="9" applyNumberFormat="1" applyFont="1" applyFill="1" applyBorder="1" applyAlignment="1">
      <alignment horizontal="right" wrapText="1"/>
    </xf>
    <xf numFmtId="0" fontId="43" fillId="0" borderId="0" xfId="36"/>
    <xf numFmtId="0" fontId="15" fillId="12" borderId="15" xfId="36" applyFont="1" applyFill="1" applyBorder="1" applyAlignment="1">
      <alignment horizontal="left"/>
    </xf>
    <xf numFmtId="0" fontId="44" fillId="0" borderId="0" xfId="0" applyFont="1"/>
    <xf numFmtId="0" fontId="25" fillId="7" borderId="2" xfId="0" applyFont="1" applyFill="1" applyBorder="1"/>
    <xf numFmtId="0" fontId="0" fillId="0" borderId="0" xfId="0" applyAlignment="1">
      <alignment horizontal="left" indent="1"/>
    </xf>
    <xf numFmtId="3" fontId="0" fillId="0" borderId="0" xfId="0" applyNumberFormat="1"/>
    <xf numFmtId="0" fontId="4" fillId="13" borderId="0" xfId="0" applyFont="1" applyFill="1"/>
    <xf numFmtId="0" fontId="0" fillId="9" borderId="0" xfId="0" applyFill="1"/>
    <xf numFmtId="0" fontId="0" fillId="9" borderId="0" xfId="0" applyFill="1" applyAlignment="1">
      <alignment wrapText="1"/>
    </xf>
    <xf numFmtId="0" fontId="45" fillId="0" borderId="0" xfId="37"/>
    <xf numFmtId="0" fontId="21" fillId="0" borderId="0" xfId="0" applyFont="1"/>
    <xf numFmtId="165" fontId="7" fillId="0" borderId="0" xfId="8" applyNumberFormat="1" applyFont="1" applyFill="1" applyAlignment="1">
      <alignment horizontal="right" vertical="center"/>
    </xf>
    <xf numFmtId="0" fontId="0" fillId="2" borderId="0" xfId="0" applyFill="1"/>
    <xf numFmtId="0" fontId="4" fillId="2" borderId="0" xfId="0" applyFont="1" applyFill="1"/>
    <xf numFmtId="0" fontId="4" fillId="2" borderId="17" xfId="0" applyFont="1" applyFill="1" applyBorder="1"/>
    <xf numFmtId="0" fontId="4" fillId="2" borderId="18" xfId="0" applyFont="1" applyFill="1" applyBorder="1"/>
    <xf numFmtId="0" fontId="4" fillId="2" borderId="6" xfId="0" applyFont="1" applyFill="1" applyBorder="1"/>
    <xf numFmtId="0" fontId="25" fillId="2" borderId="19" xfId="0" applyFont="1" applyFill="1" applyBorder="1"/>
    <xf numFmtId="0" fontId="4" fillId="2" borderId="5" xfId="0" applyFont="1" applyFill="1" applyBorder="1"/>
    <xf numFmtId="0" fontId="25" fillId="2" borderId="5" xfId="0" applyFont="1" applyFill="1" applyBorder="1"/>
    <xf numFmtId="0" fontId="4" fillId="2" borderId="7" xfId="0" applyFont="1" applyFill="1" applyBorder="1"/>
    <xf numFmtId="0" fontId="4" fillId="2" borderId="19" xfId="0" applyFont="1" applyFill="1" applyBorder="1"/>
    <xf numFmtId="0" fontId="0" fillId="2" borderId="14" xfId="0" applyFill="1" applyBorder="1"/>
    <xf numFmtId="0" fontId="0" fillId="2" borderId="20" xfId="0" applyFill="1" applyBorder="1"/>
    <xf numFmtId="0" fontId="0" fillId="2" borderId="20" xfId="0" applyFill="1" applyBorder="1" applyAlignment="1">
      <alignment horizontal="left" indent="1"/>
    </xf>
    <xf numFmtId="3" fontId="0" fillId="14" borderId="0" xfId="0" applyNumberFormat="1" applyFill="1"/>
    <xf numFmtId="3" fontId="0" fillId="14" borderId="17" xfId="0" applyNumberFormat="1" applyFill="1" applyBorder="1"/>
    <xf numFmtId="3" fontId="0" fillId="14" borderId="14" xfId="0" applyNumberFormat="1" applyFill="1" applyBorder="1"/>
    <xf numFmtId="0" fontId="0" fillId="2" borderId="3" xfId="0" applyFill="1" applyBorder="1"/>
    <xf numFmtId="0" fontId="0" fillId="2" borderId="4" xfId="0" applyFill="1" applyBorder="1"/>
    <xf numFmtId="3" fontId="0" fillId="2" borderId="2" xfId="0" applyNumberFormat="1" applyFill="1" applyBorder="1"/>
    <xf numFmtId="3" fontId="0" fillId="2" borderId="3" xfId="0" applyNumberFormat="1" applyFill="1" applyBorder="1"/>
    <xf numFmtId="0" fontId="3" fillId="2" borderId="0" xfId="0" applyFont="1" applyFill="1"/>
    <xf numFmtId="0" fontId="0" fillId="2" borderId="18" xfId="0" applyFill="1" applyBorder="1"/>
    <xf numFmtId="0" fontId="0" fillId="2" borderId="6" xfId="0" applyFill="1" applyBorder="1"/>
    <xf numFmtId="0" fontId="0" fillId="2" borderId="17" xfId="0" applyFill="1" applyBorder="1"/>
    <xf numFmtId="3" fontId="0" fillId="15" borderId="0" xfId="0" applyNumberFormat="1" applyFill="1"/>
    <xf numFmtId="2" fontId="0" fillId="15" borderId="0" xfId="0" applyNumberFormat="1" applyFill="1"/>
    <xf numFmtId="2" fontId="0" fillId="0" borderId="0" xfId="0" applyNumberFormat="1"/>
    <xf numFmtId="0" fontId="0" fillId="2" borderId="19" xfId="0" applyFill="1" applyBorder="1"/>
    <xf numFmtId="0" fontId="0" fillId="2" borderId="5" xfId="0" applyFill="1" applyBorder="1"/>
    <xf numFmtId="0" fontId="0" fillId="2" borderId="5" xfId="0" applyFill="1" applyBorder="1" applyAlignment="1">
      <alignment horizontal="left" indent="1"/>
    </xf>
    <xf numFmtId="3" fontId="0" fillId="14" borderId="21" xfId="0" applyNumberFormat="1" applyFill="1" applyBorder="1"/>
    <xf numFmtId="3" fontId="0" fillId="14" borderId="7" xfId="0" applyNumberFormat="1" applyFill="1" applyBorder="1"/>
    <xf numFmtId="3" fontId="0" fillId="14" borderId="19" xfId="0" applyNumberFormat="1" applyFill="1" applyBorder="1"/>
    <xf numFmtId="0" fontId="0" fillId="13" borderId="0" xfId="0" applyFill="1"/>
    <xf numFmtId="0" fontId="46" fillId="10" borderId="0" xfId="0" applyFont="1" applyFill="1"/>
    <xf numFmtId="0" fontId="3" fillId="0" borderId="0" xfId="20" applyFont="1" applyAlignment="1">
      <alignment vertical="center"/>
    </xf>
    <xf numFmtId="168" fontId="38" fillId="0" borderId="0" xfId="8" applyNumberFormat="1" applyFont="1" applyFill="1"/>
    <xf numFmtId="9" fontId="38" fillId="0" borderId="0" xfId="8" applyFont="1"/>
    <xf numFmtId="1" fontId="0" fillId="2" borderId="0" xfId="0" applyNumberFormat="1" applyFill="1"/>
    <xf numFmtId="3" fontId="0" fillId="2" borderId="14" xfId="0" applyNumberFormat="1" applyFill="1" applyBorder="1"/>
    <xf numFmtId="9" fontId="0" fillId="0" borderId="0" xfId="0" applyNumberFormat="1" applyAlignment="1">
      <alignment horizontal="left" vertical="center"/>
    </xf>
    <xf numFmtId="0" fontId="18" fillId="0" borderId="0" xfId="0" applyFont="1"/>
    <xf numFmtId="1" fontId="43" fillId="0" borderId="0" xfId="36" applyNumberFormat="1"/>
    <xf numFmtId="0" fontId="0" fillId="0" borderId="0" xfId="0" applyAlignment="1">
      <alignment horizontal="center"/>
    </xf>
    <xf numFmtId="1" fontId="0" fillId="0" borderId="0" xfId="0" applyNumberFormat="1" applyAlignment="1">
      <alignment horizontal="center"/>
    </xf>
    <xf numFmtId="0" fontId="15" fillId="0" borderId="0" xfId="36" applyFont="1" applyAlignment="1">
      <alignment wrapText="1"/>
    </xf>
    <xf numFmtId="0" fontId="0" fillId="4" borderId="6" xfId="0" applyFill="1" applyBorder="1"/>
    <xf numFmtId="0" fontId="0" fillId="4" borderId="7" xfId="0" applyFill="1" applyBorder="1"/>
    <xf numFmtId="0" fontId="0" fillId="0" borderId="6" xfId="0" applyBorder="1"/>
    <xf numFmtId="0" fontId="0" fillId="0" borderId="7" xfId="0" applyBorder="1"/>
    <xf numFmtId="2" fontId="3" fillId="0" borderId="0" xfId="0" applyNumberFormat="1" applyFont="1"/>
    <xf numFmtId="3" fontId="4" fillId="15" borderId="0" xfId="0" applyNumberFormat="1" applyFont="1" applyFill="1"/>
    <xf numFmtId="1" fontId="0" fillId="15" borderId="0" xfId="0" applyNumberFormat="1" applyFill="1"/>
    <xf numFmtId="165" fontId="0" fillId="15" borderId="0" xfId="0" applyNumberFormat="1" applyFill="1"/>
    <xf numFmtId="0" fontId="47" fillId="0" borderId="0" xfId="0" applyFont="1"/>
    <xf numFmtId="0" fontId="4" fillId="4" borderId="0" xfId="0" applyFont="1" applyFill="1"/>
    <xf numFmtId="165" fontId="4" fillId="0" borderId="0" xfId="0" applyNumberFormat="1" applyFont="1" applyAlignment="1">
      <alignment horizontal="center"/>
    </xf>
    <xf numFmtId="169" fontId="0" fillId="0" borderId="0" xfId="9" applyNumberFormat="1" applyFont="1"/>
    <xf numFmtId="169" fontId="0" fillId="0" borderId="0" xfId="0" applyNumberFormat="1"/>
    <xf numFmtId="0" fontId="48" fillId="2" borderId="0" xfId="0" applyFont="1" applyFill="1"/>
    <xf numFmtId="0" fontId="49" fillId="2" borderId="0" xfId="0" applyFont="1" applyFill="1"/>
    <xf numFmtId="0" fontId="50" fillId="2" borderId="0" xfId="0" applyFont="1" applyFill="1"/>
    <xf numFmtId="0" fontId="0" fillId="2" borderId="1" xfId="0" applyFill="1" applyBorder="1"/>
    <xf numFmtId="0" fontId="0" fillId="2" borderId="2" xfId="0" applyFill="1" applyBorder="1"/>
    <xf numFmtId="0" fontId="0" fillId="2" borderId="22" xfId="0" applyFill="1" applyBorder="1"/>
    <xf numFmtId="43" fontId="0" fillId="2" borderId="6" xfId="9" applyFont="1" applyFill="1" applyBorder="1"/>
    <xf numFmtId="43" fontId="0" fillId="2" borderId="17" xfId="9" applyFont="1" applyFill="1" applyBorder="1"/>
    <xf numFmtId="0" fontId="0" fillId="2" borderId="23" xfId="0" applyFill="1" applyBorder="1"/>
    <xf numFmtId="43" fontId="0" fillId="2" borderId="0" xfId="9" applyFont="1" applyFill="1" applyBorder="1"/>
    <xf numFmtId="43" fontId="0" fillId="2" borderId="14" xfId="9" applyFont="1" applyFill="1" applyBorder="1"/>
    <xf numFmtId="0" fontId="0" fillId="2" borderId="21" xfId="0" applyFill="1" applyBorder="1"/>
    <xf numFmtId="0" fontId="0" fillId="2" borderId="7" xfId="0" applyFill="1" applyBorder="1"/>
    <xf numFmtId="43" fontId="0" fillId="2" borderId="7" xfId="9" applyFont="1" applyFill="1" applyBorder="1"/>
    <xf numFmtId="43" fontId="0" fillId="2" borderId="19" xfId="9" applyFont="1" applyFill="1" applyBorder="1"/>
    <xf numFmtId="0" fontId="25" fillId="2" borderId="4" xfId="0" applyFont="1" applyFill="1" applyBorder="1"/>
    <xf numFmtId="0" fontId="25" fillId="2" borderId="3" xfId="0" applyFont="1" applyFill="1" applyBorder="1"/>
    <xf numFmtId="0" fontId="4" fillId="2" borderId="2" xfId="0" applyFont="1" applyFill="1" applyBorder="1"/>
    <xf numFmtId="0" fontId="4" fillId="2" borderId="3" xfId="0" applyFont="1" applyFill="1" applyBorder="1"/>
    <xf numFmtId="3" fontId="0" fillId="2" borderId="0" xfId="0" applyNumberFormat="1" applyFill="1"/>
    <xf numFmtId="3" fontId="0" fillId="2" borderId="7" xfId="0" applyNumberFormat="1" applyFill="1" applyBorder="1"/>
    <xf numFmtId="3" fontId="0" fillId="2" borderId="19" xfId="0" applyNumberFormat="1" applyFill="1" applyBorder="1"/>
    <xf numFmtId="0" fontId="25" fillId="2" borderId="0" xfId="0" applyFont="1" applyFill="1"/>
    <xf numFmtId="0" fontId="48" fillId="0" borderId="0" xfId="0" applyFont="1"/>
    <xf numFmtId="165" fontId="0" fillId="9" borderId="0" xfId="0" applyNumberFormat="1" applyFill="1"/>
    <xf numFmtId="0" fontId="51" fillId="16" borderId="17" xfId="0" applyFont="1" applyFill="1" applyBorder="1"/>
    <xf numFmtId="0" fontId="51" fillId="16" borderId="18" xfId="0" applyFont="1" applyFill="1" applyBorder="1"/>
    <xf numFmtId="0" fontId="51" fillId="16" borderId="6" xfId="0" applyFont="1" applyFill="1" applyBorder="1"/>
    <xf numFmtId="0" fontId="52" fillId="16" borderId="19" xfId="0" applyFont="1" applyFill="1" applyBorder="1"/>
    <xf numFmtId="0" fontId="51" fillId="16" borderId="5" xfId="0" applyFont="1" applyFill="1" applyBorder="1"/>
    <xf numFmtId="0" fontId="52" fillId="16" borderId="5" xfId="0" applyFont="1" applyFill="1" applyBorder="1"/>
    <xf numFmtId="0" fontId="51" fillId="16" borderId="7" xfId="0" applyFont="1" applyFill="1" applyBorder="1"/>
    <xf numFmtId="0" fontId="51" fillId="16" borderId="19" xfId="0" applyFont="1" applyFill="1" applyBorder="1"/>
    <xf numFmtId="0" fontId="53" fillId="16" borderId="14" xfId="0" applyFont="1" applyFill="1" applyBorder="1"/>
    <xf numFmtId="0" fontId="53" fillId="16" borderId="20" xfId="0" applyFont="1" applyFill="1" applyBorder="1"/>
    <xf numFmtId="0" fontId="53" fillId="16" borderId="20" xfId="0" applyFont="1" applyFill="1" applyBorder="1" applyAlignment="1">
      <alignment horizontal="left" indent="1"/>
    </xf>
    <xf numFmtId="0" fontId="53" fillId="17" borderId="0" xfId="0" applyFont="1" applyFill="1"/>
    <xf numFmtId="0" fontId="53" fillId="17" borderId="17" xfId="0" applyFont="1" applyFill="1" applyBorder="1"/>
    <xf numFmtId="3" fontId="53" fillId="17" borderId="0" xfId="0" applyNumberFormat="1" applyFont="1" applyFill="1"/>
    <xf numFmtId="0" fontId="53" fillId="17" borderId="14" xfId="0" applyFont="1" applyFill="1" applyBorder="1"/>
    <xf numFmtId="3" fontId="53" fillId="17" borderId="14" xfId="0" applyNumberFormat="1" applyFont="1" applyFill="1" applyBorder="1"/>
    <xf numFmtId="0" fontId="53" fillId="16" borderId="0" xfId="0" applyFont="1" applyFill="1"/>
    <xf numFmtId="0" fontId="53" fillId="16" borderId="3" xfId="0" applyFont="1" applyFill="1" applyBorder="1"/>
    <xf numFmtId="0" fontId="53" fillId="16" borderId="4" xfId="0" applyFont="1" applyFill="1" applyBorder="1"/>
    <xf numFmtId="0" fontId="53" fillId="16" borderId="2" xfId="0" applyFont="1" applyFill="1" applyBorder="1"/>
    <xf numFmtId="0" fontId="4" fillId="11" borderId="0" xfId="0" applyFont="1" applyFill="1"/>
    <xf numFmtId="2" fontId="4" fillId="11" borderId="0" xfId="0" applyNumberFormat="1" applyFont="1" applyFill="1"/>
    <xf numFmtId="165" fontId="38" fillId="11" borderId="0" xfId="0" applyNumberFormat="1" applyFont="1" applyFill="1"/>
    <xf numFmtId="0" fontId="54" fillId="0" borderId="0" xfId="0" applyFont="1"/>
    <xf numFmtId="165" fontId="54" fillId="0" borderId="0" xfId="0" applyNumberFormat="1" applyFont="1"/>
    <xf numFmtId="165" fontId="38" fillId="0" borderId="0" xfId="0" applyNumberFormat="1" applyFont="1"/>
    <xf numFmtId="0" fontId="25" fillId="0" borderId="0" xfId="0" applyFont="1"/>
    <xf numFmtId="0" fontId="38" fillId="0" borderId="0" xfId="0" applyFont="1"/>
    <xf numFmtId="2" fontId="38" fillId="0" borderId="0" xfId="0" applyNumberFormat="1" applyFont="1"/>
    <xf numFmtId="165" fontId="38" fillId="8" borderId="0" xfId="0" applyNumberFormat="1" applyFont="1" applyFill="1"/>
    <xf numFmtId="0" fontId="15" fillId="12" borderId="15" xfId="37" applyFont="1" applyFill="1" applyBorder="1" applyAlignment="1">
      <alignment horizontal="center"/>
    </xf>
    <xf numFmtId="0" fontId="15" fillId="0" borderId="16" xfId="37" applyFont="1" applyBorder="1" applyAlignment="1">
      <alignment wrapText="1"/>
    </xf>
    <xf numFmtId="0" fontId="15" fillId="0" borderId="16" xfId="37" applyFont="1" applyBorder="1" applyAlignment="1">
      <alignment horizontal="right" wrapText="1"/>
    </xf>
    <xf numFmtId="169" fontId="0" fillId="11" borderId="0" xfId="9" applyNumberFormat="1" applyFont="1" applyFill="1"/>
    <xf numFmtId="9" fontId="3" fillId="0" borderId="0" xfId="8" applyFont="1" applyFill="1" applyAlignment="1">
      <alignment horizontal="left"/>
    </xf>
    <xf numFmtId="2" fontId="0" fillId="18" borderId="0" xfId="0" applyNumberFormat="1" applyFill="1"/>
    <xf numFmtId="165" fontId="7" fillId="0" borderId="6" xfId="8" applyNumberFormat="1" applyFont="1" applyFill="1" applyBorder="1" applyAlignment="1">
      <alignment horizontal="right" vertical="center"/>
    </xf>
    <xf numFmtId="165" fontId="7" fillId="0" borderId="0" xfId="8" applyNumberFormat="1" applyFont="1" applyFill="1" applyBorder="1" applyAlignment="1">
      <alignment horizontal="right" vertical="center"/>
    </xf>
    <xf numFmtId="1" fontId="7" fillId="0" borderId="0" xfId="8" applyNumberFormat="1" applyFont="1" applyFill="1" applyAlignment="1">
      <alignment horizontal="right" vertical="center"/>
    </xf>
    <xf numFmtId="2" fontId="7" fillId="7" borderId="0" xfId="8" applyNumberFormat="1" applyFont="1" applyFill="1" applyBorder="1" applyAlignment="1">
      <alignment horizontal="left" vertical="center"/>
    </xf>
    <xf numFmtId="0" fontId="0" fillId="7" borderId="0" xfId="0" applyFill="1"/>
    <xf numFmtId="0" fontId="11" fillId="7" borderId="0" xfId="0" applyFont="1" applyFill="1"/>
    <xf numFmtId="0" fontId="23" fillId="0" borderId="0" xfId="0" applyFont="1"/>
    <xf numFmtId="2" fontId="7" fillId="0" borderId="0" xfId="8" applyNumberFormat="1" applyFont="1" applyFill="1" applyAlignment="1">
      <alignment horizontal="right" vertical="center"/>
    </xf>
    <xf numFmtId="1" fontId="7" fillId="0" borderId="6" xfId="8" applyNumberFormat="1" applyFont="1" applyFill="1" applyBorder="1" applyAlignment="1">
      <alignment horizontal="right" vertical="center"/>
    </xf>
    <xf numFmtId="0" fontId="55" fillId="0" borderId="0" xfId="0" applyFont="1" applyAlignment="1">
      <alignment vertical="center"/>
    </xf>
    <xf numFmtId="0" fontId="33" fillId="19" borderId="24" xfId="0" applyFont="1" applyFill="1" applyBorder="1" applyAlignment="1">
      <alignment vertical="center" wrapText="1"/>
    </xf>
    <xf numFmtId="0" fontId="33" fillId="19" borderId="13" xfId="0" applyFont="1" applyFill="1" applyBorder="1" applyAlignment="1">
      <alignment vertical="center" wrapText="1"/>
    </xf>
    <xf numFmtId="0" fontId="33" fillId="0" borderId="0" xfId="0" applyFont="1"/>
    <xf numFmtId="0" fontId="18" fillId="0" borderId="25" xfId="0" applyFont="1" applyBorder="1" applyAlignment="1">
      <alignment vertical="center" wrapText="1"/>
    </xf>
    <xf numFmtId="0" fontId="18" fillId="0" borderId="26" xfId="0" applyFont="1" applyBorder="1" applyAlignment="1">
      <alignment vertical="center" wrapText="1"/>
    </xf>
    <xf numFmtId="10" fontId="18" fillId="0" borderId="26" xfId="0" applyNumberFormat="1" applyFont="1" applyBorder="1" applyAlignment="1">
      <alignment vertical="center" wrapText="1"/>
    </xf>
    <xf numFmtId="9" fontId="18" fillId="0" borderId="26" xfId="0" applyNumberFormat="1" applyFont="1" applyBorder="1" applyAlignment="1">
      <alignment vertical="center" wrapText="1"/>
    </xf>
    <xf numFmtId="0" fontId="58" fillId="0" borderId="0" xfId="0" applyFont="1" applyAlignment="1">
      <alignment vertical="center"/>
    </xf>
    <xf numFmtId="1" fontId="18" fillId="0" borderId="26" xfId="0" applyNumberFormat="1" applyFont="1" applyBorder="1" applyAlignment="1">
      <alignment vertical="center" wrapText="1"/>
    </xf>
    <xf numFmtId="165" fontId="1" fillId="0" borderId="0" xfId="20" applyNumberFormat="1" applyAlignment="1">
      <alignment horizontal="left" vertical="center"/>
    </xf>
    <xf numFmtId="0" fontId="6" fillId="0" borderId="0" xfId="2" applyAlignment="1">
      <alignment vertical="center"/>
    </xf>
    <xf numFmtId="0" fontId="18" fillId="9" borderId="0" xfId="0" applyFont="1" applyFill="1"/>
    <xf numFmtId="2" fontId="18" fillId="0" borderId="0" xfId="0" applyNumberFormat="1" applyFont="1"/>
    <xf numFmtId="0" fontId="62" fillId="0" borderId="0" xfId="0" applyFont="1"/>
    <xf numFmtId="0" fontId="44" fillId="7" borderId="0" xfId="0" applyFont="1" applyFill="1"/>
    <xf numFmtId="168" fontId="0" fillId="7" borderId="0" xfId="8" applyNumberFormat="1" applyFont="1" applyFill="1"/>
    <xf numFmtId="0" fontId="63" fillId="0" borderId="0" xfId="0" applyFont="1"/>
    <xf numFmtId="0" fontId="33" fillId="20" borderId="0" xfId="0" applyFont="1" applyFill="1"/>
    <xf numFmtId="0" fontId="18" fillId="20" borderId="0" xfId="0" applyFont="1" applyFill="1"/>
    <xf numFmtId="2" fontId="33" fillId="0" borderId="0" xfId="0" applyNumberFormat="1" applyFont="1"/>
    <xf numFmtId="0" fontId="64" fillId="0" borderId="0" xfId="0" applyFont="1"/>
    <xf numFmtId="165" fontId="0" fillId="0" borderId="0" xfId="0" applyNumberFormat="1" applyAlignment="1">
      <alignment horizontal="left" vertical="center"/>
    </xf>
    <xf numFmtId="165" fontId="18" fillId="0" borderId="0" xfId="0" applyNumberFormat="1" applyFont="1" applyAlignment="1">
      <alignment horizontal="left" vertical="center" wrapText="1"/>
    </xf>
    <xf numFmtId="165" fontId="65" fillId="0" borderId="0" xfId="0" applyNumberFormat="1" applyFont="1" applyAlignment="1">
      <alignment horizontal="left" vertical="center"/>
    </xf>
    <xf numFmtId="0" fontId="18" fillId="0" borderId="6" xfId="0" applyFont="1" applyBorder="1" applyAlignment="1">
      <alignment horizontal="left" vertical="center" wrapText="1"/>
    </xf>
    <xf numFmtId="165" fontId="18" fillId="0" borderId="6" xfId="0" applyNumberFormat="1" applyFont="1" applyBorder="1" applyAlignment="1">
      <alignment horizontal="left" vertical="center" wrapText="1"/>
    </xf>
    <xf numFmtId="2" fontId="4" fillId="0" borderId="0" xfId="0" applyNumberFormat="1" applyFont="1"/>
    <xf numFmtId="0" fontId="0" fillId="0" borderId="0" xfId="0" applyAlignment="1">
      <alignment horizontal="right"/>
    </xf>
    <xf numFmtId="1" fontId="0" fillId="0" borderId="0" xfId="0" applyNumberFormat="1" applyAlignment="1">
      <alignment horizontal="left" vertical="center"/>
    </xf>
    <xf numFmtId="0" fontId="18" fillId="0" borderId="7" xfId="0" applyFont="1" applyBorder="1" applyAlignment="1">
      <alignment horizontal="left" vertical="center" wrapText="1"/>
    </xf>
    <xf numFmtId="0" fontId="0" fillId="0" borderId="0" xfId="0" applyAlignment="1">
      <alignment horizontal="right" vertical="center"/>
    </xf>
    <xf numFmtId="2" fontId="0" fillId="0" borderId="6" xfId="0" applyNumberFormat="1" applyBorder="1" applyAlignment="1">
      <alignment horizontal="left" vertical="center"/>
    </xf>
    <xf numFmtId="165" fontId="4" fillId="0" borderId="0" xfId="0" applyNumberFormat="1" applyFont="1" applyAlignment="1">
      <alignment horizontal="left" vertical="center"/>
    </xf>
    <xf numFmtId="10" fontId="0" fillId="0" borderId="0" xfId="0" applyNumberFormat="1" applyAlignment="1">
      <alignment horizontal="left" vertical="center"/>
    </xf>
    <xf numFmtId="1" fontId="7" fillId="0" borderId="0" xfId="0" applyNumberFormat="1" applyFont="1"/>
    <xf numFmtId="9" fontId="7" fillId="0" borderId="0" xfId="8" applyFont="1" applyFill="1"/>
    <xf numFmtId="1" fontId="4" fillId="0" borderId="0" xfId="0" applyNumberFormat="1" applyFont="1"/>
    <xf numFmtId="169" fontId="3" fillId="0" borderId="0" xfId="9" applyNumberFormat="1" applyFont="1"/>
    <xf numFmtId="165" fontId="0" fillId="0" borderId="0" xfId="0" applyNumberFormat="1" applyAlignment="1">
      <alignment horizontal="center"/>
    </xf>
    <xf numFmtId="11" fontId="0" fillId="0" borderId="0" xfId="0" applyNumberFormat="1"/>
    <xf numFmtId="3" fontId="3" fillId="0" borderId="0" xfId="0" applyNumberFormat="1" applyFont="1"/>
    <xf numFmtId="0" fontId="7" fillId="0" borderId="0" xfId="0" applyFont="1"/>
    <xf numFmtId="43" fontId="7" fillId="0" borderId="0" xfId="9" applyFont="1"/>
    <xf numFmtId="43" fontId="0" fillId="0" borderId="0" xfId="0" applyNumberFormat="1"/>
    <xf numFmtId="169" fontId="7" fillId="0" borderId="0" xfId="9" applyNumberFormat="1" applyFont="1" applyFill="1"/>
    <xf numFmtId="169" fontId="0" fillId="4" borderId="6" xfId="9" applyNumberFormat="1" applyFont="1" applyFill="1" applyBorder="1"/>
    <xf numFmtId="169" fontId="0" fillId="4" borderId="0" xfId="9" applyNumberFormat="1" applyFont="1" applyFill="1"/>
    <xf numFmtId="0" fontId="15" fillId="12" borderId="15" xfId="38" applyFont="1" applyFill="1" applyBorder="1" applyAlignment="1">
      <alignment horizontal="center"/>
    </xf>
    <xf numFmtId="0" fontId="15" fillId="0" borderId="16" xfId="38" applyFont="1" applyBorder="1" applyAlignment="1">
      <alignment wrapText="1"/>
    </xf>
    <xf numFmtId="0" fontId="15" fillId="0" borderId="16" xfId="38" applyFont="1" applyBorder="1" applyAlignment="1">
      <alignment horizontal="right" wrapText="1"/>
    </xf>
    <xf numFmtId="0" fontId="43" fillId="0" borderId="0" xfId="38"/>
    <xf numFmtId="9" fontId="0" fillId="0" borderId="0" xfId="8" applyFont="1" applyAlignment="1">
      <alignment horizontal="left" vertical="center"/>
    </xf>
    <xf numFmtId="9" fontId="0" fillId="0" borderId="7" xfId="8" applyFont="1" applyBorder="1" applyAlignment="1">
      <alignment horizontal="left" vertical="center"/>
    </xf>
    <xf numFmtId="9" fontId="0" fillId="0" borderId="0" xfId="8" applyFont="1" applyFill="1" applyBorder="1" applyAlignment="1">
      <alignment horizontal="left" vertical="center"/>
    </xf>
    <xf numFmtId="0" fontId="2" fillId="0" borderId="0" xfId="0" applyFont="1" applyAlignment="1">
      <alignment horizontal="left" vertical="center" wrapText="1"/>
    </xf>
    <xf numFmtId="3" fontId="0" fillId="0" borderId="0" xfId="0" applyNumberFormat="1" applyAlignment="1">
      <alignment horizontal="left" vertical="center"/>
    </xf>
    <xf numFmtId="0" fontId="66" fillId="0" borderId="0" xfId="0" applyFont="1"/>
    <xf numFmtId="43" fontId="3" fillId="0" borderId="0" xfId="0" applyNumberFormat="1" applyFont="1"/>
    <xf numFmtId="165" fontId="3" fillId="0" borderId="0" xfId="0" applyNumberFormat="1" applyFont="1"/>
    <xf numFmtId="43" fontId="4" fillId="0" borderId="0" xfId="0" applyNumberFormat="1" applyFont="1"/>
    <xf numFmtId="0" fontId="18" fillId="6" borderId="0" xfId="0" applyFont="1" applyFill="1" applyAlignment="1">
      <alignment horizontal="left" vertical="center" wrapText="1"/>
    </xf>
    <xf numFmtId="1" fontId="7" fillId="0" borderId="6" xfId="8" applyNumberFormat="1" applyFont="1" applyFill="1" applyBorder="1" applyAlignment="1">
      <alignment horizontal="left" vertical="center"/>
    </xf>
    <xf numFmtId="2" fontId="7" fillId="0" borderId="0" xfId="0" applyNumberFormat="1" applyFont="1"/>
    <xf numFmtId="170" fontId="7" fillId="0" borderId="0" xfId="0" applyNumberFormat="1" applyFont="1"/>
    <xf numFmtId="170" fontId="7" fillId="0" borderId="0" xfId="8" applyNumberFormat="1" applyFont="1" applyFill="1" applyAlignment="1">
      <alignment horizontal="right" vertical="center"/>
    </xf>
    <xf numFmtId="2" fontId="7" fillId="0" borderId="7" xfId="8" applyNumberFormat="1" applyFont="1" applyFill="1" applyBorder="1" applyAlignment="1">
      <alignment horizontal="right" vertical="center"/>
    </xf>
    <xf numFmtId="0" fontId="4" fillId="21" borderId="0" xfId="0" applyFont="1" applyFill="1" applyAlignment="1">
      <alignment horizontal="left" vertical="center"/>
    </xf>
    <xf numFmtId="0" fontId="16" fillId="21" borderId="0" xfId="0" applyFont="1" applyFill="1" applyAlignment="1">
      <alignment vertical="center" wrapText="1"/>
    </xf>
    <xf numFmtId="0" fontId="4" fillId="21" borderId="0" xfId="0" applyFont="1" applyFill="1"/>
    <xf numFmtId="9" fontId="4" fillId="0" borderId="0" xfId="8" applyFont="1" applyAlignment="1">
      <alignment horizontal="center" vertical="center"/>
    </xf>
    <xf numFmtId="9" fontId="3" fillId="4" borderId="0" xfId="8" applyFont="1" applyFill="1" applyAlignment="1">
      <alignment horizontal="center" vertical="center"/>
    </xf>
    <xf numFmtId="9" fontId="3" fillId="4" borderId="7" xfId="8" applyFont="1" applyFill="1" applyBorder="1" applyAlignment="1">
      <alignment horizontal="center" vertical="center"/>
    </xf>
    <xf numFmtId="0" fontId="4" fillId="2" borderId="0" xfId="0" applyFont="1" applyFill="1" applyAlignment="1">
      <alignment horizontal="left" vertical="center"/>
    </xf>
    <xf numFmtId="0" fontId="16" fillId="0" borderId="0" xfId="0" applyFont="1" applyAlignment="1">
      <alignment horizontal="center" vertical="center" wrapText="1"/>
    </xf>
    <xf numFmtId="9" fontId="4" fillId="0" borderId="0" xfId="8" applyFont="1" applyFill="1" applyBorder="1" applyAlignment="1">
      <alignment horizontal="center" vertical="center"/>
    </xf>
    <xf numFmtId="9" fontId="3" fillId="0" borderId="0" xfId="8" applyFont="1" applyFill="1" applyBorder="1" applyAlignment="1">
      <alignment horizontal="center" vertical="center"/>
    </xf>
    <xf numFmtId="9" fontId="3" fillId="4" borderId="0" xfId="0" applyNumberFormat="1" applyFont="1" applyFill="1" applyAlignment="1">
      <alignment horizontal="center" vertical="center"/>
    </xf>
    <xf numFmtId="9" fontId="3" fillId="4" borderId="7" xfId="0" applyNumberFormat="1" applyFont="1" applyFill="1" applyBorder="1" applyAlignment="1">
      <alignment horizontal="center" vertical="center"/>
    </xf>
    <xf numFmtId="0" fontId="0" fillId="0" borderId="0" xfId="0" applyAlignment="1">
      <alignment horizontal="center" vertical="center"/>
    </xf>
    <xf numFmtId="9" fontId="7" fillId="0" borderId="0" xfId="8" applyFont="1" applyFill="1" applyAlignment="1">
      <alignment horizontal="right" vertical="center"/>
    </xf>
    <xf numFmtId="171" fontId="0" fillId="0" borderId="6" xfId="0" applyNumberFormat="1" applyBorder="1" applyAlignment="1">
      <alignment horizontal="left" vertical="center"/>
    </xf>
    <xf numFmtId="0" fontId="0" fillId="22" borderId="0" xfId="0" applyFill="1" applyAlignment="1">
      <alignment vertical="center"/>
    </xf>
    <xf numFmtId="0" fontId="8" fillId="23" borderId="0" xfId="0" applyFont="1" applyFill="1" applyAlignment="1">
      <alignment horizontal="left" vertical="center"/>
    </xf>
    <xf numFmtId="0" fontId="68" fillId="23" borderId="0" xfId="0" applyFont="1" applyFill="1" applyAlignment="1">
      <alignment horizontal="center" vertical="center"/>
    </xf>
    <xf numFmtId="0" fontId="68" fillId="23" borderId="0" xfId="0" applyFont="1" applyFill="1" applyAlignment="1">
      <alignment horizontal="center" vertical="center" wrapText="1"/>
    </xf>
    <xf numFmtId="0" fontId="7" fillId="23" borderId="0" xfId="0" applyFont="1" applyFill="1" applyAlignment="1">
      <alignment horizontal="center" vertical="center"/>
    </xf>
    <xf numFmtId="0" fontId="0" fillId="23" borderId="0" xfId="0" applyFill="1" applyAlignment="1">
      <alignment horizontal="center" vertical="center"/>
    </xf>
    <xf numFmtId="0" fontId="0" fillId="22" borderId="0" xfId="0" applyFill="1" applyAlignment="1">
      <alignment horizontal="left" vertical="center"/>
    </xf>
    <xf numFmtId="0" fontId="7" fillId="0" borderId="0" xfId="0" applyFont="1" applyAlignment="1">
      <alignment horizontal="center" vertical="center"/>
    </xf>
    <xf numFmtId="3" fontId="0" fillId="0" borderId="0" xfId="0" applyNumberFormat="1" applyAlignment="1">
      <alignment horizontal="center" vertical="center"/>
    </xf>
    <xf numFmtId="0" fontId="69" fillId="24" borderId="0" xfId="0" applyFont="1" applyFill="1" applyAlignment="1">
      <alignment vertical="center"/>
    </xf>
    <xf numFmtId="0" fontId="69" fillId="24" borderId="0" xfId="0" applyFont="1" applyFill="1" applyAlignment="1">
      <alignment horizontal="center" vertical="center"/>
    </xf>
    <xf numFmtId="0" fontId="69" fillId="0" borderId="0" xfId="0" applyFont="1" applyAlignment="1">
      <alignment vertical="center"/>
    </xf>
    <xf numFmtId="0" fontId="4" fillId="21" borderId="0" xfId="0" applyFont="1" applyFill="1" applyAlignment="1">
      <alignment vertical="center"/>
    </xf>
    <xf numFmtId="0" fontId="4" fillId="21" borderId="0" xfId="0" applyFont="1" applyFill="1" applyAlignment="1">
      <alignment horizontal="center" vertical="center"/>
    </xf>
    <xf numFmtId="0" fontId="4" fillId="21" borderId="0" xfId="0" applyFont="1" applyFill="1" applyAlignment="1">
      <alignment horizontal="center" vertical="center" wrapText="1"/>
    </xf>
    <xf numFmtId="0" fontId="4" fillId="0" borderId="0" xfId="0" applyFont="1" applyAlignment="1">
      <alignment horizontal="center" vertical="center"/>
    </xf>
    <xf numFmtId="9" fontId="0" fillId="0" borderId="0" xfId="0" applyNumberFormat="1" applyAlignment="1">
      <alignment horizontal="center" vertical="center"/>
    </xf>
    <xf numFmtId="0" fontId="44" fillId="22" borderId="0" xfId="0" applyFont="1" applyFill="1" applyAlignment="1">
      <alignment horizontal="left" vertical="center"/>
    </xf>
    <xf numFmtId="0" fontId="3" fillId="4" borderId="0" xfId="0" applyFont="1" applyFill="1" applyAlignment="1">
      <alignment horizontal="center"/>
    </xf>
    <xf numFmtId="9" fontId="3" fillId="4" borderId="0" xfId="8" applyFont="1" applyFill="1" applyAlignment="1">
      <alignment horizontal="center"/>
    </xf>
    <xf numFmtId="9" fontId="3" fillId="0" borderId="0" xfId="0" applyNumberFormat="1" applyFont="1" applyAlignment="1">
      <alignment horizontal="center" vertical="center"/>
    </xf>
    <xf numFmtId="0" fontId="3" fillId="4" borderId="6" xfId="0" applyFont="1" applyFill="1" applyBorder="1" applyAlignment="1">
      <alignment horizontal="center"/>
    </xf>
    <xf numFmtId="9" fontId="3" fillId="4" borderId="6" xfId="8" applyFont="1" applyFill="1" applyBorder="1" applyAlignment="1">
      <alignment horizontal="center"/>
    </xf>
    <xf numFmtId="0" fontId="3" fillId="4" borderId="0" xfId="0" applyFont="1" applyFill="1" applyAlignment="1">
      <alignment horizontal="center" vertical="center"/>
    </xf>
    <xf numFmtId="9" fontId="3" fillId="4" borderId="0" xfId="8" applyFont="1" applyFill="1" applyBorder="1" applyAlignment="1">
      <alignment horizontal="center"/>
    </xf>
    <xf numFmtId="0" fontId="3" fillId="4" borderId="7" xfId="0" applyFont="1" applyFill="1" applyBorder="1" applyAlignment="1">
      <alignment horizontal="center"/>
    </xf>
    <xf numFmtId="9" fontId="3" fillId="4" borderId="7" xfId="8" applyFont="1" applyFill="1" applyBorder="1" applyAlignment="1">
      <alignment horizontal="center"/>
    </xf>
    <xf numFmtId="0" fontId="44" fillId="0" borderId="0" xfId="0" applyFont="1" applyAlignment="1">
      <alignment horizontal="left" vertical="center"/>
    </xf>
    <xf numFmtId="0" fontId="0" fillId="0" borderId="6" xfId="0" applyBorder="1" applyAlignment="1">
      <alignment horizontal="center"/>
    </xf>
    <xf numFmtId="9" fontId="0" fillId="0" borderId="6" xfId="8" applyFont="1" applyFill="1" applyBorder="1" applyAlignment="1">
      <alignment horizontal="center"/>
    </xf>
    <xf numFmtId="9" fontId="0" fillId="0" borderId="0" xfId="8" applyFont="1" applyFill="1" applyAlignment="1">
      <alignment horizontal="center"/>
    </xf>
    <xf numFmtId="9" fontId="0" fillId="0" borderId="0" xfId="8" applyFont="1" applyFill="1" applyBorder="1" applyAlignment="1">
      <alignment horizontal="center"/>
    </xf>
    <xf numFmtId="0" fontId="0" fillId="24" borderId="0" xfId="0" applyFill="1" applyAlignment="1">
      <alignment horizontal="center" vertical="center"/>
    </xf>
    <xf numFmtId="2" fontId="0" fillId="4" borderId="0" xfId="0" applyNumberFormat="1" applyFill="1" applyAlignment="1">
      <alignment horizontal="left" vertical="center"/>
    </xf>
    <xf numFmtId="165" fontId="7" fillId="0" borderId="0" xfId="0" applyNumberFormat="1" applyFont="1" applyAlignment="1">
      <alignment horizontal="center" vertical="center"/>
    </xf>
    <xf numFmtId="2" fontId="0" fillId="4" borderId="7" xfId="0" applyNumberFormat="1" applyFill="1" applyBorder="1" applyAlignment="1">
      <alignment horizontal="left" vertical="center"/>
    </xf>
    <xf numFmtId="0" fontId="0" fillId="0" borderId="7" xfId="0" applyBorder="1" applyAlignment="1">
      <alignment horizontal="center" vertical="center"/>
    </xf>
    <xf numFmtId="165" fontId="7" fillId="0" borderId="7" xfId="0" applyNumberFormat="1" applyFont="1" applyBorder="1" applyAlignment="1">
      <alignment horizontal="center" vertical="center"/>
    </xf>
    <xf numFmtId="0" fontId="44" fillId="0" borderId="0" xfId="0" applyFont="1" applyAlignment="1">
      <alignment horizontal="center" vertical="center"/>
    </xf>
    <xf numFmtId="1" fontId="3" fillId="4" borderId="0" xfId="0" applyNumberFormat="1" applyFont="1" applyFill="1" applyAlignment="1">
      <alignment horizontal="center" vertical="center"/>
    </xf>
    <xf numFmtId="9" fontId="0" fillId="2" borderId="0" xfId="8" applyFont="1" applyFill="1" applyAlignment="1">
      <alignment horizontal="center"/>
    </xf>
    <xf numFmtId="9" fontId="7" fillId="0" borderId="0" xfId="0" applyNumberFormat="1" applyFont="1" applyAlignment="1">
      <alignment horizontal="center" vertical="center"/>
    </xf>
    <xf numFmtId="9" fontId="0" fillId="2" borderId="0" xfId="8" applyFont="1" applyFill="1" applyAlignment="1">
      <alignment horizontal="center" vertical="center"/>
    </xf>
    <xf numFmtId="9" fontId="0" fillId="2" borderId="6" xfId="8" applyFont="1" applyFill="1" applyBorder="1" applyAlignment="1">
      <alignment horizontal="center"/>
    </xf>
    <xf numFmtId="9" fontId="7" fillId="0" borderId="6" xfId="0" applyNumberFormat="1" applyFont="1" applyBorder="1" applyAlignment="1">
      <alignment horizontal="center" vertical="center"/>
    </xf>
    <xf numFmtId="9" fontId="0" fillId="2" borderId="0" xfId="8" applyFont="1" applyFill="1" applyBorder="1" applyAlignment="1">
      <alignment horizontal="center" vertical="center"/>
    </xf>
    <xf numFmtId="9" fontId="0" fillId="2" borderId="0" xfId="8" applyFont="1" applyFill="1" applyBorder="1" applyAlignment="1">
      <alignment horizontal="center"/>
    </xf>
    <xf numFmtId="9" fontId="0" fillId="2" borderId="7" xfId="8" applyFont="1" applyFill="1" applyBorder="1" applyAlignment="1">
      <alignment horizontal="center" vertical="center"/>
    </xf>
    <xf numFmtId="0" fontId="0" fillId="0" borderId="7" xfId="0" applyBorder="1" applyAlignment="1">
      <alignment horizontal="center"/>
    </xf>
    <xf numFmtId="9" fontId="7" fillId="0" borderId="7" xfId="0" applyNumberFormat="1" applyFont="1" applyBorder="1" applyAlignment="1">
      <alignment horizontal="center" vertical="center"/>
    </xf>
    <xf numFmtId="2" fontId="7" fillId="0" borderId="0" xfId="0" applyNumberFormat="1" applyFont="1" applyAlignment="1">
      <alignment horizontal="center" vertical="center"/>
    </xf>
    <xf numFmtId="2" fontId="0" fillId="4" borderId="0" xfId="0" applyNumberFormat="1" applyFill="1" applyAlignment="1">
      <alignment horizontal="left"/>
    </xf>
    <xf numFmtId="2" fontId="0" fillId="4" borderId="7" xfId="0" applyNumberFormat="1" applyFill="1" applyBorder="1" applyAlignment="1">
      <alignment horizontal="left"/>
    </xf>
    <xf numFmtId="2" fontId="3" fillId="0" borderId="0" xfId="0" applyNumberFormat="1" applyFont="1" applyAlignment="1">
      <alignment horizontal="center" vertical="center"/>
    </xf>
    <xf numFmtId="9" fontId="44" fillId="0" borderId="0" xfId="0" applyNumberFormat="1" applyFont="1" applyAlignment="1">
      <alignment horizontal="center" vertical="center"/>
    </xf>
    <xf numFmtId="3" fontId="7" fillId="0" borderId="0" xfId="0" applyNumberFormat="1" applyFont="1" applyAlignment="1">
      <alignment horizontal="center" vertical="center"/>
    </xf>
    <xf numFmtId="0" fontId="44" fillId="0" borderId="7" xfId="0" applyFont="1" applyBorder="1" applyAlignment="1">
      <alignment horizontal="left" vertical="center"/>
    </xf>
    <xf numFmtId="0" fontId="44" fillId="0" borderId="6" xfId="0" applyFont="1" applyBorder="1" applyAlignment="1">
      <alignment horizontal="left" vertical="center"/>
    </xf>
    <xf numFmtId="3" fontId="7" fillId="0" borderId="6" xfId="0" applyNumberFormat="1" applyFont="1" applyBorder="1" applyAlignment="1">
      <alignment horizontal="center" vertical="center"/>
    </xf>
    <xf numFmtId="0" fontId="3" fillId="4" borderId="7" xfId="0" applyFont="1" applyFill="1" applyBorder="1" applyAlignment="1">
      <alignment horizontal="center" vertical="center"/>
    </xf>
    <xf numFmtId="9" fontId="0" fillId="0" borderId="6" xfId="8" applyFont="1" applyBorder="1" applyAlignment="1">
      <alignment horizontal="center"/>
    </xf>
    <xf numFmtId="9" fontId="7" fillId="2" borderId="6" xfId="0" applyNumberFormat="1" applyFont="1" applyFill="1" applyBorder="1" applyAlignment="1">
      <alignment horizontal="center" vertical="center"/>
    </xf>
    <xf numFmtId="9" fontId="0" fillId="0" borderId="0" xfId="8" applyFont="1" applyBorder="1" applyAlignment="1">
      <alignment horizontal="center" vertical="center"/>
    </xf>
    <xf numFmtId="9" fontId="7" fillId="2" borderId="0" xfId="0" applyNumberFormat="1" applyFont="1" applyFill="1" applyAlignment="1">
      <alignment horizontal="center" vertical="center"/>
    </xf>
    <xf numFmtId="9" fontId="0" fillId="0" borderId="0" xfId="8" applyFont="1" applyAlignment="1">
      <alignment horizontal="center" vertical="center"/>
    </xf>
    <xf numFmtId="9" fontId="0" fillId="0" borderId="0" xfId="8" applyFont="1" applyAlignment="1">
      <alignment horizontal="center"/>
    </xf>
    <xf numFmtId="0" fontId="0" fillId="0" borderId="6" xfId="0" applyBorder="1" applyAlignment="1">
      <alignment horizontal="center" vertical="center"/>
    </xf>
    <xf numFmtId="9" fontId="0" fillId="0" borderId="6" xfId="8" applyFont="1" applyBorder="1" applyAlignment="1">
      <alignment horizontal="center" vertical="center"/>
    </xf>
    <xf numFmtId="0" fontId="44" fillId="22" borderId="7" xfId="0" applyFont="1" applyFill="1" applyBorder="1" applyAlignment="1">
      <alignment horizontal="left" vertical="center"/>
    </xf>
    <xf numFmtId="0" fontId="0" fillId="22" borderId="7" xfId="0" applyFill="1" applyBorder="1" applyAlignment="1">
      <alignment horizontal="left" vertical="center"/>
    </xf>
    <xf numFmtId="9" fontId="0" fillId="0" borderId="7" xfId="8" applyFont="1" applyBorder="1" applyAlignment="1">
      <alignment horizontal="center" vertical="center"/>
    </xf>
    <xf numFmtId="9" fontId="7" fillId="2" borderId="7" xfId="0" applyNumberFormat="1" applyFont="1" applyFill="1" applyBorder="1" applyAlignment="1">
      <alignment horizontal="center" vertical="center"/>
    </xf>
    <xf numFmtId="0" fontId="4" fillId="8" borderId="0" xfId="0" applyFont="1" applyFill="1" applyAlignment="1">
      <alignment horizontal="left" vertical="center"/>
    </xf>
    <xf numFmtId="0" fontId="70" fillId="8" borderId="0" xfId="0" applyFont="1" applyFill="1" applyAlignment="1">
      <alignment horizontal="left" vertical="center"/>
    </xf>
    <xf numFmtId="0" fontId="24" fillId="0" borderId="0" xfId="0" applyFont="1" applyAlignment="1">
      <alignment horizontal="left" vertical="center"/>
    </xf>
    <xf numFmtId="0" fontId="71" fillId="0" borderId="0" xfId="0" applyFont="1" applyAlignment="1">
      <alignment horizontal="left" vertical="center"/>
    </xf>
    <xf numFmtId="0" fontId="33" fillId="0" borderId="7" xfId="0" applyFont="1" applyBorder="1" applyAlignment="1">
      <alignment horizontal="left" vertical="center" wrapText="1"/>
    </xf>
    <xf numFmtId="0" fontId="4" fillId="0" borderId="2" xfId="0" applyFont="1" applyBorder="1" applyAlignment="1">
      <alignment horizontal="left" vertical="center"/>
    </xf>
    <xf numFmtId="9" fontId="7" fillId="0" borderId="2" xfId="8" applyFont="1" applyFill="1" applyBorder="1" applyAlignment="1">
      <alignment horizontal="left" vertical="center"/>
    </xf>
    <xf numFmtId="1" fontId="7" fillId="0" borderId="2" xfId="8" applyNumberFormat="1" applyFont="1" applyFill="1" applyBorder="1" applyAlignment="1">
      <alignment horizontal="left" vertical="center"/>
    </xf>
    <xf numFmtId="165" fontId="7" fillId="0" borderId="2" xfId="8" applyNumberFormat="1" applyFont="1" applyFill="1" applyBorder="1" applyAlignment="1">
      <alignment horizontal="left" vertical="center"/>
    </xf>
    <xf numFmtId="43" fontId="7" fillId="0" borderId="0" xfId="9" applyFont="1" applyFill="1" applyBorder="1" applyAlignment="1">
      <alignment horizontal="left" vertical="center"/>
    </xf>
    <xf numFmtId="2" fontId="7" fillId="0" borderId="0" xfId="9" applyNumberFormat="1" applyFont="1" applyFill="1" applyBorder="1" applyAlignment="1">
      <alignment horizontal="left" vertical="center"/>
    </xf>
    <xf numFmtId="172" fontId="0" fillId="0" borderId="0" xfId="8" applyNumberFormat="1" applyFont="1" applyAlignment="1">
      <alignment horizontal="left" vertical="center"/>
    </xf>
    <xf numFmtId="0" fontId="34" fillId="0" borderId="0" xfId="0" applyFont="1" applyAlignment="1">
      <alignment horizontal="left" vertical="center"/>
    </xf>
    <xf numFmtId="0" fontId="70" fillId="0" borderId="0" xfId="0" applyFont="1" applyAlignment="1">
      <alignment horizontal="left" vertical="center"/>
    </xf>
    <xf numFmtId="1" fontId="3" fillId="0" borderId="0" xfId="0" applyNumberFormat="1" applyFont="1" applyAlignment="1">
      <alignment horizontal="center" vertical="center"/>
    </xf>
    <xf numFmtId="3" fontId="7" fillId="0" borderId="7" xfId="0" applyNumberFormat="1" applyFont="1" applyBorder="1" applyAlignment="1">
      <alignment horizontal="center" vertical="center"/>
    </xf>
    <xf numFmtId="9" fontId="0" fillId="0" borderId="6" xfId="0" applyNumberFormat="1" applyBorder="1" applyAlignment="1">
      <alignment horizontal="center" vertical="center"/>
    </xf>
    <xf numFmtId="0" fontId="25" fillId="2" borderId="2" xfId="0" applyFont="1" applyFill="1" applyBorder="1"/>
    <xf numFmtId="165" fontId="18" fillId="4" borderId="0" xfId="0" applyNumberFormat="1" applyFont="1" applyFill="1" applyAlignment="1">
      <alignment horizontal="left" vertical="center" wrapText="1"/>
    </xf>
    <xf numFmtId="165" fontId="0" fillId="4" borderId="0" xfId="0" applyNumberFormat="1" applyFill="1" applyAlignment="1">
      <alignment horizontal="left" vertical="center"/>
    </xf>
    <xf numFmtId="0" fontId="73" fillId="25" borderId="0" xfId="0" applyFont="1" applyFill="1"/>
    <xf numFmtId="173" fontId="18" fillId="0" borderId="0" xfId="0" applyNumberFormat="1" applyFont="1"/>
    <xf numFmtId="170" fontId="0" fillId="0" borderId="0" xfId="0" applyNumberFormat="1" applyAlignment="1">
      <alignment horizontal="left" vertical="center"/>
    </xf>
    <xf numFmtId="1" fontId="0" fillId="0" borderId="0" xfId="0" applyNumberFormat="1" applyAlignment="1">
      <alignment vertical="center"/>
    </xf>
    <xf numFmtId="165" fontId="4" fillId="0" borderId="0" xfId="0" applyNumberFormat="1" applyFont="1"/>
    <xf numFmtId="9" fontId="18" fillId="0" borderId="0" xfId="8" applyFont="1"/>
    <xf numFmtId="2" fontId="24" fillId="0" borderId="0" xfId="0" applyNumberFormat="1" applyFont="1" applyAlignment="1">
      <alignment horizontal="left" vertical="center"/>
    </xf>
    <xf numFmtId="0" fontId="18" fillId="0" borderId="0" xfId="0" applyFont="1" applyAlignment="1">
      <alignment horizontal="center" vertical="center" wrapText="1"/>
    </xf>
    <xf numFmtId="9" fontId="7" fillId="0" borderId="0" xfId="8" applyFont="1" applyFill="1" applyBorder="1" applyAlignment="1">
      <alignment horizontal="center" vertical="center"/>
    </xf>
    <xf numFmtId="2" fontId="7" fillId="0" borderId="6" xfId="8" applyNumberFormat="1" applyFont="1" applyFill="1" applyBorder="1" applyAlignment="1">
      <alignment horizontal="right" vertical="center"/>
    </xf>
    <xf numFmtId="2" fontId="24" fillId="7" borderId="0" xfId="0" applyNumberFormat="1" applyFont="1" applyFill="1" applyAlignment="1">
      <alignment horizontal="left" vertical="center"/>
    </xf>
    <xf numFmtId="0" fontId="24" fillId="7" borderId="0" xfId="0" applyFont="1" applyFill="1" applyAlignment="1">
      <alignment horizontal="left" vertical="center"/>
    </xf>
    <xf numFmtId="0" fontId="24" fillId="4" borderId="0" xfId="0" applyFont="1" applyFill="1" applyAlignment="1">
      <alignment horizontal="left" vertical="center"/>
    </xf>
    <xf numFmtId="167" fontId="0" fillId="0" borderId="0" xfId="0" applyNumberFormat="1"/>
    <xf numFmtId="174" fontId="0" fillId="0" borderId="0" xfId="8" applyNumberFormat="1" applyFont="1"/>
    <xf numFmtId="0" fontId="1" fillId="0" borderId="0" xfId="0" applyFont="1"/>
    <xf numFmtId="2" fontId="0" fillId="0" borderId="0" xfId="0" applyNumberFormat="1" applyAlignment="1">
      <alignment horizontal="left"/>
    </xf>
    <xf numFmtId="0" fontId="74" fillId="3" borderId="8" xfId="39" applyFont="1" applyFill="1" applyBorder="1" applyAlignment="1">
      <alignment horizontal="left" vertical="center"/>
    </xf>
    <xf numFmtId="0" fontId="7" fillId="26" borderId="0" xfId="0" applyFont="1" applyFill="1"/>
    <xf numFmtId="0" fontId="17" fillId="27" borderId="0" xfId="0" applyFont="1" applyFill="1"/>
    <xf numFmtId="0" fontId="0" fillId="27" borderId="0" xfId="0" applyFill="1"/>
    <xf numFmtId="175" fontId="0" fillId="0" borderId="0" xfId="0" applyNumberFormat="1"/>
    <xf numFmtId="0" fontId="75" fillId="27" borderId="0" xfId="0" applyFont="1" applyFill="1"/>
    <xf numFmtId="0" fontId="0" fillId="0" borderId="0" xfId="0" applyAlignment="1">
      <alignment wrapText="1"/>
    </xf>
    <xf numFmtId="0" fontId="4" fillId="28" borderId="0" xfId="0" applyFont="1" applyFill="1"/>
    <xf numFmtId="0" fontId="0" fillId="28" borderId="0" xfId="0" applyFill="1"/>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8" borderId="4" xfId="0" applyFont="1" applyFill="1" applyBorder="1" applyAlignment="1">
      <alignment horizontal="center" vertical="center"/>
    </xf>
    <xf numFmtId="0" fontId="4" fillId="0" borderId="4" xfId="0" applyFont="1" applyBorder="1" applyAlignment="1">
      <alignment horizontal="center" vertical="center" wrapText="1"/>
    </xf>
    <xf numFmtId="0" fontId="4" fillId="8" borderId="4" xfId="0" applyFont="1" applyFill="1" applyBorder="1" applyAlignment="1">
      <alignment horizontal="center" vertical="center" wrapText="1"/>
    </xf>
    <xf numFmtId="0" fontId="69" fillId="0" borderId="4" xfId="0" applyFont="1" applyBorder="1" applyAlignment="1">
      <alignment horizontal="center" vertical="center" wrapText="1"/>
    </xf>
    <xf numFmtId="0" fontId="76" fillId="0" borderId="0" xfId="26" applyFont="1" applyAlignment="1">
      <alignment horizontal="right"/>
    </xf>
    <xf numFmtId="0" fontId="76" fillId="0" borderId="0" xfId="26" applyFont="1" applyAlignment="1">
      <alignment horizontal="left"/>
    </xf>
    <xf numFmtId="49" fontId="1" fillId="0" borderId="27" xfId="40" applyNumberFormat="1" applyFont="1" applyBorder="1" applyAlignment="1">
      <alignment horizontal="left" vertical="center"/>
    </xf>
    <xf numFmtId="49" fontId="1" fillId="0" borderId="27" xfId="40" applyNumberFormat="1" applyFont="1" applyBorder="1" applyAlignment="1">
      <alignment horizontal="center" vertical="center"/>
    </xf>
    <xf numFmtId="49" fontId="1" fillId="0" borderId="27" xfId="41" applyNumberFormat="1" applyFont="1" applyBorder="1" applyAlignment="1">
      <alignment horizontal="right"/>
    </xf>
    <xf numFmtId="49" fontId="1" fillId="0" borderId="28" xfId="40" applyNumberFormat="1" applyFont="1" applyBorder="1" applyAlignment="1">
      <alignment horizontal="left" vertical="center"/>
    </xf>
    <xf numFmtId="3" fontId="1" fillId="0" borderId="0" xfId="41" applyNumberFormat="1" applyFont="1" applyAlignment="1">
      <alignment horizontal="right"/>
    </xf>
    <xf numFmtId="49" fontId="0" fillId="0" borderId="27" xfId="40" applyNumberFormat="1" applyFont="1" applyBorder="1" applyAlignment="1">
      <alignment horizontal="left" vertical="center"/>
    </xf>
    <xf numFmtId="3" fontId="1" fillId="0" borderId="28" xfId="41" applyNumberFormat="1" applyFont="1" applyBorder="1" applyAlignment="1">
      <alignment horizontal="right"/>
    </xf>
    <xf numFmtId="0" fontId="77" fillId="0" borderId="27" xfId="42" applyFont="1" applyBorder="1" applyAlignment="1" applyProtection="1">
      <alignment horizontal="left" vertical="center"/>
      <protection locked="0"/>
    </xf>
    <xf numFmtId="49" fontId="78" fillId="0" borderId="27" xfId="0" applyNumberFormat="1" applyFont="1" applyBorder="1" applyAlignment="1" applyProtection="1">
      <alignment horizontal="right" vertical="center"/>
      <protection locked="0"/>
    </xf>
    <xf numFmtId="0" fontId="11" fillId="0" borderId="27" xfId="42" applyBorder="1"/>
    <xf numFmtId="49" fontId="78" fillId="0" borderId="27" xfId="0" applyNumberFormat="1" applyFont="1" applyBorder="1" applyAlignment="1">
      <alignment horizontal="right" vertical="center"/>
    </xf>
    <xf numFmtId="49" fontId="11" fillId="0" borderId="27" xfId="42" applyNumberFormat="1" applyBorder="1"/>
    <xf numFmtId="0" fontId="11" fillId="0" borderId="0" xfId="42"/>
    <xf numFmtId="49" fontId="78" fillId="0" borderId="0" xfId="0" quotePrefix="1" applyNumberFormat="1" applyFont="1" applyAlignment="1">
      <alignment horizontal="right" vertical="center"/>
    </xf>
    <xf numFmtId="49" fontId="11" fillId="0" borderId="27" xfId="42" applyNumberFormat="1" applyBorder="1" applyAlignment="1" applyProtection="1">
      <alignment horizontal="left" vertical="center"/>
      <protection locked="0"/>
    </xf>
    <xf numFmtId="0" fontId="11" fillId="0" borderId="27" xfId="42" applyBorder="1" applyAlignment="1" applyProtection="1">
      <alignment horizontal="right" vertical="center"/>
      <protection locked="0"/>
    </xf>
    <xf numFmtId="0" fontId="77" fillId="0" borderId="0" xfId="42" applyFont="1" applyAlignment="1" applyProtection="1">
      <alignment horizontal="left" vertical="center"/>
      <protection locked="0"/>
    </xf>
    <xf numFmtId="3" fontId="78" fillId="0" borderId="0" xfId="0" applyNumberFormat="1" applyFont="1" applyAlignment="1" applyProtection="1">
      <alignment horizontal="right" vertical="center"/>
      <protection locked="0"/>
    </xf>
    <xf numFmtId="0" fontId="77" fillId="0" borderId="0" xfId="0" applyFont="1" applyAlignment="1" applyProtection="1">
      <alignment horizontal="left" vertical="center"/>
      <protection locked="0"/>
    </xf>
    <xf numFmtId="49" fontId="11" fillId="0" borderId="27" xfId="42" applyNumberFormat="1" applyBorder="1" applyAlignment="1" applyProtection="1">
      <alignment horizontal="left" vertical="center" indent="1"/>
      <protection locked="0"/>
    </xf>
    <xf numFmtId="49" fontId="11" fillId="0" borderId="27" xfId="42" applyNumberFormat="1" applyBorder="1" applyAlignment="1" applyProtection="1">
      <alignment horizontal="left" vertical="center" indent="2"/>
      <protection locked="0"/>
    </xf>
    <xf numFmtId="3" fontId="78" fillId="0" borderId="0" xfId="0" applyNumberFormat="1" applyFont="1" applyAlignment="1">
      <alignment horizontal="right" vertical="center"/>
    </xf>
    <xf numFmtId="0" fontId="78" fillId="0" borderId="0" xfId="0" applyFont="1" applyAlignment="1">
      <alignment horizontal="right" vertical="center"/>
    </xf>
    <xf numFmtId="49" fontId="77" fillId="0" borderId="0" xfId="0" applyNumberFormat="1" applyFont="1" applyAlignment="1">
      <alignment horizontal="left" vertical="center"/>
    </xf>
    <xf numFmtId="49" fontId="11" fillId="0" borderId="28" xfId="42" applyNumberFormat="1" applyBorder="1" applyAlignment="1" applyProtection="1">
      <alignment horizontal="left" vertical="center" indent="1"/>
      <protection locked="0"/>
    </xf>
    <xf numFmtId="3" fontId="78" fillId="0" borderId="28" xfId="0" applyNumberFormat="1" applyFont="1" applyBorder="1" applyAlignment="1">
      <alignment horizontal="right" vertical="center"/>
    </xf>
    <xf numFmtId="49" fontId="77" fillId="0" borderId="28" xfId="0" applyNumberFormat="1" applyFont="1" applyBorder="1" applyAlignment="1">
      <alignment horizontal="left" vertical="center"/>
    </xf>
    <xf numFmtId="49" fontId="11" fillId="0" borderId="27" xfId="42" applyNumberFormat="1" applyBorder="1" applyAlignment="1" applyProtection="1">
      <alignment horizontal="left" vertical="center" indent="3"/>
      <protection locked="0"/>
    </xf>
    <xf numFmtId="169" fontId="16" fillId="0" borderId="0" xfId="9" applyNumberFormat="1" applyFont="1" applyFill="1" applyAlignment="1">
      <alignment horizontal="center"/>
    </xf>
    <xf numFmtId="169" fontId="7" fillId="0" borderId="0" xfId="9" applyNumberFormat="1" applyFont="1" applyFill="1" applyAlignment="1">
      <alignment horizontal="center"/>
    </xf>
    <xf numFmtId="0" fontId="7" fillId="0" borderId="0" xfId="0" applyFont="1" applyAlignment="1">
      <alignment horizontal="center"/>
    </xf>
    <xf numFmtId="0" fontId="16" fillId="0" borderId="0" xfId="0" applyFont="1" applyAlignment="1">
      <alignment horizontal="center"/>
    </xf>
    <xf numFmtId="49" fontId="78" fillId="0" borderId="28" xfId="0" applyNumberFormat="1" applyFont="1" applyBorder="1" applyAlignment="1">
      <alignment horizontal="center" vertical="center"/>
    </xf>
    <xf numFmtId="49" fontId="78" fillId="0" borderId="28" xfId="39" applyNumberFormat="1" applyFont="1" applyBorder="1" applyAlignment="1">
      <alignment horizontal="center" vertical="center"/>
    </xf>
    <xf numFmtId="49" fontId="78" fillId="0" borderId="28" xfId="0" applyNumberFormat="1" applyFont="1" applyBorder="1" applyAlignment="1">
      <alignment horizontal="left" vertical="center"/>
    </xf>
    <xf numFmtId="2" fontId="78" fillId="0" borderId="0" xfId="0" quotePrefix="1" applyNumberFormat="1" applyFont="1" applyAlignment="1">
      <alignment horizontal="right" vertical="center"/>
    </xf>
    <xf numFmtId="49" fontId="78" fillId="0" borderId="27" xfId="0" applyNumberFormat="1" applyFont="1" applyBorder="1" applyAlignment="1">
      <alignment horizontal="left" vertical="center"/>
    </xf>
    <xf numFmtId="2" fontId="78" fillId="0" borderId="0" xfId="41" applyNumberFormat="1" applyFont="1" applyFill="1" applyBorder="1" applyAlignment="1">
      <alignment horizontal="right" vertical="center"/>
    </xf>
    <xf numFmtId="2" fontId="78" fillId="0" borderId="0" xfId="43" applyNumberFormat="1" applyFont="1" applyFill="1" applyBorder="1" applyAlignment="1">
      <alignment horizontal="right"/>
    </xf>
    <xf numFmtId="2" fontId="78" fillId="0" borderId="0" xfId="0" applyNumberFormat="1" applyFont="1" applyAlignment="1">
      <alignment vertical="center"/>
    </xf>
    <xf numFmtId="2" fontId="78" fillId="0" borderId="0" xfId="0" applyNumberFormat="1" applyFont="1" applyAlignment="1">
      <alignment horizontal="right" vertical="center"/>
    </xf>
    <xf numFmtId="2" fontId="78" fillId="0" borderId="28" xfId="0" quotePrefix="1" applyNumberFormat="1" applyFont="1" applyBorder="1" applyAlignment="1">
      <alignment horizontal="right" vertical="center"/>
    </xf>
    <xf numFmtId="0" fontId="79" fillId="27" borderId="0" xfId="0" applyFont="1" applyFill="1"/>
    <xf numFmtId="176" fontId="0" fillId="0" borderId="0" xfId="0" applyNumberFormat="1"/>
    <xf numFmtId="0" fontId="2" fillId="3" borderId="29" xfId="20" applyFont="1" applyFill="1" applyBorder="1" applyAlignment="1">
      <alignment horizontal="left" vertical="center"/>
    </xf>
    <xf numFmtId="0" fontId="1" fillId="0" borderId="4" xfId="20" applyBorder="1" applyAlignment="1">
      <alignment horizontal="left" vertical="center"/>
    </xf>
    <xf numFmtId="0" fontId="1" fillId="0" borderId="4" xfId="20" applyBorder="1" applyAlignment="1">
      <alignment horizontal="left" vertical="center" wrapText="1"/>
    </xf>
    <xf numFmtId="0" fontId="7" fillId="0" borderId="4" xfId="0" applyFont="1" applyBorder="1" applyAlignment="1">
      <alignment horizontal="left" vertical="center" wrapText="1"/>
    </xf>
    <xf numFmtId="0" fontId="1" fillId="0" borderId="4" xfId="20" applyBorder="1" applyAlignment="1">
      <alignment vertical="center" wrapText="1"/>
    </xf>
    <xf numFmtId="0" fontId="7" fillId="2" borderId="4" xfId="0" applyFont="1" applyFill="1" applyBorder="1" applyAlignment="1">
      <alignment horizontal="left" vertical="center" wrapText="1"/>
    </xf>
    <xf numFmtId="0" fontId="80" fillId="0" borderId="0" xfId="0" applyFont="1"/>
    <xf numFmtId="0" fontId="1" fillId="0" borderId="1" xfId="20" applyBorder="1" applyAlignment="1">
      <alignment vertical="center"/>
    </xf>
    <xf numFmtId="0" fontId="1" fillId="0" borderId="3" xfId="20" applyBorder="1" applyAlignment="1">
      <alignment vertical="center"/>
    </xf>
    <xf numFmtId="0" fontId="0" fillId="0" borderId="30" xfId="0" applyBorder="1" applyAlignment="1">
      <alignment vertical="center"/>
    </xf>
    <xf numFmtId="0" fontId="71" fillId="29" borderId="0" xfId="0" applyFont="1" applyFill="1"/>
    <xf numFmtId="0" fontId="7" fillId="5" borderId="0" xfId="20" applyFont="1" applyFill="1" applyAlignment="1">
      <alignment vertical="center"/>
    </xf>
    <xf numFmtId="0" fontId="7" fillId="5" borderId="30" xfId="20" applyFont="1" applyFill="1" applyBorder="1" applyAlignment="1">
      <alignment vertical="center"/>
    </xf>
    <xf numFmtId="0" fontId="7" fillId="5" borderId="18" xfId="20" applyFont="1" applyFill="1" applyBorder="1" applyAlignment="1">
      <alignment vertical="center"/>
    </xf>
    <xf numFmtId="0" fontId="7" fillId="5" borderId="6" xfId="20" applyFont="1" applyFill="1" applyBorder="1" applyAlignment="1">
      <alignment vertical="center"/>
    </xf>
    <xf numFmtId="0" fontId="7" fillId="5" borderId="17" xfId="20" applyFont="1" applyFill="1" applyBorder="1" applyAlignment="1">
      <alignment vertical="center"/>
    </xf>
    <xf numFmtId="0" fontId="1" fillId="30" borderId="0" xfId="23" applyFill="1" applyAlignment="1">
      <alignment vertical="center"/>
    </xf>
    <xf numFmtId="0" fontId="1" fillId="31" borderId="0" xfId="23" applyFill="1" applyAlignment="1">
      <alignment vertical="center"/>
    </xf>
    <xf numFmtId="0" fontId="7" fillId="30" borderId="2" xfId="20" applyFont="1" applyFill="1" applyBorder="1" applyAlignment="1">
      <alignment vertical="center"/>
    </xf>
    <xf numFmtId="0" fontId="7" fillId="30" borderId="3" xfId="20" applyFont="1" applyFill="1" applyBorder="1" applyAlignment="1">
      <alignment vertical="center"/>
    </xf>
    <xf numFmtId="0" fontId="7" fillId="30" borderId="30" xfId="20" applyFont="1" applyFill="1" applyBorder="1" applyAlignment="1">
      <alignment vertical="center"/>
    </xf>
    <xf numFmtId="0" fontId="7" fillId="32" borderId="2" xfId="20" applyFont="1" applyFill="1" applyBorder="1" applyAlignment="1">
      <alignment vertical="center"/>
    </xf>
    <xf numFmtId="0" fontId="7" fillId="32" borderId="3" xfId="20" applyFont="1" applyFill="1" applyBorder="1" applyAlignment="1">
      <alignment vertical="center"/>
    </xf>
    <xf numFmtId="0" fontId="81" fillId="30" borderId="4" xfId="20" applyFont="1" applyFill="1" applyBorder="1" applyAlignment="1">
      <alignment vertical="center"/>
    </xf>
    <xf numFmtId="0" fontId="81" fillId="32" borderId="4" xfId="20" applyFont="1" applyFill="1" applyBorder="1" applyAlignment="1">
      <alignment vertical="center"/>
    </xf>
    <xf numFmtId="14" fontId="0" fillId="0" borderId="0" xfId="0" applyNumberFormat="1"/>
    <xf numFmtId="0" fontId="53" fillId="0" borderId="0" xfId="0" applyFont="1" applyAlignment="1">
      <alignment wrapText="1"/>
    </xf>
    <xf numFmtId="0" fontId="82" fillId="0" borderId="0" xfId="0" applyFont="1"/>
    <xf numFmtId="0" fontId="81" fillId="32" borderId="30" xfId="20" applyFont="1" applyFill="1" applyBorder="1" applyAlignment="1">
      <alignment vertical="center"/>
    </xf>
    <xf numFmtId="0" fontId="81" fillId="30" borderId="30" xfId="20" applyFont="1" applyFill="1" applyBorder="1" applyAlignment="1">
      <alignment vertical="center"/>
    </xf>
    <xf numFmtId="0" fontId="0" fillId="0" borderId="0" xfId="20" applyFont="1" applyAlignment="1">
      <alignment vertical="center"/>
    </xf>
    <xf numFmtId="0" fontId="1" fillId="0" borderId="0" xfId="20" applyAlignment="1">
      <alignment vertical="center" wrapText="1"/>
    </xf>
    <xf numFmtId="0" fontId="0" fillId="0" borderId="0" xfId="20" applyFont="1" applyAlignment="1">
      <alignment vertical="center" wrapText="1"/>
    </xf>
    <xf numFmtId="168" fontId="3" fillId="0" borderId="0" xfId="8" applyNumberFormat="1" applyFont="1"/>
    <xf numFmtId="3" fontId="0" fillId="8" borderId="0" xfId="0" applyNumberFormat="1" applyFill="1"/>
    <xf numFmtId="3" fontId="0" fillId="8" borderId="7" xfId="0" applyNumberFormat="1" applyFill="1" applyBorder="1"/>
    <xf numFmtId="0" fontId="70" fillId="0" borderId="0" xfId="0" applyFont="1"/>
    <xf numFmtId="0" fontId="0" fillId="33" borderId="0" xfId="0" applyFill="1"/>
    <xf numFmtId="3" fontId="0" fillId="9" borderId="0" xfId="0" applyNumberFormat="1" applyFill="1"/>
    <xf numFmtId="0" fontId="70" fillId="0" borderId="0" xfId="0" applyFont="1" applyAlignment="1">
      <alignment vertical="center"/>
    </xf>
    <xf numFmtId="0" fontId="85" fillId="34" borderId="0" xfId="0" applyFont="1" applyFill="1"/>
    <xf numFmtId="0" fontId="81" fillId="34" borderId="0" xfId="0" applyFont="1" applyFill="1"/>
    <xf numFmtId="171" fontId="0" fillId="9" borderId="0" xfId="0" applyNumberFormat="1" applyFill="1"/>
    <xf numFmtId="9" fontId="0" fillId="0" borderId="0" xfId="8" applyFont="1" applyFill="1"/>
    <xf numFmtId="3" fontId="7" fillId="0" borderId="0" xfId="0" applyNumberFormat="1" applyFont="1"/>
    <xf numFmtId="1" fontId="0" fillId="6" borderId="0" xfId="0" applyNumberFormat="1" applyFill="1"/>
    <xf numFmtId="177" fontId="0" fillId="0" borderId="0" xfId="0" applyNumberFormat="1"/>
    <xf numFmtId="177" fontId="0" fillId="0" borderId="0" xfId="9" applyNumberFormat="1" applyFont="1" applyFill="1"/>
    <xf numFmtId="3" fontId="0" fillId="2" borderId="17" xfId="0" applyNumberFormat="1" applyFill="1" applyBorder="1"/>
    <xf numFmtId="0" fontId="53" fillId="0" borderId="0" xfId="0" applyFont="1"/>
    <xf numFmtId="0" fontId="86" fillId="0" borderId="0" xfId="0" applyFont="1"/>
    <xf numFmtId="0" fontId="87" fillId="0" borderId="0" xfId="0" applyFont="1"/>
    <xf numFmtId="0" fontId="25" fillId="6" borderId="4" xfId="0" applyFont="1" applyFill="1" applyBorder="1"/>
    <xf numFmtId="0" fontId="25" fillId="6" borderId="3" xfId="0" applyFont="1" applyFill="1" applyBorder="1"/>
    <xf numFmtId="0" fontId="4" fillId="6" borderId="2" xfId="0" applyFont="1" applyFill="1" applyBorder="1"/>
    <xf numFmtId="0" fontId="4" fillId="6" borderId="3" xfId="0" applyFont="1" applyFill="1" applyBorder="1"/>
    <xf numFmtId="0" fontId="0" fillId="6" borderId="20" xfId="0" applyFill="1" applyBorder="1"/>
    <xf numFmtId="3" fontId="0" fillId="6" borderId="0" xfId="0" applyNumberFormat="1" applyFill="1"/>
    <xf numFmtId="3" fontId="0" fillId="6" borderId="14" xfId="0" applyNumberFormat="1" applyFill="1" applyBorder="1"/>
    <xf numFmtId="0" fontId="0" fillId="6" borderId="5" xfId="0" applyFill="1" applyBorder="1"/>
    <xf numFmtId="3" fontId="0" fillId="6" borderId="21" xfId="0" applyNumberFormat="1" applyFill="1" applyBorder="1"/>
    <xf numFmtId="3" fontId="0" fillId="6" borderId="7" xfId="0" applyNumberFormat="1" applyFill="1" applyBorder="1"/>
    <xf numFmtId="3" fontId="0" fillId="6" borderId="19" xfId="0" applyNumberFormat="1" applyFill="1" applyBorder="1"/>
    <xf numFmtId="170" fontId="0" fillId="0" borderId="0" xfId="0" applyNumberFormat="1"/>
    <xf numFmtId="2" fontId="0" fillId="0" borderId="0" xfId="0" applyNumberFormat="1" applyAlignment="1">
      <alignment vertical="center"/>
    </xf>
    <xf numFmtId="2" fontId="0" fillId="15" borderId="0" xfId="0" applyNumberFormat="1" applyFill="1" applyAlignment="1">
      <alignment horizontal="left" vertical="center"/>
    </xf>
    <xf numFmtId="9" fontId="38" fillId="8" borderId="0" xfId="8" applyFont="1" applyFill="1"/>
    <xf numFmtId="168" fontId="3" fillId="0" borderId="0" xfId="8" applyNumberFormat="1" applyFont="1" applyFill="1"/>
    <xf numFmtId="1" fontId="3" fillId="0" borderId="0" xfId="8" applyNumberFormat="1" applyFont="1" applyFill="1"/>
    <xf numFmtId="0" fontId="16" fillId="0" borderId="0" xfId="0" applyFont="1"/>
    <xf numFmtId="165" fontId="16" fillId="0" borderId="0" xfId="0" applyNumberFormat="1" applyFont="1"/>
    <xf numFmtId="2" fontId="0" fillId="0" borderId="0" xfId="0" applyNumberFormat="1" applyAlignment="1">
      <alignment horizontal="right" vertical="center"/>
    </xf>
    <xf numFmtId="165" fontId="4" fillId="0" borderId="0" xfId="0" applyNumberFormat="1" applyFont="1" applyAlignment="1">
      <alignment vertical="center"/>
    </xf>
    <xf numFmtId="0" fontId="4" fillId="0" borderId="0" xfId="0" applyFont="1" applyAlignment="1">
      <alignment vertical="center"/>
    </xf>
    <xf numFmtId="3" fontId="4" fillId="2" borderId="0" xfId="0" applyNumberFormat="1" applyFont="1" applyFill="1"/>
    <xf numFmtId="0" fontId="17" fillId="0" borderId="0" xfId="44" applyFont="1"/>
    <xf numFmtId="0" fontId="1" fillId="0" borderId="0" xfId="44"/>
    <xf numFmtId="0" fontId="4" fillId="0" borderId="31" xfId="44" applyFont="1" applyBorder="1"/>
    <xf numFmtId="0" fontId="4" fillId="0" borderId="32" xfId="44" applyFont="1" applyBorder="1"/>
    <xf numFmtId="0" fontId="4" fillId="0" borderId="33" xfId="44" applyFont="1" applyBorder="1"/>
    <xf numFmtId="165" fontId="7" fillId="8" borderId="7" xfId="8" applyNumberFormat="1" applyFont="1" applyFill="1" applyBorder="1" applyAlignment="1">
      <alignment horizontal="right" vertical="center"/>
    </xf>
    <xf numFmtId="2" fontId="7" fillId="15" borderId="0" xfId="8" applyNumberFormat="1" applyFont="1" applyFill="1" applyBorder="1" applyAlignment="1">
      <alignment horizontal="right" vertical="center"/>
    </xf>
    <xf numFmtId="177" fontId="0" fillId="8" borderId="0" xfId="9" applyNumberFormat="1" applyFont="1" applyFill="1"/>
    <xf numFmtId="1" fontId="7" fillId="8" borderId="0" xfId="0" applyNumberFormat="1" applyFont="1" applyFill="1"/>
    <xf numFmtId="1" fontId="4" fillId="8" borderId="0" xfId="0" applyNumberFormat="1" applyFont="1" applyFill="1"/>
    <xf numFmtId="169" fontId="0" fillId="8" borderId="0" xfId="9" applyNumberFormat="1" applyFont="1" applyFill="1"/>
    <xf numFmtId="169" fontId="0" fillId="8" borderId="0" xfId="0" applyNumberFormat="1" applyFill="1"/>
    <xf numFmtId="43" fontId="0" fillId="9" borderId="0" xfId="0" applyNumberFormat="1" applyFill="1"/>
    <xf numFmtId="0" fontId="3" fillId="6" borderId="0" xfId="0" applyFont="1" applyFill="1"/>
    <xf numFmtId="169" fontId="3" fillId="6" borderId="0" xfId="0" applyNumberFormat="1" applyFont="1" applyFill="1"/>
    <xf numFmtId="178" fontId="4" fillId="0" borderId="0" xfId="0" applyNumberFormat="1" applyFont="1"/>
    <xf numFmtId="175" fontId="0" fillId="9" borderId="0" xfId="0" applyNumberFormat="1" applyFill="1"/>
    <xf numFmtId="0" fontId="89" fillId="0" borderId="34" xfId="0" applyFont="1" applyBorder="1" applyAlignment="1">
      <alignment horizontal="justify" vertical="center" wrapText="1"/>
    </xf>
    <xf numFmtId="0" fontId="89" fillId="0" borderId="36" xfId="0" applyFont="1" applyBorder="1" applyAlignment="1">
      <alignment horizontal="justify" vertical="center" wrapText="1"/>
    </xf>
    <xf numFmtId="0" fontId="89" fillId="0" borderId="38" xfId="0" applyFont="1" applyBorder="1" applyAlignment="1">
      <alignment horizontal="justify" vertical="center" wrapText="1"/>
    </xf>
    <xf numFmtId="0" fontId="89" fillId="0" borderId="35" xfId="0" applyFont="1" applyBorder="1" applyAlignment="1">
      <alignment horizontal="center" vertical="center"/>
    </xf>
    <xf numFmtId="0" fontId="89" fillId="0" borderId="37" xfId="0" applyFont="1" applyBorder="1" applyAlignment="1">
      <alignment horizontal="center" vertical="center"/>
    </xf>
    <xf numFmtId="0" fontId="89" fillId="0" borderId="39" xfId="0" applyFont="1" applyBorder="1" applyAlignment="1">
      <alignment horizontal="center" vertical="center"/>
    </xf>
    <xf numFmtId="1" fontId="39" fillId="8" borderId="0" xfId="0" applyNumberFormat="1" applyFont="1" applyFill="1"/>
    <xf numFmtId="0" fontId="38" fillId="0" borderId="0" xfId="0" applyFont="1" applyAlignment="1">
      <alignment horizontal="right"/>
    </xf>
    <xf numFmtId="14" fontId="1" fillId="0" borderId="23" xfId="44" applyNumberFormat="1" applyBorder="1" applyAlignment="1">
      <alignment horizontal="center"/>
    </xf>
    <xf numFmtId="14" fontId="1" fillId="0" borderId="0" xfId="44" applyNumberFormat="1" applyAlignment="1">
      <alignment horizontal="center"/>
    </xf>
    <xf numFmtId="0" fontId="1" fillId="0" borderId="0" xfId="44" applyAlignment="1">
      <alignment horizontal="left" wrapText="1"/>
    </xf>
    <xf numFmtId="0" fontId="1" fillId="0" borderId="0" xfId="44" applyAlignment="1">
      <alignment horizontal="left"/>
    </xf>
    <xf numFmtId="0" fontId="0" fillId="0" borderId="0" xfId="44" applyFont="1"/>
    <xf numFmtId="0" fontId="0" fillId="0" borderId="0" xfId="44" applyFont="1" applyAlignment="1">
      <alignment wrapText="1"/>
    </xf>
    <xf numFmtId="14" fontId="1" fillId="0" borderId="0" xfId="44" applyNumberFormat="1"/>
    <xf numFmtId="1" fontId="15" fillId="0" borderId="0" xfId="36" applyNumberFormat="1" applyFont="1" applyAlignment="1">
      <alignment horizontal="right" wrapText="1"/>
    </xf>
    <xf numFmtId="0" fontId="1" fillId="0" borderId="1" xfId="20" applyBorder="1" applyAlignment="1">
      <alignment vertical="center"/>
    </xf>
    <xf numFmtId="0" fontId="1" fillId="0" borderId="3" xfId="20" applyBorder="1" applyAlignment="1">
      <alignment vertical="center"/>
    </xf>
    <xf numFmtId="0" fontId="1" fillId="0" borderId="0" xfId="20" applyAlignment="1">
      <alignment vertical="center" wrapText="1"/>
    </xf>
    <xf numFmtId="0" fontId="23" fillId="0" borderId="0" xfId="0" applyFont="1" applyAlignment="1">
      <alignment vertical="center" wrapText="1"/>
    </xf>
    <xf numFmtId="0" fontId="19" fillId="0" borderId="0" xfId="0" applyFont="1" applyAlignment="1">
      <alignment vertical="center" wrapText="1"/>
    </xf>
    <xf numFmtId="0" fontId="23" fillId="0" borderId="9" xfId="0" applyFont="1" applyBorder="1" applyAlignment="1">
      <alignment vertical="center" wrapText="1"/>
    </xf>
    <xf numFmtId="0" fontId="10" fillId="3" borderId="2" xfId="20" applyFont="1" applyFill="1" applyBorder="1" applyAlignment="1">
      <alignment vertical="center"/>
    </xf>
    <xf numFmtId="0" fontId="10" fillId="3" borderId="3" xfId="20" applyFont="1" applyFill="1" applyBorder="1" applyAlignment="1">
      <alignment vertical="center"/>
    </xf>
    <xf numFmtId="0" fontId="0" fillId="0" borderId="1" xfId="23" applyFont="1" applyBorder="1" applyAlignment="1">
      <alignment vertical="center"/>
    </xf>
    <xf numFmtId="0" fontId="0" fillId="0" borderId="2" xfId="23" applyFont="1" applyBorder="1" applyAlignment="1">
      <alignment vertical="center"/>
    </xf>
    <xf numFmtId="0" fontId="0" fillId="0" borderId="3" xfId="23" applyFont="1" applyBorder="1" applyAlignment="1">
      <alignment vertical="center"/>
    </xf>
    <xf numFmtId="0" fontId="21" fillId="0" borderId="4" xfId="19" applyBorder="1" applyAlignment="1">
      <alignment vertical="center"/>
    </xf>
    <xf numFmtId="0" fontId="4" fillId="6" borderId="4" xfId="20" applyFont="1" applyFill="1" applyBorder="1" applyAlignment="1">
      <alignment horizontal="left" vertical="center"/>
    </xf>
    <xf numFmtId="0" fontId="1" fillId="0" borderId="4" xfId="20" applyBorder="1" applyAlignment="1">
      <alignment vertical="center"/>
    </xf>
    <xf numFmtId="0" fontId="28" fillId="0" borderId="4" xfId="19" applyFont="1" applyBorder="1" applyAlignment="1">
      <alignment vertical="center"/>
    </xf>
    <xf numFmtId="0" fontId="90" fillId="3" borderId="40" xfId="55" applyFont="1" applyFill="1" applyBorder="1" applyAlignment="1">
      <alignment horizontal="center" vertical="center"/>
    </xf>
    <xf numFmtId="0" fontId="90" fillId="3" borderId="8" xfId="55" applyFont="1" applyFill="1" applyBorder="1" applyAlignment="1">
      <alignment horizontal="center" vertical="center"/>
    </xf>
    <xf numFmtId="0" fontId="90" fillId="3" borderId="41" xfId="55" applyFont="1" applyFill="1" applyBorder="1" applyAlignment="1">
      <alignment horizontal="center" vertical="center"/>
    </xf>
    <xf numFmtId="0" fontId="7" fillId="0" borderId="1" xfId="20" applyFont="1" applyBorder="1" applyAlignment="1">
      <alignment vertical="center"/>
    </xf>
    <xf numFmtId="0" fontId="7" fillId="0" borderId="3" xfId="20" applyFont="1" applyBorder="1" applyAlignment="1">
      <alignment vertical="center"/>
    </xf>
    <xf numFmtId="0" fontId="1" fillId="0" borderId="1" xfId="20" applyBorder="1" applyAlignment="1">
      <alignment horizontal="left" vertical="center"/>
    </xf>
    <xf numFmtId="0" fontId="1" fillId="0" borderId="3" xfId="20" applyBorder="1" applyAlignment="1">
      <alignment horizontal="left" vertical="center"/>
    </xf>
    <xf numFmtId="0" fontId="11" fillId="0" borderId="27" xfId="42" applyBorder="1" applyAlignment="1" applyProtection="1">
      <alignment vertical="center"/>
      <protection locked="0"/>
    </xf>
    <xf numFmtId="0" fontId="15" fillId="0" borderId="0" xfId="36" applyFont="1" applyFill="1" applyBorder="1" applyAlignment="1">
      <alignment wrapText="1"/>
    </xf>
    <xf numFmtId="1" fontId="15" fillId="0" borderId="0" xfId="36" applyNumberFormat="1" applyFont="1" applyBorder="1" applyAlignment="1">
      <alignment horizontal="right" wrapText="1"/>
    </xf>
    <xf numFmtId="1" fontId="15" fillId="8" borderId="16" xfId="36" applyNumberFormat="1" applyFont="1" applyFill="1" applyBorder="1" applyAlignment="1">
      <alignment horizontal="right" wrapText="1"/>
    </xf>
    <xf numFmtId="0" fontId="15" fillId="0" borderId="0" xfId="36" applyFont="1" applyBorder="1" applyAlignment="1">
      <alignment wrapText="1"/>
    </xf>
  </cellXfs>
  <cellStyles count="56">
    <cellStyle name="Comma" xfId="9" builtinId="3"/>
    <cellStyle name="Comma 10 2" xfId="43" xr:uid="{C8824266-7062-4100-8890-9ADEB3E8C515}"/>
    <cellStyle name="Comma 10 2 2" xfId="54" xr:uid="{45CD676B-0C2A-42D4-AE2D-B148B3291405}"/>
    <cellStyle name="Comma 2" xfId="11" xr:uid="{B81563EA-5A27-4191-8950-A0E685CDBC4A}"/>
    <cellStyle name="Comma 2 2" xfId="29" xr:uid="{38A642D2-661D-47D9-B67C-2D3D022AD59E}"/>
    <cellStyle name="Comma 2 2 2" xfId="35" xr:uid="{B2B822F1-7D2A-4284-8AD9-FE088885386E}"/>
    <cellStyle name="Comma 2 2 2 2" xfId="52" xr:uid="{A3393382-64A3-4634-A9F8-7E5083BE9047}"/>
    <cellStyle name="Comma 2 2 3" xfId="48" xr:uid="{D8FF6434-AF19-40D8-8EC1-D65D71DF8DDE}"/>
    <cellStyle name="Comma 2 3" xfId="33" xr:uid="{208F9B14-40D9-41A0-8339-41E477BC1E3D}"/>
    <cellStyle name="Comma 2 3 2" xfId="50" xr:uid="{CB888EBE-286D-4E2D-966E-9925CE4B3DC5}"/>
    <cellStyle name="Comma 2 4" xfId="41" xr:uid="{2246A24A-DC5A-4ABD-98FB-884B28204D95}"/>
    <cellStyle name="Comma 2 4 2" xfId="53" xr:uid="{BF0F193D-6734-4CDF-B5BB-48165CC5FB21}"/>
    <cellStyle name="Comma 2 5" xfId="46" xr:uid="{2E386AC2-78FA-4FF9-970C-8FF33DF0EFE3}"/>
    <cellStyle name="Comma 3" xfId="45" xr:uid="{75FE5204-85EF-40F1-97A5-A143CBC1A59D}"/>
    <cellStyle name="Comma 4" xfId="17" xr:uid="{5AC22A2E-FC08-49D0-8325-3B335B1F168A}"/>
    <cellStyle name="Comma 4 2" xfId="34" xr:uid="{79C1B3F3-100D-4E74-A3AC-C3224AB1AB82}"/>
    <cellStyle name="Comma 4 2 2" xfId="51" xr:uid="{9EF0B16E-1F38-4143-9181-CC9A98659A16}"/>
    <cellStyle name="Comma 4 3" xfId="47" xr:uid="{B1DB5187-57C2-431A-AC70-E5CF71C7F77F}"/>
    <cellStyle name="Hyperlink" xfId="2" builtinId="8"/>
    <cellStyle name="Migliaia 2" xfId="32" xr:uid="{D87AAA22-4BAC-4E80-BA9B-DB89D0542F6F}"/>
    <cellStyle name="Migliaia 2 2" xfId="49" xr:uid="{1DCE5EC9-DFB6-462C-AAA7-F9E5AC2D17B5}"/>
    <cellStyle name="Normal" xfId="0" builtinId="0"/>
    <cellStyle name="Normal 10 2" xfId="5" xr:uid="{F325DB19-660A-4722-82D6-ED9EAC213CDF}"/>
    <cellStyle name="Normal 10 2 2" xfId="14" xr:uid="{264CC44C-C147-408B-91AB-21ECE4040C5A}"/>
    <cellStyle name="Normal 2" xfId="6" xr:uid="{02308087-1162-4FC0-B0E7-1A858A246D28}"/>
    <cellStyle name="Normal 2 10 2" xfId="24" xr:uid="{A606A209-BD71-4856-8F05-24BC3E4B7D92}"/>
    <cellStyle name="Normal 2 2" xfId="30" xr:uid="{C21E1800-07D8-454E-9F30-E809648C5D8E}"/>
    <cellStyle name="Normal 2 3" xfId="10" xr:uid="{0516AFE6-22DD-442A-A7FF-9890260C9825}"/>
    <cellStyle name="Normal 2 3 2" xfId="27" xr:uid="{8C4AB65A-EF07-4416-8197-1D7CF7E910F6}"/>
    <cellStyle name="Normal 2 4" xfId="42" xr:uid="{D0EF8167-B242-4B08-90E9-303A5E2C16B9}"/>
    <cellStyle name="Normal 2 45" xfId="55" xr:uid="{13324820-E57F-42D7-BCD8-959879DAD49C}"/>
    <cellStyle name="Normal 3" xfId="13" xr:uid="{22D135F5-2E3A-4C65-A3A7-CFF4BD3D446F}"/>
    <cellStyle name="Normal 3 2" xfId="26" xr:uid="{BB5FCDD2-0DA3-43C1-BAA0-A1B8A2D531E6}"/>
    <cellStyle name="Normal 3 28" xfId="4" xr:uid="{E975C1B6-3614-47C8-AB5B-F3081318D137}"/>
    <cellStyle name="Normal 3 28 2" xfId="23" xr:uid="{47E81A90-50A7-4787-ABB0-A865F82D81E1}"/>
    <cellStyle name="Normal 3 3" xfId="7" xr:uid="{4F2F50EE-B533-4987-9501-5BD784EE84EC}"/>
    <cellStyle name="Normal 4" xfId="40" xr:uid="{50DD2EC9-62E0-45CD-867B-3C9BB8362AC3}"/>
    <cellStyle name="Normal 4 38" xfId="25" xr:uid="{BCE578D2-A2CE-4F59-8270-3503BBD0DEC6}"/>
    <cellStyle name="Normal 5" xfId="16" xr:uid="{F34595E5-CB8F-4BD8-9444-46E5CB1D3C1D}"/>
    <cellStyle name="Normal 5 10" xfId="20" xr:uid="{5473CF13-329B-4E67-AE34-6BC3E8E7A7CD}"/>
    <cellStyle name="Normal 50" xfId="1" xr:uid="{360A9524-623C-4668-A35D-2F0BF46C223A}"/>
    <cellStyle name="Normal 50 2" xfId="21" xr:uid="{3A54094C-EEDB-4269-8CA1-F9DE8CC3522C}"/>
    <cellStyle name="Normal 50 7" xfId="3" xr:uid="{D9FDE42D-28EA-46F6-8B59-5CED5D57A012}"/>
    <cellStyle name="Normal 50 7 2" xfId="22" xr:uid="{9FAD1C2A-3C87-4F5F-BC23-2880D4C8DEDB}"/>
    <cellStyle name="Normal 56" xfId="19" xr:uid="{93A91987-B9FE-457F-B386-8AF4C0A990CA}"/>
    <cellStyle name="Normal 6" xfId="31" xr:uid="{F7A849D1-B098-4266-AC3C-29B34438DE17}"/>
    <cellStyle name="Normal 6 2" xfId="39" xr:uid="{1810A10C-3DAF-4606-9C10-64461543D61A}"/>
    <cellStyle name="Normal 7" xfId="44" xr:uid="{B4225DF0-6CCF-487E-B7E3-2946D7E5C4C7}"/>
    <cellStyle name="Normal 9" xfId="18" xr:uid="{EF30C04F-5127-455C-A194-E88A77EC2803}"/>
    <cellStyle name="Normal_CEM_SFI_Cap" xfId="38" xr:uid="{002EA3A2-164E-4ED7-A97D-2CBEC3D35DA0}"/>
    <cellStyle name="Normal_Cement2000-24" xfId="36" xr:uid="{8EBAA33A-1F36-476F-84D1-7B2DE7BB20E2}"/>
    <cellStyle name="Normal_SteelPlants" xfId="37" xr:uid="{DAC97C2F-F6BB-4EBE-A50D-0576B027481C}"/>
    <cellStyle name="Normale 2" xfId="15" xr:uid="{E6D6FA58-6002-45C5-A88A-E88EA18569BD}"/>
    <cellStyle name="Normale 3" xfId="12" xr:uid="{14CD33D3-034D-4082-9909-876D611A557A}"/>
    <cellStyle name="Percent" xfId="8" builtinId="5"/>
    <cellStyle name="Percent 2" xfId="28" xr:uid="{0D3CC11F-59F9-489F-BDB8-F49E622CEFDB}"/>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6E7F5"/>
      <color rgb="FFFFFFCC"/>
      <color rgb="FF4472C4"/>
      <color rgb="FF0070C0"/>
      <color rgb="FFA2B9E2"/>
      <color rgb="FFE7E6E6"/>
      <color rgb="FFAEAAAA"/>
      <color rgb="FF8EA9DB"/>
      <color rgb="FF6BC4EF"/>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41</xdr:col>
      <xdr:colOff>0</xdr:colOff>
      <xdr:row>129</xdr:row>
      <xdr:rowOff>0</xdr:rowOff>
    </xdr:from>
    <xdr:to>
      <xdr:col>54</xdr:col>
      <xdr:colOff>476779</xdr:colOff>
      <xdr:row>150</xdr:row>
      <xdr:rowOff>151050</xdr:rowOff>
    </xdr:to>
    <xdr:pic>
      <xdr:nvPicPr>
        <xdr:cNvPr id="2" name="Picture 1">
          <a:extLst>
            <a:ext uri="{FF2B5EF4-FFF2-40B4-BE49-F238E27FC236}">
              <a16:creationId xmlns:a16="http://schemas.microsoft.com/office/drawing/2014/main" id="{8E5D8B3C-877A-4D7F-987D-05A86CD4ACCE}"/>
            </a:ext>
          </a:extLst>
        </xdr:cNvPr>
        <xdr:cNvPicPr>
          <a:picLocks noChangeAspect="1"/>
        </xdr:cNvPicPr>
      </xdr:nvPicPr>
      <xdr:blipFill>
        <a:blip xmlns:r="http://schemas.openxmlformats.org/officeDocument/2006/relationships" r:embed="rId1"/>
        <a:stretch>
          <a:fillRect/>
        </a:stretch>
      </xdr:blipFill>
      <xdr:spPr>
        <a:xfrm>
          <a:off x="30046083" y="16361833"/>
          <a:ext cx="8456613" cy="392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281216</xdr:colOff>
      <xdr:row>25</xdr:row>
      <xdr:rowOff>127000</xdr:rowOff>
    </xdr:from>
    <xdr:to>
      <xdr:col>1</xdr:col>
      <xdr:colOff>2857501</xdr:colOff>
      <xdr:row>41</xdr:row>
      <xdr:rowOff>27215</xdr:rowOff>
    </xdr:to>
    <xdr:sp macro="" textlink="">
      <xdr:nvSpPr>
        <xdr:cNvPr id="2" name="TextBox 1">
          <a:extLst>
            <a:ext uri="{FF2B5EF4-FFF2-40B4-BE49-F238E27FC236}">
              <a16:creationId xmlns:a16="http://schemas.microsoft.com/office/drawing/2014/main" id="{57101889-6F0D-464F-9C2D-F9924933CA90}"/>
            </a:ext>
          </a:extLst>
        </xdr:cNvPr>
        <xdr:cNvSpPr txBox="1"/>
      </xdr:nvSpPr>
      <xdr:spPr>
        <a:xfrm>
          <a:off x="281216" y="5678714"/>
          <a:ext cx="4299856" cy="280307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Issues of </a:t>
          </a:r>
          <a:r>
            <a:rPr lang="en-GB" sz="1100" baseline="0"/>
            <a:t>double counting if BFG combustion emissions are also counted.  </a:t>
          </a:r>
          <a:r>
            <a:rPr lang="en-GB" sz="1100" b="1" baseline="0"/>
            <a:t>Currently CO2 combustion EF on BFG have not been included. Only process emissions have been considered here. If we need to track emissions specifically from BFG use in steel sector, this will need to be done using ENV_ACT.</a:t>
          </a:r>
          <a:endParaRPr lang="en-GB" sz="1100" baseline="0"/>
        </a:p>
        <a:p>
          <a:endParaRPr lang="en-GB" sz="1100" baseline="0"/>
        </a:p>
        <a:p>
          <a:r>
            <a:rPr lang="en-GB" sz="1100" u="sng" baseline="0">
              <a:solidFill>
                <a:schemeClr val="dk1"/>
              </a:solidFill>
              <a:effectLst/>
              <a:latin typeface="+mn-lt"/>
              <a:ea typeface="+mn-ea"/>
              <a:cs typeface="+mn-cs"/>
            </a:rPr>
            <a:t>IPCC guidance</a:t>
          </a:r>
          <a:r>
            <a:rPr lang="en-GB" sz="1100" baseline="0">
              <a:solidFill>
                <a:schemeClr val="dk1"/>
              </a:solidFill>
              <a:effectLst/>
              <a:latin typeface="+mn-lt"/>
              <a:ea typeface="+mn-ea"/>
              <a:cs typeface="+mn-cs"/>
            </a:rPr>
            <a:t> below -  </a:t>
          </a:r>
          <a:endParaRPr lang="en-GB" sz="1100" baseline="0"/>
        </a:p>
        <a:p>
          <a:r>
            <a:rPr lang="en-GB"/>
            <a:t>"It is important not to double count the use of blast-furnace-derived by-product gases such as blast furnace gas, or recovered BOF off-gas as energy in the energy sector as sources of CO2, if they have been accounted for as process emissions. Process emissions should include all carbon inputs in the blast furnace, used as the primary reductant."</a:t>
          </a:r>
        </a:p>
        <a:p>
          <a:endParaRPr lang="en-GB" sz="1100" baseline="0"/>
        </a:p>
        <a:p>
          <a:r>
            <a:rPr lang="en-GB" sz="1100" baseline="0"/>
            <a:t>https://www.ipcc-nggip.iges.or.jp/public/2006gl/pdf/3_Volume3/V3_4_Ch4_Metal_Industry.pdf</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7937</xdr:colOff>
      <xdr:row>9</xdr:row>
      <xdr:rowOff>190499</xdr:rowOff>
    </xdr:from>
    <xdr:to>
      <xdr:col>20</xdr:col>
      <xdr:colOff>116701</xdr:colOff>
      <xdr:row>35</xdr:row>
      <xdr:rowOff>7210</xdr:rowOff>
    </xdr:to>
    <xdr:pic>
      <xdr:nvPicPr>
        <xdr:cNvPr id="2" name="Picture 1">
          <a:extLst>
            <a:ext uri="{FF2B5EF4-FFF2-40B4-BE49-F238E27FC236}">
              <a16:creationId xmlns:a16="http://schemas.microsoft.com/office/drawing/2014/main" id="{CB9ACC03-4769-493A-9D2D-FE99D82D6A52}"/>
            </a:ext>
          </a:extLst>
        </xdr:cNvPr>
        <xdr:cNvPicPr>
          <a:picLocks noChangeAspect="1"/>
        </xdr:cNvPicPr>
      </xdr:nvPicPr>
      <xdr:blipFill>
        <a:blip xmlns:r="http://schemas.openxmlformats.org/officeDocument/2006/relationships" r:embed="rId1"/>
        <a:stretch>
          <a:fillRect/>
        </a:stretch>
      </xdr:blipFill>
      <xdr:spPr>
        <a:xfrm>
          <a:off x="8405812" y="2484437"/>
          <a:ext cx="6220639" cy="55713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43543</xdr:colOff>
      <xdr:row>24</xdr:row>
      <xdr:rowOff>134257</xdr:rowOff>
    </xdr:from>
    <xdr:to>
      <xdr:col>14</xdr:col>
      <xdr:colOff>433614</xdr:colOff>
      <xdr:row>32</xdr:row>
      <xdr:rowOff>27214</xdr:rowOff>
    </xdr:to>
    <xdr:sp macro="" textlink="">
      <xdr:nvSpPr>
        <xdr:cNvPr id="3" name="TextBox 2">
          <a:extLst>
            <a:ext uri="{FF2B5EF4-FFF2-40B4-BE49-F238E27FC236}">
              <a16:creationId xmlns:a16="http://schemas.microsoft.com/office/drawing/2014/main" id="{5B6B094C-147C-4A8E-9967-4808BB1D66D3}"/>
            </a:ext>
          </a:extLst>
        </xdr:cNvPr>
        <xdr:cNvSpPr txBox="1"/>
      </xdr:nvSpPr>
      <xdr:spPr>
        <a:xfrm>
          <a:off x="9713686" y="5323114"/>
          <a:ext cx="3701142" cy="134438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CHECK CAPACITY UNITS OF NMM SECTOR; IN GEO TIMES 'GW' used - WHICH</a:t>
          </a:r>
          <a:r>
            <a:rPr lang="en-GB" sz="1800" b="1" baseline="0">
              <a:solidFill>
                <a:schemeClr val="bg1"/>
              </a:solidFill>
            </a:rPr>
            <a:t> IS IMPORTANT FOR HOW CAPEX EXPRESSED</a:t>
          </a:r>
          <a:endParaRPr lang="en-GB" sz="18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31</xdr:col>
      <xdr:colOff>589643</xdr:colOff>
      <xdr:row>7</xdr:row>
      <xdr:rowOff>172358</xdr:rowOff>
    </xdr:from>
    <xdr:to>
      <xdr:col>52</xdr:col>
      <xdr:colOff>585107</xdr:colOff>
      <xdr:row>68</xdr:row>
      <xdr:rowOff>169524</xdr:rowOff>
    </xdr:to>
    <xdr:sp macro="" textlink="">
      <xdr:nvSpPr>
        <xdr:cNvPr id="2" name="TextBox 1">
          <a:extLst>
            <a:ext uri="{FF2B5EF4-FFF2-40B4-BE49-F238E27FC236}">
              <a16:creationId xmlns:a16="http://schemas.microsoft.com/office/drawing/2014/main" id="{D02271E3-6C8E-4BA2-84CB-D5EBFB807E65}"/>
            </a:ext>
          </a:extLst>
        </xdr:cNvPr>
        <xdr:cNvSpPr txBox="1"/>
      </xdr:nvSpPr>
      <xdr:spPr>
        <a:xfrm>
          <a:off x="20129500" y="1623787"/>
          <a:ext cx="12758964" cy="1052002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solidFill>
                <a:schemeClr val="dk1"/>
              </a:solidFill>
              <a:effectLst/>
              <a:latin typeface="+mn-lt"/>
              <a:ea typeface="+mn-ea"/>
              <a:cs typeface="+mn-cs"/>
            </a:rPr>
            <a:t>GCP-CEM: The Global Carbon Project CEMent-process emissions dataset</a:t>
          </a:r>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This is an update of the dataset documented in:</a:t>
          </a:r>
        </a:p>
        <a:p>
          <a:r>
            <a:rPr lang="en-GB">
              <a:effectLst/>
            </a:rPr>
            <a:t>Andrew, R.M., 2019. Global CO2 emissions from cement production, 1928–2018. Earth System Science Data 11, 1675–1710. </a:t>
          </a:r>
          <a:r>
            <a:rPr lang="en-GB" sz="1100" u="none" strike="noStrike">
              <a:solidFill>
                <a:schemeClr val="dk1"/>
              </a:solidFill>
              <a:effectLst/>
              <a:latin typeface="+mn-lt"/>
              <a:ea typeface="+mn-ea"/>
              <a:cs typeface="+mn-cs"/>
              <a:hlinkClick xmlns:r="http://schemas.openxmlformats.org/officeDocument/2006/relationships" r:id=""/>
            </a:rPr>
            <a:t>https://doi.org/10.5194/essd-11-1675-2019</a:t>
          </a:r>
          <a:r>
            <a:rPr lang="en-GB">
              <a:effectLst/>
            </a:rPr>
            <a:t>.</a:t>
          </a:r>
        </a:p>
        <a:p>
          <a:r>
            <a:rPr lang="en-GB" sz="1100" b="0" i="0">
              <a:solidFill>
                <a:schemeClr val="dk1"/>
              </a:solidFill>
              <a:effectLst/>
              <a:latin typeface="+mn-lt"/>
              <a:ea typeface="+mn-ea"/>
              <a:cs typeface="+mn-cs"/>
            </a:rPr>
            <a:t>Data in this release cover the period 1880–2023.</a:t>
          </a:r>
        </a:p>
        <a:p>
          <a:r>
            <a:rPr lang="en-GB" sz="1100" b="0" i="0">
              <a:solidFill>
                <a:schemeClr val="dk1"/>
              </a:solidFill>
              <a:effectLst/>
              <a:latin typeface="+mn-lt"/>
              <a:ea typeface="+mn-ea"/>
              <a:cs typeface="+mn-cs"/>
            </a:rPr>
            <a:t>Note that emissions from use of fossil fuels in cement production are not included in this dataset since they are usually included elsewhere in global datasets of fossil CO2 emissions. The process emissions in this dataset, which result from the decomposition of carbonates in the production of cement clinker, amounted to ~1.6 Gt CO2 in 2022, while emissions from combustion of fossil fuels to produce the heat required amounted to an additional ~1.0 Gt CO2 in 2022.</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May 2024 release (240517): Changes</a:t>
          </a:r>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Various revisions to 2022 and 2023 estimates based on newly published data</a:t>
          </a:r>
        </a:p>
        <a:p>
          <a:r>
            <a:rPr lang="en-GB" sz="1100" b="0" i="0">
              <a:solidFill>
                <a:schemeClr val="dk1"/>
              </a:solidFill>
              <a:effectLst/>
              <a:latin typeface="+mn-lt"/>
              <a:ea typeface="+mn-ea"/>
              <a:cs typeface="+mn-cs"/>
            </a:rPr>
            <a:t>Additional start years added via zero_before_after.csv</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The Cement Production dataset</a:t>
          </a:r>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Annual cement production data by country are assembled from a number of sources. Prioritisation is given to national sources, whether directly from statistical offices or activity data reported in official emissions reports submitted to the UNFCCC. Where official sources are not used, data are sourced from the USGS Minerals Yearbooks. Some data points in the USGS dataset are corrected based on either sense-checks or information from alternative sources. For data before 1990, USGS data are obtained via back-calculation from the 2019 edition of the CDIAC emissions dataset. The first year for most countries in the USGS data is 1928; where the combined dataset shows zeros before 1928 and non-zero data from 1928, these zeros are assumed to be artefacts and are set to NODATA. Using available data for some former Soviet states before the dissolution of the Soviet Union, Soviet states are disaggregated for all years before dissolution. Every data point in the cement production dataset has its source indicated in the accompanying source file. Blank cells should be interpreted as NODATA.</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The Clinker Production dataset</a:t>
          </a:r>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Annual clinker production data by country are assembled from a number of sources. No such multi-country dataset exists elsewhere to our knowledge. Many countries report 'activity data' in their emissions reporting to the UNFCCC, and for the Cement Production sector (2.A.1), this is often clinker production. For all Annex 1 countries this is the case, and clinker production for these countries are obtained from their Excel-format reporting files (CRFs), although New Zealand (and Hungary in recent years) exceptionally has withheld these data for reasons of confidentiality. Many other countries report time-series of clinker production in their official emissions reporting, and for some countries data are available (sometimes with monthly frequency) from official websites. Every data point in the cement production dataset has its source indicated in the accompanying source file. Blank cells should be interpreted as NODATA. Not all countries are present in the dataset.</a:t>
          </a:r>
        </a:p>
        <a:p>
          <a:endParaRPr lang="en-GB" sz="1100" b="1" i="0">
            <a:solidFill>
              <a:schemeClr val="dk1"/>
            </a:solidFill>
            <a:effectLst/>
            <a:latin typeface="+mn-lt"/>
            <a:ea typeface="+mn-ea"/>
            <a:cs typeface="+mn-cs"/>
          </a:endParaRPr>
        </a:p>
        <a:p>
          <a:r>
            <a:rPr lang="en-GB" sz="1100" b="1" i="0">
              <a:solidFill>
                <a:schemeClr val="dk1"/>
              </a:solidFill>
              <a:effectLst/>
              <a:latin typeface="+mn-lt"/>
              <a:ea typeface="+mn-ea"/>
              <a:cs typeface="+mn-cs"/>
            </a:rPr>
            <a:t>Emissions calculation</a:t>
          </a:r>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Emissions for all UNFCCC Annex I ("developed") countries are taken directly from their official submissions to the UNFCCC (or EIONET) in Common Reporting Format (structured Excel files), for which data are available from 1990 (slightly earlier for some Economies in Transition).</a:t>
          </a:r>
        </a:p>
        <a:p>
          <a:pPr lvl="1"/>
          <a:r>
            <a:rPr lang="en-GB" sz="1100" b="0" i="0">
              <a:solidFill>
                <a:schemeClr val="dk1"/>
              </a:solidFill>
              <a:effectLst/>
              <a:latin typeface="+mn-lt"/>
              <a:ea typeface="+mn-ea"/>
              <a:cs typeface="+mn-cs"/>
            </a:rPr>
            <a:t>Australia, Austria, Belgium, Bulgaria, Belarus, Canada, Switzerland, Cyprus, Czechia, Germany, Denmark, Spain, Estonia, Finland, France, United Kingdom, Greece, Croatia, Hungary, Ireland, Iceland, Italy, Japan, Kazakhstan, Liechtenstein, Lithuania, Luxembourg, Latvia, Malta, Netherlands, Norway, New Zealand, Poland, Portugal, Romania, Russia, Slovakia, Slovenia, Sweden, Turkey, Ukraine, United States of America.</a:t>
          </a:r>
        </a:p>
        <a:p>
          <a:r>
            <a:rPr lang="en-GB" sz="1100" b="0" i="0">
              <a:solidFill>
                <a:schemeClr val="dk1"/>
              </a:solidFill>
              <a:effectLst/>
              <a:latin typeface="+mn-lt"/>
              <a:ea typeface="+mn-ea"/>
              <a:cs typeface="+mn-cs"/>
            </a:rPr>
            <a:t>Country-specific methods are used for Brazil, India, South Africa, Thailand, USA, Vietnam.</a:t>
          </a:r>
        </a:p>
        <a:p>
          <a:pPr lvl="1"/>
          <a:r>
            <a:rPr lang="en-GB" sz="1100" b="0" i="0">
              <a:solidFill>
                <a:schemeClr val="dk1"/>
              </a:solidFill>
              <a:effectLst/>
              <a:latin typeface="+mn-lt"/>
              <a:ea typeface="+mn-ea"/>
              <a:cs typeface="+mn-cs"/>
            </a:rPr>
            <a:t>For Brazil, emissions are published from 1990, and clinker ratios are reported starting in 1970, allowing more accurate estimation before 1990.</a:t>
          </a:r>
        </a:p>
        <a:p>
          <a:pPr lvl="1"/>
          <a:r>
            <a:rPr lang="en-GB" sz="1100" b="0" i="0">
              <a:solidFill>
                <a:schemeClr val="dk1"/>
              </a:solidFill>
              <a:effectLst/>
              <a:latin typeface="+mn-lt"/>
              <a:ea typeface="+mn-ea"/>
              <a:cs typeface="+mn-cs"/>
            </a:rPr>
            <a:t>Little information is available about clinker production in India since the Cement Manufacturers' Association was forced to stop collecting these data. Various sources are used to estimate how the clinker ratio has changed over time in India.</a:t>
          </a:r>
        </a:p>
        <a:p>
          <a:pPr lvl="1"/>
          <a:r>
            <a:rPr lang="en-GB" sz="1100" b="0" i="0">
              <a:solidFill>
                <a:schemeClr val="dk1"/>
              </a:solidFill>
              <a:effectLst/>
              <a:latin typeface="+mn-lt"/>
              <a:ea typeface="+mn-ea"/>
              <a:cs typeface="+mn-cs"/>
            </a:rPr>
            <a:t>South Africa's reported emissions appear to be calculated assuming limestone sales statistics are cement production statistics. An alternative method is used here.</a:t>
          </a:r>
        </a:p>
        <a:p>
          <a:pPr lvl="1"/>
          <a:r>
            <a:rPr lang="en-GB" sz="1100" b="0" i="0">
              <a:solidFill>
                <a:schemeClr val="dk1"/>
              </a:solidFill>
              <a:effectLst/>
              <a:latin typeface="+mn-lt"/>
              <a:ea typeface="+mn-ea"/>
              <a:cs typeface="+mn-cs"/>
            </a:rPr>
            <a:t>For Thailand, cement production and clinker trade data are available from 1990, and these are used to estimate clinker production in the period 1990-2015.</a:t>
          </a:r>
        </a:p>
        <a:p>
          <a:pPr lvl="1"/>
          <a:r>
            <a:rPr lang="en-GB" sz="1100" b="0" i="0">
              <a:solidFill>
                <a:schemeClr val="dk1"/>
              </a:solidFill>
              <a:effectLst/>
              <a:latin typeface="+mn-lt"/>
              <a:ea typeface="+mn-ea"/>
              <a:cs typeface="+mn-cs"/>
            </a:rPr>
            <a:t>The US publishes clinker production data beginning in 1925, and cement production data from 1880.</a:t>
          </a:r>
        </a:p>
        <a:p>
          <a:pPr lvl="1"/>
          <a:r>
            <a:rPr lang="en-GB" sz="1100" b="0" i="0">
              <a:solidFill>
                <a:schemeClr val="dk1"/>
              </a:solidFill>
              <a:effectLst/>
              <a:latin typeface="+mn-lt"/>
              <a:ea typeface="+mn-ea"/>
              <a:cs typeface="+mn-cs"/>
            </a:rPr>
            <a:t>Vietnam is a significant producer but doesn't collect or publish clinker production data. High levels of exports mean that applying a clinker ratio to cement production would be inappropriate. Here we follow Vietnam's own method of using cement production combined with clinker trade data to estimate clinker production.</a:t>
          </a:r>
        </a:p>
        <a:p>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The combined_cement_data.xlsx file is used to overwrite emissions with superior data, in most cases as reported in official reporting to the UNFCCC, e.g. Biennial Update Reports, National Communications, and National Inventory Reports. Where more than one data source has been found for a country (e.g. subsequent reports), a comparison is automatically made of overlapping data, and they are combined only if they are in very close agreement (i.e., significant revisions mean that previous estimates will be ignored).</a:t>
          </a:r>
        </a:p>
        <a:p>
          <a:r>
            <a:rPr lang="en-GB" sz="1100" b="0" i="0">
              <a:solidFill>
                <a:schemeClr val="dk1"/>
              </a:solidFill>
              <a:effectLst/>
              <a:latin typeface="+mn-lt"/>
              <a:ea typeface="+mn-ea"/>
              <a:cs typeface="+mn-cs"/>
            </a:rPr>
            <a:t>Clinker production data have been obtained for some countries in addition to those available from Annex 1 parties' CRFs, either from reporting to the UNFCCC or directly from official agencies. The period available varies by country. Emissions for these countries are calculated directly from these clinker production data where official emissions estimates are not available.</a:t>
          </a:r>
        </a:p>
        <a:p>
          <a:pPr lvl="1"/>
          <a:r>
            <a:rPr lang="en-GB" sz="1100" b="0" i="0">
              <a:solidFill>
                <a:schemeClr val="dk1"/>
              </a:solidFill>
              <a:effectLst/>
              <a:latin typeface="+mn-lt"/>
              <a:ea typeface="+mn-ea"/>
              <a:cs typeface="+mn-cs"/>
            </a:rPr>
            <a:t>Afghanistan, Argentina, Armenia, Bangladesh, Brazil, Chile, China, Spain, Jamaica, Japan, Moldova, Norway, Paraguay, Poland, Rwanda, Turkey, Saudi Arabia, South Korea, Taiwan, Thailand, </a:t>
          </a:r>
        </a:p>
        <a:p>
          <a:pPr lvl="1"/>
          <a:r>
            <a:rPr lang="en-GB" sz="1100" b="0" i="0">
              <a:solidFill>
                <a:schemeClr val="dk1"/>
              </a:solidFill>
              <a:effectLst/>
              <a:latin typeface="+mn-lt"/>
              <a:ea typeface="+mn-ea"/>
              <a:cs typeface="+mn-cs"/>
            </a:rPr>
            <a:t>Togo, Tunisia, Ukraine, United Kingdom, USA, Uzbekistan.</a:t>
          </a:r>
        </a:p>
        <a:p>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Some countries do not report time-series of emissions, but do supply some isolated estimates in their official reporting to the UNFCCC, and these are used in some cases to constrain estimates.</a:t>
          </a:r>
        </a:p>
        <a:p>
          <a:r>
            <a:rPr lang="en-GB" sz="1100" b="0" i="0">
              <a:solidFill>
                <a:schemeClr val="dk1"/>
              </a:solidFill>
              <a:effectLst/>
              <a:latin typeface="+mn-lt"/>
              <a:ea typeface="+mn-ea"/>
              <a:cs typeface="+mn-cs"/>
            </a:rPr>
            <a:t>A number of countries state in their official reporting to the UNFCCC that they have never produced clinker, so emissions are set to zero for all years for these countries. In other cases, statements are made that no clinker was produced before or after a certain year, and this information is also incorporated.</a:t>
          </a:r>
        </a:p>
        <a:p>
          <a:pPr lvl="1"/>
          <a:r>
            <a:rPr lang="en-GB" sz="1100" b="0" i="0">
              <a:solidFill>
                <a:schemeClr val="dk1"/>
              </a:solidFill>
              <a:effectLst/>
              <a:latin typeface="+mn-lt"/>
              <a:ea typeface="+mn-ea"/>
              <a:cs typeface="+mn-cs"/>
            </a:rPr>
            <a:t>Never produced clinker: Mauritania, Sierra Leone, Côte d'Ivoire, Brunei Darussalam, Tuvalu, Papua New Guinea, Guinea, Andorra, Singapore, Réunion, Guadeloupe, French Guiana, Martinique, Mayotte, Macao.</a:t>
          </a:r>
        </a:p>
        <a:p>
          <a:pPr lvl="1"/>
          <a:r>
            <a:rPr lang="en-GB" sz="1100" b="0" i="0">
              <a:solidFill>
                <a:schemeClr val="dk1"/>
              </a:solidFill>
              <a:effectLst/>
              <a:latin typeface="+mn-lt"/>
              <a:ea typeface="+mn-ea"/>
              <a:cs typeface="+mn-cs"/>
            </a:rPr>
            <a:t>Stopped or started producing clinker: Cambodia, Estonia, Fiji, Ghana, Iceland, the Netherlands (see file zero_before_after.csv).</a:t>
          </a:r>
        </a:p>
        <a:p>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The information available usually covers a number of years, up to 3 decades. These are then extrapolated by combining available data and assumptions about historical developments in clinker ratios to produce longer time series of emissions based on the longer cement production dataset. More details on this method are given in the accompanying journal paper.</a:t>
          </a:r>
        </a:p>
        <a:p>
          <a:r>
            <a:rPr lang="en-GB" sz="1100" b="0" i="0">
              <a:solidFill>
                <a:schemeClr val="dk1"/>
              </a:solidFill>
              <a:effectLst/>
              <a:latin typeface="+mn-lt"/>
              <a:ea typeface="+mn-ea"/>
              <a:cs typeface="+mn-cs"/>
            </a:rPr>
            <a:t>For any non-Annex I countries for which time-series data of neither emissions or clinker are available, and cement production is non-zero, clinker ratios derived from the Getting the Numbers Right (GNR) cement sustainability initiative are applied to the cement production dataset to derive approximate clinker production by country, from which emissions are calculated using IPCC default factors.</a:t>
          </a:r>
        </a:p>
        <a:p>
          <a:r>
            <a:rPr lang="en-GB" sz="1100" b="0" i="0">
              <a:solidFill>
                <a:schemeClr val="dk1"/>
              </a:solidFill>
              <a:effectLst/>
              <a:latin typeface="+mn-lt"/>
              <a:ea typeface="+mn-ea"/>
              <a:cs typeface="+mn-cs"/>
            </a:rPr>
            <a:t>Where emissions are estimated from clinker (or apparent clinker) production data, IPCC default factors are used, with the exception of China and Argentina, for which officially reported factors are used.</a:t>
          </a:r>
        </a:p>
        <a:p>
          <a:endParaRPr lang="en-GB"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166688</xdr:rowOff>
    </xdr:from>
    <xdr:to>
      <xdr:col>10</xdr:col>
      <xdr:colOff>317500</xdr:colOff>
      <xdr:row>5</xdr:row>
      <xdr:rowOff>15875</xdr:rowOff>
    </xdr:to>
    <xdr:sp macro="" textlink="">
      <xdr:nvSpPr>
        <xdr:cNvPr id="2" name="TextBox 1">
          <a:extLst>
            <a:ext uri="{FF2B5EF4-FFF2-40B4-BE49-F238E27FC236}">
              <a16:creationId xmlns:a16="http://schemas.microsoft.com/office/drawing/2014/main" id="{821C000F-9D49-424B-B505-F8F985848717}"/>
            </a:ext>
          </a:extLst>
        </xdr:cNvPr>
        <xdr:cNvSpPr txBox="1"/>
      </xdr:nvSpPr>
      <xdr:spPr>
        <a:xfrm>
          <a:off x="611188" y="166688"/>
          <a:ext cx="63976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Tkachenko, N., Tang, K., McCarten, M., Reece, S., Kampmann, D., Hickey, C., Bayaraa, M., Foster, P., Layman, C., Rossi, C., Scott, K., Yoken, D., Christiaen, C. and Caldecott, B. (2023) Global database of cement production assets and upstream suppliers [Dataset]. Dryad. https://doi.org/10.5061/dryad.6t1g1jx4f</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95250</xdr:colOff>
      <xdr:row>6</xdr:row>
      <xdr:rowOff>104775</xdr:rowOff>
    </xdr:from>
    <xdr:to>
      <xdr:col>4</xdr:col>
      <xdr:colOff>1600200</xdr:colOff>
      <xdr:row>21</xdr:row>
      <xdr:rowOff>28575</xdr:rowOff>
    </xdr:to>
    <xdr:sp macro="" textlink="">
      <xdr:nvSpPr>
        <xdr:cNvPr id="2" name="Rectangle 1">
          <a:extLst>
            <a:ext uri="{FF2B5EF4-FFF2-40B4-BE49-F238E27FC236}">
              <a16:creationId xmlns:a16="http://schemas.microsoft.com/office/drawing/2014/main" id="{AC5CCFAF-B459-FA08-6DD5-622155022442}"/>
            </a:ext>
          </a:extLst>
        </xdr:cNvPr>
        <xdr:cNvSpPr/>
      </xdr:nvSpPr>
      <xdr:spPr>
        <a:xfrm>
          <a:off x="2857500" y="1190625"/>
          <a:ext cx="1504950" cy="2638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Need list of actual milestone years</a:t>
          </a:r>
        </a:p>
      </xdr:txBody>
    </xdr:sp>
    <xdr:clientData/>
  </xdr:twoCellAnchor>
  <xdr:twoCellAnchor>
    <xdr:from>
      <xdr:col>7</xdr:col>
      <xdr:colOff>85725</xdr:colOff>
      <xdr:row>10</xdr:row>
      <xdr:rowOff>104775</xdr:rowOff>
    </xdr:from>
    <xdr:to>
      <xdr:col>16</xdr:col>
      <xdr:colOff>257175</xdr:colOff>
      <xdr:row>18</xdr:row>
      <xdr:rowOff>57150</xdr:rowOff>
    </xdr:to>
    <xdr:sp macro="" textlink="">
      <xdr:nvSpPr>
        <xdr:cNvPr id="3" name="Rectangle 2">
          <a:extLst>
            <a:ext uri="{FF2B5EF4-FFF2-40B4-BE49-F238E27FC236}">
              <a16:creationId xmlns:a16="http://schemas.microsoft.com/office/drawing/2014/main" id="{B5A8E939-3114-4855-9C00-8FA6F5F02A6B}"/>
            </a:ext>
            <a:ext uri="{147F2762-F138-4A5C-976F-8EAC2B608ADB}">
              <a16:predDERef xmlns:a16="http://schemas.microsoft.com/office/drawing/2014/main" pred="{AC5CCFAF-B459-FA08-6DD5-622155022442}"/>
            </a:ext>
          </a:extLst>
        </xdr:cNvPr>
        <xdr:cNvSpPr/>
      </xdr:nvSpPr>
      <xdr:spPr>
        <a:xfrm>
          <a:off x="6181725" y="1914525"/>
          <a:ext cx="5657850" cy="14001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Placeholder assumption  =&gt; scrap availability remains the same going forward. Will be tuned with ENGAGE team</a:t>
          </a:r>
        </a:p>
      </xdr:txBody>
    </xdr:sp>
    <xdr:clientData/>
  </xdr:twoCellAnchor>
  <xdr:twoCellAnchor>
    <xdr:from>
      <xdr:col>4</xdr:col>
      <xdr:colOff>95250</xdr:colOff>
      <xdr:row>31</xdr:row>
      <xdr:rowOff>28575</xdr:rowOff>
    </xdr:from>
    <xdr:to>
      <xdr:col>4</xdr:col>
      <xdr:colOff>1609725</xdr:colOff>
      <xdr:row>39</xdr:row>
      <xdr:rowOff>171450</xdr:rowOff>
    </xdr:to>
    <xdr:sp macro="" textlink="">
      <xdr:nvSpPr>
        <xdr:cNvPr id="4" name="Rectangle 3">
          <a:extLst>
            <a:ext uri="{FF2B5EF4-FFF2-40B4-BE49-F238E27FC236}">
              <a16:creationId xmlns:a16="http://schemas.microsoft.com/office/drawing/2014/main" id="{A96EE22C-2C9A-4708-86C4-70FF6A48F6C2}"/>
            </a:ext>
            <a:ext uri="{147F2762-F138-4A5C-976F-8EAC2B608ADB}">
              <a16:predDERef xmlns:a16="http://schemas.microsoft.com/office/drawing/2014/main" pred="{B5A8E939-3114-4855-9C00-8FA6F5F02A6B}"/>
            </a:ext>
          </a:extLst>
        </xdr:cNvPr>
        <xdr:cNvSpPr/>
      </xdr:nvSpPr>
      <xdr:spPr>
        <a:xfrm>
          <a:off x="2857500" y="5638800"/>
          <a:ext cx="1514475" cy="1628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Need list of actual milestone years</a:t>
          </a:r>
        </a:p>
      </xdr:txBody>
    </xdr:sp>
    <xdr:clientData/>
  </xdr:twoCellAnchor>
  <xdr:twoCellAnchor>
    <xdr:from>
      <xdr:col>0</xdr:col>
      <xdr:colOff>590550</xdr:colOff>
      <xdr:row>25</xdr:row>
      <xdr:rowOff>47625</xdr:rowOff>
    </xdr:from>
    <xdr:to>
      <xdr:col>5</xdr:col>
      <xdr:colOff>0</xdr:colOff>
      <xdr:row>26</xdr:row>
      <xdr:rowOff>171450</xdr:rowOff>
    </xdr:to>
    <xdr:sp macro="" textlink="">
      <xdr:nvSpPr>
        <xdr:cNvPr id="5" name="Rectangle 4">
          <a:extLst>
            <a:ext uri="{FF2B5EF4-FFF2-40B4-BE49-F238E27FC236}">
              <a16:creationId xmlns:a16="http://schemas.microsoft.com/office/drawing/2014/main" id="{A65B3C06-A763-4704-84D0-1663F96D0FEB}"/>
            </a:ext>
            <a:ext uri="{147F2762-F138-4A5C-976F-8EAC2B608ADB}">
              <a16:predDERef xmlns:a16="http://schemas.microsoft.com/office/drawing/2014/main" pred="{A96EE22C-2C9A-4708-86C4-70FF6A48F6C2}"/>
            </a:ext>
          </a:extLst>
        </xdr:cNvPr>
        <xdr:cNvSpPr/>
      </xdr:nvSpPr>
      <xdr:spPr>
        <a:xfrm>
          <a:off x="590550" y="4810125"/>
          <a:ext cx="3886200" cy="3143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PLACEHOLDER - better assumptions/data needed</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552450</xdr:colOff>
      <xdr:row>2</xdr:row>
      <xdr:rowOff>57150</xdr:rowOff>
    </xdr:from>
    <xdr:to>
      <xdr:col>4</xdr:col>
      <xdr:colOff>1676400</xdr:colOff>
      <xdr:row>3</xdr:row>
      <xdr:rowOff>180975</xdr:rowOff>
    </xdr:to>
    <xdr:sp macro="" textlink="">
      <xdr:nvSpPr>
        <xdr:cNvPr id="6" name="Rectangle 5">
          <a:extLst>
            <a:ext uri="{FF2B5EF4-FFF2-40B4-BE49-F238E27FC236}">
              <a16:creationId xmlns:a16="http://schemas.microsoft.com/office/drawing/2014/main" id="{0A2A203B-F499-4E9D-AB0B-69A98FE06DEE}"/>
            </a:ext>
            <a:ext uri="{147F2762-F138-4A5C-976F-8EAC2B608ADB}">
              <a16:predDERef xmlns:a16="http://schemas.microsoft.com/office/drawing/2014/main" pred="{A65B3C06-A763-4704-84D0-1663F96D0FEB}"/>
            </a:ext>
          </a:extLst>
        </xdr:cNvPr>
        <xdr:cNvSpPr/>
      </xdr:nvSpPr>
      <xdr:spPr>
        <a:xfrm>
          <a:off x="552450" y="438150"/>
          <a:ext cx="3886200" cy="3143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PLACEHOLDER - better assumptions/data needed</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0</xdr:colOff>
      <xdr:row>8</xdr:row>
      <xdr:rowOff>54424</xdr:rowOff>
    </xdr:from>
    <xdr:to>
      <xdr:col>25</xdr:col>
      <xdr:colOff>54713</xdr:colOff>
      <xdr:row>26</xdr:row>
      <xdr:rowOff>148032</xdr:rowOff>
    </xdr:to>
    <xdr:pic>
      <xdr:nvPicPr>
        <xdr:cNvPr id="2" name="Picture 1">
          <a:extLst>
            <a:ext uri="{FF2B5EF4-FFF2-40B4-BE49-F238E27FC236}">
              <a16:creationId xmlns:a16="http://schemas.microsoft.com/office/drawing/2014/main" id="{6E12392E-B715-456C-B242-315CB0666048}"/>
            </a:ext>
          </a:extLst>
        </xdr:cNvPr>
        <xdr:cNvPicPr>
          <a:picLocks noChangeAspect="1"/>
        </xdr:cNvPicPr>
      </xdr:nvPicPr>
      <xdr:blipFill>
        <a:blip xmlns:r="http://schemas.openxmlformats.org/officeDocument/2006/relationships" r:embed="rId1"/>
        <a:stretch>
          <a:fillRect/>
        </a:stretch>
      </xdr:blipFill>
      <xdr:spPr>
        <a:xfrm>
          <a:off x="10069286" y="1415138"/>
          <a:ext cx="5524784" cy="335932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25</xdr:col>
      <xdr:colOff>761999</xdr:colOff>
      <xdr:row>54</xdr:row>
      <xdr:rowOff>47624</xdr:rowOff>
    </xdr:from>
    <xdr:to>
      <xdr:col>29</xdr:col>
      <xdr:colOff>217714</xdr:colOff>
      <xdr:row>60</xdr:row>
      <xdr:rowOff>61232</xdr:rowOff>
    </xdr:to>
    <xdr:sp macro="" textlink="">
      <xdr:nvSpPr>
        <xdr:cNvPr id="2" name="Rectangle 1">
          <a:extLst>
            <a:ext uri="{FF2B5EF4-FFF2-40B4-BE49-F238E27FC236}">
              <a16:creationId xmlns:a16="http://schemas.microsoft.com/office/drawing/2014/main" id="{BB12E061-BD00-EBDA-10DA-A039522884F5}"/>
            </a:ext>
          </a:extLst>
        </xdr:cNvPr>
        <xdr:cNvSpPr/>
      </xdr:nvSpPr>
      <xdr:spPr>
        <a:xfrm>
          <a:off x="22793324" y="10858499"/>
          <a:ext cx="2675165" cy="11566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kern="1200"/>
            <a:t>RUS is set to use CAN 2019 energy mix because of issues with UN energy balance (i.e. RUS only has electricity in INF balance and insufficient N.E.S energy to cover the remainder).</a:t>
          </a:r>
        </a:p>
      </xdr:txBody>
    </xdr:sp>
    <xdr:clientData/>
  </xdr:twoCellAnchor>
  <xdr:twoCellAnchor>
    <xdr:from>
      <xdr:col>43</xdr:col>
      <xdr:colOff>247650</xdr:colOff>
      <xdr:row>10</xdr:row>
      <xdr:rowOff>142875</xdr:rowOff>
    </xdr:from>
    <xdr:to>
      <xdr:col>45</xdr:col>
      <xdr:colOff>466725</xdr:colOff>
      <xdr:row>13</xdr:row>
      <xdr:rowOff>28575</xdr:rowOff>
    </xdr:to>
    <xdr:sp macro="" textlink="">
      <xdr:nvSpPr>
        <xdr:cNvPr id="3" name="Rectangle 2">
          <a:extLst>
            <a:ext uri="{FF2B5EF4-FFF2-40B4-BE49-F238E27FC236}">
              <a16:creationId xmlns:a16="http://schemas.microsoft.com/office/drawing/2014/main" id="{4E7559EB-DE1A-8013-1125-0185FDF0603A}"/>
            </a:ext>
            <a:ext uri="{147F2762-F138-4A5C-976F-8EAC2B608ADB}">
              <a16:predDERef xmlns:a16="http://schemas.microsoft.com/office/drawing/2014/main" pred="{BB12E061-BD00-EBDA-10DA-A039522884F5}"/>
            </a:ext>
          </a:extLst>
        </xdr:cNvPr>
        <xdr:cNvSpPr/>
      </xdr:nvSpPr>
      <xdr:spPr>
        <a:xfrm>
          <a:off x="35194875" y="2381250"/>
          <a:ext cx="1495425"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China energy mix set to global</a:t>
          </a:r>
        </a:p>
      </xdr:txBody>
    </xdr:sp>
    <xdr:clientData/>
  </xdr:twoCellAnchor>
  <xdr:twoCellAnchor>
    <xdr:from>
      <xdr:col>21</xdr:col>
      <xdr:colOff>476250</xdr:colOff>
      <xdr:row>10</xdr:row>
      <xdr:rowOff>123825</xdr:rowOff>
    </xdr:from>
    <xdr:to>
      <xdr:col>23</xdr:col>
      <xdr:colOff>542925</xdr:colOff>
      <xdr:row>13</xdr:row>
      <xdr:rowOff>9525</xdr:rowOff>
    </xdr:to>
    <xdr:sp macro="" textlink="">
      <xdr:nvSpPr>
        <xdr:cNvPr id="4" name="Rectangle 3">
          <a:extLst>
            <a:ext uri="{FF2B5EF4-FFF2-40B4-BE49-F238E27FC236}">
              <a16:creationId xmlns:a16="http://schemas.microsoft.com/office/drawing/2014/main" id="{63B58A10-FAE4-464E-9CBA-70F560D7A35D}"/>
            </a:ext>
            <a:ext uri="{147F2762-F138-4A5C-976F-8EAC2B608ADB}">
              <a16:predDERef xmlns:a16="http://schemas.microsoft.com/office/drawing/2014/main" pred="{4E7559EB-DE1A-8013-1125-0185FDF0603A}"/>
            </a:ext>
          </a:extLst>
        </xdr:cNvPr>
        <xdr:cNvSpPr/>
      </xdr:nvSpPr>
      <xdr:spPr>
        <a:xfrm>
          <a:off x="19516725" y="2362200"/>
          <a:ext cx="1495425"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China energy mix set to global</a:t>
          </a:r>
        </a:p>
      </xdr:txBody>
    </xdr:sp>
    <xdr:clientData/>
  </xdr:twoCellAnchor>
  <xdr:twoCellAnchor>
    <xdr:from>
      <xdr:col>8</xdr:col>
      <xdr:colOff>619125</xdr:colOff>
      <xdr:row>10</xdr:row>
      <xdr:rowOff>161925</xdr:rowOff>
    </xdr:from>
    <xdr:to>
      <xdr:col>10</xdr:col>
      <xdr:colOff>533400</xdr:colOff>
      <xdr:row>13</xdr:row>
      <xdr:rowOff>47625</xdr:rowOff>
    </xdr:to>
    <xdr:sp macro="" textlink="">
      <xdr:nvSpPr>
        <xdr:cNvPr id="5" name="Rectangle 4">
          <a:extLst>
            <a:ext uri="{FF2B5EF4-FFF2-40B4-BE49-F238E27FC236}">
              <a16:creationId xmlns:a16="http://schemas.microsoft.com/office/drawing/2014/main" id="{2785BF39-72DA-4EA3-A2A3-7BDE137773F2}"/>
            </a:ext>
            <a:ext uri="{147F2762-F138-4A5C-976F-8EAC2B608ADB}">
              <a16:predDERef xmlns:a16="http://schemas.microsoft.com/office/drawing/2014/main" pred="{63B58A10-FAE4-464E-9CBA-70F560D7A35D}"/>
            </a:ext>
          </a:extLst>
        </xdr:cNvPr>
        <xdr:cNvSpPr/>
      </xdr:nvSpPr>
      <xdr:spPr>
        <a:xfrm>
          <a:off x="10039350" y="2400300"/>
          <a:ext cx="1495425"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AFR energy mix set to global</a:t>
          </a:r>
        </a:p>
      </xdr:txBody>
    </xdr:sp>
    <xdr:clientData/>
  </xdr:twoCellAnchor>
  <xdr:twoCellAnchor>
    <xdr:from>
      <xdr:col>4</xdr:col>
      <xdr:colOff>1028700</xdr:colOff>
      <xdr:row>10</xdr:row>
      <xdr:rowOff>123825</xdr:rowOff>
    </xdr:from>
    <xdr:to>
      <xdr:col>6</xdr:col>
      <xdr:colOff>381000</xdr:colOff>
      <xdr:row>13</xdr:row>
      <xdr:rowOff>9525</xdr:rowOff>
    </xdr:to>
    <xdr:sp macro="" textlink="">
      <xdr:nvSpPr>
        <xdr:cNvPr id="6" name="Rectangle 5">
          <a:extLst>
            <a:ext uri="{FF2B5EF4-FFF2-40B4-BE49-F238E27FC236}">
              <a16:creationId xmlns:a16="http://schemas.microsoft.com/office/drawing/2014/main" id="{D65D4E74-5AE8-4484-BA78-354E6734FA9C}"/>
            </a:ext>
            <a:ext uri="{147F2762-F138-4A5C-976F-8EAC2B608ADB}">
              <a16:predDERef xmlns:a16="http://schemas.microsoft.com/office/drawing/2014/main" pred="{2785BF39-72DA-4EA3-A2A3-7BDE137773F2}"/>
            </a:ext>
          </a:extLst>
        </xdr:cNvPr>
        <xdr:cNvSpPr/>
      </xdr:nvSpPr>
      <xdr:spPr>
        <a:xfrm>
          <a:off x="6724650" y="2362200"/>
          <a:ext cx="1495425"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CAN energy mix set to NAM</a:t>
          </a:r>
        </a:p>
      </xdr:txBody>
    </xdr:sp>
    <xdr:clientData/>
  </xdr:twoCellAnchor>
  <xdr:twoCellAnchor>
    <xdr:from>
      <xdr:col>9</xdr:col>
      <xdr:colOff>619125</xdr:colOff>
      <xdr:row>431</xdr:row>
      <xdr:rowOff>42182</xdr:rowOff>
    </xdr:from>
    <xdr:to>
      <xdr:col>19</xdr:col>
      <xdr:colOff>334736</xdr:colOff>
      <xdr:row>433</xdr:row>
      <xdr:rowOff>61232</xdr:rowOff>
    </xdr:to>
    <xdr:sp macro="" textlink="">
      <xdr:nvSpPr>
        <xdr:cNvPr id="7" name="Rectangle 6">
          <a:extLst>
            <a:ext uri="{FF2B5EF4-FFF2-40B4-BE49-F238E27FC236}">
              <a16:creationId xmlns:a16="http://schemas.microsoft.com/office/drawing/2014/main" id="{33787AED-2C62-0B6B-E8FD-0DA7E914E25E}"/>
            </a:ext>
            <a:ext uri="{147F2762-F138-4A5C-976F-8EAC2B608ADB}">
              <a16:predDERef xmlns:a16="http://schemas.microsoft.com/office/drawing/2014/main" pred="{D65D4E74-5AE8-4484-BA78-354E6734FA9C}"/>
            </a:ext>
          </a:extLst>
        </xdr:cNvPr>
        <xdr:cNvSpPr/>
      </xdr:nvSpPr>
      <xdr:spPr>
        <a:xfrm>
          <a:off x="10783661" y="82678361"/>
          <a:ext cx="7117896" cy="400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Work in progress....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220" dT="2025-11-06T09:44:06.17" personId="{00000000-0000-0000-0000-000000000000}" id="{1D86CE3C-FD18-4EB8-ADCB-4C1452264B67}">
    <text>Was 4.5*10-13, set to 0</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essd.copernicus.org/preprints/essd-2017-77/essd-2017-77.pdf" TargetMode="External"/><Relationship Id="rId13" Type="http://schemas.openxmlformats.org/officeDocument/2006/relationships/comments" Target="../comments1.xml"/><Relationship Id="rId3" Type="http://schemas.openxmlformats.org/officeDocument/2006/relationships/hyperlink" Target="https://www.iea.org/reports/iron-and-steel-technology-roadmap" TargetMode="External"/><Relationship Id="rId7" Type="http://schemas.openxmlformats.org/officeDocument/2006/relationships/hyperlink" Target="https://one.oecd.org/document/DSTI/SC(2024)3/FINAL/en/pdf" TargetMode="External"/><Relationship Id="rId12" Type="http://schemas.openxmlformats.org/officeDocument/2006/relationships/vmlDrawing" Target="../drawings/vmlDrawing1.vml"/><Relationship Id="rId2" Type="http://schemas.openxmlformats.org/officeDocument/2006/relationships/hyperlink" Target="https://european-aluminium.eu/wp-content/uploads/2023/11/23-11-14-Net-Zero-by-2050-Science-based-Decarbonisation-Pathways-for-the-European-Aluminium-Industry_FULL-REPORT.pdf" TargetMode="External"/><Relationship Id="rId1" Type="http://schemas.openxmlformats.org/officeDocument/2006/relationships/hyperlink" Target="https://data.worldbank.org/indicator/FP.CPI.TOTL?locations=US" TargetMode="External"/><Relationship Id="rId6" Type="http://schemas.openxmlformats.org/officeDocument/2006/relationships/hyperlink" Target="https://www.ipcc-nggip.iges.or.jp/public/2019rf/pdf/3_Volume3/19R_V3_Ch04_Metal_Industry.pdf" TargetMode="External"/><Relationship Id="rId11" Type="http://schemas.openxmlformats.org/officeDocument/2006/relationships/printerSettings" Target="../printerSettings/printerSettings1.bin"/><Relationship Id="rId5" Type="http://schemas.openxmlformats.org/officeDocument/2006/relationships/hyperlink" Target="https://www.worldsteel.org/about-steel/steel-facts.html" TargetMode="External"/><Relationship Id="rId10" Type="http://schemas.openxmlformats.org/officeDocument/2006/relationships/hyperlink" Target="https://www.sciencedirect.com/science/article/abs/pii/S1364032121000381" TargetMode="External"/><Relationship Id="rId4" Type="http://schemas.openxmlformats.org/officeDocument/2006/relationships/hyperlink" Target="https://onlinelibrary.wiley.com/doi/full/10.1111/jiec.13215" TargetMode="External"/><Relationship Id="rId9" Type="http://schemas.openxmlformats.org/officeDocument/2006/relationships/hyperlink" Target="https://essd.copernicus.org/preprints/essd-2017-77/essd-2017-77.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www.worldsteel.org/about-steel/steel-facts.html" TargetMode="External"/><Relationship Id="rId7" Type="http://schemas.openxmlformats.org/officeDocument/2006/relationships/vmlDrawing" Target="../drawings/vmlDrawing2.vml"/><Relationship Id="rId2" Type="http://schemas.openxmlformats.org/officeDocument/2006/relationships/hyperlink" Target="https://www.worldsteel.org/about-steel/steel-facts.html" TargetMode="External"/><Relationship Id="rId1" Type="http://schemas.openxmlformats.org/officeDocument/2006/relationships/hyperlink" Target="https://www.iea.org/reports/iron-and-steel-technology-roadmap" TargetMode="External"/><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hyperlink" Target="https://www.iea.org/articles/driving-energy-efficiency-in-heavy-industries" TargetMode="External"/><Relationship Id="rId9"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9.bin"/><Relationship Id="rId1" Type="http://schemas.openxmlformats.org/officeDocument/2006/relationships/hyperlink" Target="https://iea.blob.core.windows.net/assets/29b027e5-fefc-47df-aed0-456b1bb38844/IEA-The-Future-of-Hydrogen-Assumptions-Annex_CORR.pdf"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zenodo.org/records/11207133"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20B7D-829F-447B-B6CD-854D6897C9BD}">
  <sheetPr>
    <tabColor rgb="FFFF0000"/>
  </sheetPr>
  <dimension ref="A1:I181"/>
  <sheetViews>
    <sheetView showGridLines="0" zoomScale="80" zoomScaleNormal="80" workbookViewId="0">
      <selection activeCell="G11" sqref="G11"/>
    </sheetView>
  </sheetViews>
  <sheetFormatPr defaultColWidth="9.28515625" defaultRowHeight="15" x14ac:dyDescent="0.25"/>
  <cols>
    <col min="1" max="4" width="28.42578125" style="15" customWidth="1"/>
    <col min="5" max="5" width="41" style="15" customWidth="1"/>
    <col min="6" max="16384" width="9.28515625" style="15"/>
  </cols>
  <sheetData>
    <row r="1" spans="1:6" ht="32.25" thickBot="1" x14ac:dyDescent="0.3">
      <c r="A1" s="671" t="s">
        <v>2</v>
      </c>
      <c r="B1" s="672"/>
      <c r="C1" s="672"/>
      <c r="D1" s="673"/>
      <c r="F1" s="16"/>
    </row>
    <row r="2" spans="1:6" x14ac:dyDescent="0.25">
      <c r="A2" s="17" t="s">
        <v>3</v>
      </c>
      <c r="B2" s="2" t="s">
        <v>4</v>
      </c>
      <c r="F2" s="18"/>
    </row>
    <row r="3" spans="1:6" x14ac:dyDescent="0.25">
      <c r="A3" s="17" t="s">
        <v>5</v>
      </c>
      <c r="B3" s="15" t="s">
        <v>6</v>
      </c>
      <c r="C3" s="2"/>
      <c r="F3" s="18"/>
    </row>
    <row r="4" spans="1:6" x14ac:dyDescent="0.25">
      <c r="A4" s="17" t="s">
        <v>7</v>
      </c>
      <c r="B4" s="2" t="s">
        <v>8</v>
      </c>
      <c r="C4" s="15" t="s">
        <v>9</v>
      </c>
      <c r="F4" s="18"/>
    </row>
    <row r="5" spans="1:6" x14ac:dyDescent="0.25">
      <c r="A5" s="17" t="s">
        <v>10</v>
      </c>
      <c r="B5" s="19">
        <v>2019</v>
      </c>
      <c r="F5" s="20"/>
    </row>
    <row r="6" spans="1:6" x14ac:dyDescent="0.25">
      <c r="A6" s="17" t="s">
        <v>11</v>
      </c>
      <c r="B6" s="2" t="s">
        <v>12</v>
      </c>
      <c r="F6" s="20"/>
    </row>
    <row r="7" spans="1:6" ht="15" customHeight="1" x14ac:dyDescent="0.25">
      <c r="A7" s="22" t="s">
        <v>13</v>
      </c>
      <c r="B7" s="95" t="s">
        <v>14</v>
      </c>
    </row>
    <row r="8" spans="1:6" ht="15" customHeight="1" x14ac:dyDescent="0.25">
      <c r="A8" s="22" t="s">
        <v>15</v>
      </c>
      <c r="B8" s="23">
        <f ca="1">TODAY()</f>
        <v>46163</v>
      </c>
    </row>
    <row r="9" spans="1:6" x14ac:dyDescent="0.25">
      <c r="A9" s="17" t="s">
        <v>16</v>
      </c>
      <c r="B9" s="15" t="s">
        <v>17</v>
      </c>
    </row>
    <row r="10" spans="1:6" x14ac:dyDescent="0.25">
      <c r="A10" s="17"/>
    </row>
    <row r="12" spans="1:6" ht="18.75" x14ac:dyDescent="0.25">
      <c r="A12" s="24" t="s">
        <v>18</v>
      </c>
      <c r="B12" s="662"/>
      <c r="C12" s="662"/>
      <c r="D12" s="663"/>
    </row>
    <row r="13" spans="1:6" x14ac:dyDescent="0.25">
      <c r="A13" s="26"/>
      <c r="B13" s="664" t="s">
        <v>19</v>
      </c>
      <c r="C13" s="665"/>
      <c r="D13" s="666"/>
    </row>
    <row r="14" spans="1:6" x14ac:dyDescent="0.25">
      <c r="A14" s="558" t="s">
        <v>20</v>
      </c>
      <c r="B14" s="293" t="s">
        <v>21</v>
      </c>
      <c r="C14" s="293"/>
    </row>
    <row r="15" spans="1:6" x14ac:dyDescent="0.25">
      <c r="A15" s="564"/>
      <c r="B15" s="28" t="s">
        <v>22</v>
      </c>
      <c r="C15" s="28"/>
    </row>
    <row r="16" spans="1:6" x14ac:dyDescent="0.25">
      <c r="A16" s="565"/>
      <c r="B16" s="28" t="s">
        <v>23</v>
      </c>
      <c r="C16" s="28"/>
    </row>
    <row r="17" spans="1:6" x14ac:dyDescent="0.25">
      <c r="A17" s="27"/>
      <c r="B17" s="28"/>
      <c r="C17" s="28"/>
    </row>
    <row r="18" spans="1:6" ht="15" customHeight="1" x14ac:dyDescent="0.25">
      <c r="A18" s="21" t="s">
        <v>24</v>
      </c>
    </row>
    <row r="19" spans="1:6" ht="15" customHeight="1" thickBot="1" x14ac:dyDescent="0.3">
      <c r="A19" s="29" t="s">
        <v>25</v>
      </c>
      <c r="B19" s="29" t="s">
        <v>26</v>
      </c>
      <c r="C19" s="29"/>
      <c r="D19" s="29"/>
      <c r="F19" s="30"/>
    </row>
    <row r="20" spans="1:6" x14ac:dyDescent="0.25">
      <c r="A20" s="31" t="s">
        <v>27</v>
      </c>
      <c r="B20" s="32" t="s">
        <v>28</v>
      </c>
      <c r="C20" s="32"/>
      <c r="D20" s="33"/>
    </row>
    <row r="21" spans="1:6" x14ac:dyDescent="0.25">
      <c r="A21" s="31" t="s">
        <v>23</v>
      </c>
      <c r="B21" s="559" t="s">
        <v>29</v>
      </c>
      <c r="C21" s="32"/>
      <c r="D21" s="33"/>
    </row>
    <row r="22" spans="1:6" x14ac:dyDescent="0.25">
      <c r="A22" s="571" t="s">
        <v>30</v>
      </c>
      <c r="B22" s="577" t="s">
        <v>31</v>
      </c>
      <c r="C22" s="566"/>
      <c r="D22" s="567"/>
    </row>
    <row r="23" spans="1:6" x14ac:dyDescent="0.25">
      <c r="A23" s="31" t="s">
        <v>32</v>
      </c>
      <c r="B23" s="31" t="s">
        <v>33</v>
      </c>
      <c r="C23" s="32"/>
      <c r="D23" s="33"/>
    </row>
    <row r="24" spans="1:6" x14ac:dyDescent="0.25">
      <c r="A24" s="561" t="s">
        <v>34</v>
      </c>
      <c r="B24" s="561" t="s">
        <v>35</v>
      </c>
      <c r="C24" s="562"/>
      <c r="D24" s="563"/>
    </row>
    <row r="25" spans="1:6" x14ac:dyDescent="0.25">
      <c r="A25" s="572" t="s">
        <v>36</v>
      </c>
      <c r="B25" s="576" t="s">
        <v>37</v>
      </c>
      <c r="C25" s="569"/>
      <c r="D25" s="570"/>
    </row>
    <row r="26" spans="1:6" x14ac:dyDescent="0.25">
      <c r="A26" s="572" t="s">
        <v>38</v>
      </c>
      <c r="B26" s="576" t="s">
        <v>39</v>
      </c>
      <c r="C26" s="569"/>
      <c r="D26" s="570"/>
    </row>
    <row r="27" spans="1:6" x14ac:dyDescent="0.25">
      <c r="A27" s="572" t="s">
        <v>40</v>
      </c>
      <c r="B27" s="576" t="s">
        <v>41</v>
      </c>
      <c r="C27" s="569"/>
      <c r="D27" s="570"/>
    </row>
    <row r="28" spans="1:6" x14ac:dyDescent="0.25">
      <c r="A28" s="571" t="s">
        <v>42</v>
      </c>
      <c r="B28" s="577" t="s">
        <v>31</v>
      </c>
      <c r="C28" s="566"/>
      <c r="D28" s="567"/>
    </row>
    <row r="29" spans="1:6" x14ac:dyDescent="0.25">
      <c r="A29" s="571" t="s">
        <v>43</v>
      </c>
      <c r="B29" s="577" t="s">
        <v>44</v>
      </c>
      <c r="C29" s="566"/>
      <c r="D29" s="567"/>
    </row>
    <row r="30" spans="1:6" x14ac:dyDescent="0.25">
      <c r="A30" s="31" t="s">
        <v>45</v>
      </c>
      <c r="B30" s="31" t="s">
        <v>46</v>
      </c>
      <c r="C30" s="32"/>
      <c r="D30" s="33"/>
    </row>
    <row r="31" spans="1:6" x14ac:dyDescent="0.25">
      <c r="A31" s="31" t="s">
        <v>47</v>
      </c>
      <c r="B31" s="561" t="s">
        <v>48</v>
      </c>
      <c r="C31" s="32"/>
      <c r="D31" s="33"/>
    </row>
    <row r="32" spans="1:6" x14ac:dyDescent="0.25">
      <c r="A32" s="572" t="s">
        <v>49</v>
      </c>
      <c r="B32" s="576" t="s">
        <v>50</v>
      </c>
      <c r="C32" s="569"/>
      <c r="D32" s="570"/>
    </row>
    <row r="33" spans="1:4" x14ac:dyDescent="0.25">
      <c r="A33" s="572" t="s">
        <v>51</v>
      </c>
      <c r="B33" s="576" t="s">
        <v>52</v>
      </c>
      <c r="C33" s="569"/>
      <c r="D33" s="570"/>
    </row>
    <row r="34" spans="1:4" x14ac:dyDescent="0.25">
      <c r="A34" s="572" t="s">
        <v>53</v>
      </c>
      <c r="B34" s="576" t="s">
        <v>54</v>
      </c>
      <c r="C34" s="569"/>
      <c r="D34" s="570"/>
    </row>
    <row r="35" spans="1:4" x14ac:dyDescent="0.25">
      <c r="A35" s="572" t="s">
        <v>55</v>
      </c>
      <c r="B35" s="576" t="s">
        <v>56</v>
      </c>
      <c r="C35" s="569"/>
      <c r="D35" s="570"/>
    </row>
    <row r="36" spans="1:4" x14ac:dyDescent="0.25">
      <c r="A36" s="31" t="s">
        <v>57</v>
      </c>
      <c r="B36" s="560"/>
      <c r="C36" s="32"/>
      <c r="D36" s="33"/>
    </row>
    <row r="37" spans="1:4" x14ac:dyDescent="0.25">
      <c r="A37" s="31" t="s">
        <v>58</v>
      </c>
      <c r="B37" s="560"/>
      <c r="C37" s="32"/>
      <c r="D37" s="33"/>
    </row>
    <row r="38" spans="1:4" x14ac:dyDescent="0.25">
      <c r="A38" s="31" t="s">
        <v>59</v>
      </c>
      <c r="B38" s="31" t="s">
        <v>60</v>
      </c>
      <c r="C38" s="32"/>
      <c r="D38" s="33"/>
    </row>
    <row r="39" spans="1:4" x14ac:dyDescent="0.25">
      <c r="A39" s="31" t="s">
        <v>61</v>
      </c>
      <c r="B39" s="561" t="s">
        <v>62</v>
      </c>
      <c r="C39" s="562"/>
      <c r="D39" s="33"/>
    </row>
    <row r="40" spans="1:4" x14ac:dyDescent="0.25">
      <c r="A40" s="571" t="s">
        <v>63</v>
      </c>
      <c r="B40" s="568"/>
      <c r="C40" s="566"/>
      <c r="D40" s="567"/>
    </row>
    <row r="41" spans="1:4" x14ac:dyDescent="0.25">
      <c r="A41" s="31"/>
      <c r="B41" s="560"/>
      <c r="C41" s="560"/>
      <c r="D41" s="560"/>
    </row>
    <row r="44" spans="1:4" ht="20.25" customHeight="1" x14ac:dyDescent="0.25">
      <c r="A44" s="21" t="s">
        <v>64</v>
      </c>
    </row>
    <row r="45" spans="1:4" x14ac:dyDescent="0.25">
      <c r="A45" s="78" t="s">
        <v>65</v>
      </c>
      <c r="B45" s="81">
        <f>1.0778*1.0599</f>
        <v>1.1423602200000003</v>
      </c>
      <c r="C45" s="79" t="s">
        <v>66</v>
      </c>
    </row>
    <row r="46" spans="1:4" x14ac:dyDescent="0.25">
      <c r="A46" s="15" t="s">
        <v>67</v>
      </c>
      <c r="B46" s="82">
        <v>1.06</v>
      </c>
      <c r="C46" s="19" t="s">
        <v>66</v>
      </c>
    </row>
    <row r="47" spans="1:4" x14ac:dyDescent="0.25">
      <c r="A47" s="15" t="s">
        <v>68</v>
      </c>
      <c r="B47" s="82">
        <v>0.88346756283365324</v>
      </c>
      <c r="C47" s="15" t="s">
        <v>69</v>
      </c>
    </row>
    <row r="48" spans="1:4" x14ac:dyDescent="0.25">
      <c r="A48" s="15" t="s">
        <v>69</v>
      </c>
      <c r="B48" s="82">
        <v>1.1234</v>
      </c>
      <c r="C48" s="15" t="s">
        <v>67</v>
      </c>
    </row>
    <row r="49" spans="1:3" x14ac:dyDescent="0.25">
      <c r="A49" s="15" t="s">
        <v>70</v>
      </c>
      <c r="B49" s="82">
        <v>1.29</v>
      </c>
      <c r="C49" s="15" t="s">
        <v>71</v>
      </c>
    </row>
    <row r="50" spans="1:3" x14ac:dyDescent="0.25">
      <c r="A50" s="15" t="s">
        <v>65</v>
      </c>
      <c r="B50" s="82">
        <v>1.05</v>
      </c>
      <c r="C50" s="15" t="s">
        <v>69</v>
      </c>
    </row>
    <row r="51" spans="1:3" x14ac:dyDescent="0.25">
      <c r="A51" s="15" t="s">
        <v>72</v>
      </c>
      <c r="B51" s="83">
        <f>60*60*8760*10^-6</f>
        <v>31.535999999999998</v>
      </c>
      <c r="C51" s="19" t="s">
        <v>73</v>
      </c>
    </row>
    <row r="52" spans="1:3" x14ac:dyDescent="0.25">
      <c r="A52" s="71" t="s">
        <v>74</v>
      </c>
      <c r="B52" s="84">
        <f>120*10^-3</f>
        <v>0.12</v>
      </c>
      <c r="C52" s="80" t="s">
        <v>75</v>
      </c>
    </row>
    <row r="53" spans="1:3" ht="20.25" customHeight="1" x14ac:dyDescent="0.25"/>
    <row r="54" spans="1:3" ht="20.25" customHeight="1" x14ac:dyDescent="0.25">
      <c r="A54" s="30" t="s">
        <v>76</v>
      </c>
      <c r="B54" s="307" t="s">
        <v>77</v>
      </c>
    </row>
    <row r="55" spans="1:3" x14ac:dyDescent="0.25">
      <c r="A55" s="19">
        <v>2005</v>
      </c>
      <c r="B55" s="306">
        <v>89.560532372110202</v>
      </c>
    </row>
    <row r="56" spans="1:3" x14ac:dyDescent="0.25">
      <c r="A56" s="19">
        <v>2006</v>
      </c>
      <c r="B56" s="306">
        <v>92.449705082727405</v>
      </c>
    </row>
    <row r="57" spans="1:3" x14ac:dyDescent="0.25">
      <c r="A57" s="19">
        <v>2007</v>
      </c>
      <c r="B57" s="306">
        <v>95.086992378851505</v>
      </c>
    </row>
    <row r="58" spans="1:3" x14ac:dyDescent="0.25">
      <c r="A58" s="19">
        <v>2008</v>
      </c>
      <c r="B58" s="306">
        <v>98.737477385344505</v>
      </c>
    </row>
    <row r="59" spans="1:3" x14ac:dyDescent="0.25">
      <c r="A59" s="19">
        <v>2009</v>
      </c>
      <c r="B59" s="306">
        <v>98.386419971062395</v>
      </c>
    </row>
    <row r="60" spans="1:3" x14ac:dyDescent="0.25">
      <c r="A60" s="19">
        <v>2010</v>
      </c>
      <c r="B60" s="306">
        <v>100</v>
      </c>
    </row>
    <row r="61" spans="1:3" x14ac:dyDescent="0.25">
      <c r="A61" s="19">
        <v>2011</v>
      </c>
      <c r="B61" s="306">
        <v>103.156841568622</v>
      </c>
    </row>
    <row r="62" spans="1:3" x14ac:dyDescent="0.25">
      <c r="A62" s="19">
        <v>2012</v>
      </c>
      <c r="B62" s="306">
        <v>105.29150453286699</v>
      </c>
    </row>
    <row r="63" spans="1:3" x14ac:dyDescent="0.25">
      <c r="A63" s="19">
        <v>2013</v>
      </c>
      <c r="B63" s="306">
        <v>106.83384887486601</v>
      </c>
    </row>
    <row r="64" spans="1:3" x14ac:dyDescent="0.25">
      <c r="A64" s="19">
        <v>2014</v>
      </c>
      <c r="B64" s="306">
        <v>108.566932118964</v>
      </c>
    </row>
    <row r="65" spans="1:4" x14ac:dyDescent="0.25">
      <c r="A65" s="19">
        <v>2015</v>
      </c>
      <c r="B65" s="306">
        <v>108.695721960694</v>
      </c>
    </row>
    <row r="66" spans="1:4" x14ac:dyDescent="0.25">
      <c r="A66" s="19">
        <v>2016</v>
      </c>
      <c r="B66" s="306">
        <v>110.06700893427001</v>
      </c>
    </row>
    <row r="67" spans="1:4" x14ac:dyDescent="0.25">
      <c r="A67" s="19">
        <v>2017</v>
      </c>
      <c r="B67" s="306">
        <v>112.411557302308</v>
      </c>
    </row>
    <row r="68" spans="1:4" x14ac:dyDescent="0.25">
      <c r="A68" s="19">
        <v>2018</v>
      </c>
      <c r="B68" s="306">
        <v>115.15730322479099</v>
      </c>
    </row>
    <row r="69" spans="1:4" x14ac:dyDescent="0.25">
      <c r="A69" s="19">
        <v>2019</v>
      </c>
      <c r="B69" s="306">
        <v>117.244195476228</v>
      </c>
    </row>
    <row r="70" spans="1:4" x14ac:dyDescent="0.25">
      <c r="A70" s="19">
        <v>2020</v>
      </c>
      <c r="B70" s="306">
        <v>118.69050157719801</v>
      </c>
    </row>
    <row r="71" spans="1:4" x14ac:dyDescent="0.25">
      <c r="A71" s="19">
        <v>2021</v>
      </c>
      <c r="B71" s="306">
        <v>124.266413825838</v>
      </c>
    </row>
    <row r="72" spans="1:4" x14ac:dyDescent="0.25">
      <c r="A72" s="19">
        <v>2022</v>
      </c>
      <c r="B72" s="306">
        <v>134.21120616846</v>
      </c>
    </row>
    <row r="73" spans="1:4" x14ac:dyDescent="0.25">
      <c r="A73" s="19">
        <v>2023</v>
      </c>
      <c r="B73" s="306">
        <v>139.73579356325999</v>
      </c>
    </row>
    <row r="74" spans="1:4" ht="20.25" customHeight="1" x14ac:dyDescent="0.25">
      <c r="A74" s="19"/>
      <c r="B74" s="19"/>
    </row>
    <row r="75" spans="1:4" ht="20.25" customHeight="1" x14ac:dyDescent="0.25"/>
    <row r="76" spans="1:4" ht="20.25" customHeight="1" x14ac:dyDescent="0.25">
      <c r="A76" s="21" t="s">
        <v>78</v>
      </c>
      <c r="B76" s="146" t="s">
        <v>79</v>
      </c>
    </row>
    <row r="77" spans="1:4" x14ac:dyDescent="0.25">
      <c r="A77" s="70" t="s">
        <v>80</v>
      </c>
      <c r="B77" s="85">
        <v>56</v>
      </c>
      <c r="C77" s="78" t="s">
        <v>81</v>
      </c>
      <c r="D77" s="202"/>
    </row>
    <row r="78" spans="1:4" x14ac:dyDescent="0.25">
      <c r="A78" s="47" t="s">
        <v>82</v>
      </c>
      <c r="B78" s="86">
        <v>96</v>
      </c>
      <c r="C78" s="71" t="s">
        <v>81</v>
      </c>
      <c r="D78" s="202"/>
    </row>
    <row r="80" spans="1:4" ht="21" x14ac:dyDescent="0.25">
      <c r="A80" s="21" t="s">
        <v>83</v>
      </c>
    </row>
    <row r="81" spans="1:4" ht="15.75" thickBot="1" x14ac:dyDescent="0.3">
      <c r="A81" s="29" t="s">
        <v>84</v>
      </c>
      <c r="B81" s="29" t="s">
        <v>85</v>
      </c>
      <c r="C81" s="29" t="s">
        <v>86</v>
      </c>
      <c r="D81" s="29"/>
    </row>
    <row r="82" spans="1:4" x14ac:dyDescent="0.25">
      <c r="A82" s="668" t="s">
        <v>87</v>
      </c>
      <c r="B82" s="668"/>
      <c r="C82" s="668"/>
      <c r="D82" s="668"/>
    </row>
    <row r="83" spans="1:4" ht="15.75" x14ac:dyDescent="0.25">
      <c r="A83" s="39" t="s">
        <v>88</v>
      </c>
      <c r="B83" s="39" t="s">
        <v>89</v>
      </c>
      <c r="C83" s="667"/>
      <c r="D83" s="667"/>
    </row>
    <row r="84" spans="1:4" ht="15.75" x14ac:dyDescent="0.25">
      <c r="A84" s="96" t="s">
        <v>90</v>
      </c>
      <c r="B84" s="39" t="s">
        <v>91</v>
      </c>
      <c r="C84" s="667"/>
      <c r="D84" s="667"/>
    </row>
    <row r="85" spans="1:4" ht="15.75" x14ac:dyDescent="0.25">
      <c r="A85" s="96" t="s">
        <v>92</v>
      </c>
      <c r="B85" s="39" t="s">
        <v>93</v>
      </c>
      <c r="C85" s="667"/>
      <c r="D85" s="667"/>
    </row>
    <row r="86" spans="1:4" ht="15.75" x14ac:dyDescent="0.25">
      <c r="A86" s="96" t="s">
        <v>94</v>
      </c>
      <c r="B86" s="39" t="s">
        <v>95</v>
      </c>
      <c r="C86" s="667"/>
      <c r="D86" s="667"/>
    </row>
    <row r="87" spans="1:4" ht="15.75" x14ac:dyDescent="0.25">
      <c r="A87" s="96" t="s">
        <v>96</v>
      </c>
      <c r="B87" s="39" t="s">
        <v>97</v>
      </c>
      <c r="C87" s="667"/>
      <c r="D87" s="667"/>
    </row>
    <row r="88" spans="1:4" ht="15.75" x14ac:dyDescent="0.25">
      <c r="A88" s="97" t="s">
        <v>98</v>
      </c>
      <c r="B88" s="40" t="s">
        <v>99</v>
      </c>
      <c r="C88" s="670"/>
      <c r="D88" s="670"/>
    </row>
    <row r="89" spans="1:4" ht="15.75" x14ac:dyDescent="0.25">
      <c r="A89" s="96" t="s">
        <v>100</v>
      </c>
      <c r="B89" s="39" t="s">
        <v>101</v>
      </c>
      <c r="C89" s="670"/>
      <c r="D89" s="670"/>
    </row>
    <row r="90" spans="1:4" x14ac:dyDescent="0.25">
      <c r="A90" s="668" t="s">
        <v>102</v>
      </c>
      <c r="B90" s="668"/>
      <c r="C90" s="668"/>
      <c r="D90" s="668"/>
    </row>
    <row r="91" spans="1:4" ht="15.75" x14ac:dyDescent="0.25">
      <c r="A91" s="41" t="s">
        <v>103</v>
      </c>
      <c r="B91" s="39" t="s">
        <v>104</v>
      </c>
      <c r="C91" s="667"/>
      <c r="D91" s="667"/>
    </row>
    <row r="92" spans="1:4" ht="15.75" x14ac:dyDescent="0.25">
      <c r="A92" s="41" t="s">
        <v>105</v>
      </c>
      <c r="B92" s="39" t="s">
        <v>106</v>
      </c>
      <c r="C92" s="667"/>
      <c r="D92" s="667"/>
    </row>
    <row r="93" spans="1:4" ht="15.75" x14ac:dyDescent="0.25">
      <c r="A93" s="41" t="s">
        <v>107</v>
      </c>
      <c r="B93" s="39" t="s">
        <v>108</v>
      </c>
      <c r="C93" s="667"/>
      <c r="D93" s="667"/>
    </row>
    <row r="94" spans="1:4" ht="15.75" x14ac:dyDescent="0.25">
      <c r="A94" s="41" t="s">
        <v>109</v>
      </c>
      <c r="B94" s="39" t="s">
        <v>110</v>
      </c>
      <c r="C94" s="667"/>
      <c r="D94" s="667"/>
    </row>
    <row r="95" spans="1:4" x14ac:dyDescent="0.25">
      <c r="A95" s="668" t="s">
        <v>111</v>
      </c>
      <c r="B95" s="668"/>
      <c r="C95" s="668"/>
      <c r="D95" s="668"/>
    </row>
    <row r="96" spans="1:4" x14ac:dyDescent="0.25">
      <c r="A96" s="25" t="s">
        <v>112</v>
      </c>
      <c r="B96" s="25" t="s">
        <v>113</v>
      </c>
      <c r="C96" s="656"/>
      <c r="D96" s="657"/>
    </row>
    <row r="97" spans="1:4" x14ac:dyDescent="0.25">
      <c r="A97" s="25" t="s">
        <v>114</v>
      </c>
      <c r="B97" s="25" t="s">
        <v>115</v>
      </c>
      <c r="C97" s="669"/>
      <c r="D97" s="669"/>
    </row>
    <row r="98" spans="1:4" x14ac:dyDescent="0.25">
      <c r="A98" s="25" t="s">
        <v>116</v>
      </c>
      <c r="B98" s="25" t="s">
        <v>117</v>
      </c>
      <c r="C98" s="669"/>
      <c r="D98" s="669"/>
    </row>
    <row r="99" spans="1:4" x14ac:dyDescent="0.25">
      <c r="A99" s="25" t="s">
        <v>118</v>
      </c>
      <c r="B99" s="25" t="s">
        <v>119</v>
      </c>
      <c r="C99" s="669"/>
      <c r="D99" s="669"/>
    </row>
    <row r="100" spans="1:4" x14ac:dyDescent="0.25">
      <c r="A100" s="25" t="s">
        <v>82</v>
      </c>
      <c r="B100" s="25" t="s">
        <v>120</v>
      </c>
      <c r="C100" s="669"/>
      <c r="D100" s="669"/>
    </row>
    <row r="101" spans="1:4" x14ac:dyDescent="0.25">
      <c r="A101" s="25" t="s">
        <v>121</v>
      </c>
      <c r="B101" s="25" t="s">
        <v>122</v>
      </c>
      <c r="C101" s="669"/>
      <c r="D101" s="669"/>
    </row>
    <row r="102" spans="1:4" x14ac:dyDescent="0.25">
      <c r="A102" s="25" t="s">
        <v>123</v>
      </c>
      <c r="B102" s="25" t="s">
        <v>124</v>
      </c>
      <c r="C102" s="669"/>
      <c r="D102" s="669"/>
    </row>
    <row r="103" spans="1:4" x14ac:dyDescent="0.25">
      <c r="A103" s="25" t="s">
        <v>125</v>
      </c>
      <c r="B103" s="25" t="s">
        <v>126</v>
      </c>
      <c r="C103" s="555"/>
      <c r="D103" s="556"/>
    </row>
    <row r="104" spans="1:4" x14ac:dyDescent="0.25">
      <c r="A104" s="25" t="s">
        <v>127</v>
      </c>
      <c r="B104" s="25" t="s">
        <v>128</v>
      </c>
      <c r="C104" s="676"/>
      <c r="D104" s="677"/>
    </row>
    <row r="105" spans="1:4" x14ac:dyDescent="0.25">
      <c r="A105" s="25" t="s">
        <v>129</v>
      </c>
      <c r="B105" s="25" t="s">
        <v>130</v>
      </c>
      <c r="C105" s="669"/>
      <c r="D105" s="669"/>
    </row>
    <row r="106" spans="1:4" x14ac:dyDescent="0.25">
      <c r="A106" s="25" t="s">
        <v>131</v>
      </c>
      <c r="B106" s="25" t="s">
        <v>132</v>
      </c>
      <c r="C106" s="674"/>
      <c r="D106" s="675"/>
    </row>
    <row r="107" spans="1:4" x14ac:dyDescent="0.25">
      <c r="A107" s="25" t="s">
        <v>133</v>
      </c>
      <c r="B107" s="25" t="s">
        <v>134</v>
      </c>
      <c r="C107" s="674"/>
      <c r="D107" s="675"/>
    </row>
    <row r="108" spans="1:4" x14ac:dyDescent="0.25">
      <c r="A108" s="25" t="s">
        <v>135</v>
      </c>
      <c r="B108" s="25" t="s">
        <v>1701</v>
      </c>
      <c r="C108" s="674"/>
      <c r="D108" s="675"/>
    </row>
    <row r="109" spans="1:4" x14ac:dyDescent="0.25">
      <c r="A109" s="25" t="s">
        <v>136</v>
      </c>
      <c r="B109" s="25" t="s">
        <v>137</v>
      </c>
      <c r="C109" s="72"/>
      <c r="D109" s="73"/>
    </row>
    <row r="110" spans="1:4" x14ac:dyDescent="0.25">
      <c r="A110" s="25" t="s">
        <v>138</v>
      </c>
      <c r="B110" s="25" t="s">
        <v>139</v>
      </c>
      <c r="C110" s="72"/>
      <c r="D110" s="73"/>
    </row>
    <row r="111" spans="1:4" x14ac:dyDescent="0.25">
      <c r="A111" s="34" t="s">
        <v>140</v>
      </c>
      <c r="B111" s="34" t="s">
        <v>141</v>
      </c>
      <c r="C111" s="72" t="s">
        <v>142</v>
      </c>
      <c r="D111" s="73"/>
    </row>
    <row r="112" spans="1:4" x14ac:dyDescent="0.25">
      <c r="A112" s="34" t="s">
        <v>143</v>
      </c>
      <c r="B112" s="34" t="s">
        <v>144</v>
      </c>
      <c r="C112" s="72"/>
      <c r="D112" s="73"/>
    </row>
    <row r="113" spans="1:9" x14ac:dyDescent="0.25">
      <c r="D113" s="73"/>
    </row>
    <row r="114" spans="1:9" x14ac:dyDescent="0.25">
      <c r="A114" s="668" t="s">
        <v>145</v>
      </c>
      <c r="B114" s="668"/>
      <c r="C114" s="668"/>
      <c r="D114" s="668"/>
    </row>
    <row r="115" spans="1:9" ht="15" customHeight="1" x14ac:dyDescent="0.25">
      <c r="A115" s="25" t="s">
        <v>146</v>
      </c>
      <c r="B115" s="25" t="s">
        <v>147</v>
      </c>
      <c r="C115" s="669" t="s">
        <v>148</v>
      </c>
      <c r="D115" s="669"/>
    </row>
    <row r="116" spans="1:9" ht="18" x14ac:dyDescent="0.25">
      <c r="A116" s="25" t="s">
        <v>149</v>
      </c>
      <c r="B116" s="25" t="s">
        <v>150</v>
      </c>
      <c r="C116" s="656" t="s">
        <v>151</v>
      </c>
      <c r="D116" s="657"/>
    </row>
    <row r="117" spans="1:9" ht="15" customHeight="1" x14ac:dyDescent="0.25">
      <c r="A117" s="25" t="s">
        <v>152</v>
      </c>
      <c r="B117" s="25" t="s">
        <v>153</v>
      </c>
      <c r="C117" s="656" t="s">
        <v>154</v>
      </c>
      <c r="D117" s="657"/>
    </row>
    <row r="118" spans="1:9" ht="18" x14ac:dyDescent="0.25">
      <c r="A118" s="25" t="s">
        <v>155</v>
      </c>
      <c r="B118" s="25" t="s">
        <v>156</v>
      </c>
      <c r="C118" s="656" t="s">
        <v>157</v>
      </c>
      <c r="D118" s="657"/>
    </row>
    <row r="119" spans="1:9" ht="18" x14ac:dyDescent="0.25">
      <c r="A119" s="58" t="s">
        <v>158</v>
      </c>
      <c r="B119" s="25" t="s">
        <v>159</v>
      </c>
      <c r="C119" s="656" t="s">
        <v>151</v>
      </c>
      <c r="D119" s="657"/>
    </row>
    <row r="120" spans="1:9" ht="18" x14ac:dyDescent="0.25">
      <c r="A120" s="58" t="s">
        <v>158</v>
      </c>
      <c r="B120" s="25" t="s">
        <v>1640</v>
      </c>
      <c r="C120" s="656" t="s">
        <v>1641</v>
      </c>
      <c r="D120" s="657"/>
    </row>
    <row r="122" spans="1:9" ht="15" customHeight="1" x14ac:dyDescent="0.25"/>
    <row r="123" spans="1:9" ht="18.75" x14ac:dyDescent="0.25">
      <c r="A123" s="10" t="s">
        <v>160</v>
      </c>
      <c r="B123" s="9"/>
      <c r="C123" s="9"/>
      <c r="D123" s="87"/>
    </row>
    <row r="124" spans="1:9" ht="15.75" thickBot="1" x14ac:dyDescent="0.3">
      <c r="A124" s="35" t="s">
        <v>160</v>
      </c>
      <c r="B124" s="35" t="s">
        <v>26</v>
      </c>
      <c r="C124" s="35" t="s">
        <v>161</v>
      </c>
      <c r="D124" s="35"/>
      <c r="F124" s="150"/>
      <c r="G124" s="150"/>
      <c r="H124" s="150"/>
      <c r="I124" s="150"/>
    </row>
    <row r="125" spans="1:9" x14ac:dyDescent="0.25">
      <c r="A125" s="7" t="s">
        <v>162</v>
      </c>
      <c r="B125" s="36" t="s">
        <v>163</v>
      </c>
      <c r="C125" s="661"/>
      <c r="D125" s="661"/>
      <c r="F125" s="150"/>
      <c r="G125" s="150"/>
      <c r="H125" s="150"/>
      <c r="I125" s="150"/>
    </row>
    <row r="126" spans="1:9" x14ac:dyDescent="0.25">
      <c r="A126" s="7" t="s">
        <v>164</v>
      </c>
      <c r="B126" s="37" t="s">
        <v>165</v>
      </c>
      <c r="C126" s="660"/>
      <c r="D126" s="660"/>
      <c r="F126" s="150"/>
      <c r="G126" s="150"/>
      <c r="H126" s="150"/>
      <c r="I126" s="150"/>
    </row>
    <row r="127" spans="1:9" x14ac:dyDescent="0.25">
      <c r="A127" s="7" t="s">
        <v>166</v>
      </c>
      <c r="B127" s="38" t="s">
        <v>167</v>
      </c>
      <c r="C127" s="659"/>
      <c r="D127" s="659"/>
      <c r="F127" s="150"/>
      <c r="G127" s="150"/>
      <c r="H127" s="150"/>
      <c r="I127" s="150"/>
    </row>
    <row r="128" spans="1:9" x14ac:dyDescent="0.25">
      <c r="A128" s="7" t="s">
        <v>168</v>
      </c>
      <c r="B128" s="37" t="s">
        <v>169</v>
      </c>
      <c r="C128" s="659"/>
      <c r="D128" s="659"/>
      <c r="F128" s="150"/>
      <c r="G128" s="150"/>
      <c r="H128" s="150"/>
      <c r="I128" s="150"/>
    </row>
    <row r="129" spans="1:9" x14ac:dyDescent="0.25">
      <c r="A129" s="7" t="s">
        <v>170</v>
      </c>
      <c r="B129" s="38" t="s">
        <v>171</v>
      </c>
      <c r="C129" s="659" t="s">
        <v>172</v>
      </c>
      <c r="D129" s="659"/>
      <c r="F129" s="150"/>
      <c r="G129" s="150"/>
      <c r="H129" s="150"/>
      <c r="I129" s="150"/>
    </row>
    <row r="130" spans="1:9" x14ac:dyDescent="0.25">
      <c r="A130" s="7" t="s">
        <v>173</v>
      </c>
      <c r="B130" s="37" t="s">
        <v>174</v>
      </c>
      <c r="C130" s="659"/>
      <c r="D130" s="659"/>
      <c r="F130" s="150"/>
      <c r="G130" s="150"/>
      <c r="H130" s="150"/>
      <c r="I130" s="150"/>
    </row>
    <row r="131" spans="1:9" x14ac:dyDescent="0.25">
      <c r="A131" s="6" t="s">
        <v>175</v>
      </c>
      <c r="B131" s="37" t="s">
        <v>176</v>
      </c>
      <c r="C131" s="659"/>
      <c r="D131" s="659"/>
      <c r="F131" s="150"/>
      <c r="G131" s="150"/>
      <c r="H131" s="150"/>
      <c r="I131" s="150"/>
    </row>
    <row r="132" spans="1:9" x14ac:dyDescent="0.25">
      <c r="A132" s="7" t="s">
        <v>177</v>
      </c>
      <c r="B132" s="37" t="s">
        <v>178</v>
      </c>
      <c r="C132" s="659"/>
      <c r="D132" s="659"/>
      <c r="F132" s="150"/>
      <c r="G132" s="150"/>
      <c r="H132" s="150"/>
      <c r="I132" s="150"/>
    </row>
    <row r="133" spans="1:9" x14ac:dyDescent="0.25">
      <c r="A133" s="7" t="s">
        <v>179</v>
      </c>
      <c r="B133" s="38" t="s">
        <v>180</v>
      </c>
      <c r="C133" s="659" t="s">
        <v>180</v>
      </c>
      <c r="D133" s="659"/>
      <c r="F133" s="150"/>
      <c r="G133" s="150"/>
      <c r="H133" s="150"/>
      <c r="I133" s="150"/>
    </row>
    <row r="134" spans="1:9" ht="15" customHeight="1" x14ac:dyDescent="0.25">
      <c r="A134" s="7" t="s">
        <v>181</v>
      </c>
      <c r="B134" s="38" t="s">
        <v>182</v>
      </c>
      <c r="C134" s="659" t="s">
        <v>182</v>
      </c>
      <c r="D134" s="659"/>
      <c r="F134" s="150"/>
      <c r="G134" s="150"/>
      <c r="H134" s="150"/>
      <c r="I134" s="150"/>
    </row>
    <row r="135" spans="1:9" x14ac:dyDescent="0.25">
      <c r="A135" s="7" t="s">
        <v>183</v>
      </c>
      <c r="B135" s="37" t="s">
        <v>184</v>
      </c>
      <c r="C135" s="37" t="s">
        <v>184</v>
      </c>
      <c r="F135" s="150"/>
      <c r="G135" s="150"/>
      <c r="H135" s="150"/>
      <c r="I135" s="150"/>
    </row>
    <row r="136" spans="1:9" x14ac:dyDescent="0.25">
      <c r="A136" s="7" t="s">
        <v>185</v>
      </c>
      <c r="B136" s="37" t="s">
        <v>186</v>
      </c>
      <c r="C136" s="659" t="s">
        <v>187</v>
      </c>
      <c r="D136" s="659"/>
      <c r="F136" s="150"/>
      <c r="G136" s="150"/>
      <c r="H136" s="150"/>
      <c r="I136" s="150"/>
    </row>
    <row r="137" spans="1:9" x14ac:dyDescent="0.25">
      <c r="A137" s="7" t="s">
        <v>188</v>
      </c>
      <c r="B137" s="38" t="s">
        <v>189</v>
      </c>
      <c r="F137" s="150"/>
      <c r="G137" s="150"/>
      <c r="H137" s="150"/>
      <c r="I137" s="150"/>
    </row>
    <row r="138" spans="1:9" x14ac:dyDescent="0.25">
      <c r="A138" s="7" t="s">
        <v>190</v>
      </c>
      <c r="B138" s="38" t="s">
        <v>191</v>
      </c>
      <c r="C138" s="659"/>
      <c r="D138" s="659"/>
      <c r="F138" s="150"/>
      <c r="G138" s="150"/>
      <c r="H138" s="150"/>
      <c r="I138" s="150"/>
    </row>
    <row r="139" spans="1:9" x14ac:dyDescent="0.25">
      <c r="A139" s="7" t="s">
        <v>192</v>
      </c>
      <c r="B139" s="37" t="s">
        <v>193</v>
      </c>
      <c r="C139" s="659"/>
      <c r="D139" s="659"/>
      <c r="F139" s="150"/>
      <c r="G139" s="150"/>
      <c r="H139" s="150"/>
      <c r="I139" s="150"/>
    </row>
    <row r="140" spans="1:9" x14ac:dyDescent="0.25">
      <c r="A140" s="7" t="s">
        <v>194</v>
      </c>
      <c r="B140" s="38" t="s">
        <v>195</v>
      </c>
      <c r="C140" s="659"/>
      <c r="D140" s="659"/>
      <c r="F140" s="150"/>
      <c r="G140" s="150"/>
      <c r="H140" s="150"/>
      <c r="I140" s="150"/>
    </row>
    <row r="141" spans="1:9" x14ac:dyDescent="0.25">
      <c r="A141" s="6" t="s">
        <v>196</v>
      </c>
      <c r="B141" s="38" t="s">
        <v>197</v>
      </c>
      <c r="C141" s="659"/>
      <c r="D141" s="659"/>
      <c r="F141" s="150"/>
      <c r="G141" s="150"/>
      <c r="H141" s="150"/>
      <c r="I141" s="150"/>
    </row>
    <row r="142" spans="1:9" ht="30" x14ac:dyDescent="0.25">
      <c r="A142" s="7" t="s">
        <v>198</v>
      </c>
      <c r="B142" s="38" t="s">
        <v>199</v>
      </c>
      <c r="C142" s="659" t="s">
        <v>199</v>
      </c>
      <c r="D142" s="659"/>
      <c r="F142" s="150"/>
      <c r="G142" s="150"/>
      <c r="H142" s="150"/>
      <c r="I142" s="150"/>
    </row>
    <row r="143" spans="1:9" x14ac:dyDescent="0.25">
      <c r="A143" s="7" t="s">
        <v>9</v>
      </c>
      <c r="B143" s="37" t="s">
        <v>200</v>
      </c>
      <c r="C143" s="659" t="s">
        <v>200</v>
      </c>
      <c r="D143" s="659"/>
      <c r="F143" s="150"/>
      <c r="G143" s="150"/>
      <c r="H143" s="150"/>
      <c r="I143" s="150"/>
    </row>
    <row r="144" spans="1:9" x14ac:dyDescent="0.25">
      <c r="A144" s="7" t="s">
        <v>201</v>
      </c>
      <c r="B144" s="38" t="s">
        <v>202</v>
      </c>
      <c r="C144" s="660" t="s">
        <v>202</v>
      </c>
      <c r="D144" s="660"/>
      <c r="F144" s="150"/>
      <c r="G144" s="150"/>
      <c r="H144" s="150"/>
      <c r="I144" s="150"/>
    </row>
    <row r="145" spans="1:9" x14ac:dyDescent="0.25">
      <c r="A145" s="7" t="s">
        <v>203</v>
      </c>
      <c r="B145" s="37" t="s">
        <v>204</v>
      </c>
      <c r="C145" s="659"/>
      <c r="D145" s="659"/>
      <c r="F145" s="150"/>
      <c r="G145" s="150"/>
      <c r="H145" s="150"/>
      <c r="I145" s="150"/>
    </row>
    <row r="146" spans="1:9" x14ac:dyDescent="0.25">
      <c r="A146" s="6" t="s">
        <v>205</v>
      </c>
      <c r="B146" s="36" t="s">
        <v>206</v>
      </c>
      <c r="F146" s="150"/>
      <c r="G146" s="150"/>
      <c r="H146" s="150"/>
      <c r="I146" s="150"/>
    </row>
    <row r="147" spans="1:9" x14ac:dyDescent="0.25">
      <c r="A147" s="7" t="s">
        <v>207</v>
      </c>
      <c r="B147" s="15" t="s">
        <v>208</v>
      </c>
      <c r="C147" s="659" t="s">
        <v>209</v>
      </c>
      <c r="D147" s="659"/>
      <c r="F147" s="150"/>
      <c r="G147" s="150"/>
      <c r="H147" s="150"/>
      <c r="I147" s="150"/>
    </row>
    <row r="148" spans="1:9" x14ac:dyDescent="0.25">
      <c r="A148" s="30" t="s">
        <v>210</v>
      </c>
      <c r="B148" s="15" t="s">
        <v>211</v>
      </c>
      <c r="C148" s="658" t="s">
        <v>211</v>
      </c>
      <c r="D148" s="658"/>
      <c r="F148" s="150"/>
      <c r="G148" s="150"/>
      <c r="H148" s="150"/>
      <c r="I148" s="150"/>
    </row>
    <row r="149" spans="1:9" x14ac:dyDescent="0.25">
      <c r="A149" s="30" t="s">
        <v>212</v>
      </c>
      <c r="B149" s="15" t="s">
        <v>213</v>
      </c>
      <c r="C149" s="15" t="s">
        <v>213</v>
      </c>
      <c r="F149" s="150"/>
      <c r="G149" s="150"/>
      <c r="H149" s="150"/>
      <c r="I149" s="150"/>
    </row>
    <row r="150" spans="1:9" x14ac:dyDescent="0.25">
      <c r="A150" s="30" t="s">
        <v>214</v>
      </c>
      <c r="B150" s="15" t="s">
        <v>215</v>
      </c>
      <c r="C150" s="658" t="s">
        <v>216</v>
      </c>
      <c r="D150" s="658"/>
      <c r="F150" s="150"/>
      <c r="G150" s="150"/>
      <c r="H150" s="150"/>
      <c r="I150" s="150"/>
    </row>
    <row r="151" spans="1:9" x14ac:dyDescent="0.25">
      <c r="A151" s="30" t="s">
        <v>217</v>
      </c>
      <c r="B151" s="15" t="s">
        <v>218</v>
      </c>
      <c r="C151" s="15" t="s">
        <v>218</v>
      </c>
      <c r="F151" s="150"/>
      <c r="G151" s="150"/>
      <c r="H151" s="150"/>
      <c r="I151" s="150"/>
    </row>
    <row r="152" spans="1:9" x14ac:dyDescent="0.25">
      <c r="A152" s="30" t="s">
        <v>219</v>
      </c>
      <c r="B152" s="15" t="s">
        <v>220</v>
      </c>
      <c r="C152" s="658" t="s">
        <v>220</v>
      </c>
      <c r="D152" s="658"/>
      <c r="F152" s="150"/>
      <c r="G152" s="150"/>
      <c r="H152" s="150"/>
      <c r="I152" s="150"/>
    </row>
    <row r="155" spans="1:9" ht="21" x14ac:dyDescent="0.25">
      <c r="A155" s="21" t="s">
        <v>221</v>
      </c>
    </row>
    <row r="156" spans="1:9" x14ac:dyDescent="0.25">
      <c r="A156" s="548" t="s">
        <v>222</v>
      </c>
      <c r="B156" s="548" t="s">
        <v>223</v>
      </c>
      <c r="C156" s="548" t="s">
        <v>224</v>
      </c>
      <c r="D156" s="548" t="s">
        <v>225</v>
      </c>
      <c r="E156" s="548" t="s">
        <v>226</v>
      </c>
    </row>
    <row r="157" spans="1:9" ht="60" x14ac:dyDescent="0.25">
      <c r="A157" s="549" t="s">
        <v>227</v>
      </c>
      <c r="B157" s="550" t="s">
        <v>228</v>
      </c>
      <c r="C157" s="551" t="s">
        <v>229</v>
      </c>
      <c r="D157" s="552" t="s">
        <v>230</v>
      </c>
      <c r="E157" s="551" t="s">
        <v>231</v>
      </c>
    </row>
    <row r="158" spans="1:9" ht="90" x14ac:dyDescent="0.25">
      <c r="A158" s="549" t="s">
        <v>232</v>
      </c>
      <c r="B158" s="550" t="s">
        <v>233</v>
      </c>
      <c r="C158" s="553" t="s">
        <v>234</v>
      </c>
      <c r="D158" s="552" t="s">
        <v>230</v>
      </c>
      <c r="E158" s="551" t="s">
        <v>235</v>
      </c>
    </row>
    <row r="159" spans="1:9" ht="75" x14ac:dyDescent="0.25">
      <c r="A159" s="549" t="s">
        <v>236</v>
      </c>
      <c r="B159" s="550" t="s">
        <v>237</v>
      </c>
      <c r="C159" s="553" t="s">
        <v>238</v>
      </c>
      <c r="D159" s="552" t="s">
        <v>230</v>
      </c>
      <c r="E159" s="551" t="s">
        <v>239</v>
      </c>
    </row>
    <row r="160" spans="1:9" ht="60" x14ac:dyDescent="0.25">
      <c r="A160" s="549" t="s">
        <v>240</v>
      </c>
      <c r="B160" s="549" t="s">
        <v>241</v>
      </c>
      <c r="C160" s="549" t="s">
        <v>242</v>
      </c>
      <c r="D160" s="549" t="s">
        <v>230</v>
      </c>
      <c r="E160" s="551" t="s">
        <v>243</v>
      </c>
    </row>
    <row r="161" spans="1:5" ht="45" x14ac:dyDescent="0.25">
      <c r="A161" s="549" t="s">
        <v>244</v>
      </c>
      <c r="B161" s="549" t="s">
        <v>245</v>
      </c>
      <c r="C161" s="549" t="s">
        <v>246</v>
      </c>
      <c r="D161" s="549" t="s">
        <v>230</v>
      </c>
      <c r="E161" s="551" t="s">
        <v>247</v>
      </c>
    </row>
    <row r="162" spans="1:5" ht="30" x14ac:dyDescent="0.25">
      <c r="A162" s="549" t="s">
        <v>248</v>
      </c>
      <c r="B162" s="549" t="s">
        <v>249</v>
      </c>
      <c r="C162" s="549" t="s">
        <v>250</v>
      </c>
      <c r="D162" s="549" t="s">
        <v>230</v>
      </c>
      <c r="E162" s="551" t="s">
        <v>251</v>
      </c>
    </row>
    <row r="163" spans="1:5" ht="30" x14ac:dyDescent="0.25">
      <c r="A163" s="549" t="s">
        <v>252</v>
      </c>
      <c r="B163" s="549" t="s">
        <v>253</v>
      </c>
      <c r="C163" s="549" t="s">
        <v>254</v>
      </c>
      <c r="D163" s="549" t="s">
        <v>230</v>
      </c>
      <c r="E163" s="551" t="s">
        <v>255</v>
      </c>
    </row>
    <row r="164" spans="1:5" ht="60" x14ac:dyDescent="0.25">
      <c r="A164" s="549" t="s">
        <v>256</v>
      </c>
      <c r="B164" s="549" t="s">
        <v>257</v>
      </c>
      <c r="C164" s="549" t="s">
        <v>258</v>
      </c>
      <c r="D164" s="549" t="s">
        <v>230</v>
      </c>
      <c r="E164" s="551" t="s">
        <v>259</v>
      </c>
    </row>
    <row r="165" spans="1:5" ht="45" x14ac:dyDescent="0.25">
      <c r="A165" s="549" t="s">
        <v>256</v>
      </c>
      <c r="B165" s="549" t="s">
        <v>260</v>
      </c>
      <c r="C165" s="549" t="s">
        <v>261</v>
      </c>
      <c r="D165" s="549" t="s">
        <v>230</v>
      </c>
      <c r="E165" s="551" t="s">
        <v>262</v>
      </c>
    </row>
    <row r="167" spans="1:5" ht="21" x14ac:dyDescent="0.25">
      <c r="A167" s="21" t="s">
        <v>263</v>
      </c>
    </row>
    <row r="168" spans="1:5" x14ac:dyDescent="0.25">
      <c r="A168" s="548" t="s">
        <v>222</v>
      </c>
      <c r="B168" s="548" t="s">
        <v>223</v>
      </c>
      <c r="C168" s="548" t="s">
        <v>224</v>
      </c>
      <c r="D168" s="548" t="s">
        <v>225</v>
      </c>
      <c r="E168" s="548" t="s">
        <v>226</v>
      </c>
    </row>
    <row r="169" spans="1:5" ht="30" x14ac:dyDescent="0.25">
      <c r="A169" s="580" t="s">
        <v>264</v>
      </c>
      <c r="B169" s="580" t="s">
        <v>265</v>
      </c>
      <c r="C169" s="580" t="s">
        <v>266</v>
      </c>
      <c r="D169" s="580" t="s">
        <v>230</v>
      </c>
      <c r="E169" s="307" t="s">
        <v>267</v>
      </c>
    </row>
    <row r="170" spans="1:5" x14ac:dyDescent="0.25">
      <c r="A170" s="580" t="s">
        <v>268</v>
      </c>
      <c r="B170" s="580" t="s">
        <v>269</v>
      </c>
      <c r="C170" s="580" t="s">
        <v>270</v>
      </c>
      <c r="D170" s="580" t="s">
        <v>230</v>
      </c>
      <c r="E170" s="141" t="s">
        <v>271</v>
      </c>
    </row>
    <row r="171" spans="1:5" x14ac:dyDescent="0.25">
      <c r="A171" s="580" t="s">
        <v>272</v>
      </c>
      <c r="B171" s="580" t="s">
        <v>273</v>
      </c>
      <c r="C171" s="580" t="s">
        <v>274</v>
      </c>
      <c r="D171" s="580" t="s">
        <v>230</v>
      </c>
      <c r="E171" s="307" t="s">
        <v>275</v>
      </c>
    </row>
    <row r="172" spans="1:5" x14ac:dyDescent="0.25">
      <c r="A172" s="580" t="s">
        <v>276</v>
      </c>
      <c r="B172" s="580" t="s">
        <v>277</v>
      </c>
      <c r="C172" s="580" t="s">
        <v>278</v>
      </c>
      <c r="D172" s="580" t="s">
        <v>230</v>
      </c>
      <c r="E172" s="307" t="s">
        <v>279</v>
      </c>
    </row>
    <row r="173" spans="1:5" ht="30" x14ac:dyDescent="0.25">
      <c r="A173" s="580" t="s">
        <v>280</v>
      </c>
      <c r="B173" s="580" t="s">
        <v>281</v>
      </c>
      <c r="C173" s="580" t="s">
        <v>282</v>
      </c>
      <c r="D173" s="580" t="s">
        <v>230</v>
      </c>
      <c r="E173" s="307" t="s">
        <v>283</v>
      </c>
    </row>
    <row r="174" spans="1:5" x14ac:dyDescent="0.25">
      <c r="A174" s="579"/>
      <c r="B174" s="579"/>
      <c r="C174" s="579"/>
      <c r="D174" s="579"/>
    </row>
    <row r="175" spans="1:5" x14ac:dyDescent="0.25">
      <c r="A175" s="579"/>
      <c r="B175" s="579"/>
      <c r="C175" s="579"/>
      <c r="D175" s="579"/>
    </row>
    <row r="176" spans="1:5" ht="21" x14ac:dyDescent="0.25">
      <c r="A176" s="21" t="s">
        <v>284</v>
      </c>
    </row>
    <row r="177" spans="1:5" x14ac:dyDescent="0.25">
      <c r="A177" s="548" t="s">
        <v>222</v>
      </c>
      <c r="B177" s="548" t="s">
        <v>223</v>
      </c>
      <c r="C177" s="548" t="s">
        <v>224</v>
      </c>
      <c r="D177" s="548" t="s">
        <v>225</v>
      </c>
      <c r="E177" s="548" t="s">
        <v>226</v>
      </c>
    </row>
    <row r="178" spans="1:5" ht="45" x14ac:dyDescent="0.25">
      <c r="A178" s="578" t="s">
        <v>285</v>
      </c>
      <c r="B178" s="578" t="s">
        <v>286</v>
      </c>
      <c r="C178" s="580" t="s">
        <v>287</v>
      </c>
      <c r="D178" s="578" t="s">
        <v>230</v>
      </c>
      <c r="E178" s="307" t="s">
        <v>288</v>
      </c>
    </row>
    <row r="179" spans="1:5" ht="45" x14ac:dyDescent="0.25">
      <c r="A179" s="580" t="s">
        <v>289</v>
      </c>
      <c r="B179" s="578" t="s">
        <v>290</v>
      </c>
      <c r="C179" s="580" t="s">
        <v>287</v>
      </c>
      <c r="D179" s="578" t="s">
        <v>230</v>
      </c>
      <c r="E179" s="307" t="s">
        <v>288</v>
      </c>
    </row>
    <row r="180" spans="1:5" x14ac:dyDescent="0.25">
      <c r="A180" s="580" t="s">
        <v>268</v>
      </c>
      <c r="B180" s="578" t="s">
        <v>291</v>
      </c>
      <c r="C180" s="580" t="s">
        <v>292</v>
      </c>
      <c r="D180" s="578" t="s">
        <v>293</v>
      </c>
      <c r="E180" s="578" t="s">
        <v>294</v>
      </c>
    </row>
    <row r="181" spans="1:5" ht="30" x14ac:dyDescent="0.25">
      <c r="A181" s="578" t="s">
        <v>295</v>
      </c>
      <c r="B181" s="578" t="s">
        <v>296</v>
      </c>
      <c r="C181" s="578" t="s">
        <v>297</v>
      </c>
      <c r="D181" s="580" t="s">
        <v>298</v>
      </c>
      <c r="E181" s="307" t="s">
        <v>299</v>
      </c>
    </row>
  </sheetData>
  <sortState xmlns:xlrd2="http://schemas.microsoft.com/office/spreadsheetml/2017/richdata2" ref="A96:B108">
    <sortCondition ref="B96:B108"/>
  </sortState>
  <mergeCells count="59">
    <mergeCell ref="A1:D1"/>
    <mergeCell ref="C108:D108"/>
    <mergeCell ref="C118:D118"/>
    <mergeCell ref="C119:D119"/>
    <mergeCell ref="A114:D114"/>
    <mergeCell ref="C115:D115"/>
    <mergeCell ref="C116:D116"/>
    <mergeCell ref="C117:D117"/>
    <mergeCell ref="C102:D102"/>
    <mergeCell ref="C104:D104"/>
    <mergeCell ref="C105:D105"/>
    <mergeCell ref="C106:D106"/>
    <mergeCell ref="C107:D107"/>
    <mergeCell ref="C97:D97"/>
    <mergeCell ref="C98:D98"/>
    <mergeCell ref="C99:D99"/>
    <mergeCell ref="C100:D100"/>
    <mergeCell ref="C101:D101"/>
    <mergeCell ref="A95:D95"/>
    <mergeCell ref="C87:D87"/>
    <mergeCell ref="C88:D88"/>
    <mergeCell ref="C89:D89"/>
    <mergeCell ref="A90:D90"/>
    <mergeCell ref="C91:D91"/>
    <mergeCell ref="C92:D92"/>
    <mergeCell ref="C93:D93"/>
    <mergeCell ref="C94:D94"/>
    <mergeCell ref="B12:D12"/>
    <mergeCell ref="B13:D13"/>
    <mergeCell ref="C86:D86"/>
    <mergeCell ref="A82:D82"/>
    <mergeCell ref="C83:D83"/>
    <mergeCell ref="C84:D84"/>
    <mergeCell ref="C85:D85"/>
    <mergeCell ref="C139:D139"/>
    <mergeCell ref="C130:D130"/>
    <mergeCell ref="C131:D131"/>
    <mergeCell ref="C132:D132"/>
    <mergeCell ref="C125:D125"/>
    <mergeCell ref="C126:D126"/>
    <mergeCell ref="C127:D127"/>
    <mergeCell ref="C128:D128"/>
    <mergeCell ref="C129:D129"/>
    <mergeCell ref="C120:D120"/>
    <mergeCell ref="C96:D96"/>
    <mergeCell ref="C148:D148"/>
    <mergeCell ref="C150:D150"/>
    <mergeCell ref="C152:D152"/>
    <mergeCell ref="C145:D145"/>
    <mergeCell ref="C144:D144"/>
    <mergeCell ref="C147:D147"/>
    <mergeCell ref="C140:D140"/>
    <mergeCell ref="C141:D141"/>
    <mergeCell ref="C142:D142"/>
    <mergeCell ref="C143:D143"/>
    <mergeCell ref="C133:D133"/>
    <mergeCell ref="C134:D134"/>
    <mergeCell ref="C136:D136"/>
    <mergeCell ref="C138:D138"/>
  </mergeCells>
  <hyperlinks>
    <hyperlink ref="B54" r:id="rId1" xr:uid="{8C9CED18-049A-47DC-8CAD-AD6FE1DEC075}"/>
    <hyperlink ref="E158" r:id="rId2" xr:uid="{BD47C388-E23E-44C3-818F-1FE6A80B4A5B}"/>
    <hyperlink ref="E170" r:id="rId3" xr:uid="{8DA5C87C-0E33-4DB4-B77D-663AF25544B8}"/>
    <hyperlink ref="E169" r:id="rId4" xr:uid="{FEB20CDF-4866-4A4C-A589-515054576910}"/>
    <hyperlink ref="E171" r:id="rId5" xr:uid="{5970DCE3-CA41-48D1-8945-3076E986DDC7}"/>
    <hyperlink ref="E172" r:id="rId6" xr:uid="{F9BF7655-7263-46CB-8802-851B3F8AECF8}"/>
    <hyperlink ref="E173" r:id="rId7" xr:uid="{22AC5E0A-0131-4C4E-A2E1-EC552AC77460}"/>
    <hyperlink ref="E178" r:id="rId8" xr:uid="{CB31ECA4-AE2D-470E-B2F0-0C007888F71E}"/>
    <hyperlink ref="E179" r:id="rId9" xr:uid="{8CE4D519-B9DA-498F-9577-2E90E8B08DFD}"/>
    <hyperlink ref="E181" r:id="rId10" xr:uid="{A22A7DED-04F7-4094-A48F-A57FAF9A3309}"/>
  </hyperlinks>
  <pageMargins left="0.7" right="0.7" top="0.75" bottom="0.75" header="0.3" footer="0.3"/>
  <pageSetup paperSize="9" orientation="portrait" r:id="rId11"/>
  <legacy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D68C-DB14-416F-BC86-240C7ED682B8}">
  <sheetPr>
    <tabColor rgb="FFFFFF00"/>
  </sheetPr>
  <dimension ref="A2:D25"/>
  <sheetViews>
    <sheetView zoomScale="90" zoomScaleNormal="90" workbookViewId="0">
      <selection activeCell="A26" sqref="A26:Y26"/>
    </sheetView>
  </sheetViews>
  <sheetFormatPr defaultColWidth="8.85546875" defaultRowHeight="15" x14ac:dyDescent="0.25"/>
  <cols>
    <col min="1" max="1" width="14.140625" style="624" customWidth="1"/>
    <col min="2" max="2" width="17.140625" style="624" customWidth="1"/>
    <col min="3" max="3" width="25.140625" style="624" customWidth="1"/>
    <col min="4" max="4" width="110.42578125" style="624" bestFit="1" customWidth="1"/>
    <col min="5" max="16384" width="8.85546875" style="624"/>
  </cols>
  <sheetData>
    <row r="2" spans="1:4" ht="18.75" x14ac:dyDescent="0.3">
      <c r="A2" s="623" t="s">
        <v>1643</v>
      </c>
    </row>
    <row r="3" spans="1:4" ht="15.75" thickBot="1" x14ac:dyDescent="0.3">
      <c r="A3" s="625" t="s">
        <v>1482</v>
      </c>
      <c r="B3" s="626" t="s">
        <v>1644</v>
      </c>
      <c r="C3" s="626" t="s">
        <v>1645</v>
      </c>
      <c r="D3" s="627" t="s">
        <v>1646</v>
      </c>
    </row>
    <row r="4" spans="1:4" ht="15" customHeight="1" x14ac:dyDescent="0.25">
      <c r="A4" s="648">
        <v>45784</v>
      </c>
      <c r="B4" s="650" t="s">
        <v>32</v>
      </c>
      <c r="C4" s="651" t="s">
        <v>1647</v>
      </c>
      <c r="D4" s="651" t="s">
        <v>1648</v>
      </c>
    </row>
    <row r="5" spans="1:4" ht="15" customHeight="1" x14ac:dyDescent="0.25">
      <c r="A5" s="648">
        <v>45785</v>
      </c>
      <c r="B5" s="624" t="s">
        <v>43</v>
      </c>
      <c r="C5" s="624" t="s">
        <v>1649</v>
      </c>
      <c r="D5" s="624" t="s">
        <v>1650</v>
      </c>
    </row>
    <row r="6" spans="1:4" ht="15" customHeight="1" x14ac:dyDescent="0.25">
      <c r="A6" s="648">
        <v>45785</v>
      </c>
      <c r="B6" s="624" t="s">
        <v>43</v>
      </c>
      <c r="C6" s="624" t="s">
        <v>1651</v>
      </c>
      <c r="D6" s="624" t="s">
        <v>1650</v>
      </c>
    </row>
    <row r="7" spans="1:4" ht="15" customHeight="1" x14ac:dyDescent="0.25">
      <c r="A7" s="648">
        <v>45785</v>
      </c>
      <c r="B7" s="624" t="s">
        <v>63</v>
      </c>
      <c r="C7" s="624" t="s">
        <v>1652</v>
      </c>
      <c r="D7" s="624" t="s">
        <v>1654</v>
      </c>
    </row>
    <row r="8" spans="1:4" ht="15" customHeight="1" x14ac:dyDescent="0.25">
      <c r="A8" s="648">
        <v>45785</v>
      </c>
      <c r="B8" s="624" t="s">
        <v>63</v>
      </c>
      <c r="C8" s="624" t="s">
        <v>1653</v>
      </c>
      <c r="D8" s="624" t="s">
        <v>1655</v>
      </c>
    </row>
    <row r="9" spans="1:4" ht="15" customHeight="1" x14ac:dyDescent="0.25">
      <c r="A9" s="648">
        <v>45790</v>
      </c>
      <c r="B9" s="624" t="s">
        <v>32</v>
      </c>
      <c r="C9" s="652" t="s">
        <v>1658</v>
      </c>
      <c r="D9" s="652" t="s">
        <v>1659</v>
      </c>
    </row>
    <row r="10" spans="1:4" ht="15" customHeight="1" x14ac:dyDescent="0.25">
      <c r="A10" s="648">
        <v>45790</v>
      </c>
      <c r="B10" s="624" t="s">
        <v>42</v>
      </c>
      <c r="C10" s="652" t="s">
        <v>1660</v>
      </c>
      <c r="D10" s="653" t="s">
        <v>1661</v>
      </c>
    </row>
    <row r="11" spans="1:4" ht="15" customHeight="1" x14ac:dyDescent="0.25">
      <c r="A11" s="649">
        <v>45790</v>
      </c>
      <c r="B11" s="624" t="s">
        <v>42</v>
      </c>
      <c r="C11" s="652" t="s">
        <v>1662</v>
      </c>
      <c r="D11" s="653" t="s">
        <v>1663</v>
      </c>
    </row>
    <row r="12" spans="1:4" ht="15" customHeight="1" x14ac:dyDescent="0.25">
      <c r="A12" s="649">
        <v>45814</v>
      </c>
      <c r="B12" s="624" t="s">
        <v>42</v>
      </c>
      <c r="C12" s="624" t="s">
        <v>1660</v>
      </c>
      <c r="D12" s="653" t="s">
        <v>1664</v>
      </c>
    </row>
    <row r="13" spans="1:4" ht="15" customHeight="1" x14ac:dyDescent="0.25">
      <c r="A13" s="649">
        <v>45819</v>
      </c>
      <c r="B13" s="624" t="s">
        <v>63</v>
      </c>
      <c r="C13" s="624" t="s">
        <v>1667</v>
      </c>
      <c r="D13" s="624" t="s">
        <v>1668</v>
      </c>
    </row>
    <row r="14" spans="1:4" ht="15" customHeight="1" x14ac:dyDescent="0.25">
      <c r="A14" s="649">
        <v>45831</v>
      </c>
      <c r="B14" s="624" t="s">
        <v>63</v>
      </c>
      <c r="C14" s="624" t="s">
        <v>1679</v>
      </c>
      <c r="D14" s="624" t="s">
        <v>1680</v>
      </c>
    </row>
    <row r="15" spans="1:4" ht="15" customHeight="1" x14ac:dyDescent="0.25">
      <c r="A15" s="649">
        <v>45831</v>
      </c>
      <c r="B15" s="624" t="s">
        <v>59</v>
      </c>
      <c r="C15" s="624" t="s">
        <v>1681</v>
      </c>
      <c r="D15" s="624" t="s">
        <v>1682</v>
      </c>
    </row>
    <row r="16" spans="1:4" ht="15" customHeight="1" x14ac:dyDescent="0.25">
      <c r="A16" s="649">
        <v>45832</v>
      </c>
      <c r="B16" s="624" t="s">
        <v>59</v>
      </c>
      <c r="C16" s="624" t="s">
        <v>1683</v>
      </c>
      <c r="D16" s="624" t="s">
        <v>1684</v>
      </c>
    </row>
    <row r="17" spans="1:4" ht="15" customHeight="1" x14ac:dyDescent="0.25">
      <c r="A17" s="649">
        <v>45967</v>
      </c>
      <c r="B17" s="624" t="s">
        <v>36</v>
      </c>
      <c r="C17" s="624" t="s">
        <v>1685</v>
      </c>
      <c r="D17" s="624" t="s">
        <v>1686</v>
      </c>
    </row>
    <row r="18" spans="1:4" ht="15" customHeight="1" x14ac:dyDescent="0.25">
      <c r="A18" s="649">
        <v>45967</v>
      </c>
      <c r="B18" s="624" t="s">
        <v>30</v>
      </c>
      <c r="C18" s="624" t="s">
        <v>1687</v>
      </c>
      <c r="D18" s="624" t="s">
        <v>1688</v>
      </c>
    </row>
    <row r="19" spans="1:4" ht="15" customHeight="1" x14ac:dyDescent="0.25">
      <c r="A19" s="649">
        <v>45967</v>
      </c>
      <c r="B19" s="624" t="s">
        <v>32</v>
      </c>
      <c r="C19" s="624" t="s">
        <v>1647</v>
      </c>
      <c r="D19" s="624" t="s">
        <v>1689</v>
      </c>
    </row>
    <row r="20" spans="1:4" ht="15" customHeight="1" x14ac:dyDescent="0.25">
      <c r="A20" s="649">
        <v>45975</v>
      </c>
      <c r="B20" s="624" t="s">
        <v>32</v>
      </c>
      <c r="C20" s="624" t="s">
        <v>1691</v>
      </c>
      <c r="D20" s="624" t="s">
        <v>1694</v>
      </c>
    </row>
    <row r="21" spans="1:4" ht="15" customHeight="1" x14ac:dyDescent="0.25">
      <c r="A21" s="649">
        <v>45975</v>
      </c>
      <c r="B21" s="624" t="s">
        <v>59</v>
      </c>
      <c r="C21" s="624" t="s">
        <v>1692</v>
      </c>
      <c r="D21" s="624" t="s">
        <v>1693</v>
      </c>
    </row>
    <row r="22" spans="1:4" x14ac:dyDescent="0.25">
      <c r="A22" s="649">
        <v>45985</v>
      </c>
      <c r="B22" s="624" t="s">
        <v>30</v>
      </c>
      <c r="C22" s="624" t="s">
        <v>1695</v>
      </c>
      <c r="D22" s="624" t="s">
        <v>1696</v>
      </c>
    </row>
    <row r="23" spans="1:4" x14ac:dyDescent="0.25">
      <c r="A23" s="649">
        <v>46007</v>
      </c>
      <c r="B23" s="624" t="s">
        <v>34</v>
      </c>
      <c r="C23" s="624" t="s">
        <v>1697</v>
      </c>
      <c r="D23" s="624" t="s">
        <v>1698</v>
      </c>
    </row>
    <row r="24" spans="1:4" x14ac:dyDescent="0.25">
      <c r="A24" s="654">
        <v>46013</v>
      </c>
      <c r="B24" s="624" t="s">
        <v>23</v>
      </c>
      <c r="D24" s="624" t="s">
        <v>1699</v>
      </c>
    </row>
    <row r="25" spans="1:4" x14ac:dyDescent="0.25">
      <c r="A25" s="654">
        <v>46106</v>
      </c>
      <c r="B25" s="624" t="s">
        <v>43</v>
      </c>
      <c r="D25" s="624" t="s">
        <v>1700</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839E8-6678-4379-BFDD-19AE44FDF556}">
  <sheetPr>
    <tabColor theme="9" tint="0.59999389629810485"/>
  </sheetPr>
  <dimension ref="B1:P45"/>
  <sheetViews>
    <sheetView showGridLines="0" zoomScale="70" zoomScaleNormal="70" workbookViewId="0">
      <pane ySplit="1" topLeftCell="A2" activePane="bottomLeft" state="frozen"/>
      <selection pane="bottomLeft" activeCell="G13" sqref="G13"/>
    </sheetView>
  </sheetViews>
  <sheetFormatPr defaultColWidth="9.28515625" defaultRowHeight="15" x14ac:dyDescent="0.25"/>
  <cols>
    <col min="1" max="1" width="2" style="1" bestFit="1" customWidth="1"/>
    <col min="2" max="2" width="10.42578125" style="1" customWidth="1"/>
    <col min="3" max="3" width="14.5703125" style="1" bestFit="1" customWidth="1"/>
    <col min="4" max="4" width="74.42578125" style="1" bestFit="1" customWidth="1"/>
    <col min="5" max="9" width="9.5703125" style="1" customWidth="1"/>
    <col min="10" max="10" width="2" style="1" bestFit="1" customWidth="1"/>
    <col min="11" max="16384" width="9.28515625" style="1"/>
  </cols>
  <sheetData>
    <row r="1" spans="2:16" s="9" customFormat="1" ht="23.25" x14ac:dyDescent="0.25">
      <c r="B1" s="8" t="s">
        <v>337</v>
      </c>
    </row>
    <row r="2" spans="2:16" customFormat="1" x14ac:dyDescent="0.25"/>
    <row r="3" spans="2:16" x14ac:dyDescent="0.25">
      <c r="B3" s="42" t="s">
        <v>338</v>
      </c>
      <c r="C3" s="42"/>
      <c r="D3" s="43"/>
      <c r="E3" s="43"/>
      <c r="F3" s="43"/>
      <c r="G3" s="43"/>
      <c r="H3" s="43"/>
      <c r="I3" s="43"/>
    </row>
    <row r="4" spans="2:16" ht="15.75" thickBot="1" x14ac:dyDescent="0.3">
      <c r="B4" s="44" t="s">
        <v>339</v>
      </c>
      <c r="C4" s="44" t="s">
        <v>340</v>
      </c>
      <c r="D4" s="44" t="s">
        <v>341</v>
      </c>
      <c r="E4" s="44" t="s">
        <v>342</v>
      </c>
      <c r="F4" s="44" t="s">
        <v>327</v>
      </c>
      <c r="G4" s="44" t="s">
        <v>343</v>
      </c>
      <c r="H4" s="44" t="s">
        <v>344</v>
      </c>
      <c r="I4" s="44" t="s">
        <v>345</v>
      </c>
    </row>
    <row r="5" spans="2:16" ht="25.5" x14ac:dyDescent="0.25">
      <c r="B5" s="45" t="s">
        <v>346</v>
      </c>
      <c r="C5" s="46" t="s">
        <v>347</v>
      </c>
      <c r="D5" s="46" t="s">
        <v>26</v>
      </c>
      <c r="E5" s="45" t="s">
        <v>348</v>
      </c>
      <c r="F5" s="46"/>
      <c r="G5" s="46"/>
      <c r="H5" s="46"/>
      <c r="I5" s="46"/>
    </row>
    <row r="6" spans="2:16" x14ac:dyDescent="0.25">
      <c r="B6" s="3" t="s">
        <v>349</v>
      </c>
      <c r="C6" s="1" t="str">
        <f>Legend!B96</f>
        <v>INDBFG</v>
      </c>
      <c r="D6" s="1" t="str">
        <f>Legend!A96&amp;" ("&amp;Legend!$C$4&amp;")"</f>
        <v>Blast furnace gas (IND)</v>
      </c>
      <c r="E6" s="3" t="s">
        <v>323</v>
      </c>
      <c r="F6" s="3"/>
      <c r="G6" s="3"/>
      <c r="H6" s="3"/>
      <c r="I6" s="3"/>
    </row>
    <row r="7" spans="2:16" x14ac:dyDescent="0.25">
      <c r="B7" s="1" t="s">
        <v>349</v>
      </c>
      <c r="C7" s="1" t="str">
        <f>Legend!B97</f>
        <v>INDBGS</v>
      </c>
      <c r="D7" s="1" t="str">
        <f>Legend!A97&amp;" ("&amp;Legend!$C$4&amp;")"</f>
        <v>Biogas (IND)</v>
      </c>
      <c r="E7" s="1" t="s">
        <v>323</v>
      </c>
      <c r="P7"/>
    </row>
    <row r="8" spans="2:16" x14ac:dyDescent="0.25">
      <c r="B8" s="1" t="s">
        <v>349</v>
      </c>
      <c r="C8" s="1" t="str">
        <f>Legend!B98</f>
        <v>INDBIO</v>
      </c>
      <c r="D8" s="1" t="str">
        <f>Legend!A98&amp;" ("&amp;Legend!$C$4&amp;")"</f>
        <v>Biomass (IND)</v>
      </c>
      <c r="E8" s="1" t="s">
        <v>323</v>
      </c>
      <c r="P8"/>
    </row>
    <row r="9" spans="2:16" x14ac:dyDescent="0.25">
      <c r="B9" s="1" t="s">
        <v>349</v>
      </c>
      <c r="C9" s="1" t="str">
        <f>Legend!B99</f>
        <v>INDBLQ</v>
      </c>
      <c r="D9" s="1" t="str">
        <f>Legend!A99&amp;" ("&amp;Legend!$C$4&amp;")"</f>
        <v>Bioliquids (IND)</v>
      </c>
      <c r="E9" s="1" t="s">
        <v>323</v>
      </c>
      <c r="P9"/>
    </row>
    <row r="10" spans="2:16" x14ac:dyDescent="0.25">
      <c r="B10" s="1" t="s">
        <v>349</v>
      </c>
      <c r="C10" s="1" t="str">
        <f>Legend!B100</f>
        <v>INDCOA</v>
      </c>
      <c r="D10" s="1" t="str">
        <f>Legend!A100&amp;" ("&amp;Legend!$C$4&amp;")"</f>
        <v>Coal (IND)</v>
      </c>
      <c r="E10" s="1" t="s">
        <v>323</v>
      </c>
      <c r="P10"/>
    </row>
    <row r="11" spans="2:16" x14ac:dyDescent="0.25">
      <c r="B11" s="1" t="s">
        <v>349</v>
      </c>
      <c r="C11" s="1" t="str">
        <f>Legend!B101</f>
        <v>INDCOG</v>
      </c>
      <c r="D11" s="1" t="str">
        <f>Legend!A101&amp;" ("&amp;Legend!$C$4&amp;")"</f>
        <v>Coke oven gas (IND)</v>
      </c>
      <c r="E11" s="1" t="s">
        <v>323</v>
      </c>
      <c r="P11"/>
    </row>
    <row r="12" spans="2:16" x14ac:dyDescent="0.25">
      <c r="B12" s="1" t="s">
        <v>349</v>
      </c>
      <c r="C12" s="1" t="str">
        <f>Legend!B102</f>
        <v>INDCOK</v>
      </c>
      <c r="D12" s="1" t="str">
        <f>Legend!A102&amp;" ("&amp;Legend!$C$4&amp;")"</f>
        <v>Coke oven coke (IND)</v>
      </c>
      <c r="E12" s="1" t="s">
        <v>323</v>
      </c>
      <c r="P12"/>
    </row>
    <row r="13" spans="2:16" x14ac:dyDescent="0.25">
      <c r="B13" s="1" t="s">
        <v>349</v>
      </c>
      <c r="C13" s="1" t="str">
        <f>Legend!B103</f>
        <v>INDELC</v>
      </c>
      <c r="D13" s="1" t="str">
        <f>Legend!A103&amp;" ("&amp;Legend!$C$4&amp;")"</f>
        <v>Electricity (IND)</v>
      </c>
      <c r="E13" s="1" t="s">
        <v>323</v>
      </c>
      <c r="G13" s="1" t="s">
        <v>324</v>
      </c>
      <c r="I13" s="1" t="s">
        <v>350</v>
      </c>
      <c r="P13"/>
    </row>
    <row r="14" spans="2:16" x14ac:dyDescent="0.25">
      <c r="B14" s="1" t="s">
        <v>349</v>
      </c>
      <c r="C14" s="1" t="str">
        <f>Legend!B104</f>
        <v>INDGAS</v>
      </c>
      <c r="D14" s="1" t="str">
        <f>Legend!A104&amp;" ("&amp;Legend!$C$4&amp;")"</f>
        <v>Natural gas (IND)</v>
      </c>
      <c r="E14" s="1" t="s">
        <v>323</v>
      </c>
      <c r="P14"/>
    </row>
    <row r="15" spans="2:16" x14ac:dyDescent="0.25">
      <c r="B15" s="1" t="s">
        <v>349</v>
      </c>
      <c r="C15" s="1" t="str">
        <f>Legend!B105</f>
        <v>INDHET</v>
      </c>
      <c r="D15" s="1" t="str">
        <f>Legend!A105&amp;" ("&amp;Legend!$C$4&amp;")"</f>
        <v>Heat (IND)</v>
      </c>
      <c r="E15" s="1" t="s">
        <v>323</v>
      </c>
      <c r="G15" s="1" t="s">
        <v>324</v>
      </c>
      <c r="I15" s="1" t="s">
        <v>351</v>
      </c>
      <c r="P15"/>
    </row>
    <row r="16" spans="2:16" x14ac:dyDescent="0.25">
      <c r="B16" s="1" t="s">
        <v>349</v>
      </c>
      <c r="C16" s="1" t="str">
        <f>Legend!B106</f>
        <v>INDLPG</v>
      </c>
      <c r="D16" s="1" t="str">
        <f>Legend!A106&amp;" ("&amp;Legend!$C$4&amp;")"</f>
        <v>LPG (IND)</v>
      </c>
      <c r="E16" s="1" t="s">
        <v>323</v>
      </c>
      <c r="P16"/>
    </row>
    <row r="17" spans="2:16" x14ac:dyDescent="0.25">
      <c r="B17" s="1" t="s">
        <v>349</v>
      </c>
      <c r="C17" s="1" t="str">
        <f>Legend!B107</f>
        <v>INDOIL</v>
      </c>
      <c r="D17" s="1" t="str">
        <f>Legend!A107&amp;" ("&amp;Legend!$C$4&amp;")"</f>
        <v>Oil (IND)</v>
      </c>
      <c r="E17" s="1" t="s">
        <v>323</v>
      </c>
      <c r="P17"/>
    </row>
    <row r="18" spans="2:16" x14ac:dyDescent="0.25">
      <c r="B18" s="1" t="s">
        <v>349</v>
      </c>
      <c r="C18" s="1" t="str">
        <f>Legend!B108</f>
        <v>INDGEO</v>
      </c>
      <c r="D18" s="1" t="str">
        <f>Legend!A108&amp;" ("&amp;Legend!$C$4&amp;")"</f>
        <v>Geothermal (IND)</v>
      </c>
      <c r="E18" s="1" t="s">
        <v>323</v>
      </c>
      <c r="P18"/>
    </row>
    <row r="19" spans="2:16" x14ac:dyDescent="0.25">
      <c r="B19" s="1" t="s">
        <v>349</v>
      </c>
      <c r="C19" s="1" t="str">
        <f>Legend!B109</f>
        <v>INDCSP</v>
      </c>
      <c r="D19" s="1" t="str">
        <f>Legend!A109&amp;" ("&amp;Legend!$C$4&amp;")"</f>
        <v>Concentrated solar power (IND)</v>
      </c>
      <c r="E19" s="1" t="s">
        <v>323</v>
      </c>
      <c r="P19"/>
    </row>
    <row r="20" spans="2:16" x14ac:dyDescent="0.25">
      <c r="B20" s="1" t="s">
        <v>349</v>
      </c>
      <c r="C20" s="1" t="str">
        <f>Legend!B110</f>
        <v>INDWAS</v>
      </c>
      <c r="D20" s="1" t="str">
        <f>Legend!A110&amp;" ("&amp;Legend!$C$4&amp;")"</f>
        <v>Waste (IND)</v>
      </c>
      <c r="E20" s="1" t="s">
        <v>323</v>
      </c>
      <c r="P20"/>
    </row>
    <row r="21" spans="2:16" x14ac:dyDescent="0.25">
      <c r="B21" s="1" t="s">
        <v>349</v>
      </c>
      <c r="C21" s="1" t="str">
        <f>Legend!B111</f>
        <v>INDH2G</v>
      </c>
      <c r="D21" s="1" t="str">
        <f>Legend!A111&amp;" ("&amp;Legend!$C$4&amp;")"</f>
        <v>Hydrogen (IND)</v>
      </c>
      <c r="E21" s="1" t="s">
        <v>323</v>
      </c>
      <c r="P21"/>
    </row>
    <row r="22" spans="2:16" x14ac:dyDescent="0.25">
      <c r="B22" s="1" t="s">
        <v>349</v>
      </c>
      <c r="C22" s="1" t="str">
        <f>Legend!B112</f>
        <v>INDH2B</v>
      </c>
      <c r="D22" s="1" t="str">
        <f>Legend!A112&amp;" ("&amp;Legend!$C$4&amp;")"</f>
        <v>Natural gas H2 blend (IND)</v>
      </c>
      <c r="E22" s="1" t="s">
        <v>323</v>
      </c>
      <c r="P22"/>
    </row>
    <row r="23" spans="2:16" x14ac:dyDescent="0.25">
      <c r="B23" s="557" t="s">
        <v>352</v>
      </c>
      <c r="C23" s="557" t="str">
        <f>Legend!B115</f>
        <v>INDCO2e</v>
      </c>
      <c r="D23" s="557" t="str">
        <f>Legend!A115&amp;" emissions ("&amp;Legend!$C$4&amp;")"</f>
        <v>CO2eq emissions (IND)</v>
      </c>
      <c r="E23" s="557" t="s">
        <v>353</v>
      </c>
      <c r="F23" s="557"/>
      <c r="G23" s="557"/>
      <c r="H23" s="557"/>
      <c r="I23" s="557"/>
      <c r="P23"/>
    </row>
    <row r="24" spans="2:16" x14ac:dyDescent="0.25">
      <c r="B24" s="1" t="s">
        <v>352</v>
      </c>
      <c r="C24" s="1" t="str">
        <f>Legend!B116</f>
        <v>INDCO2</v>
      </c>
      <c r="D24" s="1" t="str">
        <f>Legend!A116&amp;" emissions ("&amp;Legend!$C$4&amp;")"</f>
        <v>CO2 emissions (IND)</v>
      </c>
      <c r="E24" s="1" t="s">
        <v>353</v>
      </c>
    </row>
    <row r="25" spans="2:16" x14ac:dyDescent="0.25">
      <c r="B25" s="1" t="s">
        <v>352</v>
      </c>
      <c r="C25" s="1" t="str">
        <f>Legend!B117</f>
        <v>INDCH4</v>
      </c>
      <c r="D25" s="1" t="str">
        <f>Legend!A117&amp;" emissions ("&amp;Legend!$C$4&amp;")"</f>
        <v>CH4 emissions (IND)</v>
      </c>
      <c r="E25" s="1" t="s">
        <v>353</v>
      </c>
    </row>
    <row r="26" spans="2:16" x14ac:dyDescent="0.25">
      <c r="B26" s="1" t="s">
        <v>352</v>
      </c>
      <c r="C26" s="1" t="str">
        <f>Legend!B118</f>
        <v>INDN2O</v>
      </c>
      <c r="D26" s="1" t="str">
        <f>Legend!A118&amp;" emissions ("&amp;Legend!$C$4&amp;")"</f>
        <v>N2O emissions (IND)</v>
      </c>
      <c r="E26" s="1" t="s">
        <v>353</v>
      </c>
    </row>
    <row r="27" spans="2:16" x14ac:dyDescent="0.25">
      <c r="B27" s="4" t="s">
        <v>352</v>
      </c>
      <c r="C27" s="4" t="str">
        <f>Legend!B119</f>
        <v>INDCO2p</v>
      </c>
      <c r="D27" s="4" t="str">
        <f>Legend!A119&amp;" emissions ("&amp;Legend!$C$4&amp;")"</f>
        <v>CO2 process emissions (IND)</v>
      </c>
      <c r="E27" s="4" t="s">
        <v>353</v>
      </c>
      <c r="F27" s="4"/>
      <c r="G27" s="4"/>
      <c r="H27" s="4"/>
      <c r="I27" s="4"/>
    </row>
    <row r="28" spans="2:16" x14ac:dyDescent="0.25">
      <c r="B28" s="4" t="s">
        <v>352</v>
      </c>
      <c r="C28" s="4" t="str">
        <f>Legend!B120</f>
        <v>INDCO2c</v>
      </c>
      <c r="D28" s="4" t="str">
        <f>Legend!A120&amp;" emissions ("&amp;Legend!$C$4&amp;")"</f>
        <v>CO2 process emissions (IND)</v>
      </c>
      <c r="E28" s="4" t="s">
        <v>353</v>
      </c>
      <c r="F28" s="4"/>
      <c r="G28" s="4"/>
      <c r="H28" s="4"/>
      <c r="I28" s="4"/>
    </row>
    <row r="29" spans="2:16" x14ac:dyDescent="0.25">
      <c r="C29"/>
    </row>
    <row r="30" spans="2:16" x14ac:dyDescent="0.25">
      <c r="C30"/>
    </row>
    <row r="39" spans="2:7" x14ac:dyDescent="0.25">
      <c r="B39" s="48"/>
      <c r="C39" s="48"/>
      <c r="D39" s="48"/>
      <c r="E39" s="48"/>
      <c r="F39" s="48"/>
      <c r="G39" s="48"/>
    </row>
    <row r="40" spans="2:7" x14ac:dyDescent="0.25">
      <c r="B40" s="48"/>
      <c r="C40" s="48"/>
      <c r="D40" s="48"/>
      <c r="E40" s="48"/>
      <c r="F40" s="48"/>
      <c r="G40" s="48"/>
    </row>
    <row r="41" spans="2:7" x14ac:dyDescent="0.25">
      <c r="B41" s="48"/>
      <c r="C41" s="48"/>
      <c r="D41" s="48"/>
      <c r="E41" s="48"/>
      <c r="F41" s="48"/>
      <c r="G41" s="48"/>
    </row>
    <row r="42" spans="2:7" x14ac:dyDescent="0.25">
      <c r="B42" s="48"/>
      <c r="C42" s="48"/>
      <c r="D42" s="48"/>
      <c r="E42" s="48"/>
      <c r="F42" s="48"/>
      <c r="G42" s="48"/>
    </row>
    <row r="43" spans="2:7" x14ac:dyDescent="0.25">
      <c r="B43" s="48"/>
      <c r="C43" s="48"/>
      <c r="D43" s="48"/>
      <c r="E43" s="48"/>
      <c r="F43" s="48"/>
      <c r="G43" s="48"/>
    </row>
    <row r="44" spans="2:7" x14ac:dyDescent="0.25">
      <c r="B44" s="48"/>
      <c r="C44" s="48"/>
      <c r="D44" s="48"/>
      <c r="E44" s="48"/>
      <c r="F44" s="48"/>
      <c r="G44" s="48"/>
    </row>
    <row r="45" spans="2:7" x14ac:dyDescent="0.25">
      <c r="B45" s="48"/>
      <c r="C45" s="48"/>
      <c r="D45" s="48"/>
      <c r="E45" s="48"/>
      <c r="F45" s="48"/>
      <c r="G45"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E1C8-7182-45DB-8F3E-F46CFC3201D3}">
  <sheetPr>
    <tabColor rgb="FF0070C0"/>
  </sheetPr>
  <dimension ref="A1:AJ477"/>
  <sheetViews>
    <sheetView zoomScale="60" zoomScaleNormal="60" workbookViewId="0">
      <pane xSplit="4" ySplit="7" topLeftCell="E436" activePane="bottomRight" state="frozen"/>
      <selection pane="topRight" activeCell="E1" sqref="E1"/>
      <selection pane="bottomLeft" activeCell="A8" sqref="A8"/>
      <selection pane="bottomRight" activeCell="F474" sqref="F474"/>
    </sheetView>
  </sheetViews>
  <sheetFormatPr defaultRowHeight="15" x14ac:dyDescent="0.25"/>
  <cols>
    <col min="2" max="2" width="35.42578125" bestFit="1" customWidth="1"/>
    <col min="3" max="3" width="38.28515625" bestFit="1" customWidth="1"/>
    <col min="5" max="5" width="8.7109375" bestFit="1" customWidth="1"/>
    <col min="6" max="6" width="11.28515625" customWidth="1"/>
    <col min="7" max="7" width="9.42578125" bestFit="1" customWidth="1"/>
    <col min="8" max="8" width="11.7109375" bestFit="1" customWidth="1"/>
    <col min="9" max="9" width="9.28515625" bestFit="1" customWidth="1"/>
    <col min="10" max="11" width="10.5703125" bestFit="1" customWidth="1"/>
    <col min="12" max="12" width="11" bestFit="1" customWidth="1"/>
    <col min="13" max="13" width="12.7109375" bestFit="1" customWidth="1"/>
    <col min="14" max="15" width="9.28515625" bestFit="1" customWidth="1"/>
    <col min="16" max="16" width="12.7109375" customWidth="1"/>
    <col min="17" max="19" width="9.28515625" bestFit="1" customWidth="1"/>
    <col min="20" max="20" width="10.5703125" bestFit="1" customWidth="1"/>
    <col min="21" max="21" width="9.28515625" bestFit="1" customWidth="1"/>
    <col min="22" max="22" width="10.5703125" bestFit="1" customWidth="1"/>
    <col min="23" max="23" width="14" bestFit="1" customWidth="1"/>
    <col min="24" max="24" width="10.5703125" bestFit="1" customWidth="1"/>
    <col min="25" max="25" width="9.28515625" bestFit="1" customWidth="1"/>
    <col min="26" max="26" width="11.7109375" bestFit="1" customWidth="1"/>
    <col min="27" max="27" width="11.5703125" bestFit="1" customWidth="1"/>
    <col min="28" max="28" width="11.7109375" bestFit="1" customWidth="1"/>
    <col min="29" max="29" width="9" bestFit="1" customWidth="1"/>
    <col min="30" max="30" width="12.7109375" bestFit="1" customWidth="1"/>
    <col min="31" max="31" width="9.5703125" bestFit="1" customWidth="1"/>
    <col min="32" max="32" width="9.28515625" bestFit="1" customWidth="1"/>
  </cols>
  <sheetData>
    <row r="1" spans="1:34" ht="14.65" customHeight="1" x14ac:dyDescent="0.25">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row>
    <row r="2" spans="1:34" ht="21" customHeight="1" x14ac:dyDescent="0.3">
      <c r="A2" s="201" t="s">
        <v>354</v>
      </c>
      <c r="B2" s="120"/>
      <c r="C2" s="120"/>
      <c r="D2" s="120"/>
      <c r="E2" s="167"/>
      <c r="F2" s="167"/>
      <c r="G2" s="187" t="s">
        <v>355</v>
      </c>
      <c r="H2" s="187" t="s">
        <v>356</v>
      </c>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row>
    <row r="3" spans="1:34" x14ac:dyDescent="0.25">
      <c r="A3" s="168"/>
      <c r="B3" s="168"/>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row>
    <row r="4" spans="1:34" ht="15.75" x14ac:dyDescent="0.25">
      <c r="A4" s="228" t="s">
        <v>357</v>
      </c>
      <c r="B4" s="168"/>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row>
    <row r="5" spans="1:34" x14ac:dyDescent="0.25">
      <c r="A5" s="168"/>
      <c r="B5" s="168"/>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row>
    <row r="6" spans="1:34" x14ac:dyDescent="0.25">
      <c r="A6" s="169"/>
      <c r="B6" s="169"/>
      <c r="C6" s="170"/>
      <c r="D6" s="170"/>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69"/>
      <c r="AG6" s="168"/>
      <c r="AH6" s="168"/>
    </row>
    <row r="7" spans="1:34" ht="15.75" x14ac:dyDescent="0.25">
      <c r="A7" s="172" t="s">
        <v>358</v>
      </c>
      <c r="B7" s="173" t="s">
        <v>359</v>
      </c>
      <c r="C7" s="174" t="s">
        <v>360</v>
      </c>
      <c r="D7" s="174" t="s">
        <v>342</v>
      </c>
      <c r="E7" s="175" t="s">
        <v>162</v>
      </c>
      <c r="F7" s="175" t="s">
        <v>164</v>
      </c>
      <c r="G7" s="175" t="s">
        <v>166</v>
      </c>
      <c r="H7" s="175" t="s">
        <v>168</v>
      </c>
      <c r="I7" s="175" t="s">
        <v>170</v>
      </c>
      <c r="J7" s="175" t="s">
        <v>173</v>
      </c>
      <c r="K7" s="175" t="s">
        <v>175</v>
      </c>
      <c r="L7" s="175" t="s">
        <v>177</v>
      </c>
      <c r="M7" s="175" t="s">
        <v>179</v>
      </c>
      <c r="N7" s="175" t="s">
        <v>181</v>
      </c>
      <c r="O7" s="175" t="s">
        <v>183</v>
      </c>
      <c r="P7" s="175" t="s">
        <v>185</v>
      </c>
      <c r="Q7" s="175" t="s">
        <v>188</v>
      </c>
      <c r="R7" s="175" t="s">
        <v>190</v>
      </c>
      <c r="S7" s="175" t="s">
        <v>192</v>
      </c>
      <c r="T7" s="175" t="s">
        <v>194</v>
      </c>
      <c r="U7" s="175" t="s">
        <v>196</v>
      </c>
      <c r="V7" s="175" t="s">
        <v>198</v>
      </c>
      <c r="W7" s="175" t="s">
        <v>9</v>
      </c>
      <c r="X7" s="175" t="s">
        <v>201</v>
      </c>
      <c r="Y7" s="175" t="s">
        <v>203</v>
      </c>
      <c r="Z7" s="175" t="s">
        <v>205</v>
      </c>
      <c r="AA7" s="175" t="s">
        <v>207</v>
      </c>
      <c r="AB7" s="175" t="s">
        <v>210</v>
      </c>
      <c r="AC7" s="175" t="s">
        <v>212</v>
      </c>
      <c r="AD7" s="175" t="s">
        <v>214</v>
      </c>
      <c r="AE7" s="175" t="s">
        <v>217</v>
      </c>
      <c r="AF7" s="176" t="s">
        <v>219</v>
      </c>
      <c r="AG7" s="167"/>
      <c r="AH7" s="167"/>
    </row>
    <row r="8" spans="1:34" x14ac:dyDescent="0.25">
      <c r="A8" s="177" t="s">
        <v>361</v>
      </c>
      <c r="B8" s="177" t="s">
        <v>362</v>
      </c>
      <c r="C8" s="178" t="s">
        <v>113</v>
      </c>
      <c r="D8" s="179" t="s">
        <v>363</v>
      </c>
      <c r="E8" s="180">
        <v>0</v>
      </c>
      <c r="F8" s="180">
        <v>0</v>
      </c>
      <c r="G8" s="180">
        <v>0</v>
      </c>
      <c r="H8" s="180">
        <v>0</v>
      </c>
      <c r="I8" s="180">
        <v>0</v>
      </c>
      <c r="J8" s="180">
        <v>0</v>
      </c>
      <c r="K8" s="180">
        <v>0</v>
      </c>
      <c r="L8" s="180">
        <v>0</v>
      </c>
      <c r="M8" s="180">
        <v>0</v>
      </c>
      <c r="N8" s="180">
        <v>0</v>
      </c>
      <c r="O8" s="180">
        <v>0</v>
      </c>
      <c r="P8" s="180">
        <v>3872</v>
      </c>
      <c r="Q8" s="180">
        <v>0</v>
      </c>
      <c r="R8" s="180">
        <v>312</v>
      </c>
      <c r="S8" s="180">
        <v>0</v>
      </c>
      <c r="T8" s="180">
        <v>0</v>
      </c>
      <c r="U8" s="180">
        <v>0</v>
      </c>
      <c r="V8" s="180">
        <v>0</v>
      </c>
      <c r="W8" s="180">
        <v>0</v>
      </c>
      <c r="X8" s="180">
        <v>4355</v>
      </c>
      <c r="Y8" s="180">
        <v>0</v>
      </c>
      <c r="Z8" s="180">
        <v>0</v>
      </c>
      <c r="AA8" s="180">
        <v>0</v>
      </c>
      <c r="AB8" s="180">
        <v>0</v>
      </c>
      <c r="AC8" s="180">
        <v>0</v>
      </c>
      <c r="AD8" s="180">
        <v>0</v>
      </c>
      <c r="AE8" s="180">
        <v>0</v>
      </c>
      <c r="AF8" s="181">
        <v>0</v>
      </c>
      <c r="AG8" s="167"/>
      <c r="AH8" s="167"/>
    </row>
    <row r="9" spans="1:34" x14ac:dyDescent="0.25">
      <c r="A9" s="177" t="s">
        <v>361</v>
      </c>
      <c r="B9" s="177" t="s">
        <v>362</v>
      </c>
      <c r="C9" s="178" t="s">
        <v>115</v>
      </c>
      <c r="D9" s="179" t="s">
        <v>363</v>
      </c>
      <c r="E9" s="180">
        <v>0</v>
      </c>
      <c r="F9" s="180">
        <v>0</v>
      </c>
      <c r="G9" s="180">
        <v>0</v>
      </c>
      <c r="H9" s="180">
        <v>0</v>
      </c>
      <c r="I9" s="180">
        <v>0</v>
      </c>
      <c r="J9" s="180">
        <v>0</v>
      </c>
      <c r="K9" s="180">
        <v>25868</v>
      </c>
      <c r="L9" s="180">
        <v>0</v>
      </c>
      <c r="M9" s="180">
        <v>0</v>
      </c>
      <c r="N9" s="180">
        <v>0</v>
      </c>
      <c r="O9" s="180">
        <v>0</v>
      </c>
      <c r="P9" s="180">
        <v>0</v>
      </c>
      <c r="Q9" s="180">
        <v>20</v>
      </c>
      <c r="R9" s="180">
        <v>231</v>
      </c>
      <c r="S9" s="180">
        <v>110</v>
      </c>
      <c r="T9" s="180">
        <v>288</v>
      </c>
      <c r="U9" s="180">
        <v>1049</v>
      </c>
      <c r="V9" s="180">
        <v>0</v>
      </c>
      <c r="W9" s="180">
        <v>0</v>
      </c>
      <c r="X9" s="180">
        <v>0</v>
      </c>
      <c r="Y9" s="180">
        <v>0</v>
      </c>
      <c r="Z9" s="180">
        <v>0</v>
      </c>
      <c r="AA9" s="180">
        <v>0</v>
      </c>
      <c r="AB9" s="180">
        <v>0</v>
      </c>
      <c r="AC9" s="180">
        <v>0</v>
      </c>
      <c r="AD9" s="180">
        <v>0</v>
      </c>
      <c r="AE9" s="180">
        <v>329</v>
      </c>
      <c r="AF9" s="182">
        <v>263</v>
      </c>
      <c r="AG9" s="167"/>
      <c r="AH9" s="167"/>
    </row>
    <row r="10" spans="1:34" x14ac:dyDescent="0.25">
      <c r="A10" s="177" t="s">
        <v>361</v>
      </c>
      <c r="B10" s="177" t="s">
        <v>362</v>
      </c>
      <c r="C10" s="178" t="s">
        <v>117</v>
      </c>
      <c r="D10" s="179" t="s">
        <v>363</v>
      </c>
      <c r="E10" s="180">
        <v>0</v>
      </c>
      <c r="F10" s="180">
        <v>209</v>
      </c>
      <c r="G10" s="180">
        <v>0</v>
      </c>
      <c r="H10" s="180">
        <v>0</v>
      </c>
      <c r="I10" s="180">
        <v>805</v>
      </c>
      <c r="J10" s="180">
        <v>0</v>
      </c>
      <c r="K10" s="180">
        <v>14207</v>
      </c>
      <c r="L10" s="180">
        <v>0</v>
      </c>
      <c r="M10" s="180">
        <v>2409</v>
      </c>
      <c r="N10" s="180">
        <v>0</v>
      </c>
      <c r="O10" s="180">
        <v>0</v>
      </c>
      <c r="P10" s="180">
        <v>33478</v>
      </c>
      <c r="Q10" s="180">
        <v>1427</v>
      </c>
      <c r="R10" s="180">
        <v>6599</v>
      </c>
      <c r="S10" s="180">
        <v>3069</v>
      </c>
      <c r="T10" s="180">
        <v>5215</v>
      </c>
      <c r="U10" s="180">
        <v>5060</v>
      </c>
      <c r="V10" s="180">
        <v>1203</v>
      </c>
      <c r="W10" s="180">
        <v>0</v>
      </c>
      <c r="X10" s="180">
        <v>1198</v>
      </c>
      <c r="Y10" s="180">
        <v>131</v>
      </c>
      <c r="Z10" s="180">
        <v>0</v>
      </c>
      <c r="AA10" s="180">
        <v>0</v>
      </c>
      <c r="AB10" s="180">
        <v>0</v>
      </c>
      <c r="AC10" s="180">
        <v>0</v>
      </c>
      <c r="AD10" s="180">
        <v>937</v>
      </c>
      <c r="AE10" s="180">
        <v>42</v>
      </c>
      <c r="AF10" s="182">
        <v>2981</v>
      </c>
      <c r="AG10" s="167"/>
      <c r="AH10" s="167"/>
    </row>
    <row r="11" spans="1:34" x14ac:dyDescent="0.25">
      <c r="A11" s="177" t="s">
        <v>361</v>
      </c>
      <c r="B11" s="177" t="s">
        <v>362</v>
      </c>
      <c r="C11" s="178" t="s">
        <v>119</v>
      </c>
      <c r="D11" s="179" t="s">
        <v>363</v>
      </c>
      <c r="E11" s="180">
        <v>0</v>
      </c>
      <c r="F11" s="180">
        <v>0</v>
      </c>
      <c r="G11" s="180">
        <v>0</v>
      </c>
      <c r="H11" s="180">
        <v>0</v>
      </c>
      <c r="I11" s="180">
        <v>0</v>
      </c>
      <c r="J11" s="180">
        <v>0</v>
      </c>
      <c r="K11" s="180">
        <v>0</v>
      </c>
      <c r="L11" s="180">
        <v>0</v>
      </c>
      <c r="M11" s="180">
        <v>44</v>
      </c>
      <c r="N11" s="180">
        <v>0</v>
      </c>
      <c r="O11" s="180">
        <v>0</v>
      </c>
      <c r="P11" s="180">
        <v>0</v>
      </c>
      <c r="Q11" s="180">
        <v>0</v>
      </c>
      <c r="R11" s="180">
        <v>72</v>
      </c>
      <c r="S11" s="180">
        <v>0</v>
      </c>
      <c r="T11" s="180">
        <v>157</v>
      </c>
      <c r="U11" s="180">
        <v>158</v>
      </c>
      <c r="V11" s="180">
        <v>19</v>
      </c>
      <c r="W11" s="180">
        <v>0</v>
      </c>
      <c r="X11" s="180">
        <v>0</v>
      </c>
      <c r="Y11" s="180">
        <v>0</v>
      </c>
      <c r="Z11" s="180">
        <v>0</v>
      </c>
      <c r="AA11" s="180">
        <v>0</v>
      </c>
      <c r="AB11" s="180">
        <v>0</v>
      </c>
      <c r="AC11" s="180">
        <v>0</v>
      </c>
      <c r="AD11" s="180">
        <v>0</v>
      </c>
      <c r="AE11" s="180">
        <v>0</v>
      </c>
      <c r="AF11" s="182">
        <v>1175</v>
      </c>
      <c r="AG11" s="167"/>
      <c r="AH11" s="167"/>
    </row>
    <row r="12" spans="1:34" x14ac:dyDescent="0.25">
      <c r="A12" s="177" t="s">
        <v>361</v>
      </c>
      <c r="B12" s="177" t="s">
        <v>362</v>
      </c>
      <c r="C12" s="178" t="s">
        <v>120</v>
      </c>
      <c r="D12" s="179" t="s">
        <v>363</v>
      </c>
      <c r="E12" s="180">
        <v>0</v>
      </c>
      <c r="F12" s="180">
        <v>0</v>
      </c>
      <c r="G12" s="180">
        <v>0</v>
      </c>
      <c r="H12" s="180">
        <v>4796</v>
      </c>
      <c r="I12" s="180">
        <v>6396</v>
      </c>
      <c r="J12" s="180">
        <v>533</v>
      </c>
      <c r="K12" s="180">
        <v>2454</v>
      </c>
      <c r="L12" s="180">
        <v>0</v>
      </c>
      <c r="M12" s="180">
        <v>7304</v>
      </c>
      <c r="N12" s="180">
        <v>0</v>
      </c>
      <c r="O12" s="180">
        <v>0</v>
      </c>
      <c r="P12" s="180">
        <v>116413</v>
      </c>
      <c r="Q12" s="180">
        <v>838</v>
      </c>
      <c r="R12" s="180">
        <v>9564</v>
      </c>
      <c r="S12" s="180">
        <v>66719</v>
      </c>
      <c r="T12" s="180">
        <v>18264</v>
      </c>
      <c r="U12" s="180">
        <v>11731</v>
      </c>
      <c r="V12" s="180">
        <v>101851</v>
      </c>
      <c r="W12" s="180">
        <v>30912</v>
      </c>
      <c r="X12" s="180">
        <v>111548</v>
      </c>
      <c r="Y12" s="180">
        <v>3673</v>
      </c>
      <c r="Z12" s="180">
        <v>24018</v>
      </c>
      <c r="AA12" s="180">
        <v>0</v>
      </c>
      <c r="AB12" s="180">
        <v>0</v>
      </c>
      <c r="AC12" s="180">
        <v>0</v>
      </c>
      <c r="AD12" s="180">
        <v>7332</v>
      </c>
      <c r="AE12" s="180">
        <v>3070</v>
      </c>
      <c r="AF12" s="182">
        <v>66661</v>
      </c>
      <c r="AG12" s="167"/>
      <c r="AH12" s="167"/>
    </row>
    <row r="13" spans="1:34" x14ac:dyDescent="0.25">
      <c r="A13" s="177" t="s">
        <v>361</v>
      </c>
      <c r="B13" s="177" t="s">
        <v>362</v>
      </c>
      <c r="C13" s="178" t="s">
        <v>122</v>
      </c>
      <c r="D13" s="179" t="s">
        <v>363</v>
      </c>
      <c r="E13" s="180">
        <v>0</v>
      </c>
      <c r="F13" s="180">
        <v>0</v>
      </c>
      <c r="G13" s="180">
        <v>0</v>
      </c>
      <c r="H13" s="180">
        <v>0</v>
      </c>
      <c r="I13" s="180">
        <v>0</v>
      </c>
      <c r="J13" s="180">
        <v>0</v>
      </c>
      <c r="K13" s="180">
        <v>0</v>
      </c>
      <c r="L13" s="180">
        <v>0</v>
      </c>
      <c r="M13" s="180">
        <v>0</v>
      </c>
      <c r="N13" s="180">
        <v>0</v>
      </c>
      <c r="O13" s="180">
        <v>0</v>
      </c>
      <c r="P13" s="180">
        <v>150491</v>
      </c>
      <c r="Q13" s="180">
        <v>0</v>
      </c>
      <c r="R13" s="180">
        <v>0</v>
      </c>
      <c r="S13" s="180">
        <v>671</v>
      </c>
      <c r="T13" s="180">
        <v>0</v>
      </c>
      <c r="U13" s="180">
        <v>3394</v>
      </c>
      <c r="V13" s="180">
        <v>0</v>
      </c>
      <c r="W13" s="180">
        <v>0</v>
      </c>
      <c r="X13" s="180">
        <v>27491</v>
      </c>
      <c r="Y13" s="180">
        <v>0</v>
      </c>
      <c r="Z13" s="180">
        <v>0</v>
      </c>
      <c r="AA13" s="180">
        <v>0</v>
      </c>
      <c r="AB13" s="180">
        <v>0</v>
      </c>
      <c r="AC13" s="180">
        <v>0</v>
      </c>
      <c r="AD13" s="180">
        <v>0</v>
      </c>
      <c r="AE13" s="180">
        <v>0</v>
      </c>
      <c r="AF13" s="182">
        <v>0</v>
      </c>
      <c r="AG13" s="167"/>
      <c r="AH13" s="167"/>
    </row>
    <row r="14" spans="1:34" x14ac:dyDescent="0.25">
      <c r="A14" s="177" t="s">
        <v>361</v>
      </c>
      <c r="B14" s="177" t="s">
        <v>362</v>
      </c>
      <c r="C14" s="178" t="s">
        <v>124</v>
      </c>
      <c r="D14" s="179" t="s">
        <v>363</v>
      </c>
      <c r="E14" s="180">
        <v>0</v>
      </c>
      <c r="F14" s="180">
        <v>0</v>
      </c>
      <c r="G14" s="180">
        <v>0</v>
      </c>
      <c r="H14" s="180">
        <v>0</v>
      </c>
      <c r="I14" s="180">
        <v>469</v>
      </c>
      <c r="J14" s="180">
        <v>9110</v>
      </c>
      <c r="K14" s="180">
        <v>0</v>
      </c>
      <c r="L14" s="180">
        <v>0</v>
      </c>
      <c r="M14" s="180">
        <v>0</v>
      </c>
      <c r="N14" s="180">
        <v>0</v>
      </c>
      <c r="O14" s="180">
        <v>0</v>
      </c>
      <c r="P14" s="180">
        <v>699489</v>
      </c>
      <c r="Q14" s="180">
        <v>0</v>
      </c>
      <c r="R14" s="180">
        <v>1370</v>
      </c>
      <c r="S14" s="180">
        <v>2292</v>
      </c>
      <c r="T14" s="180">
        <v>671</v>
      </c>
      <c r="U14" s="180">
        <v>790</v>
      </c>
      <c r="V14" s="180">
        <v>0</v>
      </c>
      <c r="W14" s="180">
        <v>0</v>
      </c>
      <c r="X14" s="180">
        <v>1115</v>
      </c>
      <c r="Y14" s="180">
        <v>14</v>
      </c>
      <c r="Z14" s="180">
        <v>0</v>
      </c>
      <c r="AA14" s="180">
        <v>0</v>
      </c>
      <c r="AB14" s="180">
        <v>0</v>
      </c>
      <c r="AC14" s="180">
        <v>0</v>
      </c>
      <c r="AD14" s="180">
        <v>789</v>
      </c>
      <c r="AE14" s="180">
        <v>0</v>
      </c>
      <c r="AF14" s="182">
        <v>0</v>
      </c>
      <c r="AG14" s="167"/>
      <c r="AH14" s="167"/>
    </row>
    <row r="15" spans="1:34" x14ac:dyDescent="0.25">
      <c r="A15" s="177" t="s">
        <v>361</v>
      </c>
      <c r="B15" s="177" t="s">
        <v>362</v>
      </c>
      <c r="C15" s="178" t="s">
        <v>126</v>
      </c>
      <c r="D15" s="179" t="s">
        <v>363</v>
      </c>
      <c r="E15" s="180">
        <v>0</v>
      </c>
      <c r="F15" s="180">
        <v>12999</v>
      </c>
      <c r="G15" s="180">
        <v>1909</v>
      </c>
      <c r="H15" s="180">
        <v>31764</v>
      </c>
      <c r="I15" s="180">
        <v>15540</v>
      </c>
      <c r="J15" s="180">
        <v>35450</v>
      </c>
      <c r="K15" s="180">
        <v>51209</v>
      </c>
      <c r="L15" s="180">
        <v>0</v>
      </c>
      <c r="M15" s="180">
        <v>75578</v>
      </c>
      <c r="N15" s="180">
        <v>75244</v>
      </c>
      <c r="O15" s="180">
        <v>130</v>
      </c>
      <c r="P15" s="180">
        <v>1953857</v>
      </c>
      <c r="Q15" s="180">
        <v>32295</v>
      </c>
      <c r="R15" s="180">
        <v>91866</v>
      </c>
      <c r="S15" s="180">
        <v>83617</v>
      </c>
      <c r="T15" s="180">
        <v>164051</v>
      </c>
      <c r="U15" s="180">
        <v>349051</v>
      </c>
      <c r="V15" s="180">
        <v>23501</v>
      </c>
      <c r="W15" s="180">
        <v>0</v>
      </c>
      <c r="X15" s="180">
        <v>202335</v>
      </c>
      <c r="Y15" s="180">
        <v>24125</v>
      </c>
      <c r="Z15" s="180">
        <v>24849</v>
      </c>
      <c r="AA15" s="180">
        <v>35292</v>
      </c>
      <c r="AB15" s="180">
        <v>20678</v>
      </c>
      <c r="AC15" s="180">
        <v>0</v>
      </c>
      <c r="AD15" s="180">
        <v>171581</v>
      </c>
      <c r="AE15" s="180">
        <v>190670</v>
      </c>
      <c r="AF15" s="182">
        <v>448024</v>
      </c>
      <c r="AG15" s="167"/>
      <c r="AH15" s="167"/>
    </row>
    <row r="16" spans="1:34" x14ac:dyDescent="0.25">
      <c r="A16" s="177" t="s">
        <v>361</v>
      </c>
      <c r="B16" s="177" t="s">
        <v>362</v>
      </c>
      <c r="C16" s="178" t="s">
        <v>128</v>
      </c>
      <c r="D16" s="179" t="s">
        <v>363</v>
      </c>
      <c r="E16" s="180">
        <v>0</v>
      </c>
      <c r="F16" s="180">
        <v>6872</v>
      </c>
      <c r="G16" s="180">
        <v>0</v>
      </c>
      <c r="H16" s="180">
        <v>46571</v>
      </c>
      <c r="I16" s="180">
        <v>84406</v>
      </c>
      <c r="J16" s="180">
        <v>99351</v>
      </c>
      <c r="K16" s="180">
        <v>66636</v>
      </c>
      <c r="L16" s="180">
        <v>0</v>
      </c>
      <c r="M16" s="180">
        <v>76880</v>
      </c>
      <c r="N16" s="180">
        <v>146119</v>
      </c>
      <c r="O16" s="180">
        <v>5934</v>
      </c>
      <c r="P16" s="180">
        <v>1240400</v>
      </c>
      <c r="Q16" s="180">
        <v>17746</v>
      </c>
      <c r="R16" s="180">
        <v>81196</v>
      </c>
      <c r="S16" s="180">
        <v>84753</v>
      </c>
      <c r="T16" s="180">
        <v>284828</v>
      </c>
      <c r="U16" s="180">
        <v>382352</v>
      </c>
      <c r="V16" s="180">
        <v>39902</v>
      </c>
      <c r="W16" s="180">
        <v>0</v>
      </c>
      <c r="X16" s="180">
        <v>82509</v>
      </c>
      <c r="Y16" s="180">
        <v>72722</v>
      </c>
      <c r="Z16" s="180">
        <v>61902</v>
      </c>
      <c r="AA16" s="180">
        <v>706309</v>
      </c>
      <c r="AB16" s="180">
        <v>108561</v>
      </c>
      <c r="AC16" s="180">
        <v>17601</v>
      </c>
      <c r="AD16" s="180">
        <v>352442</v>
      </c>
      <c r="AE16" s="180">
        <v>37425</v>
      </c>
      <c r="AF16" s="182">
        <v>2285644</v>
      </c>
      <c r="AG16" s="167"/>
      <c r="AH16" s="167"/>
    </row>
    <row r="17" spans="1:34" x14ac:dyDescent="0.25">
      <c r="A17" s="177" t="s">
        <v>361</v>
      </c>
      <c r="B17" s="177" t="s">
        <v>362</v>
      </c>
      <c r="C17" s="178" t="s">
        <v>130</v>
      </c>
      <c r="D17" s="179" t="s">
        <v>363</v>
      </c>
      <c r="E17" s="180">
        <v>0</v>
      </c>
      <c r="F17" s="180">
        <v>0</v>
      </c>
      <c r="G17" s="180">
        <v>0</v>
      </c>
      <c r="H17" s="180">
        <v>0</v>
      </c>
      <c r="I17" s="180">
        <v>0</v>
      </c>
      <c r="J17" s="180">
        <v>13945</v>
      </c>
      <c r="K17" s="180">
        <v>0</v>
      </c>
      <c r="L17" s="180">
        <v>0</v>
      </c>
      <c r="M17" s="180">
        <v>0</v>
      </c>
      <c r="N17" s="180">
        <v>10533</v>
      </c>
      <c r="O17" s="180">
        <v>0</v>
      </c>
      <c r="P17" s="180">
        <v>1451781</v>
      </c>
      <c r="Q17" s="180">
        <v>52441</v>
      </c>
      <c r="R17" s="180">
        <v>12193</v>
      </c>
      <c r="S17" s="180">
        <v>50107</v>
      </c>
      <c r="T17" s="180">
        <v>83809</v>
      </c>
      <c r="U17" s="180">
        <v>191417</v>
      </c>
      <c r="V17" s="180">
        <v>0</v>
      </c>
      <c r="W17" s="180">
        <v>0</v>
      </c>
      <c r="X17" s="180">
        <v>0</v>
      </c>
      <c r="Y17" s="180">
        <v>0</v>
      </c>
      <c r="Z17" s="180">
        <v>0</v>
      </c>
      <c r="AA17" s="180">
        <v>0</v>
      </c>
      <c r="AB17" s="180">
        <v>0</v>
      </c>
      <c r="AC17" s="180">
        <v>0</v>
      </c>
      <c r="AD17" s="180">
        <v>518995</v>
      </c>
      <c r="AE17" s="180">
        <v>86325</v>
      </c>
      <c r="AF17" s="182">
        <v>122317</v>
      </c>
      <c r="AG17" s="167"/>
      <c r="AH17" s="167"/>
    </row>
    <row r="18" spans="1:34" x14ac:dyDescent="0.25">
      <c r="A18" s="177" t="s">
        <v>361</v>
      </c>
      <c r="B18" s="177" t="s">
        <v>362</v>
      </c>
      <c r="C18" s="178" t="s">
        <v>132</v>
      </c>
      <c r="D18" s="179" t="s">
        <v>363</v>
      </c>
      <c r="E18" s="180">
        <v>0</v>
      </c>
      <c r="F18" s="180">
        <v>1986</v>
      </c>
      <c r="G18" s="180">
        <v>0</v>
      </c>
      <c r="H18" s="180">
        <v>0</v>
      </c>
      <c r="I18" s="180">
        <v>0</v>
      </c>
      <c r="J18" s="180">
        <v>477</v>
      </c>
      <c r="K18" s="180">
        <v>56025</v>
      </c>
      <c r="L18" s="180">
        <v>0</v>
      </c>
      <c r="M18" s="180">
        <v>8876</v>
      </c>
      <c r="N18" s="180">
        <v>0</v>
      </c>
      <c r="O18" s="180">
        <v>0</v>
      </c>
      <c r="P18" s="180">
        <v>427300</v>
      </c>
      <c r="Q18" s="180">
        <v>741</v>
      </c>
      <c r="R18" s="180">
        <v>3163</v>
      </c>
      <c r="S18" s="180">
        <v>14021</v>
      </c>
      <c r="T18" s="180">
        <v>4344</v>
      </c>
      <c r="U18" s="180">
        <v>49361</v>
      </c>
      <c r="V18" s="180">
        <v>1215</v>
      </c>
      <c r="W18" s="180">
        <v>0</v>
      </c>
      <c r="X18" s="180">
        <v>22356</v>
      </c>
      <c r="Y18" s="180">
        <v>173</v>
      </c>
      <c r="Z18" s="180">
        <v>94</v>
      </c>
      <c r="AA18" s="180">
        <v>7816</v>
      </c>
      <c r="AB18" s="180">
        <v>473</v>
      </c>
      <c r="AC18" s="180">
        <v>0</v>
      </c>
      <c r="AD18" s="180">
        <v>195735</v>
      </c>
      <c r="AE18" s="180">
        <v>9674</v>
      </c>
      <c r="AF18" s="182">
        <v>4532</v>
      </c>
      <c r="AG18" s="167"/>
      <c r="AH18" s="167"/>
    </row>
    <row r="19" spans="1:34" x14ac:dyDescent="0.25">
      <c r="A19" s="177" t="s">
        <v>361</v>
      </c>
      <c r="B19" s="177" t="s">
        <v>362</v>
      </c>
      <c r="C19" s="178" t="s">
        <v>134</v>
      </c>
      <c r="D19" s="179" t="s">
        <v>363</v>
      </c>
      <c r="E19" s="180">
        <v>0</v>
      </c>
      <c r="F19" s="180">
        <v>1806</v>
      </c>
      <c r="G19" s="180">
        <v>979</v>
      </c>
      <c r="H19" s="180">
        <v>265</v>
      </c>
      <c r="I19" s="180">
        <v>4471</v>
      </c>
      <c r="J19" s="180">
        <v>1596</v>
      </c>
      <c r="K19" s="180">
        <v>103233</v>
      </c>
      <c r="L19" s="180">
        <v>0</v>
      </c>
      <c r="M19" s="180">
        <v>99262</v>
      </c>
      <c r="N19" s="180">
        <v>939</v>
      </c>
      <c r="O19" s="180">
        <v>0</v>
      </c>
      <c r="P19" s="180">
        <v>230833</v>
      </c>
      <c r="Q19" s="180">
        <v>2603</v>
      </c>
      <c r="R19" s="180">
        <v>16586</v>
      </c>
      <c r="S19" s="180">
        <v>65936</v>
      </c>
      <c r="T19" s="180">
        <v>29816</v>
      </c>
      <c r="U19" s="180">
        <v>163150</v>
      </c>
      <c r="V19" s="180">
        <v>14807</v>
      </c>
      <c r="W19" s="180">
        <v>522444</v>
      </c>
      <c r="X19" s="180">
        <v>339577</v>
      </c>
      <c r="Y19" s="180">
        <v>9573</v>
      </c>
      <c r="Z19" s="180">
        <v>415</v>
      </c>
      <c r="AA19" s="180">
        <v>11112</v>
      </c>
      <c r="AB19" s="180">
        <v>8703</v>
      </c>
      <c r="AC19" s="180">
        <v>0</v>
      </c>
      <c r="AD19" s="180">
        <v>199657</v>
      </c>
      <c r="AE19" s="180">
        <v>22505</v>
      </c>
      <c r="AF19" s="182">
        <v>64628</v>
      </c>
      <c r="AG19" s="167"/>
      <c r="AH19" s="167"/>
    </row>
    <row r="20" spans="1:34" x14ac:dyDescent="0.25">
      <c r="A20" s="177" t="s">
        <v>361</v>
      </c>
      <c r="B20" s="177" t="s">
        <v>362</v>
      </c>
      <c r="C20" s="167" t="s">
        <v>1701</v>
      </c>
      <c r="D20" s="179" t="s">
        <v>363</v>
      </c>
      <c r="E20" s="180">
        <v>0</v>
      </c>
      <c r="F20" s="180">
        <v>0</v>
      </c>
      <c r="G20" s="180">
        <v>0</v>
      </c>
      <c r="H20" s="180">
        <v>0</v>
      </c>
      <c r="I20" s="180">
        <v>0</v>
      </c>
      <c r="J20" s="180">
        <v>0</v>
      </c>
      <c r="K20" s="180">
        <v>0</v>
      </c>
      <c r="L20" s="180">
        <v>0</v>
      </c>
      <c r="M20" s="180">
        <v>0</v>
      </c>
      <c r="N20" s="180">
        <v>0</v>
      </c>
      <c r="O20" s="180">
        <v>0</v>
      </c>
      <c r="P20" s="180">
        <v>0</v>
      </c>
      <c r="Q20" s="180">
        <v>0</v>
      </c>
      <c r="R20" s="180">
        <v>0</v>
      </c>
      <c r="S20" s="180">
        <v>0</v>
      </c>
      <c r="T20" s="180">
        <v>0</v>
      </c>
      <c r="U20" s="180">
        <v>0</v>
      </c>
      <c r="V20" s="180">
        <v>0</v>
      </c>
      <c r="W20" s="180">
        <v>0</v>
      </c>
      <c r="X20" s="180">
        <v>0</v>
      </c>
      <c r="Y20" s="180">
        <v>0</v>
      </c>
      <c r="Z20" s="180">
        <v>0</v>
      </c>
      <c r="AA20" s="180">
        <v>0</v>
      </c>
      <c r="AB20" s="180">
        <v>0</v>
      </c>
      <c r="AC20" s="180">
        <v>0</v>
      </c>
      <c r="AD20" s="180">
        <v>0</v>
      </c>
      <c r="AE20" s="180">
        <v>0</v>
      </c>
      <c r="AF20" s="182">
        <v>0</v>
      </c>
      <c r="AG20" s="167"/>
      <c r="AH20" s="167"/>
    </row>
    <row r="21" spans="1:34" x14ac:dyDescent="0.25">
      <c r="A21" s="177" t="s">
        <v>361</v>
      </c>
      <c r="B21" s="177" t="s">
        <v>362</v>
      </c>
      <c r="C21" s="167" t="s">
        <v>137</v>
      </c>
      <c r="D21" s="179" t="s">
        <v>363</v>
      </c>
      <c r="E21" s="180">
        <v>0</v>
      </c>
      <c r="F21" s="180">
        <v>0</v>
      </c>
      <c r="G21" s="180">
        <v>0</v>
      </c>
      <c r="H21" s="180">
        <v>0</v>
      </c>
      <c r="I21" s="180">
        <v>0</v>
      </c>
      <c r="J21" s="180">
        <v>0</v>
      </c>
      <c r="K21" s="180">
        <v>0</v>
      </c>
      <c r="L21" s="180">
        <v>0</v>
      </c>
      <c r="M21" s="180">
        <v>0</v>
      </c>
      <c r="N21" s="180">
        <v>0</v>
      </c>
      <c r="O21" s="180">
        <v>0</v>
      </c>
      <c r="P21" s="180">
        <v>0</v>
      </c>
      <c r="Q21" s="180">
        <v>0</v>
      </c>
      <c r="R21" s="180">
        <v>0</v>
      </c>
      <c r="S21" s="180">
        <v>0</v>
      </c>
      <c r="T21" s="180">
        <v>24</v>
      </c>
      <c r="U21" s="180">
        <v>1</v>
      </c>
      <c r="V21" s="180">
        <v>0</v>
      </c>
      <c r="W21" s="180">
        <v>0</v>
      </c>
      <c r="X21" s="180">
        <v>0</v>
      </c>
      <c r="Y21" s="180">
        <v>0</v>
      </c>
      <c r="Z21" s="180">
        <v>0</v>
      </c>
      <c r="AA21" s="180">
        <v>0</v>
      </c>
      <c r="AB21" s="180">
        <v>0</v>
      </c>
      <c r="AC21" s="180">
        <v>0</v>
      </c>
      <c r="AD21" s="180">
        <v>0</v>
      </c>
      <c r="AE21" s="180">
        <v>0</v>
      </c>
      <c r="AF21" s="182">
        <v>0</v>
      </c>
      <c r="AG21" s="167"/>
      <c r="AH21" s="167"/>
    </row>
    <row r="22" spans="1:34" x14ac:dyDescent="0.25">
      <c r="A22" s="177" t="s">
        <v>361</v>
      </c>
      <c r="B22" s="177" t="s">
        <v>362</v>
      </c>
      <c r="C22" s="178" t="s">
        <v>139</v>
      </c>
      <c r="D22" s="179" t="s">
        <v>363</v>
      </c>
      <c r="E22" s="180">
        <v>0</v>
      </c>
      <c r="F22" s="180">
        <v>284</v>
      </c>
      <c r="G22" s="180">
        <v>0</v>
      </c>
      <c r="H22" s="180">
        <v>0</v>
      </c>
      <c r="I22" s="180">
        <v>3092</v>
      </c>
      <c r="J22" s="180">
        <v>0</v>
      </c>
      <c r="K22" s="180">
        <v>0</v>
      </c>
      <c r="L22" s="180">
        <v>0</v>
      </c>
      <c r="M22" s="180">
        <v>0</v>
      </c>
      <c r="N22" s="180">
        <v>0</v>
      </c>
      <c r="O22" s="180">
        <v>0</v>
      </c>
      <c r="P22" s="180">
        <v>0</v>
      </c>
      <c r="Q22" s="180">
        <v>16</v>
      </c>
      <c r="R22" s="180">
        <v>5804</v>
      </c>
      <c r="S22" s="180">
        <v>1710</v>
      </c>
      <c r="T22" s="180">
        <v>3074</v>
      </c>
      <c r="U22" s="180">
        <v>9587</v>
      </c>
      <c r="V22" s="180">
        <v>0</v>
      </c>
      <c r="W22" s="180">
        <v>0</v>
      </c>
      <c r="X22" s="180">
        <v>6396</v>
      </c>
      <c r="Y22" s="180">
        <v>1</v>
      </c>
      <c r="Z22" s="180">
        <v>377</v>
      </c>
      <c r="AA22" s="180">
        <v>0</v>
      </c>
      <c r="AB22" s="180">
        <v>0</v>
      </c>
      <c r="AC22" s="180">
        <v>0</v>
      </c>
      <c r="AD22" s="180">
        <v>5925</v>
      </c>
      <c r="AE22" s="180">
        <v>16376</v>
      </c>
      <c r="AF22" s="182">
        <v>7705</v>
      </c>
      <c r="AG22" s="167"/>
      <c r="AH22" s="167"/>
    </row>
    <row r="23" spans="1:34" x14ac:dyDescent="0.25">
      <c r="A23" s="183"/>
      <c r="B23" s="183"/>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67"/>
      <c r="AH23" s="167"/>
    </row>
    <row r="24" spans="1:34" x14ac:dyDescent="0.25">
      <c r="A24" s="177" t="s">
        <v>364</v>
      </c>
      <c r="B24" s="177" t="s">
        <v>365</v>
      </c>
      <c r="C24" s="178" t="s">
        <v>115</v>
      </c>
      <c r="D24" s="179" t="s">
        <v>363</v>
      </c>
      <c r="E24" s="180">
        <v>0</v>
      </c>
      <c r="F24" s="180">
        <v>0</v>
      </c>
      <c r="G24" s="180">
        <v>0</v>
      </c>
      <c r="H24" s="180">
        <v>0</v>
      </c>
      <c r="I24" s="180">
        <v>0</v>
      </c>
      <c r="J24" s="180">
        <v>0</v>
      </c>
      <c r="K24" s="180">
        <v>0</v>
      </c>
      <c r="L24" s="180">
        <v>0</v>
      </c>
      <c r="M24" s="180">
        <v>0</v>
      </c>
      <c r="N24" s="180">
        <v>0</v>
      </c>
      <c r="O24" s="180">
        <v>0</v>
      </c>
      <c r="P24" s="180">
        <v>0</v>
      </c>
      <c r="Q24" s="180">
        <v>0</v>
      </c>
      <c r="R24" s="180">
        <v>0</v>
      </c>
      <c r="S24" s="180">
        <v>0</v>
      </c>
      <c r="T24" s="180">
        <v>33</v>
      </c>
      <c r="U24" s="180">
        <v>0</v>
      </c>
      <c r="V24" s="180">
        <v>0</v>
      </c>
      <c r="W24" s="180">
        <v>0</v>
      </c>
      <c r="X24" s="180">
        <v>0</v>
      </c>
      <c r="Y24" s="180">
        <v>0</v>
      </c>
      <c r="Z24" s="180">
        <v>0</v>
      </c>
      <c r="AA24" s="180">
        <v>0</v>
      </c>
      <c r="AB24" s="180">
        <v>0</v>
      </c>
      <c r="AC24" s="180">
        <v>0</v>
      </c>
      <c r="AD24" s="180">
        <v>0</v>
      </c>
      <c r="AE24" s="180">
        <v>0</v>
      </c>
      <c r="AF24" s="182">
        <v>0</v>
      </c>
      <c r="AG24" s="167"/>
      <c r="AH24" s="167"/>
    </row>
    <row r="25" spans="1:34" x14ac:dyDescent="0.25">
      <c r="A25" s="177" t="s">
        <v>364</v>
      </c>
      <c r="B25" s="177" t="s">
        <v>365</v>
      </c>
      <c r="C25" s="178" t="s">
        <v>117</v>
      </c>
      <c r="D25" s="179" t="s">
        <v>363</v>
      </c>
      <c r="E25" s="180">
        <v>0</v>
      </c>
      <c r="F25" s="180">
        <v>35</v>
      </c>
      <c r="G25" s="180">
        <v>0</v>
      </c>
      <c r="H25" s="180">
        <v>0</v>
      </c>
      <c r="I25" s="180">
        <v>0</v>
      </c>
      <c r="J25" s="180">
        <v>0</v>
      </c>
      <c r="K25" s="180">
        <v>0</v>
      </c>
      <c r="L25" s="180">
        <v>0</v>
      </c>
      <c r="M25" s="180">
        <v>0</v>
      </c>
      <c r="N25" s="180">
        <v>0</v>
      </c>
      <c r="O25" s="180">
        <v>0</v>
      </c>
      <c r="P25" s="180">
        <v>9596</v>
      </c>
      <c r="Q25" s="180">
        <v>228</v>
      </c>
      <c r="R25" s="180">
        <v>2905</v>
      </c>
      <c r="S25" s="180">
        <v>668</v>
      </c>
      <c r="T25" s="180">
        <v>448</v>
      </c>
      <c r="U25" s="180">
        <v>444</v>
      </c>
      <c r="V25" s="180">
        <v>0</v>
      </c>
      <c r="W25" s="180">
        <v>257175</v>
      </c>
      <c r="X25" s="180">
        <v>0</v>
      </c>
      <c r="Y25" s="180">
        <v>0</v>
      </c>
      <c r="Z25" s="180">
        <v>0</v>
      </c>
      <c r="AA25" s="180">
        <v>0</v>
      </c>
      <c r="AB25" s="180">
        <v>0</v>
      </c>
      <c r="AC25" s="180">
        <v>0</v>
      </c>
      <c r="AD25" s="180">
        <v>225</v>
      </c>
      <c r="AE25" s="180">
        <v>0</v>
      </c>
      <c r="AF25" s="182">
        <v>0</v>
      </c>
      <c r="AG25" s="167"/>
      <c r="AH25" s="167"/>
    </row>
    <row r="26" spans="1:34" x14ac:dyDescent="0.25">
      <c r="A26" s="177" t="s">
        <v>364</v>
      </c>
      <c r="B26" s="177" t="s">
        <v>365</v>
      </c>
      <c r="C26" s="178" t="s">
        <v>119</v>
      </c>
      <c r="D26" s="179" t="s">
        <v>363</v>
      </c>
      <c r="E26" s="180">
        <v>0</v>
      </c>
      <c r="F26" s="180">
        <v>0</v>
      </c>
      <c r="G26" s="180">
        <v>0</v>
      </c>
      <c r="H26" s="180">
        <v>0</v>
      </c>
      <c r="I26" s="180">
        <v>0</v>
      </c>
      <c r="J26" s="180">
        <v>0</v>
      </c>
      <c r="K26" s="180">
        <v>0</v>
      </c>
      <c r="L26" s="180">
        <v>0</v>
      </c>
      <c r="M26" s="180">
        <v>0</v>
      </c>
      <c r="N26" s="180">
        <v>0</v>
      </c>
      <c r="O26" s="180">
        <v>0</v>
      </c>
      <c r="P26" s="180">
        <v>0</v>
      </c>
      <c r="Q26" s="180">
        <v>0</v>
      </c>
      <c r="R26" s="180">
        <v>0</v>
      </c>
      <c r="S26" s="180">
        <v>0</v>
      </c>
      <c r="T26" s="180">
        <v>3414</v>
      </c>
      <c r="U26" s="180">
        <v>5856</v>
      </c>
      <c r="V26" s="180">
        <v>168</v>
      </c>
      <c r="W26" s="180">
        <v>0</v>
      </c>
      <c r="X26" s="180">
        <v>0</v>
      </c>
      <c r="Y26" s="180">
        <v>0</v>
      </c>
      <c r="Z26" s="180">
        <v>0</v>
      </c>
      <c r="AA26" s="180">
        <v>0</v>
      </c>
      <c r="AB26" s="180">
        <v>0</v>
      </c>
      <c r="AC26" s="180">
        <v>0</v>
      </c>
      <c r="AD26" s="180">
        <v>0</v>
      </c>
      <c r="AE26" s="180">
        <v>0</v>
      </c>
      <c r="AF26" s="182">
        <v>13358</v>
      </c>
      <c r="AG26" s="167"/>
      <c r="AH26" s="167"/>
    </row>
    <row r="27" spans="1:34" x14ac:dyDescent="0.25">
      <c r="A27" s="177" t="s">
        <v>364</v>
      </c>
      <c r="B27" s="177" t="s">
        <v>365</v>
      </c>
      <c r="C27" s="178" t="s">
        <v>120</v>
      </c>
      <c r="D27" s="179" t="s">
        <v>363</v>
      </c>
      <c r="E27" s="180">
        <v>12399</v>
      </c>
      <c r="F27" s="180">
        <v>0</v>
      </c>
      <c r="G27" s="180">
        <v>0</v>
      </c>
      <c r="H27" s="180">
        <v>0</v>
      </c>
      <c r="I27" s="180">
        <v>0</v>
      </c>
      <c r="J27" s="180">
        <v>6097</v>
      </c>
      <c r="K27" s="180">
        <v>1424</v>
      </c>
      <c r="L27" s="180">
        <v>0</v>
      </c>
      <c r="M27" s="180">
        <v>0</v>
      </c>
      <c r="N27" s="180">
        <v>0</v>
      </c>
      <c r="O27" s="180">
        <v>0</v>
      </c>
      <c r="P27" s="180">
        <v>0</v>
      </c>
      <c r="Q27" s="180">
        <v>126</v>
      </c>
      <c r="R27" s="180">
        <v>135</v>
      </c>
      <c r="S27" s="180">
        <v>1184</v>
      </c>
      <c r="T27" s="180">
        <v>0</v>
      </c>
      <c r="U27" s="180">
        <v>15</v>
      </c>
      <c r="V27" s="180">
        <v>0</v>
      </c>
      <c r="W27" s="180">
        <v>163580</v>
      </c>
      <c r="X27" s="180">
        <v>0</v>
      </c>
      <c r="Y27" s="180">
        <v>0</v>
      </c>
      <c r="Z27" s="180">
        <v>52</v>
      </c>
      <c r="AA27" s="180">
        <v>0</v>
      </c>
      <c r="AB27" s="180">
        <v>0</v>
      </c>
      <c r="AC27" s="180">
        <v>0</v>
      </c>
      <c r="AD27" s="180">
        <v>638</v>
      </c>
      <c r="AE27" s="180">
        <v>0</v>
      </c>
      <c r="AF27" s="182">
        <v>0</v>
      </c>
      <c r="AG27" s="167"/>
      <c r="AH27" s="167"/>
    </row>
    <row r="28" spans="1:34" x14ac:dyDescent="0.25">
      <c r="A28" s="177" t="s">
        <v>364</v>
      </c>
      <c r="B28" s="177" t="s">
        <v>365</v>
      </c>
      <c r="C28" s="178" t="s">
        <v>124</v>
      </c>
      <c r="D28" s="179" t="s">
        <v>363</v>
      </c>
      <c r="E28" s="180">
        <v>0</v>
      </c>
      <c r="F28" s="180">
        <v>0</v>
      </c>
      <c r="G28" s="180">
        <v>0</v>
      </c>
      <c r="H28" s="180">
        <v>0</v>
      </c>
      <c r="I28" s="180">
        <v>0</v>
      </c>
      <c r="J28" s="180">
        <v>0</v>
      </c>
      <c r="K28" s="180">
        <v>0</v>
      </c>
      <c r="L28" s="180">
        <v>0</v>
      </c>
      <c r="M28" s="180">
        <v>0</v>
      </c>
      <c r="N28" s="180">
        <v>0</v>
      </c>
      <c r="O28" s="180">
        <v>0</v>
      </c>
      <c r="P28" s="180">
        <v>0</v>
      </c>
      <c r="Q28" s="180">
        <v>0</v>
      </c>
      <c r="R28" s="180">
        <v>0</v>
      </c>
      <c r="S28" s="180">
        <v>1</v>
      </c>
      <c r="T28" s="180">
        <v>0</v>
      </c>
      <c r="U28" s="180">
        <v>128</v>
      </c>
      <c r="V28" s="180">
        <v>0</v>
      </c>
      <c r="W28" s="180">
        <v>0</v>
      </c>
      <c r="X28" s="180">
        <v>0</v>
      </c>
      <c r="Y28" s="180">
        <v>0</v>
      </c>
      <c r="Z28" s="180">
        <v>0</v>
      </c>
      <c r="AA28" s="180">
        <v>0</v>
      </c>
      <c r="AB28" s="180">
        <v>0</v>
      </c>
      <c r="AC28" s="180">
        <v>0</v>
      </c>
      <c r="AD28" s="180">
        <v>0</v>
      </c>
      <c r="AE28" s="180">
        <v>0</v>
      </c>
      <c r="AF28" s="182">
        <v>0</v>
      </c>
      <c r="AG28" s="167"/>
      <c r="AH28" s="167"/>
    </row>
    <row r="29" spans="1:34" x14ac:dyDescent="0.25">
      <c r="A29" s="177" t="s">
        <v>364</v>
      </c>
      <c r="B29" s="177" t="s">
        <v>365</v>
      </c>
      <c r="C29" s="178" t="s">
        <v>126</v>
      </c>
      <c r="D29" s="179" t="s">
        <v>363</v>
      </c>
      <c r="E29" s="180">
        <v>0</v>
      </c>
      <c r="F29" s="180">
        <v>18515</v>
      </c>
      <c r="G29" s="180">
        <v>1191</v>
      </c>
      <c r="H29" s="180">
        <v>728</v>
      </c>
      <c r="I29" s="180">
        <v>9499</v>
      </c>
      <c r="J29" s="180">
        <v>9688</v>
      </c>
      <c r="K29" s="180">
        <v>474</v>
      </c>
      <c r="L29" s="180">
        <v>0</v>
      </c>
      <c r="M29" s="180">
        <v>0</v>
      </c>
      <c r="N29" s="180">
        <v>0</v>
      </c>
      <c r="O29" s="180">
        <v>649</v>
      </c>
      <c r="P29" s="180">
        <v>0</v>
      </c>
      <c r="Q29" s="180">
        <v>6474</v>
      </c>
      <c r="R29" s="180">
        <v>12033</v>
      </c>
      <c r="S29" s="180">
        <v>12253</v>
      </c>
      <c r="T29" s="180">
        <v>38314</v>
      </c>
      <c r="U29" s="180">
        <v>35854</v>
      </c>
      <c r="V29" s="180">
        <v>954</v>
      </c>
      <c r="W29" s="180">
        <v>0</v>
      </c>
      <c r="X29" s="180">
        <v>19562</v>
      </c>
      <c r="Y29" s="180">
        <v>1195</v>
      </c>
      <c r="Z29" s="180">
        <v>14298</v>
      </c>
      <c r="AA29" s="180">
        <v>0</v>
      </c>
      <c r="AB29" s="180">
        <v>2059</v>
      </c>
      <c r="AC29" s="180">
        <v>0</v>
      </c>
      <c r="AD29" s="180">
        <v>44211</v>
      </c>
      <c r="AE29" s="180">
        <v>0</v>
      </c>
      <c r="AF29" s="182">
        <v>168992</v>
      </c>
      <c r="AG29" s="167"/>
      <c r="AH29" s="167"/>
    </row>
    <row r="30" spans="1:34" x14ac:dyDescent="0.25">
      <c r="A30" s="177" t="s">
        <v>364</v>
      </c>
      <c r="B30" s="177" t="s">
        <v>365</v>
      </c>
      <c r="C30" s="178" t="s">
        <v>128</v>
      </c>
      <c r="D30" s="179" t="s">
        <v>363</v>
      </c>
      <c r="E30" s="180">
        <v>0</v>
      </c>
      <c r="F30" s="180">
        <v>139598</v>
      </c>
      <c r="G30" s="180">
        <v>0</v>
      </c>
      <c r="H30" s="180">
        <v>1</v>
      </c>
      <c r="I30" s="180">
        <v>2990</v>
      </c>
      <c r="J30" s="180">
        <v>4110</v>
      </c>
      <c r="K30" s="180">
        <v>0</v>
      </c>
      <c r="L30" s="180">
        <v>1009</v>
      </c>
      <c r="M30" s="180">
        <v>0</v>
      </c>
      <c r="N30" s="180">
        <v>18451</v>
      </c>
      <c r="O30" s="180">
        <v>1755</v>
      </c>
      <c r="P30" s="180">
        <v>0</v>
      </c>
      <c r="Q30" s="180">
        <v>1098</v>
      </c>
      <c r="R30" s="180">
        <v>18119</v>
      </c>
      <c r="S30" s="180">
        <v>12049</v>
      </c>
      <c r="T30" s="180">
        <v>38961</v>
      </c>
      <c r="U30" s="180">
        <v>34959</v>
      </c>
      <c r="V30" s="180">
        <v>0</v>
      </c>
      <c r="W30" s="180">
        <v>0</v>
      </c>
      <c r="X30" s="180">
        <v>2361</v>
      </c>
      <c r="Y30" s="180">
        <v>135</v>
      </c>
      <c r="Z30" s="180">
        <v>12030</v>
      </c>
      <c r="AA30" s="180">
        <v>0</v>
      </c>
      <c r="AB30" s="180">
        <v>0</v>
      </c>
      <c r="AC30" s="180">
        <v>0</v>
      </c>
      <c r="AD30" s="180">
        <v>157667</v>
      </c>
      <c r="AE30" s="180">
        <v>145</v>
      </c>
      <c r="AF30" s="182">
        <v>10344</v>
      </c>
      <c r="AG30" s="167"/>
      <c r="AH30" s="167"/>
    </row>
    <row r="31" spans="1:34" x14ac:dyDescent="0.25">
      <c r="A31" s="177" t="s">
        <v>364</v>
      </c>
      <c r="B31" s="177" t="s">
        <v>365</v>
      </c>
      <c r="C31" s="178" t="s">
        <v>130</v>
      </c>
      <c r="D31" s="179" t="s">
        <v>363</v>
      </c>
      <c r="E31" s="180">
        <v>0</v>
      </c>
      <c r="F31" s="180">
        <v>0</v>
      </c>
      <c r="G31" s="180">
        <v>0</v>
      </c>
      <c r="H31" s="180">
        <v>0</v>
      </c>
      <c r="I31" s="180">
        <v>0</v>
      </c>
      <c r="J31" s="180">
        <v>8068</v>
      </c>
      <c r="K31" s="180">
        <v>0</v>
      </c>
      <c r="L31" s="180">
        <v>0</v>
      </c>
      <c r="M31" s="180">
        <v>0</v>
      </c>
      <c r="N31" s="180">
        <v>33</v>
      </c>
      <c r="O31" s="180">
        <v>0</v>
      </c>
      <c r="P31" s="180">
        <v>0</v>
      </c>
      <c r="Q31" s="180">
        <v>597</v>
      </c>
      <c r="R31" s="180">
        <v>516</v>
      </c>
      <c r="S31" s="180">
        <v>1123</v>
      </c>
      <c r="T31" s="180">
        <v>98</v>
      </c>
      <c r="U31" s="180">
        <v>199</v>
      </c>
      <c r="V31" s="180">
        <v>0</v>
      </c>
      <c r="W31" s="180">
        <v>0</v>
      </c>
      <c r="X31" s="180">
        <v>0</v>
      </c>
      <c r="Y31" s="180">
        <v>0</v>
      </c>
      <c r="Z31" s="180">
        <v>0</v>
      </c>
      <c r="AA31" s="180">
        <v>0</v>
      </c>
      <c r="AB31" s="180">
        <v>0</v>
      </c>
      <c r="AC31" s="180">
        <v>0</v>
      </c>
      <c r="AD31" s="180">
        <v>18766</v>
      </c>
      <c r="AE31" s="180">
        <v>0</v>
      </c>
      <c r="AF31" s="182">
        <v>0</v>
      </c>
      <c r="AG31" s="167"/>
      <c r="AH31" s="167"/>
    </row>
    <row r="32" spans="1:34" x14ac:dyDescent="0.25">
      <c r="A32" s="177" t="s">
        <v>364</v>
      </c>
      <c r="B32" s="177" t="s">
        <v>365</v>
      </c>
      <c r="C32" s="178" t="s">
        <v>132</v>
      </c>
      <c r="D32" s="179" t="s">
        <v>363</v>
      </c>
      <c r="E32" s="180">
        <v>0</v>
      </c>
      <c r="F32" s="180">
        <v>482</v>
      </c>
      <c r="G32" s="180">
        <v>0</v>
      </c>
      <c r="H32" s="180">
        <v>0</v>
      </c>
      <c r="I32" s="180">
        <v>212</v>
      </c>
      <c r="J32" s="180">
        <v>519</v>
      </c>
      <c r="K32" s="180">
        <v>0</v>
      </c>
      <c r="L32" s="180">
        <v>0</v>
      </c>
      <c r="M32" s="180">
        <v>0</v>
      </c>
      <c r="N32" s="180">
        <v>4370</v>
      </c>
      <c r="O32" s="180">
        <v>102</v>
      </c>
      <c r="P32" s="180">
        <v>6513</v>
      </c>
      <c r="Q32" s="180">
        <v>231</v>
      </c>
      <c r="R32" s="180">
        <v>361</v>
      </c>
      <c r="S32" s="180">
        <v>2552</v>
      </c>
      <c r="T32" s="180">
        <v>2423</v>
      </c>
      <c r="U32" s="180">
        <v>439</v>
      </c>
      <c r="V32" s="180">
        <v>923</v>
      </c>
      <c r="W32" s="180">
        <v>0</v>
      </c>
      <c r="X32" s="180">
        <v>571</v>
      </c>
      <c r="Y32" s="180">
        <v>794</v>
      </c>
      <c r="Z32" s="180">
        <v>0</v>
      </c>
      <c r="AA32" s="180">
        <v>0</v>
      </c>
      <c r="AB32" s="180">
        <v>0</v>
      </c>
      <c r="AC32" s="180">
        <v>0</v>
      </c>
      <c r="AD32" s="180">
        <v>1120</v>
      </c>
      <c r="AE32" s="180">
        <v>774</v>
      </c>
      <c r="AF32" s="182">
        <v>20151</v>
      </c>
      <c r="AG32" s="167"/>
      <c r="AH32" s="167"/>
    </row>
    <row r="33" spans="1:34" x14ac:dyDescent="0.25">
      <c r="A33" s="177" t="s">
        <v>364</v>
      </c>
      <c r="B33" s="177" t="s">
        <v>365</v>
      </c>
      <c r="C33" s="178" t="s">
        <v>134</v>
      </c>
      <c r="D33" s="179" t="s">
        <v>363</v>
      </c>
      <c r="E33" s="180">
        <v>688</v>
      </c>
      <c r="F33" s="180">
        <v>13708</v>
      </c>
      <c r="G33" s="180">
        <v>1306</v>
      </c>
      <c r="H33" s="180">
        <v>27075</v>
      </c>
      <c r="I33" s="180">
        <v>34985</v>
      </c>
      <c r="J33" s="180">
        <v>21015</v>
      </c>
      <c r="K33" s="180">
        <v>61900</v>
      </c>
      <c r="L33" s="180">
        <v>0</v>
      </c>
      <c r="M33" s="180">
        <v>0</v>
      </c>
      <c r="N33" s="180">
        <v>86890</v>
      </c>
      <c r="O33" s="180">
        <v>7435</v>
      </c>
      <c r="P33" s="180">
        <v>504936</v>
      </c>
      <c r="Q33" s="180">
        <v>10379</v>
      </c>
      <c r="R33" s="180">
        <v>22162</v>
      </c>
      <c r="S33" s="180">
        <v>28956</v>
      </c>
      <c r="T33" s="180">
        <v>68648</v>
      </c>
      <c r="U33" s="180">
        <v>116826</v>
      </c>
      <c r="V33" s="180">
        <v>10103</v>
      </c>
      <c r="W33" s="180">
        <v>45637</v>
      </c>
      <c r="X33" s="180">
        <v>54669</v>
      </c>
      <c r="Y33" s="180">
        <v>10850</v>
      </c>
      <c r="Z33" s="180">
        <v>602</v>
      </c>
      <c r="AA33" s="180">
        <v>12827</v>
      </c>
      <c r="AB33" s="180">
        <v>7748</v>
      </c>
      <c r="AC33" s="180">
        <v>0</v>
      </c>
      <c r="AD33" s="180">
        <v>110832</v>
      </c>
      <c r="AE33" s="180">
        <v>28822</v>
      </c>
      <c r="AF33" s="182">
        <v>401889</v>
      </c>
      <c r="AG33" s="167"/>
      <c r="AH33" s="167"/>
    </row>
    <row r="34" spans="1:34" x14ac:dyDescent="0.25">
      <c r="A34" s="177" t="s">
        <v>364</v>
      </c>
      <c r="B34" s="177" t="s">
        <v>365</v>
      </c>
      <c r="C34" s="167" t="s">
        <v>1701</v>
      </c>
      <c r="D34" s="179" t="s">
        <v>363</v>
      </c>
      <c r="E34" s="180">
        <v>0</v>
      </c>
      <c r="F34" s="180">
        <v>0</v>
      </c>
      <c r="G34" s="180">
        <v>0</v>
      </c>
      <c r="H34" s="180">
        <v>0</v>
      </c>
      <c r="I34" s="180">
        <v>0</v>
      </c>
      <c r="J34" s="180">
        <v>0</v>
      </c>
      <c r="K34" s="180">
        <v>0</v>
      </c>
      <c r="L34" s="180">
        <v>0</v>
      </c>
      <c r="M34" s="180">
        <v>0</v>
      </c>
      <c r="N34" s="180">
        <v>0</v>
      </c>
      <c r="O34" s="180">
        <v>0</v>
      </c>
      <c r="P34" s="180">
        <v>0</v>
      </c>
      <c r="Q34" s="180">
        <v>0</v>
      </c>
      <c r="R34" s="180">
        <v>0</v>
      </c>
      <c r="S34" s="180">
        <v>9</v>
      </c>
      <c r="T34" s="180">
        <v>0</v>
      </c>
      <c r="U34" s="180">
        <v>0</v>
      </c>
      <c r="V34" s="180">
        <v>0</v>
      </c>
      <c r="W34" s="180">
        <v>0</v>
      </c>
      <c r="X34" s="180">
        <v>0</v>
      </c>
      <c r="Y34" s="180">
        <v>0</v>
      </c>
      <c r="Z34" s="180">
        <v>0</v>
      </c>
      <c r="AA34" s="180">
        <v>0</v>
      </c>
      <c r="AB34" s="180">
        <v>0</v>
      </c>
      <c r="AC34" s="180">
        <v>0</v>
      </c>
      <c r="AD34" s="180">
        <v>0</v>
      </c>
      <c r="AE34" s="180">
        <v>0</v>
      </c>
      <c r="AF34" s="182">
        <v>0</v>
      </c>
      <c r="AG34" s="167"/>
      <c r="AH34" s="167"/>
    </row>
    <row r="35" spans="1:34" x14ac:dyDescent="0.25">
      <c r="A35" s="177" t="s">
        <v>364</v>
      </c>
      <c r="B35" s="177" t="s">
        <v>365</v>
      </c>
      <c r="C35" s="167" t="s">
        <v>137</v>
      </c>
      <c r="D35" s="179" t="s">
        <v>363</v>
      </c>
      <c r="E35" s="180">
        <v>0</v>
      </c>
      <c r="F35" s="180">
        <v>0</v>
      </c>
      <c r="G35" s="180">
        <v>0</v>
      </c>
      <c r="H35" s="180">
        <v>0</v>
      </c>
      <c r="I35" s="180">
        <v>0</v>
      </c>
      <c r="J35" s="180">
        <v>0</v>
      </c>
      <c r="K35" s="180">
        <v>0</v>
      </c>
      <c r="L35" s="180">
        <v>0</v>
      </c>
      <c r="M35" s="180">
        <v>0</v>
      </c>
      <c r="N35" s="180">
        <v>0</v>
      </c>
      <c r="O35" s="180">
        <v>0</v>
      </c>
      <c r="P35" s="180">
        <v>0</v>
      </c>
      <c r="Q35" s="180">
        <v>0</v>
      </c>
      <c r="R35" s="180">
        <v>0</v>
      </c>
      <c r="S35" s="180">
        <v>0</v>
      </c>
      <c r="T35" s="180">
        <v>8</v>
      </c>
      <c r="U35" s="180">
        <v>0</v>
      </c>
      <c r="V35" s="180">
        <v>0</v>
      </c>
      <c r="W35" s="180">
        <v>0</v>
      </c>
      <c r="X35" s="180">
        <v>0</v>
      </c>
      <c r="Y35" s="180">
        <v>0</v>
      </c>
      <c r="Z35" s="180">
        <v>0</v>
      </c>
      <c r="AA35" s="180">
        <v>0</v>
      </c>
      <c r="AB35" s="180">
        <v>0</v>
      </c>
      <c r="AC35" s="180">
        <v>0</v>
      </c>
      <c r="AD35" s="180">
        <v>0</v>
      </c>
      <c r="AE35" s="180">
        <v>0</v>
      </c>
      <c r="AF35" s="182">
        <v>0</v>
      </c>
      <c r="AG35" s="167"/>
      <c r="AH35" s="167"/>
    </row>
    <row r="36" spans="1:34" x14ac:dyDescent="0.25">
      <c r="A36" s="177" t="s">
        <v>364</v>
      </c>
      <c r="B36" s="177" t="s">
        <v>365</v>
      </c>
      <c r="C36" s="178" t="s">
        <v>139</v>
      </c>
      <c r="D36" s="179" t="s">
        <v>363</v>
      </c>
      <c r="E36" s="180">
        <v>0</v>
      </c>
      <c r="F36" s="180">
        <v>0</v>
      </c>
      <c r="G36" s="180">
        <v>0</v>
      </c>
      <c r="H36" s="180">
        <v>0</v>
      </c>
      <c r="I36" s="180">
        <v>0</v>
      </c>
      <c r="J36" s="180">
        <v>0</v>
      </c>
      <c r="K36" s="180">
        <v>0</v>
      </c>
      <c r="L36" s="180">
        <v>0</v>
      </c>
      <c r="M36" s="180">
        <v>0</v>
      </c>
      <c r="N36" s="180">
        <v>0</v>
      </c>
      <c r="O36" s="180">
        <v>0</v>
      </c>
      <c r="P36" s="180">
        <v>0</v>
      </c>
      <c r="Q36" s="180">
        <v>0</v>
      </c>
      <c r="R36" s="180">
        <v>0</v>
      </c>
      <c r="S36" s="180">
        <v>1</v>
      </c>
      <c r="T36" s="180">
        <v>0</v>
      </c>
      <c r="U36" s="180">
        <v>16</v>
      </c>
      <c r="V36" s="180">
        <v>0</v>
      </c>
      <c r="W36" s="180">
        <v>0</v>
      </c>
      <c r="X36" s="180">
        <v>0</v>
      </c>
      <c r="Y36" s="180">
        <v>0</v>
      </c>
      <c r="Z36" s="180">
        <v>0</v>
      </c>
      <c r="AA36" s="180">
        <v>0</v>
      </c>
      <c r="AB36" s="180">
        <v>0</v>
      </c>
      <c r="AC36" s="180">
        <v>0</v>
      </c>
      <c r="AD36" s="180">
        <v>2</v>
      </c>
      <c r="AE36" s="180">
        <v>1279</v>
      </c>
      <c r="AF36" s="182">
        <v>0</v>
      </c>
      <c r="AG36" s="167"/>
      <c r="AH36" s="167"/>
    </row>
    <row r="37" spans="1:34" x14ac:dyDescent="0.25">
      <c r="A37" s="183"/>
      <c r="B37" s="183"/>
      <c r="C37" s="184"/>
      <c r="D37" s="184"/>
      <c r="E37" s="184"/>
      <c r="F37" s="184"/>
      <c r="G37" s="184"/>
      <c r="H37" s="184"/>
      <c r="I37" s="184"/>
      <c r="J37" s="184"/>
      <c r="K37" s="184"/>
      <c r="L37" s="184"/>
      <c r="M37" s="184"/>
      <c r="N37" s="184"/>
      <c r="O37" s="184"/>
      <c r="P37" s="184"/>
      <c r="Q37" s="184"/>
      <c r="R37" s="184"/>
      <c r="S37" s="184"/>
      <c r="T37" s="184"/>
      <c r="U37" s="184"/>
      <c r="V37" s="184"/>
      <c r="W37" s="184"/>
      <c r="X37" s="184"/>
      <c r="Y37" s="184"/>
      <c r="Z37" s="184"/>
      <c r="AA37" s="184"/>
      <c r="AB37" s="184"/>
      <c r="AC37" s="184"/>
      <c r="AD37" s="184"/>
      <c r="AE37" s="184"/>
      <c r="AF37" s="184"/>
      <c r="AG37" s="167"/>
      <c r="AH37" s="167"/>
    </row>
    <row r="38" spans="1:34" x14ac:dyDescent="0.25">
      <c r="A38" s="177" t="s">
        <v>366</v>
      </c>
      <c r="B38" s="177" t="s">
        <v>88</v>
      </c>
      <c r="C38" s="178" t="s">
        <v>113</v>
      </c>
      <c r="D38" s="179" t="s">
        <v>363</v>
      </c>
      <c r="E38" s="180">
        <v>0</v>
      </c>
      <c r="F38" s="180">
        <v>3350</v>
      </c>
      <c r="G38" s="180">
        <v>0</v>
      </c>
      <c r="H38" s="180">
        <v>18142</v>
      </c>
      <c r="I38" s="180">
        <v>1087</v>
      </c>
      <c r="J38" s="180">
        <v>9890</v>
      </c>
      <c r="K38" s="180">
        <v>2654</v>
      </c>
      <c r="L38" s="180">
        <v>0</v>
      </c>
      <c r="M38" s="180">
        <v>0</v>
      </c>
      <c r="N38" s="180">
        <v>22913</v>
      </c>
      <c r="O38" s="180">
        <v>0</v>
      </c>
      <c r="P38" s="180">
        <v>3295185</v>
      </c>
      <c r="Q38" s="180">
        <v>50486</v>
      </c>
      <c r="R38" s="180">
        <v>5251</v>
      </c>
      <c r="S38" s="180">
        <v>27059</v>
      </c>
      <c r="T38" s="180">
        <v>1528</v>
      </c>
      <c r="U38" s="180">
        <v>74530</v>
      </c>
      <c r="V38" s="180">
        <v>3260</v>
      </c>
      <c r="W38" s="180">
        <v>444595</v>
      </c>
      <c r="X38" s="180">
        <v>162330</v>
      </c>
      <c r="Y38" s="180">
        <v>591</v>
      </c>
      <c r="Z38" s="180">
        <v>2785</v>
      </c>
      <c r="AA38" s="180">
        <v>2545</v>
      </c>
      <c r="AB38" s="180">
        <v>2354</v>
      </c>
      <c r="AC38" s="180">
        <v>0</v>
      </c>
      <c r="AD38" s="180">
        <v>150231</v>
      </c>
      <c r="AE38" s="180">
        <v>2115</v>
      </c>
      <c r="AF38" s="182">
        <v>66793</v>
      </c>
      <c r="AG38" s="167"/>
      <c r="AH38" s="167"/>
    </row>
    <row r="39" spans="1:34" x14ac:dyDescent="0.25">
      <c r="A39" s="177" t="s">
        <v>366</v>
      </c>
      <c r="B39" s="177" t="s">
        <v>88</v>
      </c>
      <c r="C39" s="178" t="s">
        <v>115</v>
      </c>
      <c r="D39" s="179" t="s">
        <v>363</v>
      </c>
      <c r="E39" s="180">
        <v>0</v>
      </c>
      <c r="F39" s="180">
        <v>0</v>
      </c>
      <c r="G39" s="180">
        <v>0</v>
      </c>
      <c r="H39" s="180">
        <v>0</v>
      </c>
      <c r="I39" s="180">
        <v>0</v>
      </c>
      <c r="J39" s="180">
        <v>0</v>
      </c>
      <c r="K39" s="180">
        <v>0</v>
      </c>
      <c r="L39" s="180">
        <v>0</v>
      </c>
      <c r="M39" s="180">
        <v>0</v>
      </c>
      <c r="N39" s="180">
        <v>51</v>
      </c>
      <c r="O39" s="180">
        <v>0</v>
      </c>
      <c r="P39" s="180">
        <v>0</v>
      </c>
      <c r="Q39" s="180">
        <v>0</v>
      </c>
      <c r="R39" s="180">
        <v>0</v>
      </c>
      <c r="S39" s="180">
        <v>0</v>
      </c>
      <c r="T39" s="180">
        <v>0</v>
      </c>
      <c r="U39" s="180">
        <v>0</v>
      </c>
      <c r="V39" s="180">
        <v>0</v>
      </c>
      <c r="W39" s="180">
        <v>0</v>
      </c>
      <c r="X39" s="180">
        <v>0</v>
      </c>
      <c r="Y39" s="180">
        <v>0</v>
      </c>
      <c r="Z39" s="180">
        <v>0</v>
      </c>
      <c r="AA39" s="180">
        <v>0</v>
      </c>
      <c r="AB39" s="180">
        <v>0</v>
      </c>
      <c r="AC39" s="180">
        <v>0</v>
      </c>
      <c r="AD39" s="180">
        <v>0</v>
      </c>
      <c r="AE39" s="180">
        <v>0</v>
      </c>
      <c r="AF39" s="182">
        <v>0</v>
      </c>
      <c r="AG39" s="167"/>
      <c r="AH39" s="167"/>
    </row>
    <row r="40" spans="1:34" x14ac:dyDescent="0.25">
      <c r="A40" s="177" t="s">
        <v>366</v>
      </c>
      <c r="B40" s="177" t="s">
        <v>88</v>
      </c>
      <c r="C40" s="178" t="s">
        <v>117</v>
      </c>
      <c r="D40" s="179" t="s">
        <v>363</v>
      </c>
      <c r="E40" s="180">
        <v>0</v>
      </c>
      <c r="F40" s="180">
        <v>0</v>
      </c>
      <c r="G40" s="180">
        <v>0</v>
      </c>
      <c r="H40" s="180">
        <v>0</v>
      </c>
      <c r="I40" s="180">
        <v>0</v>
      </c>
      <c r="J40" s="180">
        <v>0</v>
      </c>
      <c r="K40" s="180">
        <v>0</v>
      </c>
      <c r="L40" s="180">
        <v>0</v>
      </c>
      <c r="M40" s="180">
        <v>154213</v>
      </c>
      <c r="N40" s="180">
        <v>10</v>
      </c>
      <c r="O40" s="180">
        <v>0</v>
      </c>
      <c r="P40" s="180">
        <v>30723</v>
      </c>
      <c r="Q40" s="180">
        <v>114</v>
      </c>
      <c r="R40" s="180">
        <v>652</v>
      </c>
      <c r="S40" s="180">
        <v>281</v>
      </c>
      <c r="T40" s="180">
        <v>18</v>
      </c>
      <c r="U40" s="180">
        <v>17</v>
      </c>
      <c r="V40" s="180">
        <v>0</v>
      </c>
      <c r="W40" s="180">
        <v>0</v>
      </c>
      <c r="X40" s="180">
        <v>260</v>
      </c>
      <c r="Y40" s="180">
        <v>8</v>
      </c>
      <c r="Z40" s="180">
        <v>0</v>
      </c>
      <c r="AA40" s="180">
        <v>0</v>
      </c>
      <c r="AB40" s="180">
        <v>0</v>
      </c>
      <c r="AC40" s="180">
        <v>0</v>
      </c>
      <c r="AD40" s="180">
        <v>35</v>
      </c>
      <c r="AE40" s="180">
        <v>0</v>
      </c>
      <c r="AF40" s="182">
        <v>0</v>
      </c>
      <c r="AG40" s="167"/>
      <c r="AH40" s="167"/>
    </row>
    <row r="41" spans="1:34" x14ac:dyDescent="0.25">
      <c r="A41" s="177" t="s">
        <v>366</v>
      </c>
      <c r="B41" s="177" t="s">
        <v>88</v>
      </c>
      <c r="C41" s="178" t="s">
        <v>119</v>
      </c>
      <c r="D41" s="179" t="s">
        <v>363</v>
      </c>
      <c r="E41" s="180">
        <v>0</v>
      </c>
      <c r="F41" s="180">
        <v>0</v>
      </c>
      <c r="G41" s="180">
        <v>0</v>
      </c>
      <c r="H41" s="180">
        <v>0</v>
      </c>
      <c r="I41" s="180">
        <v>0</v>
      </c>
      <c r="J41" s="180">
        <v>0</v>
      </c>
      <c r="K41" s="180">
        <v>0</v>
      </c>
      <c r="L41" s="180">
        <v>0</v>
      </c>
      <c r="M41" s="180">
        <v>130</v>
      </c>
      <c r="N41" s="180">
        <v>0</v>
      </c>
      <c r="O41" s="180">
        <v>0</v>
      </c>
      <c r="P41" s="180">
        <v>0</v>
      </c>
      <c r="Q41" s="180">
        <v>0</v>
      </c>
      <c r="R41" s="180">
        <v>0</v>
      </c>
      <c r="S41" s="180">
        <v>0</v>
      </c>
      <c r="T41" s="180">
        <v>13</v>
      </c>
      <c r="U41" s="180">
        <v>73</v>
      </c>
      <c r="V41" s="180">
        <v>16</v>
      </c>
      <c r="W41" s="180">
        <v>0</v>
      </c>
      <c r="X41" s="180">
        <v>0</v>
      </c>
      <c r="Y41" s="180">
        <v>0</v>
      </c>
      <c r="Z41" s="180">
        <v>0</v>
      </c>
      <c r="AA41" s="180">
        <v>0</v>
      </c>
      <c r="AB41" s="180">
        <v>0</v>
      </c>
      <c r="AC41" s="180">
        <v>0</v>
      </c>
      <c r="AD41" s="180">
        <v>0</v>
      </c>
      <c r="AE41" s="180">
        <v>0</v>
      </c>
      <c r="AF41" s="182">
        <v>74</v>
      </c>
      <c r="AG41" s="167"/>
      <c r="AH41" s="167"/>
    </row>
    <row r="42" spans="1:34" x14ac:dyDescent="0.25">
      <c r="A42" s="177" t="s">
        <v>366</v>
      </c>
      <c r="B42" s="177" t="s">
        <v>88</v>
      </c>
      <c r="C42" s="178" t="s">
        <v>120</v>
      </c>
      <c r="D42" s="179" t="s">
        <v>363</v>
      </c>
      <c r="E42" s="180">
        <v>0</v>
      </c>
      <c r="F42" s="180">
        <v>12</v>
      </c>
      <c r="G42" s="180">
        <v>0</v>
      </c>
      <c r="H42" s="180">
        <v>71951</v>
      </c>
      <c r="I42" s="180">
        <v>619</v>
      </c>
      <c r="J42" s="180">
        <v>23523</v>
      </c>
      <c r="K42" s="180">
        <v>2814</v>
      </c>
      <c r="L42" s="180">
        <v>0</v>
      </c>
      <c r="M42" s="180">
        <v>97348</v>
      </c>
      <c r="N42" s="180">
        <v>9662</v>
      </c>
      <c r="O42" s="180">
        <v>0</v>
      </c>
      <c r="P42" s="180">
        <v>1928956</v>
      </c>
      <c r="Q42" s="180">
        <v>52266</v>
      </c>
      <c r="R42" s="180">
        <v>10469</v>
      </c>
      <c r="S42" s="180">
        <v>24265</v>
      </c>
      <c r="T42" s="180">
        <v>8927</v>
      </c>
      <c r="U42" s="180">
        <v>47029</v>
      </c>
      <c r="V42" s="180">
        <v>8759</v>
      </c>
      <c r="W42" s="180">
        <v>1394366</v>
      </c>
      <c r="X42" s="180">
        <v>129508</v>
      </c>
      <c r="Y42" s="180">
        <v>848</v>
      </c>
      <c r="Z42" s="180">
        <v>16346</v>
      </c>
      <c r="AA42" s="180">
        <v>0</v>
      </c>
      <c r="AB42" s="180">
        <v>0</v>
      </c>
      <c r="AC42" s="180">
        <v>0</v>
      </c>
      <c r="AD42" s="180">
        <v>107526</v>
      </c>
      <c r="AE42" s="180">
        <v>67288</v>
      </c>
      <c r="AF42" s="182">
        <v>8862</v>
      </c>
      <c r="AG42" s="167"/>
      <c r="AH42" s="167"/>
    </row>
    <row r="43" spans="1:34" x14ac:dyDescent="0.25">
      <c r="A43" s="177" t="s">
        <v>366</v>
      </c>
      <c r="B43" s="177" t="s">
        <v>88</v>
      </c>
      <c r="C43" s="178" t="s">
        <v>122</v>
      </c>
      <c r="D43" s="179" t="s">
        <v>363</v>
      </c>
      <c r="E43" s="180">
        <v>0</v>
      </c>
      <c r="F43" s="180">
        <v>0</v>
      </c>
      <c r="G43" s="180">
        <v>0</v>
      </c>
      <c r="H43" s="180">
        <v>21130</v>
      </c>
      <c r="I43" s="180">
        <v>924</v>
      </c>
      <c r="J43" s="180">
        <v>0</v>
      </c>
      <c r="K43" s="180">
        <v>0</v>
      </c>
      <c r="L43" s="180">
        <v>0</v>
      </c>
      <c r="M43" s="180">
        <v>54127</v>
      </c>
      <c r="N43" s="180">
        <v>22488</v>
      </c>
      <c r="O43" s="180">
        <v>0</v>
      </c>
      <c r="P43" s="180">
        <v>617157</v>
      </c>
      <c r="Q43" s="180">
        <v>30632</v>
      </c>
      <c r="R43" s="180">
        <v>3222</v>
      </c>
      <c r="S43" s="180">
        <v>18883</v>
      </c>
      <c r="T43" s="180">
        <v>5516</v>
      </c>
      <c r="U43" s="180">
        <v>51073</v>
      </c>
      <c r="V43" s="180">
        <v>0</v>
      </c>
      <c r="W43" s="180">
        <v>83377</v>
      </c>
      <c r="X43" s="180">
        <v>146300</v>
      </c>
      <c r="Y43" s="180">
        <v>581</v>
      </c>
      <c r="Z43" s="180">
        <v>10998</v>
      </c>
      <c r="AA43" s="180">
        <v>2250</v>
      </c>
      <c r="AB43" s="180">
        <v>8208</v>
      </c>
      <c r="AC43" s="180">
        <v>0</v>
      </c>
      <c r="AD43" s="180">
        <v>159043</v>
      </c>
      <c r="AE43" s="180">
        <v>76851</v>
      </c>
      <c r="AF43" s="182">
        <v>217</v>
      </c>
      <c r="AG43" s="167"/>
      <c r="AH43" s="167"/>
    </row>
    <row r="44" spans="1:34" x14ac:dyDescent="0.25">
      <c r="A44" s="177" t="s">
        <v>366</v>
      </c>
      <c r="B44" s="177" t="s">
        <v>88</v>
      </c>
      <c r="C44" s="178" t="s">
        <v>124</v>
      </c>
      <c r="D44" s="179" t="s">
        <v>363</v>
      </c>
      <c r="E44" s="180">
        <v>0</v>
      </c>
      <c r="F44" s="180">
        <v>4412</v>
      </c>
      <c r="G44" s="180">
        <v>0</v>
      </c>
      <c r="H44" s="180">
        <v>5818</v>
      </c>
      <c r="I44" s="180">
        <v>12236</v>
      </c>
      <c r="J44" s="180">
        <v>26917</v>
      </c>
      <c r="K44" s="180">
        <v>205</v>
      </c>
      <c r="L44" s="180">
        <v>0</v>
      </c>
      <c r="M44" s="180">
        <v>283664</v>
      </c>
      <c r="N44" s="180">
        <v>17130</v>
      </c>
      <c r="O44" s="180">
        <v>3438</v>
      </c>
      <c r="P44" s="180">
        <v>1222902</v>
      </c>
      <c r="Q44" s="180">
        <v>59712</v>
      </c>
      <c r="R44" s="180">
        <v>14629</v>
      </c>
      <c r="S44" s="180">
        <v>13200</v>
      </c>
      <c r="T44" s="180">
        <v>26744</v>
      </c>
      <c r="U44" s="180">
        <v>36830</v>
      </c>
      <c r="V44" s="180">
        <v>164616</v>
      </c>
      <c r="W44" s="180">
        <v>203359</v>
      </c>
      <c r="X44" s="180">
        <v>56845</v>
      </c>
      <c r="Y44" s="180">
        <v>1658</v>
      </c>
      <c r="Z44" s="180">
        <v>27828</v>
      </c>
      <c r="AA44" s="180">
        <v>0</v>
      </c>
      <c r="AB44" s="180">
        <v>21137</v>
      </c>
      <c r="AC44" s="180">
        <v>0</v>
      </c>
      <c r="AD44" s="180">
        <v>745252</v>
      </c>
      <c r="AE44" s="180">
        <v>48706</v>
      </c>
      <c r="AF44" s="182">
        <v>73871</v>
      </c>
      <c r="AG44" s="167"/>
      <c r="AH44" s="167"/>
    </row>
    <row r="45" spans="1:34" x14ac:dyDescent="0.25">
      <c r="A45" s="177" t="s">
        <v>366</v>
      </c>
      <c r="B45" s="177" t="s">
        <v>88</v>
      </c>
      <c r="C45" s="178" t="s">
        <v>126</v>
      </c>
      <c r="D45" s="179" t="s">
        <v>363</v>
      </c>
      <c r="E45" s="180">
        <v>5910</v>
      </c>
      <c r="F45" s="180">
        <v>3073</v>
      </c>
      <c r="G45" s="180">
        <v>996</v>
      </c>
      <c r="H45" s="180">
        <v>68980</v>
      </c>
      <c r="I45" s="180">
        <v>17187</v>
      </c>
      <c r="J45" s="180">
        <v>87381</v>
      </c>
      <c r="K45" s="180">
        <v>31525</v>
      </c>
      <c r="L45" s="180">
        <v>0</v>
      </c>
      <c r="M45" s="180">
        <v>85630</v>
      </c>
      <c r="N45" s="180">
        <v>29498</v>
      </c>
      <c r="O45" s="180">
        <v>2600</v>
      </c>
      <c r="P45" s="180">
        <v>2476426</v>
      </c>
      <c r="Q45" s="180">
        <v>82468</v>
      </c>
      <c r="R45" s="180">
        <v>34999</v>
      </c>
      <c r="S45" s="180">
        <v>55264</v>
      </c>
      <c r="T45" s="180">
        <v>172024</v>
      </c>
      <c r="U45" s="180">
        <v>160828</v>
      </c>
      <c r="V45" s="180">
        <v>29588</v>
      </c>
      <c r="W45" s="180">
        <v>0</v>
      </c>
      <c r="X45" s="180">
        <v>242581</v>
      </c>
      <c r="Y45" s="180">
        <v>10324</v>
      </c>
      <c r="Z45" s="180">
        <v>89012</v>
      </c>
      <c r="AA45" s="180">
        <v>16627</v>
      </c>
      <c r="AB45" s="180">
        <v>19429</v>
      </c>
      <c r="AC45" s="180">
        <v>0</v>
      </c>
      <c r="AD45" s="180">
        <v>223477</v>
      </c>
      <c r="AE45" s="180">
        <v>190737</v>
      </c>
      <c r="AF45" s="182">
        <v>204414</v>
      </c>
      <c r="AG45" s="167"/>
      <c r="AH45" s="167"/>
    </row>
    <row r="46" spans="1:34" x14ac:dyDescent="0.25">
      <c r="A46" s="177" t="s">
        <v>366</v>
      </c>
      <c r="B46" s="177" t="s">
        <v>88</v>
      </c>
      <c r="C46" s="178" t="s">
        <v>128</v>
      </c>
      <c r="D46" s="179" t="s">
        <v>363</v>
      </c>
      <c r="E46" s="180">
        <v>0</v>
      </c>
      <c r="F46" s="180">
        <v>104833</v>
      </c>
      <c r="G46" s="180">
        <v>0</v>
      </c>
      <c r="H46" s="180">
        <v>9200</v>
      </c>
      <c r="I46" s="180">
        <v>8424</v>
      </c>
      <c r="J46" s="180">
        <v>25226</v>
      </c>
      <c r="K46" s="180">
        <v>14925</v>
      </c>
      <c r="L46" s="180">
        <v>703</v>
      </c>
      <c r="M46" s="180">
        <v>47780</v>
      </c>
      <c r="N46" s="180">
        <v>74810</v>
      </c>
      <c r="O46" s="180">
        <v>600</v>
      </c>
      <c r="P46" s="180">
        <v>480778</v>
      </c>
      <c r="Q46" s="180">
        <v>72277</v>
      </c>
      <c r="R46" s="180">
        <v>17269</v>
      </c>
      <c r="S46" s="180">
        <v>54976</v>
      </c>
      <c r="T46" s="180">
        <v>104030</v>
      </c>
      <c r="U46" s="180">
        <v>152623</v>
      </c>
      <c r="V46" s="180">
        <v>99662</v>
      </c>
      <c r="W46" s="180">
        <v>20464</v>
      </c>
      <c r="X46" s="180">
        <v>96854</v>
      </c>
      <c r="Y46" s="180">
        <v>46032</v>
      </c>
      <c r="Z46" s="180">
        <v>56876</v>
      </c>
      <c r="AA46" s="180">
        <v>67429</v>
      </c>
      <c r="AB46" s="180">
        <v>154058</v>
      </c>
      <c r="AC46" s="180">
        <v>10662</v>
      </c>
      <c r="AD46" s="180">
        <v>488520</v>
      </c>
      <c r="AE46" s="180">
        <v>65147</v>
      </c>
      <c r="AF46" s="182">
        <v>393069</v>
      </c>
      <c r="AG46" s="167"/>
      <c r="AH46" s="167"/>
    </row>
    <row r="47" spans="1:34" x14ac:dyDescent="0.25">
      <c r="A47" s="177" t="s">
        <v>366</v>
      </c>
      <c r="B47" s="177" t="s">
        <v>88</v>
      </c>
      <c r="C47" s="178" t="s">
        <v>130</v>
      </c>
      <c r="D47" s="179" t="s">
        <v>363</v>
      </c>
      <c r="E47" s="180">
        <v>0</v>
      </c>
      <c r="F47" s="180">
        <v>0</v>
      </c>
      <c r="G47" s="180">
        <v>0</v>
      </c>
      <c r="H47" s="180">
        <v>0</v>
      </c>
      <c r="I47" s="180">
        <v>0</v>
      </c>
      <c r="J47" s="180">
        <v>35700</v>
      </c>
      <c r="K47" s="180">
        <v>0</v>
      </c>
      <c r="L47" s="180">
        <v>0</v>
      </c>
      <c r="M47" s="180">
        <v>0</v>
      </c>
      <c r="N47" s="180">
        <v>57</v>
      </c>
      <c r="O47" s="180">
        <v>0</v>
      </c>
      <c r="P47" s="180">
        <v>196349</v>
      </c>
      <c r="Q47" s="180">
        <v>53476</v>
      </c>
      <c r="R47" s="180">
        <v>7</v>
      </c>
      <c r="S47" s="180">
        <v>7779</v>
      </c>
      <c r="T47" s="180">
        <v>7443</v>
      </c>
      <c r="U47" s="180">
        <v>5515</v>
      </c>
      <c r="V47" s="180">
        <v>0</v>
      </c>
      <c r="W47" s="180">
        <v>0</v>
      </c>
      <c r="X47" s="180">
        <v>0</v>
      </c>
      <c r="Y47" s="180">
        <v>0</v>
      </c>
      <c r="Z47" s="180">
        <v>0</v>
      </c>
      <c r="AA47" s="180">
        <v>0</v>
      </c>
      <c r="AB47" s="180">
        <v>0</v>
      </c>
      <c r="AC47" s="180">
        <v>0</v>
      </c>
      <c r="AD47" s="180">
        <v>253881</v>
      </c>
      <c r="AE47" s="180">
        <v>235</v>
      </c>
      <c r="AF47" s="182">
        <v>7327</v>
      </c>
      <c r="AG47" s="167"/>
      <c r="AH47" s="167"/>
    </row>
    <row r="48" spans="1:34" x14ac:dyDescent="0.25">
      <c r="A48" s="177" t="s">
        <v>366</v>
      </c>
      <c r="B48" s="177" t="s">
        <v>88</v>
      </c>
      <c r="C48" s="178" t="s">
        <v>132</v>
      </c>
      <c r="D48" s="179" t="s">
        <v>363</v>
      </c>
      <c r="E48" s="180">
        <v>0</v>
      </c>
      <c r="F48" s="180">
        <v>0</v>
      </c>
      <c r="G48" s="180">
        <v>0</v>
      </c>
      <c r="H48" s="180">
        <v>0</v>
      </c>
      <c r="I48" s="180">
        <v>30</v>
      </c>
      <c r="J48" s="180">
        <v>4113</v>
      </c>
      <c r="K48" s="180">
        <v>4750</v>
      </c>
      <c r="L48" s="180">
        <v>0</v>
      </c>
      <c r="M48" s="180">
        <v>2051</v>
      </c>
      <c r="N48" s="180">
        <v>0</v>
      </c>
      <c r="O48" s="180">
        <v>95</v>
      </c>
      <c r="P48" s="180">
        <v>4530</v>
      </c>
      <c r="Q48" s="180">
        <v>214</v>
      </c>
      <c r="R48" s="180">
        <v>113</v>
      </c>
      <c r="S48" s="180">
        <v>113</v>
      </c>
      <c r="T48" s="180">
        <v>1831</v>
      </c>
      <c r="U48" s="180">
        <v>7278</v>
      </c>
      <c r="V48" s="180">
        <v>3300</v>
      </c>
      <c r="W48" s="180">
        <v>0</v>
      </c>
      <c r="X48" s="180">
        <v>12887</v>
      </c>
      <c r="Y48" s="180">
        <v>8</v>
      </c>
      <c r="Z48" s="180">
        <v>111</v>
      </c>
      <c r="AA48" s="180">
        <v>0</v>
      </c>
      <c r="AB48" s="180">
        <v>180</v>
      </c>
      <c r="AC48" s="180">
        <v>0</v>
      </c>
      <c r="AD48" s="180">
        <v>547</v>
      </c>
      <c r="AE48" s="180">
        <v>2646</v>
      </c>
      <c r="AF48" s="182">
        <v>91</v>
      </c>
      <c r="AG48" s="167"/>
      <c r="AH48" s="167"/>
    </row>
    <row r="49" spans="1:34" x14ac:dyDescent="0.25">
      <c r="A49" s="177" t="s">
        <v>366</v>
      </c>
      <c r="B49" s="177" t="s">
        <v>88</v>
      </c>
      <c r="C49" s="178" t="s">
        <v>134</v>
      </c>
      <c r="D49" s="179" t="s">
        <v>363</v>
      </c>
      <c r="E49" s="180">
        <v>0</v>
      </c>
      <c r="F49" s="180">
        <v>2322</v>
      </c>
      <c r="G49" s="180">
        <v>307</v>
      </c>
      <c r="H49" s="180">
        <v>506</v>
      </c>
      <c r="I49" s="180">
        <v>841</v>
      </c>
      <c r="J49" s="180">
        <v>17078</v>
      </c>
      <c r="K49" s="180">
        <v>11368</v>
      </c>
      <c r="L49" s="180">
        <v>0</v>
      </c>
      <c r="M49" s="180">
        <v>10017</v>
      </c>
      <c r="N49" s="180">
        <v>184</v>
      </c>
      <c r="O49" s="180">
        <v>254</v>
      </c>
      <c r="P49" s="180">
        <v>49643</v>
      </c>
      <c r="Q49" s="180">
        <v>6717</v>
      </c>
      <c r="R49" s="180">
        <v>842</v>
      </c>
      <c r="S49" s="180">
        <v>303</v>
      </c>
      <c r="T49" s="180">
        <v>5904</v>
      </c>
      <c r="U49" s="180">
        <v>3667</v>
      </c>
      <c r="V49" s="180">
        <v>18434</v>
      </c>
      <c r="W49" s="180">
        <v>46654</v>
      </c>
      <c r="X49" s="180">
        <v>37886</v>
      </c>
      <c r="Y49" s="180">
        <v>473</v>
      </c>
      <c r="Z49" s="180">
        <v>570</v>
      </c>
      <c r="AA49" s="180">
        <v>701</v>
      </c>
      <c r="AB49" s="180">
        <v>3110</v>
      </c>
      <c r="AC49" s="180">
        <v>0</v>
      </c>
      <c r="AD49" s="180">
        <v>13374</v>
      </c>
      <c r="AE49" s="180">
        <v>357</v>
      </c>
      <c r="AF49" s="182">
        <v>3635</v>
      </c>
      <c r="AG49" s="167"/>
      <c r="AH49" s="167"/>
    </row>
    <row r="50" spans="1:34" x14ac:dyDescent="0.25">
      <c r="A50" s="177" t="s">
        <v>366</v>
      </c>
      <c r="B50" s="177" t="s">
        <v>88</v>
      </c>
      <c r="C50" s="167" t="s">
        <v>1701</v>
      </c>
      <c r="D50" s="179" t="s">
        <v>363</v>
      </c>
      <c r="E50" s="180">
        <v>0</v>
      </c>
      <c r="F50" s="180">
        <v>0</v>
      </c>
      <c r="G50" s="180">
        <v>0</v>
      </c>
      <c r="H50" s="180">
        <v>0</v>
      </c>
      <c r="I50" s="180">
        <v>0</v>
      </c>
      <c r="J50" s="180">
        <v>0</v>
      </c>
      <c r="K50" s="180">
        <v>0</v>
      </c>
      <c r="L50" s="180">
        <v>0</v>
      </c>
      <c r="M50" s="180">
        <v>0</v>
      </c>
      <c r="N50" s="180">
        <v>0</v>
      </c>
      <c r="O50" s="180">
        <v>0</v>
      </c>
      <c r="P50" s="180">
        <v>0</v>
      </c>
      <c r="Q50" s="180">
        <v>0</v>
      </c>
      <c r="R50" s="180">
        <v>0</v>
      </c>
      <c r="S50" s="180">
        <v>0</v>
      </c>
      <c r="T50" s="180">
        <v>0</v>
      </c>
      <c r="U50" s="180">
        <v>0</v>
      </c>
      <c r="V50" s="180">
        <v>0</v>
      </c>
      <c r="W50" s="180">
        <v>0</v>
      </c>
      <c r="X50" s="180">
        <v>0</v>
      </c>
      <c r="Y50" s="180">
        <v>0</v>
      </c>
      <c r="Z50" s="180">
        <v>0</v>
      </c>
      <c r="AA50" s="180">
        <v>0</v>
      </c>
      <c r="AB50" s="180">
        <v>0</v>
      </c>
      <c r="AC50" s="180">
        <v>0</v>
      </c>
      <c r="AD50" s="180">
        <v>0</v>
      </c>
      <c r="AE50" s="180">
        <v>0</v>
      </c>
      <c r="AF50" s="182">
        <v>0</v>
      </c>
      <c r="AG50" s="167"/>
      <c r="AH50" s="167"/>
    </row>
    <row r="51" spans="1:34" x14ac:dyDescent="0.25">
      <c r="A51" s="177" t="s">
        <v>366</v>
      </c>
      <c r="B51" s="177" t="s">
        <v>88</v>
      </c>
      <c r="C51" s="167" t="s">
        <v>137</v>
      </c>
      <c r="D51" s="179" t="s">
        <v>363</v>
      </c>
      <c r="E51" s="180">
        <v>0</v>
      </c>
      <c r="F51" s="180">
        <v>0</v>
      </c>
      <c r="G51" s="180">
        <v>0</v>
      </c>
      <c r="H51" s="180">
        <v>0</v>
      </c>
      <c r="I51" s="180">
        <v>0</v>
      </c>
      <c r="J51" s="180">
        <v>0</v>
      </c>
      <c r="K51" s="180">
        <v>0</v>
      </c>
      <c r="L51" s="180">
        <v>0</v>
      </c>
      <c r="M51" s="180">
        <v>0</v>
      </c>
      <c r="N51" s="180">
        <v>0</v>
      </c>
      <c r="O51" s="180">
        <v>0</v>
      </c>
      <c r="P51" s="180">
        <v>0</v>
      </c>
      <c r="Q51" s="180">
        <v>0</v>
      </c>
      <c r="R51" s="180">
        <v>0</v>
      </c>
      <c r="S51" s="180">
        <v>0</v>
      </c>
      <c r="T51" s="180">
        <v>0</v>
      </c>
      <c r="U51" s="180">
        <v>0</v>
      </c>
      <c r="V51" s="180">
        <v>0</v>
      </c>
      <c r="W51" s="180">
        <v>0</v>
      </c>
      <c r="X51" s="180">
        <v>0</v>
      </c>
      <c r="Y51" s="180">
        <v>0</v>
      </c>
      <c r="Z51" s="180">
        <v>0</v>
      </c>
      <c r="AA51" s="180">
        <v>0</v>
      </c>
      <c r="AB51" s="180">
        <v>0</v>
      </c>
      <c r="AC51" s="180">
        <v>0</v>
      </c>
      <c r="AD51" s="180">
        <v>0</v>
      </c>
      <c r="AE51" s="180">
        <v>0</v>
      </c>
      <c r="AF51" s="182">
        <v>0</v>
      </c>
      <c r="AG51" s="167"/>
      <c r="AH51" s="167"/>
    </row>
    <row r="52" spans="1:34" x14ac:dyDescent="0.25">
      <c r="A52" s="177" t="s">
        <v>366</v>
      </c>
      <c r="B52" s="177" t="s">
        <v>88</v>
      </c>
      <c r="C52" s="178" t="s">
        <v>139</v>
      </c>
      <c r="D52" s="179" t="s">
        <v>363</v>
      </c>
      <c r="E52" s="180">
        <v>0</v>
      </c>
      <c r="F52" s="180">
        <v>0</v>
      </c>
      <c r="G52" s="180">
        <v>0</v>
      </c>
      <c r="H52" s="180">
        <v>0</v>
      </c>
      <c r="I52" s="180">
        <v>0</v>
      </c>
      <c r="J52" s="180">
        <v>0</v>
      </c>
      <c r="K52" s="180">
        <v>0</v>
      </c>
      <c r="L52" s="180">
        <v>0</v>
      </c>
      <c r="M52" s="180">
        <v>0</v>
      </c>
      <c r="N52" s="180">
        <v>0</v>
      </c>
      <c r="O52" s="180">
        <v>0</v>
      </c>
      <c r="P52" s="180">
        <v>0</v>
      </c>
      <c r="Q52" s="180">
        <v>0</v>
      </c>
      <c r="R52" s="180">
        <v>59</v>
      </c>
      <c r="S52" s="180">
        <v>26</v>
      </c>
      <c r="T52" s="180">
        <v>0</v>
      </c>
      <c r="U52" s="180">
        <v>64</v>
      </c>
      <c r="V52" s="180">
        <v>0</v>
      </c>
      <c r="W52" s="180">
        <v>0</v>
      </c>
      <c r="X52" s="180">
        <v>1444</v>
      </c>
      <c r="Y52" s="180">
        <v>0</v>
      </c>
      <c r="Z52" s="180">
        <v>126</v>
      </c>
      <c r="AA52" s="180">
        <v>0</v>
      </c>
      <c r="AB52" s="180">
        <v>0</v>
      </c>
      <c r="AC52" s="180">
        <v>0</v>
      </c>
      <c r="AD52" s="180">
        <v>53909</v>
      </c>
      <c r="AE52" s="180">
        <v>359</v>
      </c>
      <c r="AF52" s="182">
        <v>0</v>
      </c>
      <c r="AG52" s="167"/>
      <c r="AH52" s="167"/>
    </row>
    <row r="53" spans="1:34" x14ac:dyDescent="0.25">
      <c r="A53" s="183"/>
      <c r="B53" s="183"/>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67"/>
      <c r="AH53" s="167"/>
    </row>
    <row r="54" spans="1:34" x14ac:dyDescent="0.25">
      <c r="A54" s="177" t="s">
        <v>367</v>
      </c>
      <c r="B54" s="177" t="s">
        <v>368</v>
      </c>
      <c r="C54" s="178" t="s">
        <v>113</v>
      </c>
      <c r="D54" s="179" t="s">
        <v>363</v>
      </c>
      <c r="E54" s="180">
        <v>0</v>
      </c>
      <c r="F54" s="180">
        <v>0</v>
      </c>
      <c r="G54" s="180">
        <v>0</v>
      </c>
      <c r="H54" s="180">
        <v>0</v>
      </c>
      <c r="I54" s="180">
        <v>0</v>
      </c>
      <c r="J54" s="180">
        <v>0</v>
      </c>
      <c r="K54" s="180">
        <v>0</v>
      </c>
      <c r="L54" s="180">
        <v>0</v>
      </c>
      <c r="M54" s="180">
        <v>0</v>
      </c>
      <c r="N54" s="180">
        <v>0</v>
      </c>
      <c r="O54" s="180">
        <v>0</v>
      </c>
      <c r="P54" s="180">
        <v>0</v>
      </c>
      <c r="Q54" s="180">
        <v>0</v>
      </c>
      <c r="R54" s="180">
        <v>165</v>
      </c>
      <c r="S54" s="180">
        <v>0</v>
      </c>
      <c r="T54" s="180">
        <v>0</v>
      </c>
      <c r="U54" s="180">
        <v>0</v>
      </c>
      <c r="V54" s="180">
        <v>0</v>
      </c>
      <c r="W54" s="180">
        <v>0</v>
      </c>
      <c r="X54" s="180">
        <v>235</v>
      </c>
      <c r="Y54" s="180">
        <v>0</v>
      </c>
      <c r="Z54" s="180">
        <v>0</v>
      </c>
      <c r="AA54" s="180">
        <v>0</v>
      </c>
      <c r="AB54" s="180">
        <v>0</v>
      </c>
      <c r="AC54" s="180">
        <v>0</v>
      </c>
      <c r="AD54" s="180">
        <v>0</v>
      </c>
      <c r="AE54" s="180">
        <v>0</v>
      </c>
      <c r="AF54" s="182">
        <v>0</v>
      </c>
      <c r="AG54" s="167"/>
      <c r="AH54" s="167"/>
    </row>
    <row r="55" spans="1:34" x14ac:dyDescent="0.25">
      <c r="A55" s="177" t="s">
        <v>367</v>
      </c>
      <c r="B55" s="177" t="s">
        <v>368</v>
      </c>
      <c r="C55" s="178" t="s">
        <v>115</v>
      </c>
      <c r="D55" s="179" t="s">
        <v>363</v>
      </c>
      <c r="E55" s="180">
        <v>0</v>
      </c>
      <c r="F55" s="180">
        <v>0</v>
      </c>
      <c r="G55" s="180">
        <v>0</v>
      </c>
      <c r="H55" s="180">
        <v>0</v>
      </c>
      <c r="I55" s="180">
        <v>83</v>
      </c>
      <c r="J55" s="180">
        <v>0</v>
      </c>
      <c r="K55" s="180">
        <v>0</v>
      </c>
      <c r="L55" s="180">
        <v>0</v>
      </c>
      <c r="M55" s="180">
        <v>0</v>
      </c>
      <c r="N55" s="180">
        <v>0</v>
      </c>
      <c r="O55" s="180">
        <v>0</v>
      </c>
      <c r="P55" s="180">
        <v>0</v>
      </c>
      <c r="Q55" s="180">
        <v>0</v>
      </c>
      <c r="R55" s="180">
        <v>13</v>
      </c>
      <c r="S55" s="180">
        <v>25</v>
      </c>
      <c r="T55" s="180">
        <v>275</v>
      </c>
      <c r="U55" s="180">
        <v>108</v>
      </c>
      <c r="V55" s="180">
        <v>0</v>
      </c>
      <c r="W55" s="180">
        <v>0</v>
      </c>
      <c r="X55" s="180">
        <v>0</v>
      </c>
      <c r="Y55" s="180">
        <v>0</v>
      </c>
      <c r="Z55" s="180">
        <v>0</v>
      </c>
      <c r="AA55" s="180">
        <v>0</v>
      </c>
      <c r="AB55" s="180">
        <v>0</v>
      </c>
      <c r="AC55" s="180">
        <v>0</v>
      </c>
      <c r="AD55" s="180">
        <v>0</v>
      </c>
      <c r="AE55" s="180">
        <v>0</v>
      </c>
      <c r="AF55" s="182">
        <v>0</v>
      </c>
      <c r="AG55" s="167"/>
      <c r="AH55" s="167"/>
    </row>
    <row r="56" spans="1:34" x14ac:dyDescent="0.25">
      <c r="A56" s="177" t="s">
        <v>367</v>
      </c>
      <c r="B56" s="177" t="s">
        <v>368</v>
      </c>
      <c r="C56" s="178" t="s">
        <v>117</v>
      </c>
      <c r="D56" s="179" t="s">
        <v>363</v>
      </c>
      <c r="E56" s="180">
        <v>0</v>
      </c>
      <c r="F56" s="180">
        <v>2989</v>
      </c>
      <c r="G56" s="180">
        <v>445</v>
      </c>
      <c r="H56" s="180">
        <v>1284</v>
      </c>
      <c r="I56" s="180">
        <v>3033</v>
      </c>
      <c r="J56" s="180">
        <v>1</v>
      </c>
      <c r="K56" s="180">
        <v>19800</v>
      </c>
      <c r="L56" s="180">
        <v>0</v>
      </c>
      <c r="M56" s="180">
        <v>6843</v>
      </c>
      <c r="N56" s="180">
        <v>924</v>
      </c>
      <c r="O56" s="180">
        <v>0</v>
      </c>
      <c r="P56" s="180">
        <v>11296</v>
      </c>
      <c r="Q56" s="180">
        <v>324</v>
      </c>
      <c r="R56" s="180">
        <v>11924</v>
      </c>
      <c r="S56" s="180">
        <v>4261</v>
      </c>
      <c r="T56" s="180">
        <v>32992</v>
      </c>
      <c r="U56" s="180">
        <v>8514</v>
      </c>
      <c r="V56" s="180">
        <v>0</v>
      </c>
      <c r="W56" s="180">
        <v>0</v>
      </c>
      <c r="X56" s="180">
        <v>6059</v>
      </c>
      <c r="Y56" s="180">
        <v>935</v>
      </c>
      <c r="Z56" s="180">
        <v>0</v>
      </c>
      <c r="AA56" s="180">
        <v>0</v>
      </c>
      <c r="AB56" s="180">
        <v>0</v>
      </c>
      <c r="AC56" s="180">
        <v>0</v>
      </c>
      <c r="AD56" s="180">
        <v>54</v>
      </c>
      <c r="AE56" s="180">
        <v>68</v>
      </c>
      <c r="AF56" s="182">
        <v>21052</v>
      </c>
      <c r="AG56" s="167"/>
      <c r="AH56" s="167"/>
    </row>
    <row r="57" spans="1:34" x14ac:dyDescent="0.25">
      <c r="A57" s="177" t="s">
        <v>367</v>
      </c>
      <c r="B57" s="177" t="s">
        <v>368</v>
      </c>
      <c r="C57" s="178" t="s">
        <v>119</v>
      </c>
      <c r="D57" s="179" t="s">
        <v>363</v>
      </c>
      <c r="E57" s="180">
        <v>0</v>
      </c>
      <c r="F57" s="180">
        <v>0</v>
      </c>
      <c r="G57" s="180">
        <v>0</v>
      </c>
      <c r="H57" s="180">
        <v>0</v>
      </c>
      <c r="I57" s="180">
        <v>0</v>
      </c>
      <c r="J57" s="180">
        <v>0</v>
      </c>
      <c r="K57" s="180">
        <v>0</v>
      </c>
      <c r="L57" s="180">
        <v>0</v>
      </c>
      <c r="M57" s="180">
        <v>228</v>
      </c>
      <c r="N57" s="180">
        <v>0</v>
      </c>
      <c r="O57" s="180">
        <v>0</v>
      </c>
      <c r="P57" s="180">
        <v>0</v>
      </c>
      <c r="Q57" s="180">
        <v>0</v>
      </c>
      <c r="R57" s="180">
        <v>0</v>
      </c>
      <c r="S57" s="180">
        <v>2</v>
      </c>
      <c r="T57" s="180">
        <v>80</v>
      </c>
      <c r="U57" s="180">
        <v>440</v>
      </c>
      <c r="V57" s="180">
        <v>42</v>
      </c>
      <c r="W57" s="180">
        <v>0</v>
      </c>
      <c r="X57" s="180">
        <v>0</v>
      </c>
      <c r="Y57" s="180">
        <v>0</v>
      </c>
      <c r="Z57" s="180">
        <v>0</v>
      </c>
      <c r="AA57" s="180">
        <v>0</v>
      </c>
      <c r="AB57" s="180">
        <v>0</v>
      </c>
      <c r="AC57" s="180">
        <v>0</v>
      </c>
      <c r="AD57" s="180">
        <v>0</v>
      </c>
      <c r="AE57" s="180">
        <v>0</v>
      </c>
      <c r="AF57" s="182">
        <v>273</v>
      </c>
      <c r="AG57" s="167"/>
      <c r="AH57" s="167"/>
    </row>
    <row r="58" spans="1:34" x14ac:dyDescent="0.25">
      <c r="A58" s="177" t="s">
        <v>367</v>
      </c>
      <c r="B58" s="177" t="s">
        <v>368</v>
      </c>
      <c r="C58" s="178" t="s">
        <v>120</v>
      </c>
      <c r="D58" s="179" t="s">
        <v>363</v>
      </c>
      <c r="E58" s="180">
        <v>27523</v>
      </c>
      <c r="F58" s="180">
        <v>101160</v>
      </c>
      <c r="G58" s="180">
        <v>17390</v>
      </c>
      <c r="H58" s="180">
        <v>41000</v>
      </c>
      <c r="I58" s="180">
        <v>21761</v>
      </c>
      <c r="J58" s="180">
        <v>56808</v>
      </c>
      <c r="K58" s="180">
        <v>365731</v>
      </c>
      <c r="L58" s="180">
        <v>155792</v>
      </c>
      <c r="M58" s="180">
        <v>3098</v>
      </c>
      <c r="N58" s="180">
        <v>9657</v>
      </c>
      <c r="O58" s="180">
        <v>99</v>
      </c>
      <c r="P58" s="180">
        <v>0</v>
      </c>
      <c r="Q58" s="180">
        <v>59635</v>
      </c>
      <c r="R58" s="180">
        <v>21555</v>
      </c>
      <c r="S58" s="180">
        <v>39909</v>
      </c>
      <c r="T58" s="180">
        <v>20254</v>
      </c>
      <c r="U58" s="180">
        <v>55015</v>
      </c>
      <c r="V58" s="180">
        <v>60957</v>
      </c>
      <c r="W58" s="180">
        <v>0</v>
      </c>
      <c r="X58" s="180">
        <v>126700</v>
      </c>
      <c r="Y58" s="180">
        <v>48386</v>
      </c>
      <c r="Z58" s="180">
        <v>71791</v>
      </c>
      <c r="AA58" s="180">
        <v>15664</v>
      </c>
      <c r="AB58" s="180">
        <v>4267</v>
      </c>
      <c r="AC58" s="180">
        <v>1409</v>
      </c>
      <c r="AD58" s="180">
        <v>29891</v>
      </c>
      <c r="AE58" s="180">
        <v>94013</v>
      </c>
      <c r="AF58" s="182">
        <v>193312</v>
      </c>
      <c r="AG58" s="167"/>
      <c r="AH58" s="167"/>
    </row>
    <row r="59" spans="1:34" x14ac:dyDescent="0.25">
      <c r="A59" s="177" t="s">
        <v>367</v>
      </c>
      <c r="B59" s="177" t="s">
        <v>368</v>
      </c>
      <c r="C59" s="178" t="s">
        <v>122</v>
      </c>
      <c r="D59" s="179" t="s">
        <v>363</v>
      </c>
      <c r="E59" s="180">
        <v>0</v>
      </c>
      <c r="F59" s="180">
        <v>0</v>
      </c>
      <c r="G59" s="180">
        <v>0</v>
      </c>
      <c r="H59" s="180">
        <v>0</v>
      </c>
      <c r="I59" s="180">
        <v>0</v>
      </c>
      <c r="J59" s="180">
        <v>0</v>
      </c>
      <c r="K59" s="180">
        <v>0</v>
      </c>
      <c r="L59" s="180">
        <v>0</v>
      </c>
      <c r="M59" s="180">
        <v>0</v>
      </c>
      <c r="N59" s="180">
        <v>0</v>
      </c>
      <c r="O59" s="180">
        <v>0</v>
      </c>
      <c r="P59" s="180">
        <v>0</v>
      </c>
      <c r="Q59" s="180">
        <v>0</v>
      </c>
      <c r="R59" s="180">
        <v>0</v>
      </c>
      <c r="S59" s="180">
        <v>2630</v>
      </c>
      <c r="T59" s="180">
        <v>0</v>
      </c>
      <c r="U59" s="180">
        <v>3595</v>
      </c>
      <c r="V59" s="180">
        <v>0</v>
      </c>
      <c r="W59" s="180">
        <v>0</v>
      </c>
      <c r="X59" s="180">
        <v>6389</v>
      </c>
      <c r="Y59" s="180">
        <v>0</v>
      </c>
      <c r="Z59" s="180">
        <v>0</v>
      </c>
      <c r="AA59" s="180">
        <v>0</v>
      </c>
      <c r="AB59" s="180">
        <v>0</v>
      </c>
      <c r="AC59" s="180">
        <v>0</v>
      </c>
      <c r="AD59" s="180">
        <v>961</v>
      </c>
      <c r="AE59" s="180">
        <v>0</v>
      </c>
      <c r="AF59" s="182">
        <v>0</v>
      </c>
      <c r="AG59" s="167"/>
      <c r="AH59" s="167"/>
    </row>
    <row r="60" spans="1:34" x14ac:dyDescent="0.25">
      <c r="A60" s="177" t="s">
        <v>367</v>
      </c>
      <c r="B60" s="177" t="s">
        <v>368</v>
      </c>
      <c r="C60" s="178" t="s">
        <v>124</v>
      </c>
      <c r="D60" s="179" t="s">
        <v>363</v>
      </c>
      <c r="E60" s="180">
        <v>0</v>
      </c>
      <c r="F60" s="180">
        <v>0</v>
      </c>
      <c r="G60" s="180">
        <v>0</v>
      </c>
      <c r="H60" s="180">
        <v>0</v>
      </c>
      <c r="I60" s="180">
        <v>108</v>
      </c>
      <c r="J60" s="180">
        <v>253</v>
      </c>
      <c r="K60" s="180">
        <v>0</v>
      </c>
      <c r="L60" s="180">
        <v>0</v>
      </c>
      <c r="M60" s="180">
        <v>1878</v>
      </c>
      <c r="N60" s="180">
        <v>692</v>
      </c>
      <c r="O60" s="180">
        <v>0</v>
      </c>
      <c r="P60" s="180">
        <v>0</v>
      </c>
      <c r="Q60" s="180">
        <v>649</v>
      </c>
      <c r="R60" s="180">
        <v>674</v>
      </c>
      <c r="S60" s="180">
        <v>7412</v>
      </c>
      <c r="T60" s="180">
        <v>1844</v>
      </c>
      <c r="U60" s="180">
        <v>30143</v>
      </c>
      <c r="V60" s="180">
        <v>0</v>
      </c>
      <c r="W60" s="180">
        <v>0</v>
      </c>
      <c r="X60" s="180">
        <v>5513</v>
      </c>
      <c r="Y60" s="180">
        <v>180</v>
      </c>
      <c r="Z60" s="180">
        <v>2259</v>
      </c>
      <c r="AA60" s="180">
        <v>0</v>
      </c>
      <c r="AB60" s="180">
        <v>0</v>
      </c>
      <c r="AC60" s="180">
        <v>0</v>
      </c>
      <c r="AD60" s="180">
        <v>2422</v>
      </c>
      <c r="AE60" s="180">
        <v>0</v>
      </c>
      <c r="AF60" s="182">
        <v>0</v>
      </c>
      <c r="AG60" s="167"/>
      <c r="AH60" s="167"/>
    </row>
    <row r="61" spans="1:34" x14ac:dyDescent="0.25">
      <c r="A61" s="177" t="s">
        <v>367</v>
      </c>
      <c r="B61" s="177" t="s">
        <v>368</v>
      </c>
      <c r="C61" s="178" t="s">
        <v>126</v>
      </c>
      <c r="D61" s="179" t="s">
        <v>363</v>
      </c>
      <c r="E61" s="180">
        <v>0</v>
      </c>
      <c r="F61" s="180">
        <v>27048</v>
      </c>
      <c r="G61" s="180">
        <v>5420</v>
      </c>
      <c r="H61" s="180">
        <v>8875</v>
      </c>
      <c r="I61" s="180">
        <v>12579</v>
      </c>
      <c r="J61" s="180">
        <v>14372</v>
      </c>
      <c r="K61" s="180">
        <v>31717</v>
      </c>
      <c r="L61" s="180">
        <v>0</v>
      </c>
      <c r="M61" s="180">
        <v>21888</v>
      </c>
      <c r="N61" s="180">
        <v>7744</v>
      </c>
      <c r="O61" s="180">
        <v>2279</v>
      </c>
      <c r="P61" s="180">
        <v>0</v>
      </c>
      <c r="Q61" s="180">
        <v>18849</v>
      </c>
      <c r="R61" s="180">
        <v>31023</v>
      </c>
      <c r="S61" s="180">
        <v>56903</v>
      </c>
      <c r="T61" s="180">
        <v>96505</v>
      </c>
      <c r="U61" s="180">
        <v>77097</v>
      </c>
      <c r="V61" s="180">
        <v>7729</v>
      </c>
      <c r="W61" s="180">
        <v>0</v>
      </c>
      <c r="X61" s="180">
        <v>61095</v>
      </c>
      <c r="Y61" s="180">
        <v>19565</v>
      </c>
      <c r="Z61" s="180">
        <v>46758</v>
      </c>
      <c r="AA61" s="180">
        <v>1810</v>
      </c>
      <c r="AB61" s="180">
        <v>38365</v>
      </c>
      <c r="AC61" s="180">
        <v>0</v>
      </c>
      <c r="AD61" s="180">
        <v>60987</v>
      </c>
      <c r="AE61" s="180">
        <v>44828</v>
      </c>
      <c r="AF61" s="182">
        <v>119179</v>
      </c>
      <c r="AG61" s="167"/>
      <c r="AH61" s="167"/>
    </row>
    <row r="62" spans="1:34" x14ac:dyDescent="0.25">
      <c r="A62" s="177" t="s">
        <v>367</v>
      </c>
      <c r="B62" s="177" t="s">
        <v>368</v>
      </c>
      <c r="C62" s="178" t="s">
        <v>128</v>
      </c>
      <c r="D62" s="179" t="s">
        <v>363</v>
      </c>
      <c r="E62" s="180">
        <v>1486</v>
      </c>
      <c r="F62" s="180">
        <v>20264</v>
      </c>
      <c r="G62" s="180">
        <v>0</v>
      </c>
      <c r="H62" s="180">
        <v>15741</v>
      </c>
      <c r="I62" s="180">
        <v>48090</v>
      </c>
      <c r="J62" s="180">
        <v>62807</v>
      </c>
      <c r="K62" s="180">
        <v>36923</v>
      </c>
      <c r="L62" s="180">
        <v>0</v>
      </c>
      <c r="M62" s="180">
        <v>49676</v>
      </c>
      <c r="N62" s="180">
        <v>36610</v>
      </c>
      <c r="O62" s="180">
        <v>366</v>
      </c>
      <c r="P62" s="180">
        <v>0</v>
      </c>
      <c r="Q62" s="180">
        <v>35224</v>
      </c>
      <c r="R62" s="180">
        <v>51785</v>
      </c>
      <c r="S62" s="180">
        <v>113986</v>
      </c>
      <c r="T62" s="180">
        <v>250235</v>
      </c>
      <c r="U62" s="180">
        <v>170235</v>
      </c>
      <c r="V62" s="180">
        <v>7160</v>
      </c>
      <c r="W62" s="180">
        <v>0</v>
      </c>
      <c r="X62" s="180">
        <v>32095</v>
      </c>
      <c r="Y62" s="180">
        <v>21153</v>
      </c>
      <c r="Z62" s="180">
        <v>63356</v>
      </c>
      <c r="AA62" s="180">
        <v>70482</v>
      </c>
      <c r="AB62" s="180">
        <v>48877</v>
      </c>
      <c r="AC62" s="180">
        <v>0</v>
      </c>
      <c r="AD62" s="180">
        <v>339508</v>
      </c>
      <c r="AE62" s="180">
        <v>24901</v>
      </c>
      <c r="AF62" s="182">
        <v>398884</v>
      </c>
      <c r="AG62" s="167"/>
      <c r="AH62" s="167"/>
    </row>
    <row r="63" spans="1:34" x14ac:dyDescent="0.25">
      <c r="A63" s="177" t="s">
        <v>367</v>
      </c>
      <c r="B63" s="177" t="s">
        <v>368</v>
      </c>
      <c r="C63" s="178" t="s">
        <v>130</v>
      </c>
      <c r="D63" s="179" t="s">
        <v>363</v>
      </c>
      <c r="E63" s="180">
        <v>0</v>
      </c>
      <c r="F63" s="180">
        <v>0</v>
      </c>
      <c r="G63" s="180">
        <v>0</v>
      </c>
      <c r="H63" s="180">
        <v>0</v>
      </c>
      <c r="I63" s="180">
        <v>0</v>
      </c>
      <c r="J63" s="180">
        <v>2193</v>
      </c>
      <c r="K63" s="180">
        <v>0</v>
      </c>
      <c r="L63" s="180">
        <v>0</v>
      </c>
      <c r="M63" s="180">
        <v>0</v>
      </c>
      <c r="N63" s="180">
        <v>0</v>
      </c>
      <c r="O63" s="180">
        <v>0</v>
      </c>
      <c r="P63" s="180">
        <v>0</v>
      </c>
      <c r="Q63" s="180">
        <v>5445</v>
      </c>
      <c r="R63" s="180">
        <v>36</v>
      </c>
      <c r="S63" s="180">
        <v>2192</v>
      </c>
      <c r="T63" s="180">
        <v>7389</v>
      </c>
      <c r="U63" s="180">
        <v>2120</v>
      </c>
      <c r="V63" s="180">
        <v>0</v>
      </c>
      <c r="W63" s="180">
        <v>0</v>
      </c>
      <c r="X63" s="180">
        <v>0</v>
      </c>
      <c r="Y63" s="180">
        <v>0</v>
      </c>
      <c r="Z63" s="180">
        <v>0</v>
      </c>
      <c r="AA63" s="180">
        <v>0</v>
      </c>
      <c r="AB63" s="180">
        <v>0</v>
      </c>
      <c r="AC63" s="180">
        <v>0</v>
      </c>
      <c r="AD63" s="180">
        <v>88621</v>
      </c>
      <c r="AE63" s="180">
        <v>119</v>
      </c>
      <c r="AF63" s="182">
        <v>149</v>
      </c>
      <c r="AG63" s="167"/>
      <c r="AH63" s="167"/>
    </row>
    <row r="64" spans="1:34" x14ac:dyDescent="0.25">
      <c r="A64" s="177" t="s">
        <v>367</v>
      </c>
      <c r="B64" s="177" t="s">
        <v>368</v>
      </c>
      <c r="C64" s="178" t="s">
        <v>132</v>
      </c>
      <c r="D64" s="179" t="s">
        <v>363</v>
      </c>
      <c r="E64" s="180">
        <v>0</v>
      </c>
      <c r="F64" s="180">
        <v>2976</v>
      </c>
      <c r="G64" s="180">
        <v>0</v>
      </c>
      <c r="H64" s="180">
        <v>0</v>
      </c>
      <c r="I64" s="180">
        <v>4180</v>
      </c>
      <c r="J64" s="180">
        <v>586</v>
      </c>
      <c r="K64" s="180">
        <v>3068</v>
      </c>
      <c r="L64" s="180">
        <v>0</v>
      </c>
      <c r="M64" s="180">
        <v>7108</v>
      </c>
      <c r="N64" s="180">
        <v>0</v>
      </c>
      <c r="O64" s="180">
        <v>56</v>
      </c>
      <c r="P64" s="180">
        <v>29186</v>
      </c>
      <c r="Q64" s="180">
        <v>1003</v>
      </c>
      <c r="R64" s="180">
        <v>1542</v>
      </c>
      <c r="S64" s="180">
        <v>1014</v>
      </c>
      <c r="T64" s="180">
        <v>5649</v>
      </c>
      <c r="U64" s="180">
        <v>2633</v>
      </c>
      <c r="V64" s="180">
        <v>2936</v>
      </c>
      <c r="W64" s="180">
        <v>0</v>
      </c>
      <c r="X64" s="180">
        <v>3979</v>
      </c>
      <c r="Y64" s="180">
        <v>840</v>
      </c>
      <c r="Z64" s="180">
        <v>197</v>
      </c>
      <c r="AA64" s="180">
        <v>0</v>
      </c>
      <c r="AB64" s="180">
        <v>92</v>
      </c>
      <c r="AC64" s="180">
        <v>0</v>
      </c>
      <c r="AD64" s="180">
        <v>750</v>
      </c>
      <c r="AE64" s="180">
        <v>646</v>
      </c>
      <c r="AF64" s="182">
        <v>717</v>
      </c>
      <c r="AG64" s="167"/>
      <c r="AH64" s="167"/>
    </row>
    <row r="65" spans="1:34" x14ac:dyDescent="0.25">
      <c r="A65" s="177" t="s">
        <v>367</v>
      </c>
      <c r="B65" s="177" t="s">
        <v>368</v>
      </c>
      <c r="C65" s="178" t="s">
        <v>134</v>
      </c>
      <c r="D65" s="179" t="s">
        <v>363</v>
      </c>
      <c r="E65" s="180">
        <v>8943</v>
      </c>
      <c r="F65" s="180">
        <v>70148</v>
      </c>
      <c r="G65" s="180">
        <v>2810</v>
      </c>
      <c r="H65" s="180">
        <v>1902</v>
      </c>
      <c r="I65" s="180">
        <v>2973</v>
      </c>
      <c r="J65" s="180">
        <v>3535</v>
      </c>
      <c r="K65" s="180">
        <v>13500</v>
      </c>
      <c r="L65" s="180">
        <v>21695</v>
      </c>
      <c r="M65" s="180">
        <v>119534</v>
      </c>
      <c r="N65" s="180">
        <v>21063</v>
      </c>
      <c r="O65" s="180">
        <v>9099</v>
      </c>
      <c r="P65" s="180">
        <v>337384</v>
      </c>
      <c r="Q65" s="180">
        <v>17309</v>
      </c>
      <c r="R65" s="180">
        <v>8882</v>
      </c>
      <c r="S65" s="180">
        <v>33565</v>
      </c>
      <c r="T65" s="180">
        <v>146259</v>
      </c>
      <c r="U65" s="180">
        <v>43306</v>
      </c>
      <c r="V65" s="180">
        <v>6311</v>
      </c>
      <c r="W65" s="180">
        <v>0</v>
      </c>
      <c r="X65" s="180">
        <v>74298</v>
      </c>
      <c r="Y65" s="180">
        <v>34715</v>
      </c>
      <c r="Z65" s="180">
        <v>132992</v>
      </c>
      <c r="AA65" s="180">
        <v>0</v>
      </c>
      <c r="AB65" s="180">
        <v>133915</v>
      </c>
      <c r="AC65" s="180">
        <v>0</v>
      </c>
      <c r="AD65" s="180">
        <v>22846</v>
      </c>
      <c r="AE65" s="180">
        <v>23025</v>
      </c>
      <c r="AF65" s="182">
        <v>48551</v>
      </c>
      <c r="AG65" s="167"/>
      <c r="AH65" s="167"/>
    </row>
    <row r="66" spans="1:34" x14ac:dyDescent="0.25">
      <c r="A66" s="177" t="s">
        <v>367</v>
      </c>
      <c r="B66" s="177" t="s">
        <v>368</v>
      </c>
      <c r="C66" s="167" t="s">
        <v>1701</v>
      </c>
      <c r="D66" s="179" t="s">
        <v>363</v>
      </c>
      <c r="E66" s="180">
        <v>0</v>
      </c>
      <c r="F66" s="180">
        <v>0</v>
      </c>
      <c r="G66" s="180">
        <v>0</v>
      </c>
      <c r="H66" s="180">
        <v>0</v>
      </c>
      <c r="I66" s="180">
        <v>0</v>
      </c>
      <c r="J66" s="180">
        <v>0</v>
      </c>
      <c r="K66" s="180">
        <v>0</v>
      </c>
      <c r="L66" s="180">
        <v>0</v>
      </c>
      <c r="M66" s="180">
        <v>0</v>
      </c>
      <c r="N66" s="180">
        <v>0</v>
      </c>
      <c r="O66" s="180">
        <v>0</v>
      </c>
      <c r="P66" s="180">
        <v>0</v>
      </c>
      <c r="Q66" s="180">
        <v>0</v>
      </c>
      <c r="R66" s="180">
        <v>0</v>
      </c>
      <c r="S66" s="180">
        <v>10</v>
      </c>
      <c r="T66" s="180">
        <v>0</v>
      </c>
      <c r="U66" s="180">
        <v>0</v>
      </c>
      <c r="V66" s="180">
        <v>0</v>
      </c>
      <c r="W66" s="180">
        <v>0</v>
      </c>
      <c r="X66" s="180">
        <v>0</v>
      </c>
      <c r="Y66" s="180">
        <v>0</v>
      </c>
      <c r="Z66" s="180">
        <v>0</v>
      </c>
      <c r="AA66" s="180">
        <v>0</v>
      </c>
      <c r="AB66" s="180">
        <v>0</v>
      </c>
      <c r="AC66" s="180">
        <v>0</v>
      </c>
      <c r="AD66" s="180">
        <v>0</v>
      </c>
      <c r="AE66" s="180">
        <v>0</v>
      </c>
      <c r="AF66" s="182">
        <v>0</v>
      </c>
      <c r="AG66" s="167"/>
      <c r="AH66" s="167"/>
    </row>
    <row r="67" spans="1:34" x14ac:dyDescent="0.25">
      <c r="A67" s="177" t="s">
        <v>367</v>
      </c>
      <c r="B67" s="177" t="s">
        <v>368</v>
      </c>
      <c r="C67" s="167" t="s">
        <v>137</v>
      </c>
      <c r="D67" s="179" t="s">
        <v>363</v>
      </c>
      <c r="E67" s="180">
        <v>0</v>
      </c>
      <c r="F67" s="180">
        <v>0</v>
      </c>
      <c r="G67" s="180">
        <v>0</v>
      </c>
      <c r="H67" s="180">
        <v>0</v>
      </c>
      <c r="I67" s="180">
        <v>0</v>
      </c>
      <c r="J67" s="180">
        <v>0</v>
      </c>
      <c r="K67" s="180">
        <v>0</v>
      </c>
      <c r="L67" s="180">
        <v>0</v>
      </c>
      <c r="M67" s="180">
        <v>0</v>
      </c>
      <c r="N67" s="180">
        <v>0</v>
      </c>
      <c r="O67" s="180">
        <v>0</v>
      </c>
      <c r="P67" s="180">
        <v>0</v>
      </c>
      <c r="Q67" s="180">
        <v>0</v>
      </c>
      <c r="R67" s="180">
        <v>0</v>
      </c>
      <c r="S67" s="180">
        <v>0</v>
      </c>
      <c r="T67" s="180">
        <v>0</v>
      </c>
      <c r="U67" s="180">
        <v>0</v>
      </c>
      <c r="V67" s="180">
        <v>0</v>
      </c>
      <c r="W67" s="180">
        <v>0</v>
      </c>
      <c r="X67" s="180">
        <v>0</v>
      </c>
      <c r="Y67" s="180">
        <v>0</v>
      </c>
      <c r="Z67" s="180">
        <v>0</v>
      </c>
      <c r="AA67" s="180">
        <v>0</v>
      </c>
      <c r="AB67" s="180">
        <v>0</v>
      </c>
      <c r="AC67" s="180">
        <v>0</v>
      </c>
      <c r="AD67" s="180">
        <v>0</v>
      </c>
      <c r="AE67" s="180">
        <v>0</v>
      </c>
      <c r="AF67" s="182">
        <v>0</v>
      </c>
      <c r="AG67" s="167"/>
      <c r="AH67" s="167"/>
    </row>
    <row r="68" spans="1:34" x14ac:dyDescent="0.25">
      <c r="A68" s="177" t="s">
        <v>367</v>
      </c>
      <c r="B68" s="177" t="s">
        <v>368</v>
      </c>
      <c r="C68" s="178" t="s">
        <v>139</v>
      </c>
      <c r="D68" s="179" t="s">
        <v>363</v>
      </c>
      <c r="E68" s="180">
        <v>0</v>
      </c>
      <c r="F68" s="180">
        <v>2021</v>
      </c>
      <c r="G68" s="180">
        <v>0</v>
      </c>
      <c r="H68" s="180">
        <v>0</v>
      </c>
      <c r="I68" s="180">
        <v>0</v>
      </c>
      <c r="J68" s="180">
        <v>0</v>
      </c>
      <c r="K68" s="180">
        <v>0</v>
      </c>
      <c r="L68" s="180">
        <v>0</v>
      </c>
      <c r="M68" s="180">
        <v>0</v>
      </c>
      <c r="N68" s="180">
        <v>5567</v>
      </c>
      <c r="O68" s="180">
        <v>0</v>
      </c>
      <c r="P68" s="180">
        <v>0</v>
      </c>
      <c r="Q68" s="180">
        <v>17</v>
      </c>
      <c r="R68" s="180">
        <v>8213</v>
      </c>
      <c r="S68" s="180">
        <v>72182</v>
      </c>
      <c r="T68" s="180">
        <v>28918</v>
      </c>
      <c r="U68" s="180">
        <v>74907</v>
      </c>
      <c r="V68" s="180">
        <v>0</v>
      </c>
      <c r="W68" s="180">
        <v>0</v>
      </c>
      <c r="X68" s="180">
        <v>23831</v>
      </c>
      <c r="Y68" s="180">
        <v>39</v>
      </c>
      <c r="Z68" s="180">
        <v>21143</v>
      </c>
      <c r="AA68" s="180">
        <v>0</v>
      </c>
      <c r="AB68" s="180">
        <v>0</v>
      </c>
      <c r="AC68" s="180">
        <v>0</v>
      </c>
      <c r="AD68" s="180">
        <v>3043</v>
      </c>
      <c r="AE68" s="180">
        <v>29803</v>
      </c>
      <c r="AF68" s="182">
        <v>7</v>
      </c>
      <c r="AG68" s="167"/>
      <c r="AH68" s="167"/>
    </row>
    <row r="69" spans="1:34" x14ac:dyDescent="0.25">
      <c r="A69" s="183"/>
      <c r="B69" s="183"/>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c r="AA69" s="184"/>
      <c r="AB69" s="184"/>
      <c r="AC69" s="184"/>
      <c r="AD69" s="184"/>
      <c r="AE69" s="184"/>
      <c r="AF69" s="184"/>
      <c r="AG69" s="167"/>
      <c r="AH69" s="167"/>
    </row>
    <row r="70" spans="1:34" x14ac:dyDescent="0.25">
      <c r="A70" s="177" t="s">
        <v>369</v>
      </c>
      <c r="B70" s="177" t="s">
        <v>370</v>
      </c>
      <c r="C70" s="178" t="s">
        <v>113</v>
      </c>
      <c r="D70" s="179" t="s">
        <v>363</v>
      </c>
      <c r="E70" s="180">
        <v>0</v>
      </c>
      <c r="F70" s="180">
        <v>0</v>
      </c>
      <c r="G70" s="180">
        <v>0</v>
      </c>
      <c r="H70" s="180">
        <v>0</v>
      </c>
      <c r="I70" s="180">
        <v>0</v>
      </c>
      <c r="J70" s="180">
        <v>0</v>
      </c>
      <c r="K70" s="180">
        <v>0</v>
      </c>
      <c r="L70" s="180">
        <v>0</v>
      </c>
      <c r="M70" s="180">
        <v>0</v>
      </c>
      <c r="N70" s="180">
        <v>0</v>
      </c>
      <c r="O70" s="180">
        <v>0</v>
      </c>
      <c r="P70" s="180">
        <v>0</v>
      </c>
      <c r="Q70" s="180">
        <v>0</v>
      </c>
      <c r="R70" s="180">
        <v>0</v>
      </c>
      <c r="S70" s="180">
        <v>0</v>
      </c>
      <c r="T70" s="180">
        <v>0</v>
      </c>
      <c r="U70" s="180">
        <v>0</v>
      </c>
      <c r="V70" s="180">
        <v>0</v>
      </c>
      <c r="W70" s="180">
        <v>0</v>
      </c>
      <c r="X70" s="180">
        <v>1567</v>
      </c>
      <c r="Y70" s="180">
        <v>0</v>
      </c>
      <c r="Z70" s="180">
        <v>0</v>
      </c>
      <c r="AA70" s="180">
        <v>0</v>
      </c>
      <c r="AB70" s="180">
        <v>0</v>
      </c>
      <c r="AC70" s="180">
        <v>0</v>
      </c>
      <c r="AD70" s="180">
        <v>0</v>
      </c>
      <c r="AE70" s="180">
        <v>0</v>
      </c>
      <c r="AF70" s="182">
        <v>0</v>
      </c>
      <c r="AG70" s="167"/>
      <c r="AH70" s="167"/>
    </row>
    <row r="71" spans="1:34" x14ac:dyDescent="0.25">
      <c r="A71" s="177" t="s">
        <v>369</v>
      </c>
      <c r="B71" s="177" t="s">
        <v>370</v>
      </c>
      <c r="C71" s="178" t="s">
        <v>115</v>
      </c>
      <c r="D71" s="179" t="s">
        <v>363</v>
      </c>
      <c r="E71" s="180">
        <v>0</v>
      </c>
      <c r="F71" s="180">
        <v>0</v>
      </c>
      <c r="G71" s="180">
        <v>0</v>
      </c>
      <c r="H71" s="180">
        <v>0</v>
      </c>
      <c r="I71" s="180">
        <v>0</v>
      </c>
      <c r="J71" s="180">
        <v>0</v>
      </c>
      <c r="K71" s="180">
        <v>0</v>
      </c>
      <c r="L71" s="180">
        <v>0</v>
      </c>
      <c r="M71" s="180">
        <v>0</v>
      </c>
      <c r="N71" s="180">
        <v>0</v>
      </c>
      <c r="O71" s="180">
        <v>0</v>
      </c>
      <c r="P71" s="180">
        <v>0</v>
      </c>
      <c r="Q71" s="180">
        <v>0</v>
      </c>
      <c r="R71" s="180">
        <v>0</v>
      </c>
      <c r="S71" s="180">
        <v>0</v>
      </c>
      <c r="T71" s="180">
        <v>0</v>
      </c>
      <c r="U71" s="180">
        <v>13</v>
      </c>
      <c r="V71" s="180">
        <v>0</v>
      </c>
      <c r="W71" s="180">
        <v>0</v>
      </c>
      <c r="X71" s="180">
        <v>0</v>
      </c>
      <c r="Y71" s="180">
        <v>0</v>
      </c>
      <c r="Z71" s="180">
        <v>0</v>
      </c>
      <c r="AA71" s="180">
        <v>0</v>
      </c>
      <c r="AB71" s="180">
        <v>0</v>
      </c>
      <c r="AC71" s="180">
        <v>0</v>
      </c>
      <c r="AD71" s="180">
        <v>0</v>
      </c>
      <c r="AE71" s="180">
        <v>0</v>
      </c>
      <c r="AF71" s="182">
        <v>0</v>
      </c>
      <c r="AG71" s="167"/>
      <c r="AH71" s="167"/>
    </row>
    <row r="72" spans="1:34" x14ac:dyDescent="0.25">
      <c r="A72" s="177" t="s">
        <v>369</v>
      </c>
      <c r="B72" s="177" t="s">
        <v>370</v>
      </c>
      <c r="C72" s="178" t="s">
        <v>117</v>
      </c>
      <c r="D72" s="179" t="s">
        <v>363</v>
      </c>
      <c r="E72" s="180">
        <v>0</v>
      </c>
      <c r="F72" s="180">
        <v>0</v>
      </c>
      <c r="G72" s="180">
        <v>0</v>
      </c>
      <c r="H72" s="180">
        <v>0</v>
      </c>
      <c r="I72" s="180">
        <v>1870</v>
      </c>
      <c r="J72" s="180">
        <v>0</v>
      </c>
      <c r="K72" s="180">
        <v>0</v>
      </c>
      <c r="L72" s="180">
        <v>0</v>
      </c>
      <c r="M72" s="180">
        <v>0</v>
      </c>
      <c r="N72" s="180">
        <v>0</v>
      </c>
      <c r="O72" s="180">
        <v>0</v>
      </c>
      <c r="P72" s="180">
        <v>3678</v>
      </c>
      <c r="Q72" s="180">
        <v>55</v>
      </c>
      <c r="R72" s="180">
        <v>0</v>
      </c>
      <c r="S72" s="180">
        <v>6</v>
      </c>
      <c r="T72" s="180">
        <v>3</v>
      </c>
      <c r="U72" s="180">
        <v>42</v>
      </c>
      <c r="V72" s="180">
        <v>0</v>
      </c>
      <c r="W72" s="180">
        <v>0</v>
      </c>
      <c r="X72" s="180">
        <v>0</v>
      </c>
      <c r="Y72" s="180">
        <v>0</v>
      </c>
      <c r="Z72" s="180">
        <v>0</v>
      </c>
      <c r="AA72" s="180">
        <v>0</v>
      </c>
      <c r="AB72" s="180">
        <v>0</v>
      </c>
      <c r="AC72" s="180">
        <v>0</v>
      </c>
      <c r="AD72" s="180">
        <v>0</v>
      </c>
      <c r="AE72" s="180">
        <v>0</v>
      </c>
      <c r="AF72" s="182">
        <v>0</v>
      </c>
      <c r="AG72" s="167"/>
      <c r="AH72" s="167"/>
    </row>
    <row r="73" spans="1:34" x14ac:dyDescent="0.25">
      <c r="A73" s="177" t="s">
        <v>369</v>
      </c>
      <c r="B73" s="177" t="s">
        <v>370</v>
      </c>
      <c r="C73" s="178" t="s">
        <v>119</v>
      </c>
      <c r="D73" s="179" t="s">
        <v>363</v>
      </c>
      <c r="E73" s="180">
        <v>0</v>
      </c>
      <c r="F73" s="180">
        <v>0</v>
      </c>
      <c r="G73" s="180">
        <v>0</v>
      </c>
      <c r="H73" s="180">
        <v>0</v>
      </c>
      <c r="I73" s="180">
        <v>0</v>
      </c>
      <c r="J73" s="180">
        <v>0</v>
      </c>
      <c r="K73" s="180">
        <v>0</v>
      </c>
      <c r="L73" s="180">
        <v>0</v>
      </c>
      <c r="M73" s="180">
        <v>63</v>
      </c>
      <c r="N73" s="180">
        <v>0</v>
      </c>
      <c r="O73" s="180">
        <v>0</v>
      </c>
      <c r="P73" s="180">
        <v>0</v>
      </c>
      <c r="Q73" s="180">
        <v>0</v>
      </c>
      <c r="R73" s="180">
        <v>0</v>
      </c>
      <c r="S73" s="180">
        <v>0</v>
      </c>
      <c r="T73" s="180">
        <v>5</v>
      </c>
      <c r="U73" s="180">
        <v>11</v>
      </c>
      <c r="V73" s="180">
        <v>0</v>
      </c>
      <c r="W73" s="180">
        <v>0</v>
      </c>
      <c r="X73" s="180">
        <v>0</v>
      </c>
      <c r="Y73" s="180">
        <v>0</v>
      </c>
      <c r="Z73" s="180">
        <v>0</v>
      </c>
      <c r="AA73" s="180">
        <v>0</v>
      </c>
      <c r="AB73" s="180">
        <v>0</v>
      </c>
      <c r="AC73" s="180">
        <v>0</v>
      </c>
      <c r="AD73" s="180">
        <v>0</v>
      </c>
      <c r="AE73" s="180">
        <v>0</v>
      </c>
      <c r="AF73" s="182">
        <v>37</v>
      </c>
      <c r="AG73" s="167"/>
      <c r="AH73" s="167"/>
    </row>
    <row r="74" spans="1:34" x14ac:dyDescent="0.25">
      <c r="A74" s="177" t="s">
        <v>369</v>
      </c>
      <c r="B74" s="177" t="s">
        <v>370</v>
      </c>
      <c r="C74" s="178" t="s">
        <v>120</v>
      </c>
      <c r="D74" s="179" t="s">
        <v>363</v>
      </c>
      <c r="E74" s="180">
        <v>0</v>
      </c>
      <c r="F74" s="180">
        <v>88</v>
      </c>
      <c r="G74" s="180">
        <v>0</v>
      </c>
      <c r="H74" s="180">
        <v>28740</v>
      </c>
      <c r="I74" s="180">
        <v>46711</v>
      </c>
      <c r="J74" s="180">
        <v>67134</v>
      </c>
      <c r="K74" s="180">
        <v>870</v>
      </c>
      <c r="L74" s="180">
        <v>0</v>
      </c>
      <c r="M74" s="180">
        <v>28461</v>
      </c>
      <c r="N74" s="180">
        <v>8179</v>
      </c>
      <c r="O74" s="180">
        <v>0</v>
      </c>
      <c r="P74" s="180">
        <v>0</v>
      </c>
      <c r="Q74" s="180">
        <v>7157</v>
      </c>
      <c r="R74" s="180">
        <v>727</v>
      </c>
      <c r="S74" s="180">
        <v>2143</v>
      </c>
      <c r="T74" s="180">
        <v>6426</v>
      </c>
      <c r="U74" s="180">
        <v>2145</v>
      </c>
      <c r="V74" s="180">
        <v>0</v>
      </c>
      <c r="W74" s="180">
        <v>0</v>
      </c>
      <c r="X74" s="180">
        <v>1342</v>
      </c>
      <c r="Y74" s="180">
        <v>331</v>
      </c>
      <c r="Z74" s="180">
        <v>5157</v>
      </c>
      <c r="AA74" s="180">
        <v>0</v>
      </c>
      <c r="AB74" s="180">
        <v>0</v>
      </c>
      <c r="AC74" s="180">
        <v>0</v>
      </c>
      <c r="AD74" s="180">
        <v>0</v>
      </c>
      <c r="AE74" s="180">
        <v>0</v>
      </c>
      <c r="AF74" s="182">
        <v>0</v>
      </c>
      <c r="AG74" s="167"/>
      <c r="AH74" s="167"/>
    </row>
    <row r="75" spans="1:34" x14ac:dyDescent="0.25">
      <c r="A75" s="177" t="s">
        <v>369</v>
      </c>
      <c r="B75" s="177" t="s">
        <v>370</v>
      </c>
      <c r="C75" s="178" t="s">
        <v>122</v>
      </c>
      <c r="D75" s="179" t="s">
        <v>363</v>
      </c>
      <c r="E75" s="180">
        <v>0</v>
      </c>
      <c r="F75" s="180">
        <v>0</v>
      </c>
      <c r="G75" s="180">
        <v>0</v>
      </c>
      <c r="H75" s="180">
        <v>0</v>
      </c>
      <c r="I75" s="180">
        <v>0</v>
      </c>
      <c r="J75" s="180">
        <v>0</v>
      </c>
      <c r="K75" s="180">
        <v>0</v>
      </c>
      <c r="L75" s="180">
        <v>0</v>
      </c>
      <c r="M75" s="180">
        <v>0</v>
      </c>
      <c r="N75" s="180">
        <v>0</v>
      </c>
      <c r="O75" s="180">
        <v>0</v>
      </c>
      <c r="P75" s="180">
        <v>0</v>
      </c>
      <c r="Q75" s="180">
        <v>0</v>
      </c>
      <c r="R75" s="180">
        <v>0</v>
      </c>
      <c r="S75" s="180">
        <v>79</v>
      </c>
      <c r="T75" s="180">
        <v>0</v>
      </c>
      <c r="U75" s="180">
        <v>0</v>
      </c>
      <c r="V75" s="180">
        <v>0</v>
      </c>
      <c r="W75" s="180">
        <v>0</v>
      </c>
      <c r="X75" s="180">
        <v>0</v>
      </c>
      <c r="Y75" s="180">
        <v>0</v>
      </c>
      <c r="Z75" s="180">
        <v>0</v>
      </c>
      <c r="AA75" s="180">
        <v>0</v>
      </c>
      <c r="AB75" s="180">
        <v>0</v>
      </c>
      <c r="AC75" s="180">
        <v>0</v>
      </c>
      <c r="AD75" s="180">
        <v>0</v>
      </c>
      <c r="AE75" s="180">
        <v>0</v>
      </c>
      <c r="AF75" s="182">
        <v>0</v>
      </c>
      <c r="AG75" s="167"/>
      <c r="AH75" s="167"/>
    </row>
    <row r="76" spans="1:34" x14ac:dyDescent="0.25">
      <c r="A76" s="177" t="s">
        <v>369</v>
      </c>
      <c r="B76" s="177" t="s">
        <v>370</v>
      </c>
      <c r="C76" s="178" t="s">
        <v>124</v>
      </c>
      <c r="D76" s="179" t="s">
        <v>363</v>
      </c>
      <c r="E76" s="180">
        <v>0</v>
      </c>
      <c r="F76" s="180">
        <v>0</v>
      </c>
      <c r="G76" s="180">
        <v>0</v>
      </c>
      <c r="H76" s="180">
        <v>0</v>
      </c>
      <c r="I76" s="180">
        <v>3866</v>
      </c>
      <c r="J76" s="180">
        <v>3039</v>
      </c>
      <c r="K76" s="180">
        <v>0</v>
      </c>
      <c r="L76" s="180">
        <v>0</v>
      </c>
      <c r="M76" s="180">
        <v>10949</v>
      </c>
      <c r="N76" s="180">
        <v>343</v>
      </c>
      <c r="O76" s="180">
        <v>0</v>
      </c>
      <c r="P76" s="180">
        <v>0</v>
      </c>
      <c r="Q76" s="180">
        <v>0</v>
      </c>
      <c r="R76" s="180">
        <v>0</v>
      </c>
      <c r="S76" s="180">
        <v>988</v>
      </c>
      <c r="T76" s="180">
        <v>113</v>
      </c>
      <c r="U76" s="180">
        <v>677</v>
      </c>
      <c r="V76" s="180">
        <v>0</v>
      </c>
      <c r="W76" s="180">
        <v>0</v>
      </c>
      <c r="X76" s="180">
        <v>5503</v>
      </c>
      <c r="Y76" s="180">
        <v>1</v>
      </c>
      <c r="Z76" s="180">
        <v>135</v>
      </c>
      <c r="AA76" s="180">
        <v>0</v>
      </c>
      <c r="AB76" s="180">
        <v>0</v>
      </c>
      <c r="AC76" s="180">
        <v>0</v>
      </c>
      <c r="AD76" s="180">
        <v>0</v>
      </c>
      <c r="AE76" s="180">
        <v>0</v>
      </c>
      <c r="AF76" s="182">
        <v>0</v>
      </c>
      <c r="AG76" s="167"/>
      <c r="AH76" s="167"/>
    </row>
    <row r="77" spans="1:34" x14ac:dyDescent="0.25">
      <c r="A77" s="177" t="s">
        <v>369</v>
      </c>
      <c r="B77" s="177" t="s">
        <v>370</v>
      </c>
      <c r="C77" s="178" t="s">
        <v>126</v>
      </c>
      <c r="D77" s="179" t="s">
        <v>363</v>
      </c>
      <c r="E77" s="180">
        <v>0</v>
      </c>
      <c r="F77" s="180">
        <v>5294</v>
      </c>
      <c r="G77" s="180">
        <v>5693</v>
      </c>
      <c r="H77" s="180">
        <v>106454</v>
      </c>
      <c r="I77" s="180">
        <v>135095</v>
      </c>
      <c r="J77" s="180">
        <v>64944</v>
      </c>
      <c r="K77" s="180">
        <v>8916</v>
      </c>
      <c r="L77" s="180">
        <v>0</v>
      </c>
      <c r="M77" s="180">
        <v>89150</v>
      </c>
      <c r="N77" s="180">
        <v>220910</v>
      </c>
      <c r="O77" s="180">
        <v>0</v>
      </c>
      <c r="P77" s="180">
        <v>0</v>
      </c>
      <c r="Q77" s="180">
        <v>13572</v>
      </c>
      <c r="R77" s="180">
        <v>142509</v>
      </c>
      <c r="S77" s="180">
        <v>41678</v>
      </c>
      <c r="T77" s="180">
        <v>79383</v>
      </c>
      <c r="U77" s="180">
        <v>95143</v>
      </c>
      <c r="V77" s="180">
        <v>0</v>
      </c>
      <c r="W77" s="180">
        <v>0</v>
      </c>
      <c r="X77" s="180">
        <v>40846</v>
      </c>
      <c r="Y77" s="180">
        <v>22138</v>
      </c>
      <c r="Z77" s="180">
        <v>13707</v>
      </c>
      <c r="AA77" s="180">
        <v>47819</v>
      </c>
      <c r="AB77" s="180">
        <v>2776</v>
      </c>
      <c r="AC77" s="180">
        <v>0</v>
      </c>
      <c r="AD77" s="180">
        <v>335216</v>
      </c>
      <c r="AE77" s="180">
        <v>31347</v>
      </c>
      <c r="AF77" s="182">
        <v>146941</v>
      </c>
      <c r="AG77" s="167"/>
      <c r="AH77" s="167"/>
    </row>
    <row r="78" spans="1:34" x14ac:dyDescent="0.25">
      <c r="A78" s="177" t="s">
        <v>369</v>
      </c>
      <c r="B78" s="177" t="s">
        <v>370</v>
      </c>
      <c r="C78" s="178" t="s">
        <v>128</v>
      </c>
      <c r="D78" s="179" t="s">
        <v>363</v>
      </c>
      <c r="E78" s="180">
        <v>0</v>
      </c>
      <c r="F78" s="180">
        <v>0</v>
      </c>
      <c r="G78" s="180">
        <v>0</v>
      </c>
      <c r="H78" s="180">
        <v>1558</v>
      </c>
      <c r="I78" s="180">
        <v>114863</v>
      </c>
      <c r="J78" s="180">
        <v>4287</v>
      </c>
      <c r="K78" s="180">
        <v>78</v>
      </c>
      <c r="L78" s="180">
        <v>0</v>
      </c>
      <c r="M78" s="180">
        <v>16190</v>
      </c>
      <c r="N78" s="180">
        <v>41065</v>
      </c>
      <c r="O78" s="180">
        <v>0</v>
      </c>
      <c r="P78" s="180">
        <v>0</v>
      </c>
      <c r="Q78" s="180">
        <v>8766</v>
      </c>
      <c r="R78" s="180">
        <v>13647</v>
      </c>
      <c r="S78" s="180">
        <v>24659</v>
      </c>
      <c r="T78" s="180">
        <v>52786</v>
      </c>
      <c r="U78" s="180">
        <v>65602</v>
      </c>
      <c r="V78" s="180">
        <v>0</v>
      </c>
      <c r="W78" s="180">
        <v>0</v>
      </c>
      <c r="X78" s="180">
        <v>15478</v>
      </c>
      <c r="Y78" s="180">
        <v>3198</v>
      </c>
      <c r="Z78" s="180">
        <v>11272</v>
      </c>
      <c r="AA78" s="180">
        <v>0</v>
      </c>
      <c r="AB78" s="180">
        <v>0</v>
      </c>
      <c r="AC78" s="180">
        <v>0</v>
      </c>
      <c r="AD78" s="180">
        <v>0</v>
      </c>
      <c r="AE78" s="180">
        <v>10282</v>
      </c>
      <c r="AF78" s="182">
        <v>140432</v>
      </c>
      <c r="AG78" s="167"/>
      <c r="AH78" s="167"/>
    </row>
    <row r="79" spans="1:34" x14ac:dyDescent="0.25">
      <c r="A79" s="177" t="s">
        <v>369</v>
      </c>
      <c r="B79" s="177" t="s">
        <v>370</v>
      </c>
      <c r="C79" s="178" t="s">
        <v>130</v>
      </c>
      <c r="D79" s="179" t="s">
        <v>363</v>
      </c>
      <c r="E79" s="180">
        <v>0</v>
      </c>
      <c r="F79" s="180">
        <v>0</v>
      </c>
      <c r="G79" s="180">
        <v>0</v>
      </c>
      <c r="H79" s="180">
        <v>0</v>
      </c>
      <c r="I79" s="180">
        <v>0</v>
      </c>
      <c r="J79" s="180">
        <v>618</v>
      </c>
      <c r="K79" s="180">
        <v>0</v>
      </c>
      <c r="L79" s="180">
        <v>0</v>
      </c>
      <c r="M79" s="180">
        <v>0</v>
      </c>
      <c r="N79" s="180">
        <v>0</v>
      </c>
      <c r="O79" s="180">
        <v>0</v>
      </c>
      <c r="P79" s="180">
        <v>0</v>
      </c>
      <c r="Q79" s="180">
        <v>12267</v>
      </c>
      <c r="R79" s="180">
        <v>36</v>
      </c>
      <c r="S79" s="180">
        <v>1937</v>
      </c>
      <c r="T79" s="180">
        <v>827</v>
      </c>
      <c r="U79" s="180">
        <v>3178</v>
      </c>
      <c r="V79" s="180">
        <v>0</v>
      </c>
      <c r="W79" s="180">
        <v>0</v>
      </c>
      <c r="X79" s="180">
        <v>0</v>
      </c>
      <c r="Y79" s="180">
        <v>0</v>
      </c>
      <c r="Z79" s="180">
        <v>0</v>
      </c>
      <c r="AA79" s="180">
        <v>0</v>
      </c>
      <c r="AB79" s="180">
        <v>0</v>
      </c>
      <c r="AC79" s="180">
        <v>0</v>
      </c>
      <c r="AD79" s="180">
        <v>0</v>
      </c>
      <c r="AE79" s="180">
        <v>2</v>
      </c>
      <c r="AF79" s="182">
        <v>3913</v>
      </c>
      <c r="AG79" s="167"/>
      <c r="AH79" s="167"/>
    </row>
    <row r="80" spans="1:34" x14ac:dyDescent="0.25">
      <c r="A80" s="177" t="s">
        <v>369</v>
      </c>
      <c r="B80" s="177" t="s">
        <v>370</v>
      </c>
      <c r="C80" s="178" t="s">
        <v>132</v>
      </c>
      <c r="D80" s="179" t="s">
        <v>363</v>
      </c>
      <c r="E80" s="180">
        <v>0</v>
      </c>
      <c r="F80" s="180">
        <v>1657</v>
      </c>
      <c r="G80" s="180">
        <v>0</v>
      </c>
      <c r="H80" s="180">
        <v>0</v>
      </c>
      <c r="I80" s="180">
        <v>659</v>
      </c>
      <c r="J80" s="180">
        <v>0</v>
      </c>
      <c r="K80" s="180">
        <v>700</v>
      </c>
      <c r="L80" s="180">
        <v>0</v>
      </c>
      <c r="M80" s="180">
        <v>1484</v>
      </c>
      <c r="N80" s="180">
        <v>0</v>
      </c>
      <c r="O80" s="180">
        <v>0</v>
      </c>
      <c r="P80" s="180">
        <v>1571</v>
      </c>
      <c r="Q80" s="180">
        <v>195</v>
      </c>
      <c r="R80" s="180">
        <v>745</v>
      </c>
      <c r="S80" s="180">
        <v>247</v>
      </c>
      <c r="T80" s="180">
        <v>2274</v>
      </c>
      <c r="U80" s="180">
        <v>1491</v>
      </c>
      <c r="V80" s="180">
        <v>0</v>
      </c>
      <c r="W80" s="180">
        <v>0</v>
      </c>
      <c r="X80" s="180">
        <v>2522</v>
      </c>
      <c r="Y80" s="180">
        <v>36</v>
      </c>
      <c r="Z80" s="180">
        <v>0</v>
      </c>
      <c r="AA80" s="180">
        <v>0</v>
      </c>
      <c r="AB80" s="180">
        <v>0</v>
      </c>
      <c r="AC80" s="180">
        <v>0</v>
      </c>
      <c r="AD80" s="180">
        <v>0</v>
      </c>
      <c r="AE80" s="180">
        <v>478</v>
      </c>
      <c r="AF80" s="182">
        <v>49</v>
      </c>
      <c r="AG80" s="167"/>
      <c r="AH80" s="167"/>
    </row>
    <row r="81" spans="1:34" x14ac:dyDescent="0.25">
      <c r="A81" s="177" t="s">
        <v>369</v>
      </c>
      <c r="B81" s="177" t="s">
        <v>370</v>
      </c>
      <c r="C81" s="178" t="s">
        <v>134</v>
      </c>
      <c r="D81" s="179" t="s">
        <v>363</v>
      </c>
      <c r="E81" s="180">
        <v>0</v>
      </c>
      <c r="F81" s="180">
        <v>1305</v>
      </c>
      <c r="G81" s="180">
        <v>472</v>
      </c>
      <c r="H81" s="180">
        <v>1250</v>
      </c>
      <c r="I81" s="180">
        <v>11115</v>
      </c>
      <c r="J81" s="180">
        <v>4865</v>
      </c>
      <c r="K81" s="180">
        <v>2315</v>
      </c>
      <c r="L81" s="180">
        <v>0</v>
      </c>
      <c r="M81" s="180">
        <v>47602</v>
      </c>
      <c r="N81" s="180">
        <v>2731</v>
      </c>
      <c r="O81" s="180">
        <v>0</v>
      </c>
      <c r="P81" s="180">
        <v>113189</v>
      </c>
      <c r="Q81" s="180">
        <v>1514</v>
      </c>
      <c r="R81" s="180">
        <v>599</v>
      </c>
      <c r="S81" s="180">
        <v>1135</v>
      </c>
      <c r="T81" s="180">
        <v>7771</v>
      </c>
      <c r="U81" s="180">
        <v>3456</v>
      </c>
      <c r="V81" s="180">
        <v>0</v>
      </c>
      <c r="W81" s="180">
        <v>14470</v>
      </c>
      <c r="X81" s="180">
        <v>12854</v>
      </c>
      <c r="Y81" s="180">
        <v>43</v>
      </c>
      <c r="Z81" s="180">
        <v>259</v>
      </c>
      <c r="AA81" s="180">
        <v>0</v>
      </c>
      <c r="AB81" s="180">
        <v>0</v>
      </c>
      <c r="AC81" s="180">
        <v>0</v>
      </c>
      <c r="AD81" s="180">
        <v>0</v>
      </c>
      <c r="AE81" s="180">
        <v>935</v>
      </c>
      <c r="AF81" s="182">
        <v>8697</v>
      </c>
      <c r="AG81" s="167"/>
      <c r="AH81" s="167"/>
    </row>
    <row r="82" spans="1:34" x14ac:dyDescent="0.25">
      <c r="A82" s="177" t="s">
        <v>369</v>
      </c>
      <c r="B82" s="177" t="s">
        <v>370</v>
      </c>
      <c r="C82" s="167" t="s">
        <v>1701</v>
      </c>
      <c r="D82" s="179" t="s">
        <v>363</v>
      </c>
      <c r="E82" s="180">
        <v>0</v>
      </c>
      <c r="F82" s="180">
        <v>0</v>
      </c>
      <c r="G82" s="180">
        <v>0</v>
      </c>
      <c r="H82" s="180">
        <v>0</v>
      </c>
      <c r="I82" s="180">
        <v>0</v>
      </c>
      <c r="J82" s="180">
        <v>0</v>
      </c>
      <c r="K82" s="180">
        <v>0</v>
      </c>
      <c r="L82" s="180">
        <v>0</v>
      </c>
      <c r="M82" s="180">
        <v>0</v>
      </c>
      <c r="N82" s="180">
        <v>0</v>
      </c>
      <c r="O82" s="180">
        <v>0</v>
      </c>
      <c r="P82" s="180">
        <v>0</v>
      </c>
      <c r="Q82" s="180">
        <v>0</v>
      </c>
      <c r="R82" s="180">
        <v>0</v>
      </c>
      <c r="S82" s="180">
        <v>0</v>
      </c>
      <c r="T82" s="180">
        <v>0</v>
      </c>
      <c r="U82" s="180">
        <v>0</v>
      </c>
      <c r="V82" s="180">
        <v>0</v>
      </c>
      <c r="W82" s="180">
        <v>0</v>
      </c>
      <c r="X82" s="180">
        <v>0</v>
      </c>
      <c r="Y82" s="180">
        <v>0</v>
      </c>
      <c r="Z82" s="180">
        <v>0</v>
      </c>
      <c r="AA82" s="180">
        <v>0</v>
      </c>
      <c r="AB82" s="180">
        <v>0</v>
      </c>
      <c r="AC82" s="180">
        <v>0</v>
      </c>
      <c r="AD82" s="180">
        <v>0</v>
      </c>
      <c r="AE82" s="180">
        <v>0</v>
      </c>
      <c r="AF82" s="182">
        <v>0</v>
      </c>
      <c r="AG82" s="167"/>
      <c r="AH82" s="167"/>
    </row>
    <row r="83" spans="1:34" x14ac:dyDescent="0.25">
      <c r="A83" s="177" t="s">
        <v>369</v>
      </c>
      <c r="B83" s="177" t="s">
        <v>370</v>
      </c>
      <c r="C83" s="167" t="s">
        <v>137</v>
      </c>
      <c r="D83" s="179" t="s">
        <v>363</v>
      </c>
      <c r="E83" s="180">
        <v>0</v>
      </c>
      <c r="F83" s="180">
        <v>0</v>
      </c>
      <c r="G83" s="180">
        <v>0</v>
      </c>
      <c r="H83" s="180">
        <v>0</v>
      </c>
      <c r="I83" s="180">
        <v>0</v>
      </c>
      <c r="J83" s="180">
        <v>0</v>
      </c>
      <c r="K83" s="180">
        <v>0</v>
      </c>
      <c r="L83" s="180">
        <v>0</v>
      </c>
      <c r="M83" s="180">
        <v>0</v>
      </c>
      <c r="N83" s="180">
        <v>0</v>
      </c>
      <c r="O83" s="180">
        <v>0</v>
      </c>
      <c r="P83" s="180">
        <v>0</v>
      </c>
      <c r="Q83" s="180">
        <v>0</v>
      </c>
      <c r="R83" s="180">
        <v>0</v>
      </c>
      <c r="S83" s="180">
        <v>0</v>
      </c>
      <c r="T83" s="180">
        <v>10</v>
      </c>
      <c r="U83" s="180">
        <v>0</v>
      </c>
      <c r="V83" s="180">
        <v>0</v>
      </c>
      <c r="W83" s="180">
        <v>0</v>
      </c>
      <c r="X83" s="180">
        <v>0</v>
      </c>
      <c r="Y83" s="180">
        <v>0</v>
      </c>
      <c r="Z83" s="180">
        <v>0</v>
      </c>
      <c r="AA83" s="180">
        <v>0</v>
      </c>
      <c r="AB83" s="180">
        <v>0</v>
      </c>
      <c r="AC83" s="180">
        <v>0</v>
      </c>
      <c r="AD83" s="180">
        <v>0</v>
      </c>
      <c r="AE83" s="180">
        <v>0</v>
      </c>
      <c r="AF83" s="182">
        <v>0</v>
      </c>
      <c r="AG83" s="167"/>
      <c r="AH83" s="167"/>
    </row>
    <row r="84" spans="1:34" x14ac:dyDescent="0.25">
      <c r="A84" s="177" t="s">
        <v>369</v>
      </c>
      <c r="B84" s="177" t="s">
        <v>370</v>
      </c>
      <c r="C84" s="178" t="s">
        <v>139</v>
      </c>
      <c r="D84" s="179" t="s">
        <v>363</v>
      </c>
      <c r="E84" s="180">
        <v>0</v>
      </c>
      <c r="F84" s="180">
        <v>0</v>
      </c>
      <c r="G84" s="180">
        <v>0</v>
      </c>
      <c r="H84" s="180">
        <v>0</v>
      </c>
      <c r="I84" s="180">
        <v>0</v>
      </c>
      <c r="J84" s="180">
        <v>0</v>
      </c>
      <c r="K84" s="180">
        <v>0</v>
      </c>
      <c r="L84" s="180">
        <v>0</v>
      </c>
      <c r="M84" s="180">
        <v>0</v>
      </c>
      <c r="N84" s="180">
        <v>0</v>
      </c>
      <c r="O84" s="180">
        <v>0</v>
      </c>
      <c r="P84" s="180">
        <v>0</v>
      </c>
      <c r="Q84" s="180">
        <v>0</v>
      </c>
      <c r="R84" s="180">
        <v>0</v>
      </c>
      <c r="S84" s="180">
        <v>0</v>
      </c>
      <c r="T84" s="180">
        <v>0</v>
      </c>
      <c r="U84" s="180">
        <v>265</v>
      </c>
      <c r="V84" s="180">
        <v>0</v>
      </c>
      <c r="W84" s="180">
        <v>0</v>
      </c>
      <c r="X84" s="180">
        <v>1338</v>
      </c>
      <c r="Y84" s="180">
        <v>1</v>
      </c>
      <c r="Z84" s="180">
        <v>461</v>
      </c>
      <c r="AA84" s="180">
        <v>0</v>
      </c>
      <c r="AB84" s="180">
        <v>0</v>
      </c>
      <c r="AC84" s="180">
        <v>0</v>
      </c>
      <c r="AD84" s="180">
        <v>0</v>
      </c>
      <c r="AE84" s="180">
        <v>0</v>
      </c>
      <c r="AF84" s="182">
        <v>0</v>
      </c>
      <c r="AG84" s="167"/>
      <c r="AH84" s="167"/>
    </row>
    <row r="85" spans="1:34" x14ac:dyDescent="0.25">
      <c r="A85" s="183"/>
      <c r="B85" s="183"/>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c r="AA85" s="184"/>
      <c r="AB85" s="184"/>
      <c r="AC85" s="184"/>
      <c r="AD85" s="184"/>
      <c r="AE85" s="184"/>
      <c r="AF85" s="184"/>
      <c r="AG85" s="167"/>
      <c r="AH85" s="167"/>
    </row>
    <row r="86" spans="1:34" x14ac:dyDescent="0.25">
      <c r="A86" s="177" t="s">
        <v>371</v>
      </c>
      <c r="B86" s="177" t="s">
        <v>100</v>
      </c>
      <c r="C86" s="178" t="s">
        <v>113</v>
      </c>
      <c r="D86" s="179" t="s">
        <v>363</v>
      </c>
      <c r="E86" s="180">
        <v>0</v>
      </c>
      <c r="F86" s="180">
        <v>0</v>
      </c>
      <c r="G86" s="180">
        <v>0</v>
      </c>
      <c r="H86" s="180">
        <v>0</v>
      </c>
      <c r="I86" s="180">
        <v>0</v>
      </c>
      <c r="J86" s="180">
        <v>0</v>
      </c>
      <c r="K86" s="180">
        <v>0</v>
      </c>
      <c r="L86" s="180">
        <v>0</v>
      </c>
      <c r="M86" s="180">
        <v>0</v>
      </c>
      <c r="N86" s="180">
        <v>0</v>
      </c>
      <c r="O86" s="180">
        <v>0</v>
      </c>
      <c r="P86" s="180">
        <v>16225</v>
      </c>
      <c r="Q86" s="180">
        <v>0</v>
      </c>
      <c r="R86" s="180">
        <v>0</v>
      </c>
      <c r="S86" s="180">
        <v>0</v>
      </c>
      <c r="T86" s="180">
        <v>0</v>
      </c>
      <c r="U86" s="180">
        <v>0</v>
      </c>
      <c r="V86" s="180">
        <v>0</v>
      </c>
      <c r="W86" s="180">
        <v>0</v>
      </c>
      <c r="X86" s="180">
        <v>0</v>
      </c>
      <c r="Y86" s="180">
        <v>0</v>
      </c>
      <c r="Z86" s="180">
        <v>0</v>
      </c>
      <c r="AA86" s="180">
        <v>0</v>
      </c>
      <c r="AB86" s="180">
        <v>0</v>
      </c>
      <c r="AC86" s="180">
        <v>0</v>
      </c>
      <c r="AD86" s="180">
        <v>0</v>
      </c>
      <c r="AE86" s="180">
        <v>0</v>
      </c>
      <c r="AF86" s="182">
        <v>0</v>
      </c>
      <c r="AG86" s="167"/>
      <c r="AH86" s="167"/>
    </row>
    <row r="87" spans="1:34" x14ac:dyDescent="0.25">
      <c r="A87" s="177" t="s">
        <v>371</v>
      </c>
      <c r="B87" s="177" t="s">
        <v>100</v>
      </c>
      <c r="C87" s="178" t="s">
        <v>115</v>
      </c>
      <c r="D87" s="179" t="s">
        <v>363</v>
      </c>
      <c r="E87" s="180">
        <v>0</v>
      </c>
      <c r="F87" s="180">
        <v>0</v>
      </c>
      <c r="G87" s="180">
        <v>0</v>
      </c>
      <c r="H87" s="180">
        <v>0</v>
      </c>
      <c r="I87" s="180">
        <v>557</v>
      </c>
      <c r="J87" s="180">
        <v>0</v>
      </c>
      <c r="K87" s="180">
        <v>0</v>
      </c>
      <c r="L87" s="180">
        <v>0</v>
      </c>
      <c r="M87" s="180">
        <v>0</v>
      </c>
      <c r="N87" s="180">
        <v>2384</v>
      </c>
      <c r="O87" s="180">
        <v>27</v>
      </c>
      <c r="P87" s="180">
        <v>0</v>
      </c>
      <c r="Q87" s="180">
        <v>87</v>
      </c>
      <c r="R87" s="180">
        <v>5850</v>
      </c>
      <c r="S87" s="180">
        <v>1174</v>
      </c>
      <c r="T87" s="180">
        <v>3809</v>
      </c>
      <c r="U87" s="180">
        <v>12133</v>
      </c>
      <c r="V87" s="180">
        <v>0</v>
      </c>
      <c r="W87" s="180">
        <v>0</v>
      </c>
      <c r="X87" s="180">
        <v>0</v>
      </c>
      <c r="Y87" s="180">
        <v>4</v>
      </c>
      <c r="Z87" s="180">
        <v>0</v>
      </c>
      <c r="AA87" s="180">
        <v>0</v>
      </c>
      <c r="AB87" s="180">
        <v>0</v>
      </c>
      <c r="AC87" s="180">
        <v>0</v>
      </c>
      <c r="AD87" s="180">
        <v>0</v>
      </c>
      <c r="AE87" s="180">
        <v>633</v>
      </c>
      <c r="AF87" s="182">
        <v>377</v>
      </c>
      <c r="AG87" s="167"/>
      <c r="AH87" s="167"/>
    </row>
    <row r="88" spans="1:34" x14ac:dyDescent="0.25">
      <c r="A88" s="177" t="s">
        <v>371</v>
      </c>
      <c r="B88" s="177" t="s">
        <v>100</v>
      </c>
      <c r="C88" s="178" t="s">
        <v>117</v>
      </c>
      <c r="D88" s="179" t="s">
        <v>363</v>
      </c>
      <c r="E88" s="180">
        <v>278211</v>
      </c>
      <c r="F88" s="180">
        <v>18807</v>
      </c>
      <c r="G88" s="180">
        <v>53870</v>
      </c>
      <c r="H88" s="180">
        <v>125230</v>
      </c>
      <c r="I88" s="180">
        <v>117306</v>
      </c>
      <c r="J88" s="180">
        <v>313</v>
      </c>
      <c r="K88" s="180">
        <v>350634</v>
      </c>
      <c r="L88" s="180">
        <v>232557</v>
      </c>
      <c r="M88" s="180">
        <v>1074597</v>
      </c>
      <c r="N88" s="180">
        <v>244811</v>
      </c>
      <c r="O88" s="180">
        <v>83689</v>
      </c>
      <c r="P88" s="180">
        <v>445670</v>
      </c>
      <c r="Q88" s="180">
        <v>18567</v>
      </c>
      <c r="R88" s="180">
        <v>48886</v>
      </c>
      <c r="S88" s="180">
        <v>160314</v>
      </c>
      <c r="T88" s="180">
        <v>166576</v>
      </c>
      <c r="U88" s="180">
        <v>508155</v>
      </c>
      <c r="V88" s="180">
        <v>1013206</v>
      </c>
      <c r="W88" s="180">
        <v>2358982</v>
      </c>
      <c r="X88" s="180">
        <v>100490</v>
      </c>
      <c r="Y88" s="180">
        <v>311657</v>
      </c>
      <c r="Z88" s="180">
        <v>402</v>
      </c>
      <c r="AA88" s="180">
        <v>0</v>
      </c>
      <c r="AB88" s="180">
        <v>60120</v>
      </c>
      <c r="AC88" s="180">
        <v>174347</v>
      </c>
      <c r="AD88" s="180">
        <v>11660</v>
      </c>
      <c r="AE88" s="180">
        <v>18831</v>
      </c>
      <c r="AF88" s="182">
        <v>1340401</v>
      </c>
      <c r="AG88" s="167"/>
      <c r="AH88" s="167"/>
    </row>
    <row r="89" spans="1:34" x14ac:dyDescent="0.25">
      <c r="A89" s="177" t="s">
        <v>371</v>
      </c>
      <c r="B89" s="177" t="s">
        <v>100</v>
      </c>
      <c r="C89" s="178" t="s">
        <v>119</v>
      </c>
      <c r="D89" s="179" t="s">
        <v>363</v>
      </c>
      <c r="E89" s="180">
        <v>0</v>
      </c>
      <c r="F89" s="180">
        <v>0</v>
      </c>
      <c r="G89" s="180">
        <v>0</v>
      </c>
      <c r="H89" s="180">
        <v>0</v>
      </c>
      <c r="I89" s="180">
        <v>0</v>
      </c>
      <c r="J89" s="180">
        <v>0</v>
      </c>
      <c r="K89" s="180">
        <v>0</v>
      </c>
      <c r="L89" s="180">
        <v>0</v>
      </c>
      <c r="M89" s="180">
        <v>3090</v>
      </c>
      <c r="N89" s="180">
        <v>0</v>
      </c>
      <c r="O89" s="180">
        <v>0</v>
      </c>
      <c r="P89" s="180">
        <v>0</v>
      </c>
      <c r="Q89" s="180">
        <v>0</v>
      </c>
      <c r="R89" s="180">
        <v>287</v>
      </c>
      <c r="S89" s="180">
        <v>0</v>
      </c>
      <c r="T89" s="180">
        <v>1503</v>
      </c>
      <c r="U89" s="180">
        <v>3514</v>
      </c>
      <c r="V89" s="180">
        <v>9625</v>
      </c>
      <c r="W89" s="180">
        <v>0</v>
      </c>
      <c r="X89" s="180">
        <v>0</v>
      </c>
      <c r="Y89" s="180">
        <v>1032</v>
      </c>
      <c r="Z89" s="180">
        <v>0</v>
      </c>
      <c r="AA89" s="180">
        <v>0</v>
      </c>
      <c r="AB89" s="180">
        <v>0</v>
      </c>
      <c r="AC89" s="180">
        <v>0</v>
      </c>
      <c r="AD89" s="180">
        <v>0</v>
      </c>
      <c r="AE89" s="180">
        <v>0</v>
      </c>
      <c r="AF89" s="182">
        <v>23533</v>
      </c>
      <c r="AG89" s="167"/>
      <c r="AH89" s="167"/>
    </row>
    <row r="90" spans="1:34" x14ac:dyDescent="0.25">
      <c r="A90" s="177" t="s">
        <v>371</v>
      </c>
      <c r="B90" s="177" t="s">
        <v>100</v>
      </c>
      <c r="C90" s="178" t="s">
        <v>120</v>
      </c>
      <c r="D90" s="179" t="s">
        <v>363</v>
      </c>
      <c r="E90" s="180">
        <v>19414</v>
      </c>
      <c r="F90" s="180">
        <v>1825</v>
      </c>
      <c r="G90" s="180">
        <v>1548</v>
      </c>
      <c r="H90" s="180">
        <v>150408</v>
      </c>
      <c r="I90" s="180">
        <v>36564</v>
      </c>
      <c r="J90" s="180">
        <v>55507</v>
      </c>
      <c r="K90" s="180">
        <v>396965</v>
      </c>
      <c r="L90" s="180">
        <v>443833</v>
      </c>
      <c r="M90" s="180">
        <v>20553</v>
      </c>
      <c r="N90" s="180">
        <v>7694</v>
      </c>
      <c r="O90" s="180">
        <v>4927</v>
      </c>
      <c r="P90" s="180">
        <v>7058930</v>
      </c>
      <c r="Q90" s="180">
        <v>3116</v>
      </c>
      <c r="R90" s="180">
        <v>19542</v>
      </c>
      <c r="S90" s="180">
        <v>45030</v>
      </c>
      <c r="T90" s="180">
        <v>8381</v>
      </c>
      <c r="U90" s="180">
        <v>40757</v>
      </c>
      <c r="V90" s="180">
        <v>1566007</v>
      </c>
      <c r="W90" s="180">
        <v>4280479</v>
      </c>
      <c r="X90" s="180">
        <v>68160</v>
      </c>
      <c r="Y90" s="180">
        <v>70474</v>
      </c>
      <c r="Z90" s="180">
        <v>64734</v>
      </c>
      <c r="AA90" s="180">
        <v>61654</v>
      </c>
      <c r="AB90" s="180">
        <v>67054</v>
      </c>
      <c r="AC90" s="180">
        <v>0</v>
      </c>
      <c r="AD90" s="180">
        <v>6223</v>
      </c>
      <c r="AE90" s="180">
        <v>12371</v>
      </c>
      <c r="AF90" s="182">
        <v>186682</v>
      </c>
      <c r="AG90" s="167"/>
      <c r="AH90" s="167"/>
    </row>
    <row r="91" spans="1:34" x14ac:dyDescent="0.25">
      <c r="A91" s="177" t="s">
        <v>371</v>
      </c>
      <c r="B91" s="177" t="s">
        <v>100</v>
      </c>
      <c r="C91" s="178" t="s">
        <v>122</v>
      </c>
      <c r="D91" s="179" t="s">
        <v>363</v>
      </c>
      <c r="E91" s="180">
        <v>0</v>
      </c>
      <c r="F91" s="180">
        <v>0</v>
      </c>
      <c r="G91" s="180">
        <v>0</v>
      </c>
      <c r="H91" s="180">
        <v>0</v>
      </c>
      <c r="I91" s="180">
        <v>0</v>
      </c>
      <c r="J91" s="180">
        <v>0</v>
      </c>
      <c r="K91" s="180">
        <v>0</v>
      </c>
      <c r="L91" s="180">
        <v>0</v>
      </c>
      <c r="M91" s="180">
        <v>0</v>
      </c>
      <c r="N91" s="180">
        <v>0</v>
      </c>
      <c r="O91" s="180">
        <v>0</v>
      </c>
      <c r="P91" s="180">
        <v>60150</v>
      </c>
      <c r="Q91" s="180">
        <v>0</v>
      </c>
      <c r="R91" s="180">
        <v>0</v>
      </c>
      <c r="S91" s="180">
        <v>1</v>
      </c>
      <c r="T91" s="180">
        <v>0</v>
      </c>
      <c r="U91" s="180">
        <v>1746</v>
      </c>
      <c r="V91" s="180">
        <v>0</v>
      </c>
      <c r="W91" s="180">
        <v>0</v>
      </c>
      <c r="X91" s="180">
        <v>0</v>
      </c>
      <c r="Y91" s="180">
        <v>0</v>
      </c>
      <c r="Z91" s="180">
        <v>0</v>
      </c>
      <c r="AA91" s="180">
        <v>0</v>
      </c>
      <c r="AB91" s="180">
        <v>0</v>
      </c>
      <c r="AC91" s="180">
        <v>0</v>
      </c>
      <c r="AD91" s="180">
        <v>219</v>
      </c>
      <c r="AE91" s="180">
        <v>0</v>
      </c>
      <c r="AF91" s="182">
        <v>29806</v>
      </c>
      <c r="AG91" s="167"/>
      <c r="AH91" s="167"/>
    </row>
    <row r="92" spans="1:34" x14ac:dyDescent="0.25">
      <c r="A92" s="177" t="s">
        <v>371</v>
      </c>
      <c r="B92" s="177" t="s">
        <v>100</v>
      </c>
      <c r="C92" s="178" t="s">
        <v>124</v>
      </c>
      <c r="D92" s="179" t="s">
        <v>363</v>
      </c>
      <c r="E92" s="180">
        <v>533</v>
      </c>
      <c r="F92" s="180">
        <v>0</v>
      </c>
      <c r="G92" s="180">
        <v>0</v>
      </c>
      <c r="H92" s="180">
        <v>2209</v>
      </c>
      <c r="I92" s="180">
        <v>4154</v>
      </c>
      <c r="J92" s="180">
        <v>6090</v>
      </c>
      <c r="K92" s="180">
        <v>0</v>
      </c>
      <c r="L92" s="180">
        <v>0</v>
      </c>
      <c r="M92" s="180">
        <v>1502</v>
      </c>
      <c r="N92" s="180">
        <v>4907</v>
      </c>
      <c r="O92" s="180">
        <v>312</v>
      </c>
      <c r="P92" s="180">
        <v>867768</v>
      </c>
      <c r="Q92" s="180">
        <v>2996</v>
      </c>
      <c r="R92" s="180">
        <v>9</v>
      </c>
      <c r="S92" s="180">
        <v>1453</v>
      </c>
      <c r="T92" s="180">
        <v>2869</v>
      </c>
      <c r="U92" s="180">
        <v>9535</v>
      </c>
      <c r="V92" s="180">
        <v>5002</v>
      </c>
      <c r="W92" s="180">
        <v>0</v>
      </c>
      <c r="X92" s="180">
        <v>2433</v>
      </c>
      <c r="Y92" s="180">
        <v>660</v>
      </c>
      <c r="Z92" s="180">
        <v>1350</v>
      </c>
      <c r="AA92" s="180">
        <v>4307</v>
      </c>
      <c r="AB92" s="180">
        <v>0</v>
      </c>
      <c r="AC92" s="180">
        <v>0</v>
      </c>
      <c r="AD92" s="180">
        <v>2038</v>
      </c>
      <c r="AE92" s="180">
        <v>8883</v>
      </c>
      <c r="AF92" s="182">
        <v>0</v>
      </c>
      <c r="AG92" s="167"/>
      <c r="AH92" s="167"/>
    </row>
    <row r="93" spans="1:34" x14ac:dyDescent="0.25">
      <c r="A93" s="177" t="s">
        <v>371</v>
      </c>
      <c r="B93" s="177" t="s">
        <v>100</v>
      </c>
      <c r="C93" s="178" t="s">
        <v>126</v>
      </c>
      <c r="D93" s="179" t="s">
        <v>363</v>
      </c>
      <c r="E93" s="180">
        <v>52213</v>
      </c>
      <c r="F93" s="180">
        <v>251033</v>
      </c>
      <c r="G93" s="180">
        <v>75536</v>
      </c>
      <c r="H93" s="180">
        <v>267849</v>
      </c>
      <c r="I93" s="180">
        <v>142085</v>
      </c>
      <c r="J93" s="180">
        <v>99866</v>
      </c>
      <c r="K93" s="180">
        <v>641822</v>
      </c>
      <c r="L93" s="180">
        <v>266728</v>
      </c>
      <c r="M93" s="180">
        <v>432871</v>
      </c>
      <c r="N93" s="180">
        <v>347116</v>
      </c>
      <c r="O93" s="180">
        <v>154730</v>
      </c>
      <c r="P93" s="180">
        <v>9912236</v>
      </c>
      <c r="Q93" s="180">
        <v>133339</v>
      </c>
      <c r="R93" s="180">
        <v>303418</v>
      </c>
      <c r="S93" s="180">
        <v>328462</v>
      </c>
      <c r="T93" s="180">
        <v>677785</v>
      </c>
      <c r="U93" s="180">
        <v>835457</v>
      </c>
      <c r="V93" s="180">
        <v>760652</v>
      </c>
      <c r="W93" s="180">
        <v>1984903</v>
      </c>
      <c r="X93" s="180">
        <v>650503</v>
      </c>
      <c r="Y93" s="180">
        <v>539341</v>
      </c>
      <c r="Z93" s="180">
        <v>309471</v>
      </c>
      <c r="AA93" s="180">
        <v>607429</v>
      </c>
      <c r="AB93" s="180">
        <v>469051</v>
      </c>
      <c r="AC93" s="180">
        <v>14136</v>
      </c>
      <c r="AD93" s="180">
        <v>390517</v>
      </c>
      <c r="AE93" s="180">
        <v>523739</v>
      </c>
      <c r="AF93" s="182">
        <v>1608312</v>
      </c>
      <c r="AG93" s="167"/>
      <c r="AH93" s="167"/>
    </row>
    <row r="94" spans="1:34" x14ac:dyDescent="0.25">
      <c r="A94" s="177" t="s">
        <v>371</v>
      </c>
      <c r="B94" s="177" t="s">
        <v>100</v>
      </c>
      <c r="C94" s="178" t="s">
        <v>128</v>
      </c>
      <c r="D94" s="179" t="s">
        <v>363</v>
      </c>
      <c r="E94" s="180">
        <v>4700</v>
      </c>
      <c r="F94" s="180">
        <v>244682</v>
      </c>
      <c r="G94" s="180">
        <v>54684</v>
      </c>
      <c r="H94" s="180">
        <v>23235</v>
      </c>
      <c r="I94" s="180">
        <v>76271</v>
      </c>
      <c r="J94" s="180">
        <v>106671</v>
      </c>
      <c r="K94" s="180">
        <v>451310</v>
      </c>
      <c r="L94" s="180">
        <v>425450</v>
      </c>
      <c r="M94" s="180">
        <v>138249</v>
      </c>
      <c r="N94" s="180">
        <v>359239</v>
      </c>
      <c r="O94" s="180">
        <v>29848</v>
      </c>
      <c r="P94" s="180">
        <v>2425311</v>
      </c>
      <c r="Q94" s="180">
        <v>43264</v>
      </c>
      <c r="R94" s="180">
        <v>204166</v>
      </c>
      <c r="S94" s="180">
        <v>233368</v>
      </c>
      <c r="T94" s="180">
        <v>493013</v>
      </c>
      <c r="U94" s="180">
        <v>614362</v>
      </c>
      <c r="V94" s="180">
        <v>308481</v>
      </c>
      <c r="W94" s="180">
        <v>260973</v>
      </c>
      <c r="X94" s="180">
        <v>224500</v>
      </c>
      <c r="Y94" s="180">
        <v>430933</v>
      </c>
      <c r="Z94" s="180">
        <v>247994</v>
      </c>
      <c r="AA94" s="180">
        <v>3335716</v>
      </c>
      <c r="AB94" s="180">
        <v>152357</v>
      </c>
      <c r="AC94" s="180">
        <v>73821</v>
      </c>
      <c r="AD94" s="180">
        <v>292309</v>
      </c>
      <c r="AE94" s="180">
        <v>172647</v>
      </c>
      <c r="AF94" s="182">
        <v>2343413</v>
      </c>
      <c r="AG94" s="167"/>
      <c r="AH94" s="167"/>
    </row>
    <row r="95" spans="1:34" x14ac:dyDescent="0.25">
      <c r="A95" s="177" t="s">
        <v>371</v>
      </c>
      <c r="B95" s="177" t="s">
        <v>100</v>
      </c>
      <c r="C95" s="178" t="s">
        <v>130</v>
      </c>
      <c r="D95" s="179" t="s">
        <v>363</v>
      </c>
      <c r="E95" s="180">
        <v>0</v>
      </c>
      <c r="F95" s="180">
        <v>0</v>
      </c>
      <c r="G95" s="180">
        <v>0</v>
      </c>
      <c r="H95" s="180">
        <v>0</v>
      </c>
      <c r="I95" s="180">
        <v>0</v>
      </c>
      <c r="J95" s="180">
        <v>64518</v>
      </c>
      <c r="K95" s="180">
        <v>0</v>
      </c>
      <c r="L95" s="180">
        <v>0</v>
      </c>
      <c r="M95" s="180">
        <v>0</v>
      </c>
      <c r="N95" s="180">
        <v>11402</v>
      </c>
      <c r="O95" s="180">
        <v>0</v>
      </c>
      <c r="P95" s="180">
        <v>1394719</v>
      </c>
      <c r="Q95" s="180">
        <v>95410</v>
      </c>
      <c r="R95" s="180">
        <v>25392</v>
      </c>
      <c r="S95" s="180">
        <v>48495</v>
      </c>
      <c r="T95" s="180">
        <v>99981</v>
      </c>
      <c r="U95" s="180">
        <v>142912</v>
      </c>
      <c r="V95" s="180">
        <v>0</v>
      </c>
      <c r="W95" s="180">
        <v>0</v>
      </c>
      <c r="X95" s="180">
        <v>0</v>
      </c>
      <c r="Y95" s="180">
        <v>0</v>
      </c>
      <c r="Z95" s="180">
        <v>42990</v>
      </c>
      <c r="AA95" s="180">
        <v>0</v>
      </c>
      <c r="AB95" s="180">
        <v>0</v>
      </c>
      <c r="AC95" s="180">
        <v>0</v>
      </c>
      <c r="AD95" s="180">
        <v>632237</v>
      </c>
      <c r="AE95" s="180">
        <v>46677</v>
      </c>
      <c r="AF95" s="182">
        <v>65900</v>
      </c>
      <c r="AG95" s="167"/>
      <c r="AH95" s="167"/>
    </row>
    <row r="96" spans="1:34" x14ac:dyDescent="0.25">
      <c r="A96" s="177" t="s">
        <v>371</v>
      </c>
      <c r="B96" s="177" t="s">
        <v>100</v>
      </c>
      <c r="C96" s="178" t="s">
        <v>132</v>
      </c>
      <c r="D96" s="179" t="s">
        <v>363</v>
      </c>
      <c r="E96" s="180">
        <v>2883</v>
      </c>
      <c r="F96" s="180">
        <v>6772</v>
      </c>
      <c r="G96" s="180">
        <v>3989</v>
      </c>
      <c r="H96" s="180">
        <v>938</v>
      </c>
      <c r="I96" s="180">
        <v>6297</v>
      </c>
      <c r="J96" s="180">
        <v>1303</v>
      </c>
      <c r="K96" s="180">
        <v>22693</v>
      </c>
      <c r="L96" s="180">
        <v>3518</v>
      </c>
      <c r="M96" s="180">
        <v>23569</v>
      </c>
      <c r="N96" s="180">
        <v>5827</v>
      </c>
      <c r="O96" s="180">
        <v>8143</v>
      </c>
      <c r="P96" s="180">
        <v>17131</v>
      </c>
      <c r="Q96" s="180">
        <v>2411</v>
      </c>
      <c r="R96" s="180">
        <v>12826</v>
      </c>
      <c r="S96" s="180">
        <v>6767</v>
      </c>
      <c r="T96" s="180">
        <v>25505</v>
      </c>
      <c r="U96" s="180">
        <v>18170</v>
      </c>
      <c r="V96" s="180">
        <v>31114</v>
      </c>
      <c r="W96" s="180">
        <v>192119</v>
      </c>
      <c r="X96" s="180">
        <v>28286</v>
      </c>
      <c r="Y96" s="180">
        <v>61600</v>
      </c>
      <c r="Z96" s="180">
        <v>13635</v>
      </c>
      <c r="AA96" s="180">
        <v>8</v>
      </c>
      <c r="AB96" s="180">
        <v>28420</v>
      </c>
      <c r="AC96" s="180">
        <v>134</v>
      </c>
      <c r="AD96" s="180">
        <v>2625</v>
      </c>
      <c r="AE96" s="180">
        <v>36074</v>
      </c>
      <c r="AF96" s="182">
        <v>15911</v>
      </c>
      <c r="AG96" s="167"/>
      <c r="AH96" s="167"/>
    </row>
    <row r="97" spans="1:34" x14ac:dyDescent="0.25">
      <c r="A97" s="177" t="s">
        <v>371</v>
      </c>
      <c r="B97" s="177" t="s">
        <v>100</v>
      </c>
      <c r="C97" s="178" t="s">
        <v>134</v>
      </c>
      <c r="D97" s="179" t="s">
        <v>363</v>
      </c>
      <c r="E97" s="180">
        <v>87953</v>
      </c>
      <c r="F97" s="180">
        <v>229524</v>
      </c>
      <c r="G97" s="180">
        <v>101533</v>
      </c>
      <c r="H97" s="180">
        <v>96162</v>
      </c>
      <c r="I97" s="180">
        <v>130522</v>
      </c>
      <c r="J97" s="180">
        <v>25720</v>
      </c>
      <c r="K97" s="180">
        <v>341816</v>
      </c>
      <c r="L97" s="180">
        <v>56962</v>
      </c>
      <c r="M97" s="180">
        <v>97749</v>
      </c>
      <c r="N97" s="180">
        <v>145424</v>
      </c>
      <c r="O97" s="180">
        <v>124309</v>
      </c>
      <c r="P97" s="180">
        <v>324955</v>
      </c>
      <c r="Q97" s="180">
        <v>27489</v>
      </c>
      <c r="R97" s="180">
        <v>67814</v>
      </c>
      <c r="S97" s="180">
        <v>21309</v>
      </c>
      <c r="T97" s="180">
        <v>77261</v>
      </c>
      <c r="U97" s="180">
        <v>59620</v>
      </c>
      <c r="V97" s="180">
        <v>461035</v>
      </c>
      <c r="W97" s="180">
        <v>890160</v>
      </c>
      <c r="X97" s="180">
        <v>124098</v>
      </c>
      <c r="Y97" s="180">
        <v>391328</v>
      </c>
      <c r="Z97" s="180">
        <v>54936</v>
      </c>
      <c r="AA97" s="180">
        <v>1004465</v>
      </c>
      <c r="AB97" s="180">
        <v>44183</v>
      </c>
      <c r="AC97" s="180">
        <v>19058</v>
      </c>
      <c r="AD97" s="180">
        <v>262292</v>
      </c>
      <c r="AE97" s="180">
        <v>25158</v>
      </c>
      <c r="AF97" s="182">
        <v>146779</v>
      </c>
      <c r="AG97" s="167"/>
      <c r="AH97" s="167"/>
    </row>
    <row r="98" spans="1:34" x14ac:dyDescent="0.25">
      <c r="A98" s="177" t="s">
        <v>371</v>
      </c>
      <c r="B98" s="177" t="s">
        <v>100</v>
      </c>
      <c r="C98" s="167" t="s">
        <v>1701</v>
      </c>
      <c r="D98" s="179" t="s">
        <v>363</v>
      </c>
      <c r="E98" s="180">
        <v>0</v>
      </c>
      <c r="F98" s="180">
        <v>0</v>
      </c>
      <c r="G98" s="180">
        <v>0</v>
      </c>
      <c r="H98" s="180">
        <v>0</v>
      </c>
      <c r="I98" s="180">
        <v>4908</v>
      </c>
      <c r="J98" s="180">
        <v>0</v>
      </c>
      <c r="K98" s="180">
        <v>0</v>
      </c>
      <c r="L98" s="180">
        <v>0</v>
      </c>
      <c r="M98" s="180">
        <v>0</v>
      </c>
      <c r="N98" s="180">
        <v>0</v>
      </c>
      <c r="O98" s="180">
        <v>0</v>
      </c>
      <c r="P98" s="180">
        <v>0</v>
      </c>
      <c r="Q98" s="180">
        <v>0</v>
      </c>
      <c r="R98" s="180">
        <v>483</v>
      </c>
      <c r="S98" s="180">
        <v>45</v>
      </c>
      <c r="T98" s="180">
        <v>67</v>
      </c>
      <c r="U98" s="180">
        <v>0</v>
      </c>
      <c r="V98" s="180">
        <v>0</v>
      </c>
      <c r="W98" s="180">
        <v>0</v>
      </c>
      <c r="X98" s="180">
        <v>27</v>
      </c>
      <c r="Y98" s="180">
        <v>0</v>
      </c>
      <c r="Z98" s="180">
        <v>0</v>
      </c>
      <c r="AA98" s="180">
        <v>0</v>
      </c>
      <c r="AB98" s="180">
        <v>0</v>
      </c>
      <c r="AC98" s="180">
        <v>0</v>
      </c>
      <c r="AD98" s="180">
        <v>0</v>
      </c>
      <c r="AE98" s="180">
        <v>189</v>
      </c>
      <c r="AF98" s="182">
        <v>0</v>
      </c>
      <c r="AG98" s="167"/>
      <c r="AH98" s="167"/>
    </row>
    <row r="99" spans="1:34" x14ac:dyDescent="0.25">
      <c r="A99" s="177" t="s">
        <v>371</v>
      </c>
      <c r="B99" s="177" t="s">
        <v>100</v>
      </c>
      <c r="C99" s="167" t="s">
        <v>137</v>
      </c>
      <c r="D99" s="179" t="s">
        <v>363</v>
      </c>
      <c r="E99" s="180">
        <v>0</v>
      </c>
      <c r="F99" s="180">
        <v>3</v>
      </c>
      <c r="G99" s="180">
        <v>0</v>
      </c>
      <c r="H99" s="180">
        <v>0</v>
      </c>
      <c r="I99" s="180">
        <v>0</v>
      </c>
      <c r="J99" s="180">
        <v>0</v>
      </c>
      <c r="K99" s="180">
        <v>0</v>
      </c>
      <c r="L99" s="180">
        <v>0</v>
      </c>
      <c r="M99" s="180">
        <v>0</v>
      </c>
      <c r="N99" s="180">
        <v>0</v>
      </c>
      <c r="O99" s="180">
        <v>0</v>
      </c>
      <c r="P99" s="180">
        <v>0</v>
      </c>
      <c r="Q99" s="180">
        <v>41</v>
      </c>
      <c r="R99" s="180">
        <v>81</v>
      </c>
      <c r="S99" s="180">
        <v>27</v>
      </c>
      <c r="T99" s="180">
        <v>688</v>
      </c>
      <c r="U99" s="180">
        <v>8</v>
      </c>
      <c r="V99" s="180">
        <v>0</v>
      </c>
      <c r="W99" s="180">
        <v>0</v>
      </c>
      <c r="X99" s="180">
        <v>0</v>
      </c>
      <c r="Y99" s="180">
        <v>3</v>
      </c>
      <c r="Z99" s="180">
        <v>12150</v>
      </c>
      <c r="AA99" s="180">
        <v>0</v>
      </c>
      <c r="AB99" s="180">
        <v>736</v>
      </c>
      <c r="AC99" s="180">
        <v>0</v>
      </c>
      <c r="AD99" s="180">
        <v>0</v>
      </c>
      <c r="AE99" s="180">
        <v>75</v>
      </c>
      <c r="AF99" s="182">
        <v>0</v>
      </c>
      <c r="AG99" s="167"/>
      <c r="AH99" s="167"/>
    </row>
    <row r="100" spans="1:34" x14ac:dyDescent="0.25">
      <c r="A100" s="177" t="s">
        <v>371</v>
      </c>
      <c r="B100" s="177" t="s">
        <v>100</v>
      </c>
      <c r="C100" s="178" t="s">
        <v>139</v>
      </c>
      <c r="D100" s="179" t="s">
        <v>363</v>
      </c>
      <c r="E100" s="180">
        <v>0</v>
      </c>
      <c r="F100" s="180">
        <v>0</v>
      </c>
      <c r="G100" s="180">
        <v>28</v>
      </c>
      <c r="H100" s="180">
        <v>0</v>
      </c>
      <c r="I100" s="180">
        <v>102</v>
      </c>
      <c r="J100" s="180">
        <v>0</v>
      </c>
      <c r="K100" s="180">
        <v>2536</v>
      </c>
      <c r="L100" s="180">
        <v>0</v>
      </c>
      <c r="M100" s="180">
        <v>0</v>
      </c>
      <c r="N100" s="180">
        <v>0</v>
      </c>
      <c r="O100" s="180">
        <v>0</v>
      </c>
      <c r="P100" s="180">
        <v>0</v>
      </c>
      <c r="Q100" s="180">
        <v>0</v>
      </c>
      <c r="R100" s="180">
        <v>2259</v>
      </c>
      <c r="S100" s="180">
        <v>1350</v>
      </c>
      <c r="T100" s="180">
        <v>1863</v>
      </c>
      <c r="U100" s="180">
        <v>18583</v>
      </c>
      <c r="V100" s="180">
        <v>0</v>
      </c>
      <c r="W100" s="180">
        <v>0</v>
      </c>
      <c r="X100" s="180">
        <v>14610</v>
      </c>
      <c r="Y100" s="180">
        <v>524</v>
      </c>
      <c r="Z100" s="180">
        <v>18139</v>
      </c>
      <c r="AA100" s="180">
        <v>0</v>
      </c>
      <c r="AB100" s="180">
        <v>0</v>
      </c>
      <c r="AC100" s="180">
        <v>0</v>
      </c>
      <c r="AD100" s="180">
        <v>50558</v>
      </c>
      <c r="AE100" s="180">
        <v>27480</v>
      </c>
      <c r="AF100" s="182">
        <v>8864</v>
      </c>
      <c r="AG100" s="167"/>
      <c r="AH100" s="167"/>
    </row>
    <row r="101" spans="1:34" x14ac:dyDescent="0.25">
      <c r="A101" s="183"/>
      <c r="B101" s="183"/>
      <c r="C101" s="184"/>
      <c r="D101" s="184"/>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6"/>
      <c r="AG101" s="167"/>
      <c r="AH101" s="167"/>
    </row>
    <row r="102" spans="1:34" x14ac:dyDescent="0.25">
      <c r="A102" s="168"/>
      <c r="B102" s="168"/>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c r="AC102" s="167"/>
      <c r="AD102" s="167"/>
      <c r="AE102" s="167"/>
      <c r="AF102" s="167"/>
      <c r="AG102" s="167"/>
      <c r="AH102" s="167"/>
    </row>
    <row r="103" spans="1:34" ht="15.75" x14ac:dyDescent="0.25">
      <c r="A103" s="228" t="s">
        <v>372</v>
      </c>
      <c r="B103" s="168"/>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c r="AC103" s="167"/>
      <c r="AD103" s="167"/>
      <c r="AE103" s="167"/>
      <c r="AF103" s="167"/>
      <c r="AG103" s="167"/>
      <c r="AH103" s="167"/>
    </row>
    <row r="104" spans="1:34" x14ac:dyDescent="0.25">
      <c r="A104" s="168"/>
      <c r="B104" s="168"/>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c r="AD104" s="167"/>
      <c r="AE104" s="167"/>
      <c r="AF104" s="167"/>
      <c r="AG104" s="167"/>
      <c r="AH104" s="167"/>
    </row>
    <row r="105" spans="1:34" x14ac:dyDescent="0.25">
      <c r="A105" s="251"/>
      <c r="B105" s="251"/>
      <c r="C105" s="252"/>
      <c r="D105" s="252"/>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c r="AC105" s="253"/>
      <c r="AD105" s="253"/>
      <c r="AE105" s="253"/>
      <c r="AF105" s="251"/>
      <c r="AG105" s="167"/>
      <c r="AH105" s="167"/>
    </row>
    <row r="106" spans="1:34" ht="15.75" x14ac:dyDescent="0.25">
      <c r="A106" s="254" t="s">
        <v>358</v>
      </c>
      <c r="B106" s="255" t="s">
        <v>359</v>
      </c>
      <c r="C106" s="256" t="s">
        <v>360</v>
      </c>
      <c r="D106" s="256" t="s">
        <v>342</v>
      </c>
      <c r="E106" s="257" t="s">
        <v>162</v>
      </c>
      <c r="F106" s="257" t="s">
        <v>164</v>
      </c>
      <c r="G106" s="257" t="s">
        <v>166</v>
      </c>
      <c r="H106" s="257" t="s">
        <v>168</v>
      </c>
      <c r="I106" s="257" t="s">
        <v>170</v>
      </c>
      <c r="J106" s="257" t="s">
        <v>173</v>
      </c>
      <c r="K106" s="257" t="s">
        <v>175</v>
      </c>
      <c r="L106" s="257" t="s">
        <v>177</v>
      </c>
      <c r="M106" s="257" t="s">
        <v>179</v>
      </c>
      <c r="N106" s="257" t="s">
        <v>181</v>
      </c>
      <c r="O106" s="257" t="s">
        <v>183</v>
      </c>
      <c r="P106" s="257" t="s">
        <v>185</v>
      </c>
      <c r="Q106" s="257" t="s">
        <v>188</v>
      </c>
      <c r="R106" s="257" t="s">
        <v>190</v>
      </c>
      <c r="S106" s="257" t="s">
        <v>192</v>
      </c>
      <c r="T106" s="257" t="s">
        <v>194</v>
      </c>
      <c r="U106" s="257" t="s">
        <v>196</v>
      </c>
      <c r="V106" s="257" t="s">
        <v>198</v>
      </c>
      <c r="W106" s="257" t="s">
        <v>9</v>
      </c>
      <c r="X106" s="257" t="s">
        <v>201</v>
      </c>
      <c r="Y106" s="257" t="s">
        <v>203</v>
      </c>
      <c r="Z106" s="257" t="s">
        <v>205</v>
      </c>
      <c r="AA106" s="257" t="s">
        <v>207</v>
      </c>
      <c r="AB106" s="257" t="s">
        <v>210</v>
      </c>
      <c r="AC106" s="257" t="s">
        <v>212</v>
      </c>
      <c r="AD106" s="257" t="s">
        <v>214</v>
      </c>
      <c r="AE106" s="257" t="s">
        <v>217</v>
      </c>
      <c r="AF106" s="258" t="s">
        <v>219</v>
      </c>
      <c r="AG106" s="167"/>
      <c r="AH106" s="167"/>
    </row>
    <row r="107" spans="1:34" x14ac:dyDescent="0.25">
      <c r="A107" s="259" t="s">
        <v>373</v>
      </c>
      <c r="B107" s="259" t="s">
        <v>94</v>
      </c>
      <c r="C107" s="260" t="s">
        <v>113</v>
      </c>
      <c r="D107" s="261" t="s">
        <v>363</v>
      </c>
      <c r="E107" s="262">
        <v>0</v>
      </c>
      <c r="F107" s="262">
        <v>0</v>
      </c>
      <c r="G107" s="262">
        <v>0</v>
      </c>
      <c r="H107" s="262">
        <v>0</v>
      </c>
      <c r="I107" s="262">
        <v>0</v>
      </c>
      <c r="J107" s="262">
        <v>0</v>
      </c>
      <c r="K107" s="262">
        <v>0</v>
      </c>
      <c r="L107" s="262">
        <v>0</v>
      </c>
      <c r="M107" s="262">
        <v>0</v>
      </c>
      <c r="N107" s="262">
        <v>0</v>
      </c>
      <c r="O107" s="262">
        <v>0</v>
      </c>
      <c r="P107" s="262">
        <v>0</v>
      </c>
      <c r="Q107" s="262">
        <v>0</v>
      </c>
      <c r="R107" s="262">
        <v>0</v>
      </c>
      <c r="S107" s="262">
        <v>0</v>
      </c>
      <c r="T107" s="262">
        <v>0</v>
      </c>
      <c r="U107" s="262">
        <v>0</v>
      </c>
      <c r="V107" s="262">
        <v>0</v>
      </c>
      <c r="W107" s="262">
        <v>0</v>
      </c>
      <c r="X107" s="262">
        <v>0</v>
      </c>
      <c r="Y107" s="262">
        <v>0</v>
      </c>
      <c r="Z107" s="262">
        <v>0</v>
      </c>
      <c r="AA107" s="262">
        <v>0</v>
      </c>
      <c r="AB107" s="262">
        <v>0</v>
      </c>
      <c r="AC107" s="262">
        <v>0</v>
      </c>
      <c r="AD107" s="262">
        <v>0</v>
      </c>
      <c r="AE107" s="262">
        <v>0</v>
      </c>
      <c r="AF107" s="263">
        <v>0</v>
      </c>
      <c r="AG107" s="167"/>
      <c r="AH107" s="167"/>
    </row>
    <row r="108" spans="1:34" x14ac:dyDescent="0.25">
      <c r="A108" s="259" t="s">
        <v>373</v>
      </c>
      <c r="B108" s="259" t="s">
        <v>94</v>
      </c>
      <c r="C108" s="260" t="s">
        <v>115</v>
      </c>
      <c r="D108" s="261" t="s">
        <v>363</v>
      </c>
      <c r="E108" s="262">
        <v>0</v>
      </c>
      <c r="F108" s="262">
        <v>0</v>
      </c>
      <c r="G108" s="262">
        <v>0</v>
      </c>
      <c r="H108" s="262">
        <v>0</v>
      </c>
      <c r="I108" s="262">
        <v>24</v>
      </c>
      <c r="J108" s="262">
        <v>0</v>
      </c>
      <c r="K108" s="262">
        <v>0</v>
      </c>
      <c r="L108" s="262">
        <v>0</v>
      </c>
      <c r="M108" s="262">
        <v>0</v>
      </c>
      <c r="N108" s="264">
        <v>2384</v>
      </c>
      <c r="O108" s="262">
        <v>0</v>
      </c>
      <c r="P108" s="262">
        <v>0</v>
      </c>
      <c r="Q108" s="262">
        <v>0</v>
      </c>
      <c r="R108" s="262">
        <v>432</v>
      </c>
      <c r="S108" s="262">
        <v>214</v>
      </c>
      <c r="T108" s="264">
        <v>1380</v>
      </c>
      <c r="U108" s="264">
        <v>6490</v>
      </c>
      <c r="V108" s="262">
        <v>0</v>
      </c>
      <c r="W108" s="262">
        <v>0</v>
      </c>
      <c r="X108" s="262">
        <v>0</v>
      </c>
      <c r="Y108" s="262">
        <v>0</v>
      </c>
      <c r="Z108" s="262">
        <v>0</v>
      </c>
      <c r="AA108" s="262">
        <v>0</v>
      </c>
      <c r="AB108" s="262">
        <v>0</v>
      </c>
      <c r="AC108" s="262">
        <v>0</v>
      </c>
      <c r="AD108" s="262">
        <v>0</v>
      </c>
      <c r="AE108" s="262">
        <v>71</v>
      </c>
      <c r="AF108" s="265">
        <v>166</v>
      </c>
      <c r="AG108" s="167"/>
      <c r="AH108" s="167"/>
    </row>
    <row r="109" spans="1:34" x14ac:dyDescent="0.25">
      <c r="A109" s="259" t="s">
        <v>373</v>
      </c>
      <c r="B109" s="259" t="s">
        <v>94</v>
      </c>
      <c r="C109" s="260" t="s">
        <v>117</v>
      </c>
      <c r="D109" s="261" t="s">
        <v>363</v>
      </c>
      <c r="E109" s="262">
        <v>0</v>
      </c>
      <c r="F109" s="262">
        <v>0</v>
      </c>
      <c r="G109" s="262">
        <v>0</v>
      </c>
      <c r="H109" s="262">
        <v>0</v>
      </c>
      <c r="I109" s="264">
        <v>3804</v>
      </c>
      <c r="J109" s="262">
        <v>0</v>
      </c>
      <c r="K109" s="264">
        <v>12520</v>
      </c>
      <c r="L109" s="262">
        <v>0</v>
      </c>
      <c r="M109" s="264">
        <v>269175</v>
      </c>
      <c r="N109" s="262">
        <v>0</v>
      </c>
      <c r="O109" s="262">
        <v>0</v>
      </c>
      <c r="P109" s="264">
        <v>17361</v>
      </c>
      <c r="Q109" s="262">
        <v>94</v>
      </c>
      <c r="R109" s="264">
        <v>19586</v>
      </c>
      <c r="S109" s="264">
        <v>52923</v>
      </c>
      <c r="T109" s="264">
        <v>19229</v>
      </c>
      <c r="U109" s="264">
        <v>47954</v>
      </c>
      <c r="V109" s="262">
        <v>0</v>
      </c>
      <c r="W109" s="262">
        <v>0</v>
      </c>
      <c r="X109" s="262">
        <v>0</v>
      </c>
      <c r="Y109" s="264">
        <v>4636</v>
      </c>
      <c r="Z109" s="262">
        <v>0</v>
      </c>
      <c r="AA109" s="262">
        <v>0</v>
      </c>
      <c r="AB109" s="262">
        <v>0</v>
      </c>
      <c r="AC109" s="262">
        <v>363</v>
      </c>
      <c r="AD109" s="262">
        <v>200</v>
      </c>
      <c r="AE109" s="262">
        <v>497</v>
      </c>
      <c r="AF109" s="266">
        <v>1208840</v>
      </c>
      <c r="AG109" s="167"/>
      <c r="AH109" s="167"/>
    </row>
    <row r="110" spans="1:34" x14ac:dyDescent="0.25">
      <c r="A110" s="259" t="s">
        <v>373</v>
      </c>
      <c r="B110" s="259" t="s">
        <v>94</v>
      </c>
      <c r="C110" s="260" t="s">
        <v>119</v>
      </c>
      <c r="D110" s="261" t="s">
        <v>363</v>
      </c>
      <c r="E110" s="262">
        <v>0</v>
      </c>
      <c r="F110" s="262">
        <v>0</v>
      </c>
      <c r="G110" s="262">
        <v>0</v>
      </c>
      <c r="H110" s="262">
        <v>0</v>
      </c>
      <c r="I110" s="262">
        <v>0</v>
      </c>
      <c r="J110" s="262">
        <v>0</v>
      </c>
      <c r="K110" s="262">
        <v>0</v>
      </c>
      <c r="L110" s="262">
        <v>0</v>
      </c>
      <c r="M110" s="262">
        <v>644</v>
      </c>
      <c r="N110" s="262">
        <v>0</v>
      </c>
      <c r="O110" s="262">
        <v>0</v>
      </c>
      <c r="P110" s="262">
        <v>0</v>
      </c>
      <c r="Q110" s="262">
        <v>0</v>
      </c>
      <c r="R110" s="262">
        <v>0</v>
      </c>
      <c r="S110" s="262">
        <v>0</v>
      </c>
      <c r="T110" s="262">
        <v>14</v>
      </c>
      <c r="U110" s="262">
        <v>510</v>
      </c>
      <c r="V110" s="262">
        <v>1</v>
      </c>
      <c r="W110" s="262">
        <v>0</v>
      </c>
      <c r="X110" s="262">
        <v>0</v>
      </c>
      <c r="Y110" s="262">
        <v>0</v>
      </c>
      <c r="Z110" s="262">
        <v>0</v>
      </c>
      <c r="AA110" s="262">
        <v>0</v>
      </c>
      <c r="AB110" s="262">
        <v>0</v>
      </c>
      <c r="AC110" s="262">
        <v>0</v>
      </c>
      <c r="AD110" s="262">
        <v>0</v>
      </c>
      <c r="AE110" s="262">
        <v>0</v>
      </c>
      <c r="AF110" s="266">
        <v>21226</v>
      </c>
      <c r="AG110" s="167"/>
      <c r="AH110" s="167"/>
    </row>
    <row r="111" spans="1:34" x14ac:dyDescent="0.25">
      <c r="A111" s="259" t="s">
        <v>373</v>
      </c>
      <c r="B111" s="259" t="s">
        <v>94</v>
      </c>
      <c r="C111" s="260" t="s">
        <v>120</v>
      </c>
      <c r="D111" s="261" t="s">
        <v>363</v>
      </c>
      <c r="E111" s="262">
        <v>0</v>
      </c>
      <c r="F111" s="262">
        <v>0</v>
      </c>
      <c r="G111" s="262">
        <v>0</v>
      </c>
      <c r="H111" s="264">
        <v>3062</v>
      </c>
      <c r="I111" s="264">
        <v>1779</v>
      </c>
      <c r="J111" s="262">
        <v>81</v>
      </c>
      <c r="K111" s="262">
        <v>453</v>
      </c>
      <c r="L111" s="262">
        <v>0</v>
      </c>
      <c r="M111" s="264">
        <v>5548</v>
      </c>
      <c r="N111" s="262">
        <v>0</v>
      </c>
      <c r="O111" s="262">
        <v>0</v>
      </c>
      <c r="P111" s="262">
        <v>0</v>
      </c>
      <c r="Q111" s="262">
        <v>17</v>
      </c>
      <c r="R111" s="264">
        <v>2742</v>
      </c>
      <c r="S111" s="264">
        <v>12594</v>
      </c>
      <c r="T111" s="262">
        <v>221</v>
      </c>
      <c r="U111" s="264">
        <v>18007</v>
      </c>
      <c r="V111" s="262">
        <v>0</v>
      </c>
      <c r="W111" s="264">
        <v>23957</v>
      </c>
      <c r="X111" s="264">
        <v>67833</v>
      </c>
      <c r="Y111" s="264">
        <v>15020</v>
      </c>
      <c r="Z111" s="264">
        <v>8793</v>
      </c>
      <c r="AA111" s="262">
        <v>0</v>
      </c>
      <c r="AB111" s="262">
        <v>0</v>
      </c>
      <c r="AC111" s="262">
        <v>0</v>
      </c>
      <c r="AD111" s="262">
        <v>1</v>
      </c>
      <c r="AE111" s="262">
        <v>0</v>
      </c>
      <c r="AF111" s="266">
        <v>42872</v>
      </c>
      <c r="AG111" s="167"/>
      <c r="AH111" s="167"/>
    </row>
    <row r="112" spans="1:34" x14ac:dyDescent="0.25">
      <c r="A112" s="259" t="s">
        <v>373</v>
      </c>
      <c r="B112" s="259" t="s">
        <v>94</v>
      </c>
      <c r="C112" s="260" t="s">
        <v>122</v>
      </c>
      <c r="D112" s="261" t="s">
        <v>363</v>
      </c>
      <c r="E112" s="262">
        <v>0</v>
      </c>
      <c r="F112" s="262">
        <v>0</v>
      </c>
      <c r="G112" s="262">
        <v>0</v>
      </c>
      <c r="H112" s="262">
        <v>0</v>
      </c>
      <c r="I112" s="262">
        <v>0</v>
      </c>
      <c r="J112" s="262">
        <v>0</v>
      </c>
      <c r="K112" s="262">
        <v>0</v>
      </c>
      <c r="L112" s="262">
        <v>0</v>
      </c>
      <c r="M112" s="262">
        <v>0</v>
      </c>
      <c r="N112" s="262">
        <v>0</v>
      </c>
      <c r="O112" s="262">
        <v>0</v>
      </c>
      <c r="P112" s="262">
        <v>0</v>
      </c>
      <c r="Q112" s="262">
        <v>0</v>
      </c>
      <c r="R112" s="262">
        <v>0</v>
      </c>
      <c r="S112" s="262">
        <v>0</v>
      </c>
      <c r="T112" s="262">
        <v>0</v>
      </c>
      <c r="U112" s="262">
        <v>0</v>
      </c>
      <c r="V112" s="262">
        <v>0</v>
      </c>
      <c r="W112" s="262">
        <v>0</v>
      </c>
      <c r="X112" s="262">
        <v>0</v>
      </c>
      <c r="Y112" s="262">
        <v>0</v>
      </c>
      <c r="Z112" s="262">
        <v>0</v>
      </c>
      <c r="AA112" s="262">
        <v>0</v>
      </c>
      <c r="AB112" s="262">
        <v>0</v>
      </c>
      <c r="AC112" s="262">
        <v>0</v>
      </c>
      <c r="AD112" s="262">
        <v>0</v>
      </c>
      <c r="AE112" s="262">
        <v>0</v>
      </c>
      <c r="AF112" s="265">
        <v>0</v>
      </c>
      <c r="AG112" s="167"/>
      <c r="AH112" s="167"/>
    </row>
    <row r="113" spans="1:34" x14ac:dyDescent="0.25">
      <c r="A113" s="259" t="s">
        <v>373</v>
      </c>
      <c r="B113" s="259" t="s">
        <v>94</v>
      </c>
      <c r="C113" s="260" t="s">
        <v>124</v>
      </c>
      <c r="D113" s="261" t="s">
        <v>363</v>
      </c>
      <c r="E113" s="262">
        <v>0</v>
      </c>
      <c r="F113" s="262">
        <v>0</v>
      </c>
      <c r="G113" s="262">
        <v>0</v>
      </c>
      <c r="H113" s="262">
        <v>0</v>
      </c>
      <c r="I113" s="262">
        <v>0</v>
      </c>
      <c r="J113" s="262">
        <v>0</v>
      </c>
      <c r="K113" s="262">
        <v>0</v>
      </c>
      <c r="L113" s="262">
        <v>0</v>
      </c>
      <c r="M113" s="262">
        <v>0</v>
      </c>
      <c r="N113" s="262">
        <v>0</v>
      </c>
      <c r="O113" s="262">
        <v>0</v>
      </c>
      <c r="P113" s="262">
        <v>0</v>
      </c>
      <c r="Q113" s="262">
        <v>0</v>
      </c>
      <c r="R113" s="262">
        <v>0</v>
      </c>
      <c r="S113" s="262">
        <v>0</v>
      </c>
      <c r="T113" s="262">
        <v>0</v>
      </c>
      <c r="U113" s="262">
        <v>0</v>
      </c>
      <c r="V113" s="262">
        <v>0</v>
      </c>
      <c r="W113" s="262">
        <v>0</v>
      </c>
      <c r="X113" s="262">
        <v>692</v>
      </c>
      <c r="Y113" s="262">
        <v>155</v>
      </c>
      <c r="Z113" s="262">
        <v>0</v>
      </c>
      <c r="AA113" s="262">
        <v>0</v>
      </c>
      <c r="AB113" s="262">
        <v>0</v>
      </c>
      <c r="AC113" s="262">
        <v>0</v>
      </c>
      <c r="AD113" s="262">
        <v>2</v>
      </c>
      <c r="AE113" s="262">
        <v>0</v>
      </c>
      <c r="AF113" s="265">
        <v>0</v>
      </c>
      <c r="AG113" s="167"/>
      <c r="AH113" s="167"/>
    </row>
    <row r="114" spans="1:34" x14ac:dyDescent="0.25">
      <c r="A114" s="259" t="s">
        <v>373</v>
      </c>
      <c r="B114" s="259" t="s">
        <v>94</v>
      </c>
      <c r="C114" s="260" t="s">
        <v>126</v>
      </c>
      <c r="D114" s="261" t="s">
        <v>363</v>
      </c>
      <c r="E114" s="262">
        <v>0</v>
      </c>
      <c r="F114" s="264">
        <v>2010</v>
      </c>
      <c r="G114" s="262">
        <v>153</v>
      </c>
      <c r="H114" s="264">
        <v>4189</v>
      </c>
      <c r="I114" s="264">
        <v>18120</v>
      </c>
      <c r="J114" s="264">
        <v>1044</v>
      </c>
      <c r="K114" s="264">
        <v>10983</v>
      </c>
      <c r="L114" s="262">
        <v>0</v>
      </c>
      <c r="M114" s="264">
        <v>84362</v>
      </c>
      <c r="N114" s="264">
        <v>157442</v>
      </c>
      <c r="O114" s="264">
        <v>20663</v>
      </c>
      <c r="P114" s="262">
        <v>0</v>
      </c>
      <c r="Q114" s="264">
        <v>8412</v>
      </c>
      <c r="R114" s="264">
        <v>58643</v>
      </c>
      <c r="S114" s="264">
        <v>46620</v>
      </c>
      <c r="T114" s="264">
        <v>100908</v>
      </c>
      <c r="U114" s="264">
        <v>264159</v>
      </c>
      <c r="V114" s="264">
        <v>5684</v>
      </c>
      <c r="W114" s="262">
        <v>0</v>
      </c>
      <c r="X114" s="264">
        <v>144400</v>
      </c>
      <c r="Y114" s="264">
        <v>12931</v>
      </c>
      <c r="Z114" s="264">
        <v>13741</v>
      </c>
      <c r="AA114" s="262">
        <v>0</v>
      </c>
      <c r="AB114" s="264">
        <v>12553</v>
      </c>
      <c r="AC114" s="262">
        <v>0</v>
      </c>
      <c r="AD114" s="264">
        <v>74277</v>
      </c>
      <c r="AE114" s="264">
        <v>45081</v>
      </c>
      <c r="AF114" s="266">
        <v>289778</v>
      </c>
      <c r="AG114" s="167"/>
      <c r="AH114" s="167"/>
    </row>
    <row r="115" spans="1:34" x14ac:dyDescent="0.25">
      <c r="A115" s="259" t="s">
        <v>373</v>
      </c>
      <c r="B115" s="259" t="s">
        <v>94</v>
      </c>
      <c r="C115" s="260" t="s">
        <v>128</v>
      </c>
      <c r="D115" s="261" t="s">
        <v>363</v>
      </c>
      <c r="E115" s="262">
        <v>0</v>
      </c>
      <c r="F115" s="264">
        <v>2396</v>
      </c>
      <c r="G115" s="262">
        <v>0</v>
      </c>
      <c r="H115" s="262">
        <v>605</v>
      </c>
      <c r="I115" s="264">
        <v>13168</v>
      </c>
      <c r="J115" s="264">
        <v>2303</v>
      </c>
      <c r="K115" s="264">
        <v>11368</v>
      </c>
      <c r="L115" s="262">
        <v>0</v>
      </c>
      <c r="M115" s="264">
        <v>36524</v>
      </c>
      <c r="N115" s="264">
        <v>91874</v>
      </c>
      <c r="O115" s="264">
        <v>5687</v>
      </c>
      <c r="P115" s="262">
        <v>0</v>
      </c>
      <c r="Q115" s="264">
        <v>2876</v>
      </c>
      <c r="R115" s="264">
        <v>19931</v>
      </c>
      <c r="S115" s="264">
        <v>35007</v>
      </c>
      <c r="T115" s="264">
        <v>95493</v>
      </c>
      <c r="U115" s="264">
        <v>148349</v>
      </c>
      <c r="V115" s="262">
        <v>0</v>
      </c>
      <c r="W115" s="262">
        <v>0</v>
      </c>
      <c r="X115" s="264">
        <v>33026</v>
      </c>
      <c r="Y115" s="264">
        <v>5546</v>
      </c>
      <c r="Z115" s="264">
        <v>9092</v>
      </c>
      <c r="AA115" s="262">
        <v>0</v>
      </c>
      <c r="AB115" s="264">
        <v>34247</v>
      </c>
      <c r="AC115" s="262">
        <v>0</v>
      </c>
      <c r="AD115" s="264">
        <v>26042</v>
      </c>
      <c r="AE115" s="264">
        <v>12681</v>
      </c>
      <c r="AF115" s="266">
        <v>358012</v>
      </c>
      <c r="AG115" s="167"/>
      <c r="AH115" s="167"/>
    </row>
    <row r="116" spans="1:34" x14ac:dyDescent="0.25">
      <c r="A116" s="259" t="s">
        <v>373</v>
      </c>
      <c r="B116" s="259" t="s">
        <v>94</v>
      </c>
      <c r="C116" s="260" t="s">
        <v>130</v>
      </c>
      <c r="D116" s="261" t="s">
        <v>363</v>
      </c>
      <c r="E116" s="262">
        <v>0</v>
      </c>
      <c r="F116" s="262">
        <v>0</v>
      </c>
      <c r="G116" s="262">
        <v>0</v>
      </c>
      <c r="H116" s="262">
        <v>0</v>
      </c>
      <c r="I116" s="262">
        <v>0</v>
      </c>
      <c r="J116" s="262">
        <v>727</v>
      </c>
      <c r="K116" s="262">
        <v>0</v>
      </c>
      <c r="L116" s="262">
        <v>0</v>
      </c>
      <c r="M116" s="262">
        <v>0</v>
      </c>
      <c r="N116" s="264">
        <v>4980</v>
      </c>
      <c r="O116" s="262">
        <v>0</v>
      </c>
      <c r="P116" s="262">
        <v>0</v>
      </c>
      <c r="Q116" s="264">
        <v>13044</v>
      </c>
      <c r="R116" s="264">
        <v>2579</v>
      </c>
      <c r="S116" s="264">
        <v>7024</v>
      </c>
      <c r="T116" s="264">
        <v>44303</v>
      </c>
      <c r="U116" s="264">
        <v>48204</v>
      </c>
      <c r="V116" s="262">
        <v>0</v>
      </c>
      <c r="W116" s="262">
        <v>0</v>
      </c>
      <c r="X116" s="262">
        <v>0</v>
      </c>
      <c r="Y116" s="262">
        <v>0</v>
      </c>
      <c r="Z116" s="262">
        <v>0</v>
      </c>
      <c r="AA116" s="262">
        <v>0</v>
      </c>
      <c r="AB116" s="262">
        <v>0</v>
      </c>
      <c r="AC116" s="262">
        <v>0</v>
      </c>
      <c r="AD116" s="264">
        <v>203739</v>
      </c>
      <c r="AE116" s="264">
        <v>11389</v>
      </c>
      <c r="AF116" s="266">
        <v>20016</v>
      </c>
      <c r="AG116" s="167"/>
      <c r="AH116" s="167"/>
    </row>
    <row r="117" spans="1:34" x14ac:dyDescent="0.25">
      <c r="A117" s="259" t="s">
        <v>373</v>
      </c>
      <c r="B117" s="259" t="s">
        <v>94</v>
      </c>
      <c r="C117" s="260" t="s">
        <v>132</v>
      </c>
      <c r="D117" s="261" t="s">
        <v>363</v>
      </c>
      <c r="E117" s="262">
        <v>0</v>
      </c>
      <c r="F117" s="262">
        <v>8</v>
      </c>
      <c r="G117" s="262">
        <v>0</v>
      </c>
      <c r="H117" s="262">
        <v>0</v>
      </c>
      <c r="I117" s="262">
        <v>113</v>
      </c>
      <c r="J117" s="262">
        <v>14</v>
      </c>
      <c r="K117" s="262">
        <v>311</v>
      </c>
      <c r="L117" s="262">
        <v>0</v>
      </c>
      <c r="M117" s="264">
        <v>2902</v>
      </c>
      <c r="N117" s="262">
        <v>0</v>
      </c>
      <c r="O117" s="262">
        <v>546</v>
      </c>
      <c r="P117" s="264">
        <v>1276</v>
      </c>
      <c r="Q117" s="262">
        <v>56</v>
      </c>
      <c r="R117" s="262">
        <v>94</v>
      </c>
      <c r="S117" s="262">
        <v>405</v>
      </c>
      <c r="T117" s="264">
        <v>1425</v>
      </c>
      <c r="U117" s="264">
        <v>4213</v>
      </c>
      <c r="V117" s="262">
        <v>273</v>
      </c>
      <c r="W117" s="262">
        <v>0</v>
      </c>
      <c r="X117" s="264">
        <v>2936</v>
      </c>
      <c r="Y117" s="262">
        <v>156</v>
      </c>
      <c r="Z117" s="262">
        <v>0</v>
      </c>
      <c r="AA117" s="262">
        <v>0</v>
      </c>
      <c r="AB117" s="262">
        <v>281</v>
      </c>
      <c r="AC117" s="262">
        <v>0</v>
      </c>
      <c r="AD117" s="262">
        <v>135</v>
      </c>
      <c r="AE117" s="262">
        <v>238</v>
      </c>
      <c r="AF117" s="266">
        <v>1410</v>
      </c>
      <c r="AG117" s="167"/>
      <c r="AH117" s="167"/>
    </row>
    <row r="118" spans="1:34" x14ac:dyDescent="0.25">
      <c r="A118" s="259" t="s">
        <v>373</v>
      </c>
      <c r="B118" s="259" t="s">
        <v>94</v>
      </c>
      <c r="C118" s="260" t="s">
        <v>134</v>
      </c>
      <c r="D118" s="261" t="s">
        <v>363</v>
      </c>
      <c r="E118" s="262">
        <v>0</v>
      </c>
      <c r="F118" s="262">
        <v>816</v>
      </c>
      <c r="G118" s="262">
        <v>0</v>
      </c>
      <c r="H118" s="262">
        <v>175</v>
      </c>
      <c r="I118" s="264">
        <v>2007</v>
      </c>
      <c r="J118" s="262">
        <v>136</v>
      </c>
      <c r="K118" s="264">
        <v>6462</v>
      </c>
      <c r="L118" s="262">
        <v>0</v>
      </c>
      <c r="M118" s="264">
        <v>17855</v>
      </c>
      <c r="N118" s="264">
        <v>2166</v>
      </c>
      <c r="O118" s="264">
        <v>2395</v>
      </c>
      <c r="P118" s="264">
        <v>16131</v>
      </c>
      <c r="Q118" s="262">
        <v>828</v>
      </c>
      <c r="R118" s="264">
        <v>2573</v>
      </c>
      <c r="S118" s="264">
        <v>1957</v>
      </c>
      <c r="T118" s="264">
        <v>5412</v>
      </c>
      <c r="U118" s="264">
        <v>10114</v>
      </c>
      <c r="V118" s="262">
        <v>188</v>
      </c>
      <c r="W118" s="262">
        <v>0</v>
      </c>
      <c r="X118" s="264">
        <v>34659</v>
      </c>
      <c r="Y118" s="264">
        <v>1341</v>
      </c>
      <c r="Z118" s="262">
        <v>-66</v>
      </c>
      <c r="AA118" s="262">
        <v>0</v>
      </c>
      <c r="AB118" s="264">
        <v>9487</v>
      </c>
      <c r="AC118" s="262">
        <v>0</v>
      </c>
      <c r="AD118" s="264">
        <v>10059</v>
      </c>
      <c r="AE118" s="262">
        <v>517</v>
      </c>
      <c r="AF118" s="266">
        <v>3574</v>
      </c>
      <c r="AG118" s="167"/>
      <c r="AH118" s="167"/>
    </row>
    <row r="119" spans="1:34" x14ac:dyDescent="0.25">
      <c r="A119" s="259" t="s">
        <v>373</v>
      </c>
      <c r="B119" s="259" t="s">
        <v>94</v>
      </c>
      <c r="C119" s="267" t="s">
        <v>1701</v>
      </c>
      <c r="D119" s="261" t="s">
        <v>363</v>
      </c>
      <c r="E119" s="262">
        <v>0</v>
      </c>
      <c r="F119" s="262">
        <v>0</v>
      </c>
      <c r="G119" s="262">
        <v>0</v>
      </c>
      <c r="H119" s="262">
        <v>0</v>
      </c>
      <c r="I119" s="262">
        <v>0</v>
      </c>
      <c r="J119" s="262">
        <v>0</v>
      </c>
      <c r="K119" s="262">
        <v>0</v>
      </c>
      <c r="L119" s="262">
        <v>0</v>
      </c>
      <c r="M119" s="262">
        <v>0</v>
      </c>
      <c r="N119" s="262">
        <v>0</v>
      </c>
      <c r="O119" s="262">
        <v>0</v>
      </c>
      <c r="P119" s="262">
        <v>0</v>
      </c>
      <c r="Q119" s="262">
        <v>0</v>
      </c>
      <c r="R119" s="262">
        <v>0</v>
      </c>
      <c r="S119" s="262">
        <v>0</v>
      </c>
      <c r="T119" s="262">
        <v>0</v>
      </c>
      <c r="U119" s="262">
        <v>0</v>
      </c>
      <c r="V119" s="262">
        <v>0</v>
      </c>
      <c r="W119" s="262">
        <v>0</v>
      </c>
      <c r="X119" s="262">
        <v>0</v>
      </c>
      <c r="Y119" s="262">
        <v>0</v>
      </c>
      <c r="Z119" s="262">
        <v>0</v>
      </c>
      <c r="AA119" s="262">
        <v>0</v>
      </c>
      <c r="AB119" s="262">
        <v>0</v>
      </c>
      <c r="AC119" s="262">
        <v>0</v>
      </c>
      <c r="AD119" s="262">
        <v>0</v>
      </c>
      <c r="AE119" s="262">
        <v>0</v>
      </c>
      <c r="AF119" s="265">
        <v>0</v>
      </c>
      <c r="AG119" s="167"/>
      <c r="AH119" s="167"/>
    </row>
    <row r="120" spans="1:34" x14ac:dyDescent="0.25">
      <c r="A120" s="259" t="s">
        <v>373</v>
      </c>
      <c r="B120" s="259" t="s">
        <v>94</v>
      </c>
      <c r="C120" s="267" t="s">
        <v>137</v>
      </c>
      <c r="D120" s="261" t="s">
        <v>363</v>
      </c>
      <c r="E120" s="262">
        <v>0</v>
      </c>
      <c r="F120" s="262">
        <v>0</v>
      </c>
      <c r="G120" s="262">
        <v>0</v>
      </c>
      <c r="H120" s="262">
        <v>0</v>
      </c>
      <c r="I120" s="262">
        <v>0</v>
      </c>
      <c r="J120" s="262">
        <v>0</v>
      </c>
      <c r="K120" s="262">
        <v>0</v>
      </c>
      <c r="L120" s="262">
        <v>0</v>
      </c>
      <c r="M120" s="262">
        <v>0</v>
      </c>
      <c r="N120" s="262">
        <v>0</v>
      </c>
      <c r="O120" s="262">
        <v>0</v>
      </c>
      <c r="P120" s="262">
        <v>0</v>
      </c>
      <c r="Q120" s="262">
        <v>0</v>
      </c>
      <c r="R120" s="262">
        <v>0</v>
      </c>
      <c r="S120" s="262">
        <v>0</v>
      </c>
      <c r="T120" s="262">
        <v>1</v>
      </c>
      <c r="U120" s="262">
        <v>0</v>
      </c>
      <c r="V120" s="262">
        <v>0</v>
      </c>
      <c r="W120" s="262">
        <v>0</v>
      </c>
      <c r="X120" s="262">
        <v>0</v>
      </c>
      <c r="Y120" s="262">
        <v>0</v>
      </c>
      <c r="Z120" s="262">
        <v>0</v>
      </c>
      <c r="AA120" s="262">
        <v>0</v>
      </c>
      <c r="AB120" s="262">
        <v>0</v>
      </c>
      <c r="AC120" s="262">
        <v>0</v>
      </c>
      <c r="AD120" s="262">
        <v>0</v>
      </c>
      <c r="AE120" s="262">
        <v>0</v>
      </c>
      <c r="AF120" s="265">
        <v>0</v>
      </c>
      <c r="AG120" s="167"/>
      <c r="AH120" s="167"/>
    </row>
    <row r="121" spans="1:34" x14ac:dyDescent="0.25">
      <c r="A121" s="259" t="s">
        <v>373</v>
      </c>
      <c r="B121" s="259" t="s">
        <v>94</v>
      </c>
      <c r="C121" s="260" t="s">
        <v>139</v>
      </c>
      <c r="D121" s="261" t="s">
        <v>363</v>
      </c>
      <c r="E121" s="262">
        <v>0</v>
      </c>
      <c r="F121" s="262">
        <v>0</v>
      </c>
      <c r="G121" s="262">
        <v>0</v>
      </c>
      <c r="H121" s="262">
        <v>0</v>
      </c>
      <c r="I121" s="262">
        <v>0</v>
      </c>
      <c r="J121" s="262">
        <v>0</v>
      </c>
      <c r="K121" s="262">
        <v>0</v>
      </c>
      <c r="L121" s="262">
        <v>0</v>
      </c>
      <c r="M121" s="262">
        <v>0</v>
      </c>
      <c r="N121" s="262">
        <v>0</v>
      </c>
      <c r="O121" s="262">
        <v>0</v>
      </c>
      <c r="P121" s="262">
        <v>0</v>
      </c>
      <c r="Q121" s="262">
        <v>0</v>
      </c>
      <c r="R121" s="264">
        <v>1541</v>
      </c>
      <c r="S121" s="264">
        <v>1031</v>
      </c>
      <c r="T121" s="262">
        <v>408</v>
      </c>
      <c r="U121" s="264">
        <v>16737</v>
      </c>
      <c r="V121" s="262">
        <v>0</v>
      </c>
      <c r="W121" s="262">
        <v>0</v>
      </c>
      <c r="X121" s="264">
        <v>14610</v>
      </c>
      <c r="Y121" s="262">
        <v>0</v>
      </c>
      <c r="Z121" s="262">
        <v>84</v>
      </c>
      <c r="AA121" s="262">
        <v>0</v>
      </c>
      <c r="AB121" s="262">
        <v>0</v>
      </c>
      <c r="AC121" s="262">
        <v>0</v>
      </c>
      <c r="AD121" s="264">
        <v>17773</v>
      </c>
      <c r="AE121" s="264">
        <v>16903</v>
      </c>
      <c r="AF121" s="266">
        <v>6288</v>
      </c>
      <c r="AG121" s="167"/>
      <c r="AH121" s="167"/>
    </row>
    <row r="122" spans="1:34" x14ac:dyDescent="0.25">
      <c r="A122" s="268"/>
      <c r="B122" s="268"/>
      <c r="C122" s="269"/>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c r="AA122" s="269"/>
      <c r="AB122" s="269"/>
      <c r="AC122" s="269"/>
      <c r="AD122" s="269"/>
      <c r="AE122" s="269"/>
      <c r="AF122" s="269"/>
      <c r="AG122" s="167"/>
      <c r="AH122" s="167"/>
    </row>
    <row r="123" spans="1:34" x14ac:dyDescent="0.25">
      <c r="A123" s="259" t="s">
        <v>374</v>
      </c>
      <c r="B123" s="259" t="s">
        <v>375</v>
      </c>
      <c r="C123" s="260" t="s">
        <v>115</v>
      </c>
      <c r="D123" s="261" t="s">
        <v>363</v>
      </c>
      <c r="E123" s="262">
        <v>0</v>
      </c>
      <c r="F123" s="262">
        <v>0</v>
      </c>
      <c r="G123" s="262">
        <v>0</v>
      </c>
      <c r="H123" s="262">
        <v>0</v>
      </c>
      <c r="I123" s="262">
        <v>0</v>
      </c>
      <c r="J123" s="262">
        <v>0</v>
      </c>
      <c r="K123" s="262">
        <v>0</v>
      </c>
      <c r="L123" s="262">
        <v>0</v>
      </c>
      <c r="M123" s="262">
        <v>0</v>
      </c>
      <c r="N123" s="262">
        <v>0</v>
      </c>
      <c r="O123" s="262">
        <v>0</v>
      </c>
      <c r="P123" s="262">
        <v>0</v>
      </c>
      <c r="Q123" s="262">
        <v>0</v>
      </c>
      <c r="R123" s="262">
        <v>0</v>
      </c>
      <c r="S123" s="262">
        <v>16</v>
      </c>
      <c r="T123" s="262">
        <v>0</v>
      </c>
      <c r="U123" s="262">
        <v>10</v>
      </c>
      <c r="V123" s="262">
        <v>0</v>
      </c>
      <c r="W123" s="262">
        <v>0</v>
      </c>
      <c r="X123" s="262">
        <v>0</v>
      </c>
      <c r="Y123" s="262">
        <v>0</v>
      </c>
      <c r="Z123" s="262">
        <v>0</v>
      </c>
      <c r="AA123" s="262">
        <v>0</v>
      </c>
      <c r="AB123" s="262">
        <v>0</v>
      </c>
      <c r="AC123" s="262">
        <v>0</v>
      </c>
      <c r="AD123" s="262">
        <v>0</v>
      </c>
      <c r="AE123" s="262">
        <v>0</v>
      </c>
      <c r="AF123" s="265">
        <v>0</v>
      </c>
      <c r="AG123" s="167"/>
      <c r="AH123" s="167"/>
    </row>
    <row r="124" spans="1:34" x14ac:dyDescent="0.25">
      <c r="A124" s="259" t="s">
        <v>374</v>
      </c>
      <c r="B124" s="259" t="s">
        <v>375</v>
      </c>
      <c r="C124" s="260" t="s">
        <v>117</v>
      </c>
      <c r="D124" s="261" t="s">
        <v>363</v>
      </c>
      <c r="E124" s="262">
        <v>111</v>
      </c>
      <c r="F124" s="262">
        <v>9</v>
      </c>
      <c r="G124" s="262">
        <v>0</v>
      </c>
      <c r="H124" s="262">
        <v>431</v>
      </c>
      <c r="I124" s="262">
        <v>0</v>
      </c>
      <c r="J124" s="262">
        <v>20</v>
      </c>
      <c r="K124" s="264">
        <v>4227</v>
      </c>
      <c r="L124" s="262">
        <v>204</v>
      </c>
      <c r="M124" s="262">
        <v>0</v>
      </c>
      <c r="N124" s="264">
        <v>191968</v>
      </c>
      <c r="O124" s="262">
        <v>0</v>
      </c>
      <c r="P124" s="264">
        <v>25437</v>
      </c>
      <c r="Q124" s="264">
        <v>5057</v>
      </c>
      <c r="R124" s="264">
        <v>5781</v>
      </c>
      <c r="S124" s="264">
        <v>83932</v>
      </c>
      <c r="T124" s="264">
        <v>69404</v>
      </c>
      <c r="U124" s="264">
        <v>137431</v>
      </c>
      <c r="V124" s="262">
        <v>0</v>
      </c>
      <c r="W124" s="262">
        <v>0</v>
      </c>
      <c r="X124" s="264">
        <v>39992</v>
      </c>
      <c r="Y124" s="262">
        <v>527</v>
      </c>
      <c r="Z124" s="262">
        <v>0</v>
      </c>
      <c r="AA124" s="262">
        <v>0</v>
      </c>
      <c r="AB124" s="262">
        <v>0</v>
      </c>
      <c r="AC124" s="262">
        <v>0</v>
      </c>
      <c r="AD124" s="264">
        <v>9316</v>
      </c>
      <c r="AE124" s="264">
        <v>6255</v>
      </c>
      <c r="AF124" s="265">
        <v>0</v>
      </c>
      <c r="AG124" s="167"/>
      <c r="AH124" s="167"/>
    </row>
    <row r="125" spans="1:34" x14ac:dyDescent="0.25">
      <c r="A125" s="259" t="s">
        <v>374</v>
      </c>
      <c r="B125" s="259" t="s">
        <v>375</v>
      </c>
      <c r="C125" s="260" t="s">
        <v>119</v>
      </c>
      <c r="D125" s="261" t="s">
        <v>363</v>
      </c>
      <c r="E125" s="262">
        <v>0</v>
      </c>
      <c r="F125" s="262">
        <v>0</v>
      </c>
      <c r="G125" s="262">
        <v>0</v>
      </c>
      <c r="H125" s="262">
        <v>0</v>
      </c>
      <c r="I125" s="262">
        <v>0</v>
      </c>
      <c r="J125" s="262">
        <v>0</v>
      </c>
      <c r="K125" s="262">
        <v>0</v>
      </c>
      <c r="L125" s="262">
        <v>0</v>
      </c>
      <c r="M125" s="262">
        <v>0</v>
      </c>
      <c r="N125" s="262">
        <v>0</v>
      </c>
      <c r="O125" s="262">
        <v>0</v>
      </c>
      <c r="P125" s="262">
        <v>0</v>
      </c>
      <c r="Q125" s="262">
        <v>0</v>
      </c>
      <c r="R125" s="262">
        <v>0</v>
      </c>
      <c r="S125" s="262">
        <v>0</v>
      </c>
      <c r="T125" s="262">
        <v>24</v>
      </c>
      <c r="U125" s="262">
        <v>415</v>
      </c>
      <c r="V125" s="262">
        <v>3</v>
      </c>
      <c r="W125" s="262">
        <v>0</v>
      </c>
      <c r="X125" s="262">
        <v>0</v>
      </c>
      <c r="Y125" s="262">
        <v>0</v>
      </c>
      <c r="Z125" s="262">
        <v>0</v>
      </c>
      <c r="AA125" s="262">
        <v>0</v>
      </c>
      <c r="AB125" s="262">
        <v>0</v>
      </c>
      <c r="AC125" s="262">
        <v>0</v>
      </c>
      <c r="AD125" s="262">
        <v>0</v>
      </c>
      <c r="AE125" s="262">
        <v>0</v>
      </c>
      <c r="AF125" s="265">
        <v>213</v>
      </c>
      <c r="AG125" s="167"/>
      <c r="AH125" s="167"/>
    </row>
    <row r="126" spans="1:34" x14ac:dyDescent="0.25">
      <c r="A126" s="259" t="s">
        <v>374</v>
      </c>
      <c r="B126" s="259" t="s">
        <v>375</v>
      </c>
      <c r="C126" s="260" t="s">
        <v>120</v>
      </c>
      <c r="D126" s="261" t="s">
        <v>363</v>
      </c>
      <c r="E126" s="262">
        <v>0</v>
      </c>
      <c r="F126" s="262">
        <v>0</v>
      </c>
      <c r="G126" s="262">
        <v>0</v>
      </c>
      <c r="H126" s="262">
        <v>890</v>
      </c>
      <c r="I126" s="262">
        <v>685</v>
      </c>
      <c r="J126" s="262">
        <v>51</v>
      </c>
      <c r="K126" s="262">
        <v>0</v>
      </c>
      <c r="L126" s="262">
        <v>0</v>
      </c>
      <c r="M126" s="262">
        <v>0</v>
      </c>
      <c r="N126" s="262">
        <v>0</v>
      </c>
      <c r="O126" s="262">
        <v>0</v>
      </c>
      <c r="P126" s="262">
        <v>0</v>
      </c>
      <c r="Q126" s="262">
        <v>0</v>
      </c>
      <c r="R126" s="262">
        <v>0</v>
      </c>
      <c r="S126" s="264">
        <v>1475</v>
      </c>
      <c r="T126" s="262">
        <v>0</v>
      </c>
      <c r="U126" s="262">
        <v>0</v>
      </c>
      <c r="V126" s="262">
        <v>0</v>
      </c>
      <c r="W126" s="262">
        <v>0</v>
      </c>
      <c r="X126" s="262">
        <v>0</v>
      </c>
      <c r="Y126" s="262">
        <v>1</v>
      </c>
      <c r="Z126" s="262">
        <v>562</v>
      </c>
      <c r="AA126" s="262">
        <v>0</v>
      </c>
      <c r="AB126" s="262">
        <v>0</v>
      </c>
      <c r="AC126" s="262">
        <v>0</v>
      </c>
      <c r="AD126" s="262">
        <v>490</v>
      </c>
      <c r="AE126" s="262">
        <v>0</v>
      </c>
      <c r="AF126" s="265">
        <v>0</v>
      </c>
      <c r="AG126" s="167"/>
      <c r="AH126" s="167"/>
    </row>
    <row r="127" spans="1:34" x14ac:dyDescent="0.25">
      <c r="A127" s="259" t="s">
        <v>374</v>
      </c>
      <c r="B127" s="259" t="s">
        <v>375</v>
      </c>
      <c r="C127" s="260" t="s">
        <v>124</v>
      </c>
      <c r="D127" s="261" t="s">
        <v>363</v>
      </c>
      <c r="E127" s="262">
        <v>0</v>
      </c>
      <c r="F127" s="262">
        <v>0</v>
      </c>
      <c r="G127" s="262">
        <v>0</v>
      </c>
      <c r="H127" s="262">
        <v>0</v>
      </c>
      <c r="I127" s="262">
        <v>0</v>
      </c>
      <c r="J127" s="262">
        <v>0</v>
      </c>
      <c r="K127" s="262">
        <v>0</v>
      </c>
      <c r="L127" s="262">
        <v>0</v>
      </c>
      <c r="M127" s="262">
        <v>0</v>
      </c>
      <c r="N127" s="262">
        <v>0</v>
      </c>
      <c r="O127" s="262">
        <v>0</v>
      </c>
      <c r="P127" s="262">
        <v>0</v>
      </c>
      <c r="Q127" s="262">
        <v>0</v>
      </c>
      <c r="R127" s="262">
        <v>0</v>
      </c>
      <c r="S127" s="262">
        <v>1</v>
      </c>
      <c r="T127" s="262">
        <v>0</v>
      </c>
      <c r="U127" s="262">
        <v>0</v>
      </c>
      <c r="V127" s="262">
        <v>0</v>
      </c>
      <c r="W127" s="262">
        <v>0</v>
      </c>
      <c r="X127" s="262">
        <v>0</v>
      </c>
      <c r="Y127" s="262">
        <v>0</v>
      </c>
      <c r="Z127" s="262">
        <v>0</v>
      </c>
      <c r="AA127" s="262">
        <v>0</v>
      </c>
      <c r="AB127" s="262">
        <v>0</v>
      </c>
      <c r="AC127" s="262">
        <v>0</v>
      </c>
      <c r="AD127" s="262">
        <v>0</v>
      </c>
      <c r="AE127" s="262">
        <v>0</v>
      </c>
      <c r="AF127" s="265">
        <v>0</v>
      </c>
      <c r="AG127" s="167"/>
      <c r="AH127" s="167"/>
    </row>
    <row r="128" spans="1:34" x14ac:dyDescent="0.25">
      <c r="A128" s="259" t="s">
        <v>374</v>
      </c>
      <c r="B128" s="259" t="s">
        <v>375</v>
      </c>
      <c r="C128" s="260" t="s">
        <v>126</v>
      </c>
      <c r="D128" s="261" t="s">
        <v>363</v>
      </c>
      <c r="E128" s="262">
        <v>0</v>
      </c>
      <c r="F128" s="262">
        <v>125</v>
      </c>
      <c r="G128" s="264">
        <v>1415</v>
      </c>
      <c r="H128" s="264">
        <v>1317</v>
      </c>
      <c r="I128" s="264">
        <v>7694</v>
      </c>
      <c r="J128" s="262">
        <v>389</v>
      </c>
      <c r="K128" s="264">
        <v>7933</v>
      </c>
      <c r="L128" s="262">
        <v>0</v>
      </c>
      <c r="M128" s="262">
        <v>0</v>
      </c>
      <c r="N128" s="264">
        <v>29657</v>
      </c>
      <c r="O128" s="262">
        <v>0</v>
      </c>
      <c r="P128" s="262">
        <v>0</v>
      </c>
      <c r="Q128" s="264">
        <v>6917</v>
      </c>
      <c r="R128" s="264">
        <v>2475</v>
      </c>
      <c r="S128" s="264">
        <v>29765</v>
      </c>
      <c r="T128" s="264">
        <v>30419</v>
      </c>
      <c r="U128" s="264">
        <v>43571</v>
      </c>
      <c r="V128" s="264">
        <v>2403</v>
      </c>
      <c r="W128" s="262">
        <v>0</v>
      </c>
      <c r="X128" s="264">
        <v>12951</v>
      </c>
      <c r="Y128" s="264">
        <v>1132</v>
      </c>
      <c r="Z128" s="264">
        <v>9778</v>
      </c>
      <c r="AA128" s="262">
        <v>0</v>
      </c>
      <c r="AB128" s="262">
        <v>0</v>
      </c>
      <c r="AC128" s="262">
        <v>0</v>
      </c>
      <c r="AD128" s="264">
        <v>18394</v>
      </c>
      <c r="AE128" s="264">
        <v>8037</v>
      </c>
      <c r="AF128" s="266">
        <v>72428</v>
      </c>
      <c r="AG128" s="167"/>
      <c r="AH128" s="167"/>
    </row>
    <row r="129" spans="1:34" x14ac:dyDescent="0.25">
      <c r="A129" s="259" t="s">
        <v>374</v>
      </c>
      <c r="B129" s="259" t="s">
        <v>375</v>
      </c>
      <c r="C129" s="260" t="s">
        <v>128</v>
      </c>
      <c r="D129" s="261" t="s">
        <v>363</v>
      </c>
      <c r="E129" s="262">
        <v>0</v>
      </c>
      <c r="F129" s="262">
        <v>0</v>
      </c>
      <c r="G129" s="262">
        <v>51</v>
      </c>
      <c r="H129" s="262">
        <v>0</v>
      </c>
      <c r="I129" s="264">
        <v>2824</v>
      </c>
      <c r="J129" s="262">
        <v>23</v>
      </c>
      <c r="K129" s="262">
        <v>10</v>
      </c>
      <c r="L129" s="262">
        <v>0</v>
      </c>
      <c r="M129" s="262">
        <v>0</v>
      </c>
      <c r="N129" s="264">
        <v>20774</v>
      </c>
      <c r="O129" s="262">
        <v>0</v>
      </c>
      <c r="P129" s="262">
        <v>0</v>
      </c>
      <c r="Q129" s="262">
        <v>777</v>
      </c>
      <c r="R129" s="262">
        <v>245</v>
      </c>
      <c r="S129" s="264">
        <v>6368</v>
      </c>
      <c r="T129" s="264">
        <v>8022</v>
      </c>
      <c r="U129" s="264">
        <v>9225</v>
      </c>
      <c r="V129" s="262">
        <v>0</v>
      </c>
      <c r="W129" s="262">
        <v>0</v>
      </c>
      <c r="X129" s="264">
        <v>1116</v>
      </c>
      <c r="Y129" s="262">
        <v>113</v>
      </c>
      <c r="Z129" s="264">
        <v>1624</v>
      </c>
      <c r="AA129" s="262">
        <v>0</v>
      </c>
      <c r="AB129" s="262">
        <v>0</v>
      </c>
      <c r="AC129" s="262">
        <v>0</v>
      </c>
      <c r="AD129" s="264">
        <v>10912</v>
      </c>
      <c r="AE129" s="262">
        <v>649</v>
      </c>
      <c r="AF129" s="266">
        <v>58165</v>
      </c>
      <c r="AG129" s="167"/>
      <c r="AH129" s="167"/>
    </row>
    <row r="130" spans="1:34" x14ac:dyDescent="0.25">
      <c r="A130" s="259" t="s">
        <v>374</v>
      </c>
      <c r="B130" s="259" t="s">
        <v>375</v>
      </c>
      <c r="C130" s="260" t="s">
        <v>130</v>
      </c>
      <c r="D130" s="261" t="s">
        <v>363</v>
      </c>
      <c r="E130" s="262">
        <v>0</v>
      </c>
      <c r="F130" s="262">
        <v>0</v>
      </c>
      <c r="G130" s="262">
        <v>0</v>
      </c>
      <c r="H130" s="262">
        <v>0</v>
      </c>
      <c r="I130" s="262">
        <v>0</v>
      </c>
      <c r="J130" s="262">
        <v>47</v>
      </c>
      <c r="K130" s="262">
        <v>0</v>
      </c>
      <c r="L130" s="262">
        <v>0</v>
      </c>
      <c r="M130" s="262">
        <v>0</v>
      </c>
      <c r="N130" s="262">
        <v>0</v>
      </c>
      <c r="O130" s="262">
        <v>0</v>
      </c>
      <c r="P130" s="262">
        <v>0</v>
      </c>
      <c r="Q130" s="264">
        <v>7892</v>
      </c>
      <c r="R130" s="262">
        <v>292</v>
      </c>
      <c r="S130" s="264">
        <v>12335</v>
      </c>
      <c r="T130" s="264">
        <v>1423</v>
      </c>
      <c r="U130" s="264">
        <v>14755</v>
      </c>
      <c r="V130" s="262">
        <v>0</v>
      </c>
      <c r="W130" s="262">
        <v>0</v>
      </c>
      <c r="X130" s="262">
        <v>0</v>
      </c>
      <c r="Y130" s="262">
        <v>0</v>
      </c>
      <c r="Z130" s="262">
        <v>0</v>
      </c>
      <c r="AA130" s="262">
        <v>0</v>
      </c>
      <c r="AB130" s="262">
        <v>0</v>
      </c>
      <c r="AC130" s="262">
        <v>0</v>
      </c>
      <c r="AD130" s="264">
        <v>60841</v>
      </c>
      <c r="AE130" s="262">
        <v>439</v>
      </c>
      <c r="AF130" s="266">
        <v>10954</v>
      </c>
      <c r="AG130" s="167"/>
      <c r="AH130" s="167"/>
    </row>
    <row r="131" spans="1:34" x14ac:dyDescent="0.25">
      <c r="A131" s="259" t="s">
        <v>374</v>
      </c>
      <c r="B131" s="259" t="s">
        <v>375</v>
      </c>
      <c r="C131" s="260" t="s">
        <v>132</v>
      </c>
      <c r="D131" s="261" t="s">
        <v>363</v>
      </c>
      <c r="E131" s="262">
        <v>0</v>
      </c>
      <c r="F131" s="262">
        <v>5</v>
      </c>
      <c r="G131" s="262">
        <v>0</v>
      </c>
      <c r="H131" s="262">
        <v>0</v>
      </c>
      <c r="I131" s="262">
        <v>37</v>
      </c>
      <c r="J131" s="262">
        <v>0</v>
      </c>
      <c r="K131" s="262">
        <v>52</v>
      </c>
      <c r="L131" s="262">
        <v>0</v>
      </c>
      <c r="M131" s="262">
        <v>0</v>
      </c>
      <c r="N131" s="262">
        <v>0</v>
      </c>
      <c r="O131" s="262">
        <v>0</v>
      </c>
      <c r="P131" s="262">
        <v>265</v>
      </c>
      <c r="Q131" s="262">
        <v>0</v>
      </c>
      <c r="R131" s="262">
        <v>134</v>
      </c>
      <c r="S131" s="262">
        <v>407</v>
      </c>
      <c r="T131" s="262">
        <v>340</v>
      </c>
      <c r="U131" s="262">
        <v>186</v>
      </c>
      <c r="V131" s="262">
        <v>144</v>
      </c>
      <c r="W131" s="262">
        <v>0</v>
      </c>
      <c r="X131" s="262">
        <v>37</v>
      </c>
      <c r="Y131" s="262">
        <v>200</v>
      </c>
      <c r="Z131" s="262">
        <v>0</v>
      </c>
      <c r="AA131" s="262">
        <v>0</v>
      </c>
      <c r="AB131" s="262">
        <v>0</v>
      </c>
      <c r="AC131" s="262">
        <v>0</v>
      </c>
      <c r="AD131" s="262">
        <v>70</v>
      </c>
      <c r="AE131" s="262">
        <v>11</v>
      </c>
      <c r="AF131" s="266">
        <v>3575</v>
      </c>
      <c r="AG131" s="167"/>
      <c r="AH131" s="167"/>
    </row>
    <row r="132" spans="1:34" x14ac:dyDescent="0.25">
      <c r="A132" s="259" t="s">
        <v>374</v>
      </c>
      <c r="B132" s="259" t="s">
        <v>375</v>
      </c>
      <c r="C132" s="260" t="s">
        <v>134</v>
      </c>
      <c r="D132" s="261" t="s">
        <v>363</v>
      </c>
      <c r="E132" s="262">
        <v>0</v>
      </c>
      <c r="F132" s="262">
        <v>11</v>
      </c>
      <c r="G132" s="262">
        <v>0</v>
      </c>
      <c r="H132" s="262">
        <v>48</v>
      </c>
      <c r="I132" s="262">
        <v>279</v>
      </c>
      <c r="J132" s="262">
        <v>56</v>
      </c>
      <c r="K132" s="264">
        <v>12864</v>
      </c>
      <c r="L132" s="262">
        <v>0</v>
      </c>
      <c r="M132" s="262">
        <v>0</v>
      </c>
      <c r="N132" s="264">
        <v>23016</v>
      </c>
      <c r="O132" s="262">
        <v>0</v>
      </c>
      <c r="P132" s="264">
        <v>6160</v>
      </c>
      <c r="Q132" s="264">
        <v>1351</v>
      </c>
      <c r="R132" s="264">
        <v>2059</v>
      </c>
      <c r="S132" s="264">
        <v>2966</v>
      </c>
      <c r="T132" s="264">
        <v>1248</v>
      </c>
      <c r="U132" s="264">
        <v>2591</v>
      </c>
      <c r="V132" s="262">
        <v>508</v>
      </c>
      <c r="W132" s="262">
        <v>0</v>
      </c>
      <c r="X132" s="264">
        <v>4203</v>
      </c>
      <c r="Y132" s="262">
        <v>32</v>
      </c>
      <c r="Z132" s="262">
        <v>-158</v>
      </c>
      <c r="AA132" s="262">
        <v>0</v>
      </c>
      <c r="AB132" s="262">
        <v>0</v>
      </c>
      <c r="AC132" s="262">
        <v>0</v>
      </c>
      <c r="AD132" s="264">
        <v>10795</v>
      </c>
      <c r="AE132" s="262">
        <v>153</v>
      </c>
      <c r="AF132" s="266">
        <v>8120</v>
      </c>
      <c r="AG132" s="167"/>
      <c r="AH132" s="167"/>
    </row>
    <row r="133" spans="1:34" x14ac:dyDescent="0.25">
      <c r="A133" s="259" t="s">
        <v>374</v>
      </c>
      <c r="B133" s="259" t="s">
        <v>375</v>
      </c>
      <c r="C133" s="267" t="s">
        <v>1701</v>
      </c>
      <c r="D133" s="261" t="s">
        <v>363</v>
      </c>
      <c r="E133" s="262">
        <v>0</v>
      </c>
      <c r="F133" s="262">
        <v>0</v>
      </c>
      <c r="G133" s="262">
        <v>0</v>
      </c>
      <c r="H133" s="262">
        <v>0</v>
      </c>
      <c r="I133" s="262">
        <v>0</v>
      </c>
      <c r="J133" s="262">
        <v>0</v>
      </c>
      <c r="K133" s="262">
        <v>0</v>
      </c>
      <c r="L133" s="262">
        <v>0</v>
      </c>
      <c r="M133" s="262">
        <v>0</v>
      </c>
      <c r="N133" s="262">
        <v>0</v>
      </c>
      <c r="O133" s="262">
        <v>0</v>
      </c>
      <c r="P133" s="262">
        <v>0</v>
      </c>
      <c r="Q133" s="262">
        <v>0</v>
      </c>
      <c r="R133" s="262">
        <v>0</v>
      </c>
      <c r="S133" s="262">
        <v>0</v>
      </c>
      <c r="T133" s="262">
        <v>0</v>
      </c>
      <c r="U133" s="262">
        <v>0</v>
      </c>
      <c r="V133" s="262">
        <v>0</v>
      </c>
      <c r="W133" s="262">
        <v>0</v>
      </c>
      <c r="X133" s="262">
        <v>0</v>
      </c>
      <c r="Y133" s="262">
        <v>0</v>
      </c>
      <c r="Z133" s="262">
        <v>0</v>
      </c>
      <c r="AA133" s="262">
        <v>0</v>
      </c>
      <c r="AB133" s="262">
        <v>0</v>
      </c>
      <c r="AC133" s="262">
        <v>0</v>
      </c>
      <c r="AD133" s="262">
        <v>0</v>
      </c>
      <c r="AE133" s="262">
        <v>0</v>
      </c>
      <c r="AF133" s="265">
        <v>0</v>
      </c>
      <c r="AG133" s="167"/>
      <c r="AH133" s="167"/>
    </row>
    <row r="134" spans="1:34" x14ac:dyDescent="0.25">
      <c r="A134" s="259" t="s">
        <v>374</v>
      </c>
      <c r="B134" s="259" t="s">
        <v>375</v>
      </c>
      <c r="C134" s="267" t="s">
        <v>137</v>
      </c>
      <c r="D134" s="261" t="s">
        <v>363</v>
      </c>
      <c r="E134" s="262">
        <v>0</v>
      </c>
      <c r="F134" s="262">
        <v>0</v>
      </c>
      <c r="G134" s="262">
        <v>0</v>
      </c>
      <c r="H134" s="262">
        <v>0</v>
      </c>
      <c r="I134" s="262">
        <v>0</v>
      </c>
      <c r="J134" s="262">
        <v>0</v>
      </c>
      <c r="K134" s="262">
        <v>0</v>
      </c>
      <c r="L134" s="262">
        <v>0</v>
      </c>
      <c r="M134" s="262">
        <v>0</v>
      </c>
      <c r="N134" s="262">
        <v>0</v>
      </c>
      <c r="O134" s="262">
        <v>0</v>
      </c>
      <c r="P134" s="262">
        <v>0</v>
      </c>
      <c r="Q134" s="262">
        <v>0</v>
      </c>
      <c r="R134" s="262">
        <v>0</v>
      </c>
      <c r="S134" s="262">
        <v>0</v>
      </c>
      <c r="T134" s="262">
        <v>1</v>
      </c>
      <c r="U134" s="262">
        <v>0</v>
      </c>
      <c r="V134" s="262">
        <v>0</v>
      </c>
      <c r="W134" s="262">
        <v>0</v>
      </c>
      <c r="X134" s="262">
        <v>0</v>
      </c>
      <c r="Y134" s="262">
        <v>0</v>
      </c>
      <c r="Z134" s="262">
        <v>0</v>
      </c>
      <c r="AA134" s="262">
        <v>0</v>
      </c>
      <c r="AB134" s="262">
        <v>0</v>
      </c>
      <c r="AC134" s="262">
        <v>0</v>
      </c>
      <c r="AD134" s="262">
        <v>0</v>
      </c>
      <c r="AE134" s="262">
        <v>0</v>
      </c>
      <c r="AF134" s="265">
        <v>0</v>
      </c>
      <c r="AG134" s="167"/>
      <c r="AH134" s="167"/>
    </row>
    <row r="135" spans="1:34" x14ac:dyDescent="0.25">
      <c r="A135" s="259" t="s">
        <v>374</v>
      </c>
      <c r="B135" s="259" t="s">
        <v>375</v>
      </c>
      <c r="C135" s="260" t="s">
        <v>139</v>
      </c>
      <c r="D135" s="261" t="s">
        <v>363</v>
      </c>
      <c r="E135" s="262">
        <v>0</v>
      </c>
      <c r="F135" s="262">
        <v>0</v>
      </c>
      <c r="G135" s="262">
        <v>0</v>
      </c>
      <c r="H135" s="262">
        <v>0</v>
      </c>
      <c r="I135" s="262">
        <v>0</v>
      </c>
      <c r="J135" s="262">
        <v>0</v>
      </c>
      <c r="K135" s="262">
        <v>0</v>
      </c>
      <c r="L135" s="262">
        <v>0</v>
      </c>
      <c r="M135" s="262">
        <v>0</v>
      </c>
      <c r="N135" s="262">
        <v>0</v>
      </c>
      <c r="O135" s="262">
        <v>0</v>
      </c>
      <c r="P135" s="262">
        <v>0</v>
      </c>
      <c r="Q135" s="262">
        <v>0</v>
      </c>
      <c r="R135" s="262">
        <v>98</v>
      </c>
      <c r="S135" s="262">
        <v>0</v>
      </c>
      <c r="T135" s="262">
        <v>137</v>
      </c>
      <c r="U135" s="262">
        <v>791</v>
      </c>
      <c r="V135" s="262">
        <v>0</v>
      </c>
      <c r="W135" s="262">
        <v>0</v>
      </c>
      <c r="X135" s="262">
        <v>0</v>
      </c>
      <c r="Y135" s="262">
        <v>0</v>
      </c>
      <c r="Z135" s="264">
        <v>10328</v>
      </c>
      <c r="AA135" s="262">
        <v>0</v>
      </c>
      <c r="AB135" s="262">
        <v>0</v>
      </c>
      <c r="AC135" s="262">
        <v>0</v>
      </c>
      <c r="AD135" s="264">
        <v>22725</v>
      </c>
      <c r="AE135" s="262">
        <v>247</v>
      </c>
      <c r="AF135" s="265">
        <v>0</v>
      </c>
      <c r="AG135" s="167"/>
      <c r="AH135" s="167"/>
    </row>
    <row r="136" spans="1:34" x14ac:dyDescent="0.25">
      <c r="A136" s="268"/>
      <c r="B136" s="268"/>
      <c r="C136" s="269"/>
      <c r="D136" s="269"/>
      <c r="E136" s="269"/>
      <c r="F136" s="269"/>
      <c r="G136" s="269"/>
      <c r="H136" s="269"/>
      <c r="I136" s="269"/>
      <c r="J136" s="269"/>
      <c r="K136" s="269"/>
      <c r="L136" s="269"/>
      <c r="M136" s="269"/>
      <c r="N136" s="269"/>
      <c r="O136" s="269"/>
      <c r="P136" s="269"/>
      <c r="Q136" s="269"/>
      <c r="R136" s="269"/>
      <c r="S136" s="269"/>
      <c r="T136" s="269"/>
      <c r="U136" s="269"/>
      <c r="V136" s="269"/>
      <c r="W136" s="269"/>
      <c r="X136" s="269"/>
      <c r="Y136" s="269"/>
      <c r="Z136" s="269"/>
      <c r="AA136" s="269"/>
      <c r="AB136" s="269"/>
      <c r="AC136" s="269"/>
      <c r="AD136" s="269"/>
      <c r="AE136" s="269"/>
      <c r="AF136" s="269"/>
      <c r="AG136" s="167"/>
      <c r="AH136" s="167"/>
    </row>
    <row r="137" spans="1:34" x14ac:dyDescent="0.25">
      <c r="A137" s="259" t="s">
        <v>376</v>
      </c>
      <c r="B137" s="259" t="s">
        <v>377</v>
      </c>
      <c r="C137" s="260" t="s">
        <v>113</v>
      </c>
      <c r="D137" s="261" t="s">
        <v>363</v>
      </c>
      <c r="E137" s="262">
        <v>0</v>
      </c>
      <c r="F137" s="262">
        <v>0</v>
      </c>
      <c r="G137" s="262">
        <v>0</v>
      </c>
      <c r="H137" s="262">
        <v>0</v>
      </c>
      <c r="I137" s="262">
        <v>0</v>
      </c>
      <c r="J137" s="262">
        <v>0</v>
      </c>
      <c r="K137" s="262">
        <v>0</v>
      </c>
      <c r="L137" s="262">
        <v>0</v>
      </c>
      <c r="M137" s="262">
        <v>0</v>
      </c>
      <c r="N137" s="262">
        <v>0</v>
      </c>
      <c r="O137" s="262">
        <v>0</v>
      </c>
      <c r="P137" s="262">
        <v>0</v>
      </c>
      <c r="Q137" s="262">
        <v>0</v>
      </c>
      <c r="R137" s="262">
        <v>0</v>
      </c>
      <c r="S137" s="262">
        <v>0</v>
      </c>
      <c r="T137" s="262">
        <v>0</v>
      </c>
      <c r="U137" s="262">
        <v>0</v>
      </c>
      <c r="V137" s="262">
        <v>0</v>
      </c>
      <c r="W137" s="262">
        <v>0</v>
      </c>
      <c r="X137" s="262">
        <v>0</v>
      </c>
      <c r="Y137" s="262">
        <v>0</v>
      </c>
      <c r="Z137" s="262">
        <v>0</v>
      </c>
      <c r="AA137" s="262">
        <v>0</v>
      </c>
      <c r="AB137" s="262">
        <v>0</v>
      </c>
      <c r="AC137" s="262">
        <v>0</v>
      </c>
      <c r="AD137" s="262">
        <v>0</v>
      </c>
      <c r="AE137" s="262">
        <v>0</v>
      </c>
      <c r="AF137" s="265">
        <v>0</v>
      </c>
      <c r="AG137" s="167"/>
      <c r="AH137" s="167"/>
    </row>
    <row r="138" spans="1:34" x14ac:dyDescent="0.25">
      <c r="A138" s="259" t="s">
        <v>376</v>
      </c>
      <c r="B138" s="259" t="s">
        <v>377</v>
      </c>
      <c r="C138" s="260" t="s">
        <v>115</v>
      </c>
      <c r="D138" s="261" t="s">
        <v>363</v>
      </c>
      <c r="E138" s="262">
        <v>0</v>
      </c>
      <c r="F138" s="262">
        <v>0</v>
      </c>
      <c r="G138" s="262">
        <v>0</v>
      </c>
      <c r="H138" s="262">
        <v>0</v>
      </c>
      <c r="I138" s="262">
        <v>504</v>
      </c>
      <c r="J138" s="262">
        <v>0</v>
      </c>
      <c r="K138" s="262">
        <v>0</v>
      </c>
      <c r="L138" s="262">
        <v>0</v>
      </c>
      <c r="M138" s="262">
        <v>0</v>
      </c>
      <c r="N138" s="262">
        <v>0</v>
      </c>
      <c r="O138" s="262">
        <v>0</v>
      </c>
      <c r="P138" s="262">
        <v>0</v>
      </c>
      <c r="Q138" s="262">
        <v>87</v>
      </c>
      <c r="R138" s="262">
        <v>472</v>
      </c>
      <c r="S138" s="262">
        <v>879</v>
      </c>
      <c r="T138" s="264">
        <v>2113</v>
      </c>
      <c r="U138" s="264">
        <v>4789</v>
      </c>
      <c r="V138" s="262">
        <v>0</v>
      </c>
      <c r="W138" s="262">
        <v>0</v>
      </c>
      <c r="X138" s="262">
        <v>0</v>
      </c>
      <c r="Y138" s="262">
        <v>4</v>
      </c>
      <c r="Z138" s="262">
        <v>0</v>
      </c>
      <c r="AA138" s="262">
        <v>0</v>
      </c>
      <c r="AB138" s="262">
        <v>0</v>
      </c>
      <c r="AC138" s="262">
        <v>0</v>
      </c>
      <c r="AD138" s="262">
        <v>0</v>
      </c>
      <c r="AE138" s="262">
        <v>397</v>
      </c>
      <c r="AF138" s="265">
        <v>90</v>
      </c>
      <c r="AG138" s="167"/>
      <c r="AH138" s="167"/>
    </row>
    <row r="139" spans="1:34" x14ac:dyDescent="0.25">
      <c r="A139" s="259" t="s">
        <v>376</v>
      </c>
      <c r="B139" s="259" t="s">
        <v>377</v>
      </c>
      <c r="C139" s="260" t="s">
        <v>117</v>
      </c>
      <c r="D139" s="261" t="s">
        <v>363</v>
      </c>
      <c r="E139" s="264">
        <v>50682</v>
      </c>
      <c r="F139" s="262">
        <v>162</v>
      </c>
      <c r="G139" s="264">
        <v>3299</v>
      </c>
      <c r="H139" s="264">
        <v>23044</v>
      </c>
      <c r="I139" s="264">
        <v>92223</v>
      </c>
      <c r="J139" s="262">
        <v>293</v>
      </c>
      <c r="K139" s="264">
        <v>227549</v>
      </c>
      <c r="L139" s="264">
        <v>13366</v>
      </c>
      <c r="M139" s="264">
        <v>805422</v>
      </c>
      <c r="N139" s="264">
        <v>2050</v>
      </c>
      <c r="O139" s="262">
        <v>50</v>
      </c>
      <c r="P139" s="264">
        <v>373527</v>
      </c>
      <c r="Q139" s="264">
        <v>7649</v>
      </c>
      <c r="R139" s="264">
        <v>2457</v>
      </c>
      <c r="S139" s="264">
        <v>9823</v>
      </c>
      <c r="T139" s="264">
        <v>62887</v>
      </c>
      <c r="U139" s="264">
        <v>22126</v>
      </c>
      <c r="V139" s="264">
        <v>45927</v>
      </c>
      <c r="W139" s="264">
        <v>428799</v>
      </c>
      <c r="X139" s="264">
        <v>51372</v>
      </c>
      <c r="Y139" s="264">
        <v>140282</v>
      </c>
      <c r="Z139" s="262">
        <v>0</v>
      </c>
      <c r="AA139" s="262">
        <v>0</v>
      </c>
      <c r="AB139" s="264">
        <v>54117</v>
      </c>
      <c r="AC139" s="262">
        <v>0</v>
      </c>
      <c r="AD139" s="264">
        <v>1302</v>
      </c>
      <c r="AE139" s="264">
        <v>2051</v>
      </c>
      <c r="AF139" s="266">
        <v>110911</v>
      </c>
      <c r="AG139" s="167"/>
      <c r="AH139" s="167"/>
    </row>
    <row r="140" spans="1:34" x14ac:dyDescent="0.25">
      <c r="A140" s="259" t="s">
        <v>376</v>
      </c>
      <c r="B140" s="259" t="s">
        <v>377</v>
      </c>
      <c r="C140" s="260" t="s">
        <v>119</v>
      </c>
      <c r="D140" s="261" t="s">
        <v>363</v>
      </c>
      <c r="E140" s="262">
        <v>0</v>
      </c>
      <c r="F140" s="262">
        <v>0</v>
      </c>
      <c r="G140" s="262">
        <v>0</v>
      </c>
      <c r="H140" s="262">
        <v>0</v>
      </c>
      <c r="I140" s="262">
        <v>0</v>
      </c>
      <c r="J140" s="262">
        <v>0</v>
      </c>
      <c r="K140" s="262">
        <v>0</v>
      </c>
      <c r="L140" s="262">
        <v>0</v>
      </c>
      <c r="M140" s="262">
        <v>805</v>
      </c>
      <c r="N140" s="262">
        <v>0</v>
      </c>
      <c r="O140" s="262">
        <v>0</v>
      </c>
      <c r="P140" s="262">
        <v>0</v>
      </c>
      <c r="Q140" s="262">
        <v>0</v>
      </c>
      <c r="R140" s="262">
        <v>253</v>
      </c>
      <c r="S140" s="262">
        <v>0</v>
      </c>
      <c r="T140" s="262">
        <v>875</v>
      </c>
      <c r="U140" s="264">
        <v>1469</v>
      </c>
      <c r="V140" s="262">
        <v>63</v>
      </c>
      <c r="W140" s="262">
        <v>0</v>
      </c>
      <c r="X140" s="262">
        <v>0</v>
      </c>
      <c r="Y140" s="262">
        <v>0</v>
      </c>
      <c r="Z140" s="262">
        <v>0</v>
      </c>
      <c r="AA140" s="262">
        <v>0</v>
      </c>
      <c r="AB140" s="262">
        <v>0</v>
      </c>
      <c r="AC140" s="262">
        <v>0</v>
      </c>
      <c r="AD140" s="262">
        <v>0</v>
      </c>
      <c r="AE140" s="262">
        <v>0</v>
      </c>
      <c r="AF140" s="265">
        <v>213</v>
      </c>
      <c r="AG140" s="167"/>
      <c r="AH140" s="167"/>
    </row>
    <row r="141" spans="1:34" x14ac:dyDescent="0.25">
      <c r="A141" s="259" t="s">
        <v>376</v>
      </c>
      <c r="B141" s="259" t="s">
        <v>377</v>
      </c>
      <c r="C141" s="260" t="s">
        <v>120</v>
      </c>
      <c r="D141" s="261" t="s">
        <v>363</v>
      </c>
      <c r="E141" s="262">
        <v>0</v>
      </c>
      <c r="F141" s="264">
        <v>1825</v>
      </c>
      <c r="G141" s="262">
        <v>0</v>
      </c>
      <c r="H141" s="264">
        <v>4708</v>
      </c>
      <c r="I141" s="264">
        <v>25247</v>
      </c>
      <c r="J141" s="264">
        <v>2927</v>
      </c>
      <c r="K141" s="264">
        <v>24982</v>
      </c>
      <c r="L141" s="262">
        <v>0</v>
      </c>
      <c r="M141" s="264">
        <v>1740</v>
      </c>
      <c r="N141" s="262">
        <v>0</v>
      </c>
      <c r="O141" s="264">
        <v>1825</v>
      </c>
      <c r="P141" s="262">
        <v>0</v>
      </c>
      <c r="Q141" s="264">
        <v>2381</v>
      </c>
      <c r="R141" s="264">
        <v>1957</v>
      </c>
      <c r="S141" s="264">
        <v>26649</v>
      </c>
      <c r="T141" s="264">
        <v>4145</v>
      </c>
      <c r="U141" s="264">
        <v>11565</v>
      </c>
      <c r="V141" s="262">
        <v>0</v>
      </c>
      <c r="W141" s="262">
        <v>0</v>
      </c>
      <c r="X141" s="262">
        <v>30</v>
      </c>
      <c r="Y141" s="264">
        <v>32651</v>
      </c>
      <c r="Z141" s="264">
        <v>24315</v>
      </c>
      <c r="AA141" s="262">
        <v>0</v>
      </c>
      <c r="AB141" s="262">
        <v>0</v>
      </c>
      <c r="AC141" s="262">
        <v>0</v>
      </c>
      <c r="AD141" s="264">
        <v>4725</v>
      </c>
      <c r="AE141" s="262">
        <v>0</v>
      </c>
      <c r="AF141" s="266">
        <v>112688</v>
      </c>
      <c r="AG141" s="167"/>
      <c r="AH141" s="167"/>
    </row>
    <row r="142" spans="1:34" x14ac:dyDescent="0.25">
      <c r="A142" s="259" t="s">
        <v>376</v>
      </c>
      <c r="B142" s="259" t="s">
        <v>377</v>
      </c>
      <c r="C142" s="260" t="s">
        <v>122</v>
      </c>
      <c r="D142" s="261" t="s">
        <v>363</v>
      </c>
      <c r="E142" s="262">
        <v>0</v>
      </c>
      <c r="F142" s="262">
        <v>0</v>
      </c>
      <c r="G142" s="262">
        <v>0</v>
      </c>
      <c r="H142" s="262">
        <v>0</v>
      </c>
      <c r="I142" s="262">
        <v>0</v>
      </c>
      <c r="J142" s="262">
        <v>0</v>
      </c>
      <c r="K142" s="262">
        <v>0</v>
      </c>
      <c r="L142" s="262">
        <v>0</v>
      </c>
      <c r="M142" s="262">
        <v>0</v>
      </c>
      <c r="N142" s="262">
        <v>0</v>
      </c>
      <c r="O142" s="262">
        <v>0</v>
      </c>
      <c r="P142" s="262">
        <v>0</v>
      </c>
      <c r="Q142" s="262">
        <v>0</v>
      </c>
      <c r="R142" s="262">
        <v>0</v>
      </c>
      <c r="S142" s="262">
        <v>0</v>
      </c>
      <c r="T142" s="262">
        <v>0</v>
      </c>
      <c r="U142" s="262">
        <v>0</v>
      </c>
      <c r="V142" s="262">
        <v>0</v>
      </c>
      <c r="W142" s="262">
        <v>0</v>
      </c>
      <c r="X142" s="262">
        <v>0</v>
      </c>
      <c r="Y142" s="262">
        <v>0</v>
      </c>
      <c r="Z142" s="262">
        <v>0</v>
      </c>
      <c r="AA142" s="262">
        <v>0</v>
      </c>
      <c r="AB142" s="262">
        <v>0</v>
      </c>
      <c r="AC142" s="262">
        <v>0</v>
      </c>
      <c r="AD142" s="262">
        <v>0</v>
      </c>
      <c r="AE142" s="262">
        <v>0</v>
      </c>
      <c r="AF142" s="265">
        <v>0</v>
      </c>
      <c r="AG142" s="167"/>
      <c r="AH142" s="167"/>
    </row>
    <row r="143" spans="1:34" x14ac:dyDescent="0.25">
      <c r="A143" s="259" t="s">
        <v>376</v>
      </c>
      <c r="B143" s="259" t="s">
        <v>377</v>
      </c>
      <c r="C143" s="260" t="s">
        <v>124</v>
      </c>
      <c r="D143" s="261" t="s">
        <v>363</v>
      </c>
      <c r="E143" s="262">
        <v>0</v>
      </c>
      <c r="F143" s="262">
        <v>0</v>
      </c>
      <c r="G143" s="262">
        <v>0</v>
      </c>
      <c r="H143" s="262">
        <v>0</v>
      </c>
      <c r="I143" s="262">
        <v>0</v>
      </c>
      <c r="J143" s="262">
        <v>0</v>
      </c>
      <c r="K143" s="262">
        <v>0</v>
      </c>
      <c r="L143" s="262">
        <v>0</v>
      </c>
      <c r="M143" s="262">
        <v>0</v>
      </c>
      <c r="N143" s="262">
        <v>0</v>
      </c>
      <c r="O143" s="262">
        <v>117</v>
      </c>
      <c r="P143" s="262">
        <v>0</v>
      </c>
      <c r="Q143" s="262">
        <v>103</v>
      </c>
      <c r="R143" s="262">
        <v>9</v>
      </c>
      <c r="S143" s="264">
        <v>1258</v>
      </c>
      <c r="T143" s="264">
        <v>1723</v>
      </c>
      <c r="U143" s="264">
        <v>7901</v>
      </c>
      <c r="V143" s="262">
        <v>0</v>
      </c>
      <c r="W143" s="262">
        <v>0</v>
      </c>
      <c r="X143" s="262">
        <v>0</v>
      </c>
      <c r="Y143" s="262">
        <v>468</v>
      </c>
      <c r="Z143" s="264">
        <v>1350</v>
      </c>
      <c r="AA143" s="262">
        <v>0</v>
      </c>
      <c r="AB143" s="262">
        <v>0</v>
      </c>
      <c r="AC143" s="262">
        <v>0</v>
      </c>
      <c r="AD143" s="262">
        <v>0</v>
      </c>
      <c r="AE143" s="262">
        <v>0</v>
      </c>
      <c r="AF143" s="265">
        <v>0</v>
      </c>
      <c r="AG143" s="167"/>
      <c r="AH143" s="167"/>
    </row>
    <row r="144" spans="1:34" x14ac:dyDescent="0.25">
      <c r="A144" s="259" t="s">
        <v>376</v>
      </c>
      <c r="B144" s="259" t="s">
        <v>377</v>
      </c>
      <c r="C144" s="260" t="s">
        <v>126</v>
      </c>
      <c r="D144" s="261" t="s">
        <v>363</v>
      </c>
      <c r="E144" s="262">
        <v>519</v>
      </c>
      <c r="F144" s="264">
        <v>17702</v>
      </c>
      <c r="G144" s="264">
        <v>5470</v>
      </c>
      <c r="H144" s="264">
        <v>4452</v>
      </c>
      <c r="I144" s="264">
        <v>31822</v>
      </c>
      <c r="J144" s="264">
        <v>13460</v>
      </c>
      <c r="K144" s="264">
        <v>60627</v>
      </c>
      <c r="L144" s="262">
        <v>0</v>
      </c>
      <c r="M144" s="264">
        <v>94342</v>
      </c>
      <c r="N144" s="264">
        <v>40784</v>
      </c>
      <c r="O144" s="262">
        <v>0</v>
      </c>
      <c r="P144" s="262">
        <v>0</v>
      </c>
      <c r="Q144" s="264">
        <v>34772</v>
      </c>
      <c r="R144" s="264">
        <v>66658</v>
      </c>
      <c r="S144" s="264">
        <v>75255</v>
      </c>
      <c r="T144" s="264">
        <v>200743</v>
      </c>
      <c r="U144" s="264">
        <v>165594</v>
      </c>
      <c r="V144" s="264">
        <v>18554</v>
      </c>
      <c r="W144" s="262">
        <v>0</v>
      </c>
      <c r="X144" s="264">
        <v>106619</v>
      </c>
      <c r="Y144" s="264">
        <v>28877</v>
      </c>
      <c r="Z144" s="264">
        <v>34704</v>
      </c>
      <c r="AA144" s="262">
        <v>0</v>
      </c>
      <c r="AB144" s="264">
        <v>9340</v>
      </c>
      <c r="AC144" s="262">
        <v>0</v>
      </c>
      <c r="AD144" s="264">
        <v>67916</v>
      </c>
      <c r="AE144" s="264">
        <v>51472</v>
      </c>
      <c r="AF144" s="266">
        <v>307089</v>
      </c>
      <c r="AG144" s="167"/>
      <c r="AH144" s="167"/>
    </row>
    <row r="145" spans="1:34" x14ac:dyDescent="0.25">
      <c r="A145" s="259" t="s">
        <v>376</v>
      </c>
      <c r="B145" s="259" t="s">
        <v>377</v>
      </c>
      <c r="C145" s="260" t="s">
        <v>128</v>
      </c>
      <c r="D145" s="261" t="s">
        <v>363</v>
      </c>
      <c r="E145" s="262">
        <v>0</v>
      </c>
      <c r="F145" s="264">
        <v>23785</v>
      </c>
      <c r="G145" s="262">
        <v>47</v>
      </c>
      <c r="H145" s="264">
        <v>3950</v>
      </c>
      <c r="I145" s="264">
        <v>49056</v>
      </c>
      <c r="J145" s="264">
        <v>37513</v>
      </c>
      <c r="K145" s="264">
        <v>9211</v>
      </c>
      <c r="L145" s="262">
        <v>0</v>
      </c>
      <c r="M145" s="264">
        <v>34838</v>
      </c>
      <c r="N145" s="264">
        <v>76189</v>
      </c>
      <c r="O145" s="262">
        <v>52</v>
      </c>
      <c r="P145" s="262">
        <v>0</v>
      </c>
      <c r="Q145" s="264">
        <v>16589</v>
      </c>
      <c r="R145" s="264">
        <v>85048</v>
      </c>
      <c r="S145" s="264">
        <v>101504</v>
      </c>
      <c r="T145" s="264">
        <v>201564</v>
      </c>
      <c r="U145" s="264">
        <v>268985</v>
      </c>
      <c r="V145" s="262">
        <v>0</v>
      </c>
      <c r="W145" s="262">
        <v>0</v>
      </c>
      <c r="X145" s="264">
        <v>88035</v>
      </c>
      <c r="Y145" s="264">
        <v>13697</v>
      </c>
      <c r="Z145" s="264">
        <v>50007</v>
      </c>
      <c r="AA145" s="262">
        <v>0</v>
      </c>
      <c r="AB145" s="264">
        <v>21611</v>
      </c>
      <c r="AC145" s="262">
        <v>0</v>
      </c>
      <c r="AD145" s="264">
        <v>62927</v>
      </c>
      <c r="AE145" s="264">
        <v>32080</v>
      </c>
      <c r="AF145" s="266">
        <v>696057</v>
      </c>
      <c r="AG145" s="167"/>
      <c r="AH145" s="167"/>
    </row>
    <row r="146" spans="1:34" x14ac:dyDescent="0.25">
      <c r="A146" s="259" t="s">
        <v>376</v>
      </c>
      <c r="B146" s="259" t="s">
        <v>377</v>
      </c>
      <c r="C146" s="260" t="s">
        <v>130</v>
      </c>
      <c r="D146" s="261" t="s">
        <v>363</v>
      </c>
      <c r="E146" s="262">
        <v>0</v>
      </c>
      <c r="F146" s="262">
        <v>0</v>
      </c>
      <c r="G146" s="262">
        <v>0</v>
      </c>
      <c r="H146" s="262">
        <v>0</v>
      </c>
      <c r="I146" s="262">
        <v>0</v>
      </c>
      <c r="J146" s="264">
        <v>8442</v>
      </c>
      <c r="K146" s="262">
        <v>0</v>
      </c>
      <c r="L146" s="262">
        <v>0</v>
      </c>
      <c r="M146" s="262">
        <v>0</v>
      </c>
      <c r="N146" s="262">
        <v>101</v>
      </c>
      <c r="O146" s="262">
        <v>0</v>
      </c>
      <c r="P146" s="262">
        <v>0</v>
      </c>
      <c r="Q146" s="264">
        <v>56173</v>
      </c>
      <c r="R146" s="264">
        <v>1153</v>
      </c>
      <c r="S146" s="264">
        <v>10575</v>
      </c>
      <c r="T146" s="264">
        <v>27445</v>
      </c>
      <c r="U146" s="264">
        <v>26043</v>
      </c>
      <c r="V146" s="262">
        <v>0</v>
      </c>
      <c r="W146" s="262">
        <v>0</v>
      </c>
      <c r="X146" s="262">
        <v>0</v>
      </c>
      <c r="Y146" s="262">
        <v>0</v>
      </c>
      <c r="Z146" s="262">
        <v>0</v>
      </c>
      <c r="AA146" s="262">
        <v>0</v>
      </c>
      <c r="AB146" s="262">
        <v>0</v>
      </c>
      <c r="AC146" s="262">
        <v>0</v>
      </c>
      <c r="AD146" s="264">
        <v>200423</v>
      </c>
      <c r="AE146" s="264">
        <v>5461</v>
      </c>
      <c r="AF146" s="266">
        <v>23795</v>
      </c>
      <c r="AG146" s="167"/>
      <c r="AH146" s="167"/>
    </row>
    <row r="147" spans="1:34" x14ac:dyDescent="0.25">
      <c r="A147" s="259" t="s">
        <v>376</v>
      </c>
      <c r="B147" s="259" t="s">
        <v>377</v>
      </c>
      <c r="C147" s="260" t="s">
        <v>132</v>
      </c>
      <c r="D147" s="261" t="s">
        <v>363</v>
      </c>
      <c r="E147" s="262">
        <v>0</v>
      </c>
      <c r="F147" s="262">
        <v>922</v>
      </c>
      <c r="G147" s="262">
        <v>119</v>
      </c>
      <c r="H147" s="262">
        <v>41</v>
      </c>
      <c r="I147" s="262">
        <v>776</v>
      </c>
      <c r="J147" s="262">
        <v>927</v>
      </c>
      <c r="K147" s="264">
        <v>1554</v>
      </c>
      <c r="L147" s="262">
        <v>0</v>
      </c>
      <c r="M147" s="264">
        <v>10894</v>
      </c>
      <c r="N147" s="262">
        <v>0</v>
      </c>
      <c r="O147" s="262">
        <v>6</v>
      </c>
      <c r="P147" s="264">
        <v>1574</v>
      </c>
      <c r="Q147" s="264">
        <v>1311</v>
      </c>
      <c r="R147" s="264">
        <v>4922</v>
      </c>
      <c r="S147" s="264">
        <v>2829</v>
      </c>
      <c r="T147" s="264">
        <v>12869</v>
      </c>
      <c r="U147" s="264">
        <v>4230</v>
      </c>
      <c r="V147" s="264">
        <v>2659</v>
      </c>
      <c r="W147" s="262">
        <v>0</v>
      </c>
      <c r="X147" s="264">
        <v>10520</v>
      </c>
      <c r="Y147" s="264">
        <v>2558</v>
      </c>
      <c r="Z147" s="262">
        <v>47</v>
      </c>
      <c r="AA147" s="262">
        <v>0</v>
      </c>
      <c r="AB147" s="264">
        <v>1809</v>
      </c>
      <c r="AC147" s="262">
        <v>0</v>
      </c>
      <c r="AD147" s="264">
        <v>2026</v>
      </c>
      <c r="AE147" s="264">
        <v>1114</v>
      </c>
      <c r="AF147" s="266">
        <v>2417</v>
      </c>
      <c r="AG147" s="167"/>
      <c r="AH147" s="167"/>
    </row>
    <row r="148" spans="1:34" x14ac:dyDescent="0.25">
      <c r="A148" s="259" t="s">
        <v>376</v>
      </c>
      <c r="B148" s="259" t="s">
        <v>377</v>
      </c>
      <c r="C148" s="260" t="s">
        <v>134</v>
      </c>
      <c r="D148" s="261" t="s">
        <v>363</v>
      </c>
      <c r="E148" s="262">
        <v>0</v>
      </c>
      <c r="F148" s="264">
        <v>6457</v>
      </c>
      <c r="G148" s="264">
        <v>2186</v>
      </c>
      <c r="H148" s="264">
        <v>1306</v>
      </c>
      <c r="I148" s="264">
        <v>4135</v>
      </c>
      <c r="J148" s="264">
        <v>1804</v>
      </c>
      <c r="K148" s="264">
        <v>49087</v>
      </c>
      <c r="L148" s="262">
        <v>0</v>
      </c>
      <c r="M148" s="264">
        <v>19263</v>
      </c>
      <c r="N148" s="262">
        <v>0</v>
      </c>
      <c r="O148" s="262">
        <v>211</v>
      </c>
      <c r="P148" s="264">
        <v>26046</v>
      </c>
      <c r="Q148" s="264">
        <v>6589</v>
      </c>
      <c r="R148" s="264">
        <v>7210</v>
      </c>
      <c r="S148" s="264">
        <v>6117</v>
      </c>
      <c r="T148" s="264">
        <v>21204</v>
      </c>
      <c r="U148" s="264">
        <v>9797</v>
      </c>
      <c r="V148" s="264">
        <v>9373</v>
      </c>
      <c r="W148" s="262">
        <v>0</v>
      </c>
      <c r="X148" s="264">
        <v>31988</v>
      </c>
      <c r="Y148" s="264">
        <v>12301</v>
      </c>
      <c r="Z148" s="262">
        <v>-210</v>
      </c>
      <c r="AA148" s="262">
        <v>406</v>
      </c>
      <c r="AB148" s="264">
        <v>4239</v>
      </c>
      <c r="AC148" s="262">
        <v>0</v>
      </c>
      <c r="AD148" s="264">
        <v>31136</v>
      </c>
      <c r="AE148" s="264">
        <v>2580</v>
      </c>
      <c r="AF148" s="266">
        <v>9745</v>
      </c>
      <c r="AG148" s="167"/>
      <c r="AH148" s="167"/>
    </row>
    <row r="149" spans="1:34" x14ac:dyDescent="0.25">
      <c r="A149" s="259" t="s">
        <v>376</v>
      </c>
      <c r="B149" s="259" t="s">
        <v>377</v>
      </c>
      <c r="C149" s="267" t="s">
        <v>1701</v>
      </c>
      <c r="D149" s="261" t="s">
        <v>363</v>
      </c>
      <c r="E149" s="262">
        <v>0</v>
      </c>
      <c r="F149" s="262">
        <v>0</v>
      </c>
      <c r="G149" s="262">
        <v>0</v>
      </c>
      <c r="H149" s="262">
        <v>0</v>
      </c>
      <c r="I149" s="262">
        <v>0</v>
      </c>
      <c r="J149" s="262">
        <v>0</v>
      </c>
      <c r="K149" s="262">
        <v>0</v>
      </c>
      <c r="L149" s="262">
        <v>0</v>
      </c>
      <c r="M149" s="262">
        <v>0</v>
      </c>
      <c r="N149" s="262">
        <v>0</v>
      </c>
      <c r="O149" s="262">
        <v>0</v>
      </c>
      <c r="P149" s="262">
        <v>0</v>
      </c>
      <c r="Q149" s="262">
        <v>0</v>
      </c>
      <c r="R149" s="262">
        <v>0</v>
      </c>
      <c r="S149" s="262">
        <v>20</v>
      </c>
      <c r="T149" s="262">
        <v>0</v>
      </c>
      <c r="U149" s="262">
        <v>0</v>
      </c>
      <c r="V149" s="262">
        <v>0</v>
      </c>
      <c r="W149" s="262">
        <v>0</v>
      </c>
      <c r="X149" s="262">
        <v>4</v>
      </c>
      <c r="Y149" s="262">
        <v>0</v>
      </c>
      <c r="Z149" s="262">
        <v>0</v>
      </c>
      <c r="AA149" s="262">
        <v>0</v>
      </c>
      <c r="AB149" s="262">
        <v>0</v>
      </c>
      <c r="AC149" s="262">
        <v>0</v>
      </c>
      <c r="AD149" s="262">
        <v>0</v>
      </c>
      <c r="AE149" s="262">
        <v>0</v>
      </c>
      <c r="AF149" s="265">
        <v>0</v>
      </c>
      <c r="AG149" s="167"/>
      <c r="AH149" s="167"/>
    </row>
    <row r="150" spans="1:34" x14ac:dyDescent="0.25">
      <c r="A150" s="259" t="s">
        <v>376</v>
      </c>
      <c r="B150" s="259" t="s">
        <v>377</v>
      </c>
      <c r="C150" s="267" t="s">
        <v>137</v>
      </c>
      <c r="D150" s="261" t="s">
        <v>363</v>
      </c>
      <c r="E150" s="262">
        <v>0</v>
      </c>
      <c r="F150" s="262">
        <v>0</v>
      </c>
      <c r="G150" s="262">
        <v>0</v>
      </c>
      <c r="H150" s="262">
        <v>0</v>
      </c>
      <c r="I150" s="262">
        <v>0</v>
      </c>
      <c r="J150" s="262">
        <v>0</v>
      </c>
      <c r="K150" s="262">
        <v>0</v>
      </c>
      <c r="L150" s="262">
        <v>0</v>
      </c>
      <c r="M150" s="262">
        <v>0</v>
      </c>
      <c r="N150" s="262">
        <v>0</v>
      </c>
      <c r="O150" s="262">
        <v>0</v>
      </c>
      <c r="P150" s="262">
        <v>0</v>
      </c>
      <c r="Q150" s="262">
        <v>41</v>
      </c>
      <c r="R150" s="262">
        <v>0</v>
      </c>
      <c r="S150" s="262">
        <v>13</v>
      </c>
      <c r="T150" s="262">
        <v>41</v>
      </c>
      <c r="U150" s="262">
        <v>0</v>
      </c>
      <c r="V150" s="262">
        <v>0</v>
      </c>
      <c r="W150" s="262">
        <v>0</v>
      </c>
      <c r="X150" s="262">
        <v>0</v>
      </c>
      <c r="Y150" s="262">
        <v>0</v>
      </c>
      <c r="Z150" s="262">
        <v>0</v>
      </c>
      <c r="AA150" s="262">
        <v>0</v>
      </c>
      <c r="AB150" s="262">
        <v>0</v>
      </c>
      <c r="AC150" s="262">
        <v>0</v>
      </c>
      <c r="AD150" s="262">
        <v>0</v>
      </c>
      <c r="AE150" s="262">
        <v>0</v>
      </c>
      <c r="AF150" s="265">
        <v>0</v>
      </c>
      <c r="AG150" s="167"/>
      <c r="AH150" s="167"/>
    </row>
    <row r="151" spans="1:34" x14ac:dyDescent="0.25">
      <c r="A151" s="259" t="s">
        <v>376</v>
      </c>
      <c r="B151" s="259" t="s">
        <v>377</v>
      </c>
      <c r="C151" s="260" t="s">
        <v>139</v>
      </c>
      <c r="D151" s="261" t="s">
        <v>363</v>
      </c>
      <c r="E151" s="262">
        <v>0</v>
      </c>
      <c r="F151" s="262">
        <v>0</v>
      </c>
      <c r="G151" s="262">
        <v>0</v>
      </c>
      <c r="H151" s="262">
        <v>0</v>
      </c>
      <c r="I151" s="262">
        <v>102</v>
      </c>
      <c r="J151" s="262">
        <v>0</v>
      </c>
      <c r="K151" s="262">
        <v>0</v>
      </c>
      <c r="L151" s="262">
        <v>0</v>
      </c>
      <c r="M151" s="262">
        <v>0</v>
      </c>
      <c r="N151" s="262">
        <v>0</v>
      </c>
      <c r="O151" s="262">
        <v>0</v>
      </c>
      <c r="P151" s="262">
        <v>0</v>
      </c>
      <c r="Q151" s="262">
        <v>0</v>
      </c>
      <c r="R151" s="262">
        <v>101</v>
      </c>
      <c r="S151" s="262">
        <v>212</v>
      </c>
      <c r="T151" s="262">
        <v>11</v>
      </c>
      <c r="U151" s="262">
        <v>39</v>
      </c>
      <c r="V151" s="262">
        <v>0</v>
      </c>
      <c r="W151" s="262">
        <v>0</v>
      </c>
      <c r="X151" s="262">
        <v>0</v>
      </c>
      <c r="Y151" s="262">
        <v>279</v>
      </c>
      <c r="Z151" s="264">
        <v>1981</v>
      </c>
      <c r="AA151" s="262">
        <v>0</v>
      </c>
      <c r="AB151" s="262">
        <v>0</v>
      </c>
      <c r="AC151" s="262">
        <v>0</v>
      </c>
      <c r="AD151" s="264">
        <v>9421</v>
      </c>
      <c r="AE151" s="264">
        <v>2854</v>
      </c>
      <c r="AF151" s="265">
        <v>52</v>
      </c>
      <c r="AG151" s="167"/>
      <c r="AH151" s="167"/>
    </row>
    <row r="152" spans="1:34" x14ac:dyDescent="0.25">
      <c r="A152" s="268"/>
      <c r="B152" s="268"/>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c r="AA152" s="269"/>
      <c r="AB152" s="269"/>
      <c r="AC152" s="269"/>
      <c r="AD152" s="269"/>
      <c r="AE152" s="269"/>
      <c r="AF152" s="269"/>
      <c r="AG152" s="167"/>
      <c r="AH152" s="167"/>
    </row>
    <row r="153" spans="1:34" x14ac:dyDescent="0.25">
      <c r="A153" s="259" t="s">
        <v>378</v>
      </c>
      <c r="B153" s="259" t="s">
        <v>379</v>
      </c>
      <c r="C153" s="260" t="s">
        <v>113</v>
      </c>
      <c r="D153" s="261" t="s">
        <v>363</v>
      </c>
      <c r="E153" s="262">
        <v>0</v>
      </c>
      <c r="F153" s="262">
        <v>0</v>
      </c>
      <c r="G153" s="262">
        <v>0</v>
      </c>
      <c r="H153" s="262">
        <v>0</v>
      </c>
      <c r="I153" s="262">
        <v>0</v>
      </c>
      <c r="J153" s="262">
        <v>0</v>
      </c>
      <c r="K153" s="262">
        <v>0</v>
      </c>
      <c r="L153" s="262">
        <v>0</v>
      </c>
      <c r="M153" s="262">
        <v>0</v>
      </c>
      <c r="N153" s="262">
        <v>0</v>
      </c>
      <c r="O153" s="262">
        <v>0</v>
      </c>
      <c r="P153" s="262">
        <v>0</v>
      </c>
      <c r="Q153" s="262">
        <v>0</v>
      </c>
      <c r="R153" s="262">
        <v>0</v>
      </c>
      <c r="S153" s="262">
        <v>0</v>
      </c>
      <c r="T153" s="262">
        <v>0</v>
      </c>
      <c r="U153" s="262">
        <v>0</v>
      </c>
      <c r="V153" s="262">
        <v>0</v>
      </c>
      <c r="W153" s="262">
        <v>0</v>
      </c>
      <c r="X153" s="262">
        <v>0</v>
      </c>
      <c r="Y153" s="262">
        <v>0</v>
      </c>
      <c r="Z153" s="262">
        <v>0</v>
      </c>
      <c r="AA153" s="262">
        <v>0</v>
      </c>
      <c r="AB153" s="262">
        <v>0</v>
      </c>
      <c r="AC153" s="262">
        <v>0</v>
      </c>
      <c r="AD153" s="262">
        <v>0</v>
      </c>
      <c r="AE153" s="262">
        <v>0</v>
      </c>
      <c r="AF153" s="265">
        <v>0</v>
      </c>
      <c r="AG153" s="167"/>
      <c r="AH153" s="167"/>
    </row>
    <row r="154" spans="1:34" x14ac:dyDescent="0.25">
      <c r="A154" s="259" t="s">
        <v>378</v>
      </c>
      <c r="B154" s="259" t="s">
        <v>379</v>
      </c>
      <c r="C154" s="260" t="s">
        <v>115</v>
      </c>
      <c r="D154" s="261" t="s">
        <v>363</v>
      </c>
      <c r="E154" s="262">
        <v>0</v>
      </c>
      <c r="F154" s="262">
        <v>0</v>
      </c>
      <c r="G154" s="262">
        <v>0</v>
      </c>
      <c r="H154" s="262">
        <v>0</v>
      </c>
      <c r="I154" s="262">
        <v>0</v>
      </c>
      <c r="J154" s="262">
        <v>0</v>
      </c>
      <c r="K154" s="262">
        <v>0</v>
      </c>
      <c r="L154" s="262">
        <v>0</v>
      </c>
      <c r="M154" s="262">
        <v>0</v>
      </c>
      <c r="N154" s="262">
        <v>0</v>
      </c>
      <c r="O154" s="262">
        <v>0</v>
      </c>
      <c r="P154" s="262">
        <v>0</v>
      </c>
      <c r="Q154" s="262">
        <v>0</v>
      </c>
      <c r="R154" s="262">
        <v>1</v>
      </c>
      <c r="S154" s="262">
        <v>10</v>
      </c>
      <c r="T154" s="262">
        <v>10</v>
      </c>
      <c r="U154" s="262">
        <v>392</v>
      </c>
      <c r="V154" s="262">
        <v>0</v>
      </c>
      <c r="W154" s="262">
        <v>0</v>
      </c>
      <c r="X154" s="262">
        <v>0</v>
      </c>
      <c r="Y154" s="262">
        <v>0</v>
      </c>
      <c r="Z154" s="262">
        <v>0</v>
      </c>
      <c r="AA154" s="262">
        <v>0</v>
      </c>
      <c r="AB154" s="262">
        <v>0</v>
      </c>
      <c r="AC154" s="262">
        <v>0</v>
      </c>
      <c r="AD154" s="262">
        <v>0</v>
      </c>
      <c r="AE154" s="262">
        <v>0</v>
      </c>
      <c r="AF154" s="265">
        <v>0</v>
      </c>
      <c r="AG154" s="167"/>
      <c r="AH154" s="167"/>
    </row>
    <row r="155" spans="1:34" x14ac:dyDescent="0.25">
      <c r="A155" s="259" t="s">
        <v>378</v>
      </c>
      <c r="B155" s="259" t="s">
        <v>379</v>
      </c>
      <c r="C155" s="260" t="s">
        <v>117</v>
      </c>
      <c r="D155" s="261" t="s">
        <v>363</v>
      </c>
      <c r="E155" s="262">
        <v>0</v>
      </c>
      <c r="F155" s="262">
        <v>0</v>
      </c>
      <c r="G155" s="262">
        <v>0</v>
      </c>
      <c r="H155" s="262">
        <v>0</v>
      </c>
      <c r="I155" s="262">
        <v>0</v>
      </c>
      <c r="J155" s="262">
        <v>0</v>
      </c>
      <c r="K155" s="262">
        <v>0</v>
      </c>
      <c r="L155" s="262">
        <v>0</v>
      </c>
      <c r="M155" s="262">
        <v>0</v>
      </c>
      <c r="N155" s="262">
        <v>134</v>
      </c>
      <c r="O155" s="262">
        <v>0</v>
      </c>
      <c r="P155" s="264">
        <v>3369</v>
      </c>
      <c r="Q155" s="264">
        <v>1246</v>
      </c>
      <c r="R155" s="262">
        <v>254</v>
      </c>
      <c r="S155" s="264">
        <v>1566</v>
      </c>
      <c r="T155" s="262">
        <v>609</v>
      </c>
      <c r="U155" s="264">
        <v>3948</v>
      </c>
      <c r="V155" s="262">
        <v>0</v>
      </c>
      <c r="W155" s="262">
        <v>0</v>
      </c>
      <c r="X155" s="262">
        <v>0</v>
      </c>
      <c r="Y155" s="262">
        <v>0</v>
      </c>
      <c r="Z155" s="262">
        <v>0</v>
      </c>
      <c r="AA155" s="262">
        <v>0</v>
      </c>
      <c r="AB155" s="262">
        <v>0</v>
      </c>
      <c r="AC155" s="262">
        <v>0</v>
      </c>
      <c r="AD155" s="262">
        <v>23</v>
      </c>
      <c r="AE155" s="262">
        <v>16</v>
      </c>
      <c r="AF155" s="265">
        <v>0</v>
      </c>
      <c r="AG155" s="167"/>
      <c r="AH155" s="167"/>
    </row>
    <row r="156" spans="1:34" x14ac:dyDescent="0.25">
      <c r="A156" s="259" t="s">
        <v>378</v>
      </c>
      <c r="B156" s="259" t="s">
        <v>379</v>
      </c>
      <c r="C156" s="260" t="s">
        <v>119</v>
      </c>
      <c r="D156" s="261" t="s">
        <v>363</v>
      </c>
      <c r="E156" s="262">
        <v>0</v>
      </c>
      <c r="F156" s="262">
        <v>0</v>
      </c>
      <c r="G156" s="262">
        <v>0</v>
      </c>
      <c r="H156" s="262">
        <v>0</v>
      </c>
      <c r="I156" s="262">
        <v>0</v>
      </c>
      <c r="J156" s="262">
        <v>0</v>
      </c>
      <c r="K156" s="262">
        <v>0</v>
      </c>
      <c r="L156" s="262">
        <v>0</v>
      </c>
      <c r="M156" s="262">
        <v>0</v>
      </c>
      <c r="N156" s="262">
        <v>0</v>
      </c>
      <c r="O156" s="262">
        <v>0</v>
      </c>
      <c r="P156" s="262">
        <v>0</v>
      </c>
      <c r="Q156" s="262">
        <v>0</v>
      </c>
      <c r="R156" s="262">
        <v>7</v>
      </c>
      <c r="S156" s="262">
        <v>0</v>
      </c>
      <c r="T156" s="262">
        <v>45</v>
      </c>
      <c r="U156" s="262">
        <v>235</v>
      </c>
      <c r="V156" s="262">
        <v>51</v>
      </c>
      <c r="W156" s="262">
        <v>0</v>
      </c>
      <c r="X156" s="262">
        <v>0</v>
      </c>
      <c r="Y156" s="262">
        <v>0</v>
      </c>
      <c r="Z156" s="262">
        <v>0</v>
      </c>
      <c r="AA156" s="262">
        <v>0</v>
      </c>
      <c r="AB156" s="262">
        <v>0</v>
      </c>
      <c r="AC156" s="262">
        <v>0</v>
      </c>
      <c r="AD156" s="262">
        <v>0</v>
      </c>
      <c r="AE156" s="262">
        <v>0</v>
      </c>
      <c r="AF156" s="265">
        <v>121</v>
      </c>
      <c r="AG156" s="167"/>
      <c r="AH156" s="167"/>
    </row>
    <row r="157" spans="1:34" x14ac:dyDescent="0.25">
      <c r="A157" s="259" t="s">
        <v>378</v>
      </c>
      <c r="B157" s="259" t="s">
        <v>379</v>
      </c>
      <c r="C157" s="260" t="s">
        <v>120</v>
      </c>
      <c r="D157" s="261" t="s">
        <v>363</v>
      </c>
      <c r="E157" s="262">
        <v>0</v>
      </c>
      <c r="F157" s="262">
        <v>0</v>
      </c>
      <c r="G157" s="262">
        <v>0</v>
      </c>
      <c r="H157" s="262">
        <v>313</v>
      </c>
      <c r="I157" s="262">
        <v>0</v>
      </c>
      <c r="J157" s="264">
        <v>2282</v>
      </c>
      <c r="K157" s="262">
        <v>0</v>
      </c>
      <c r="L157" s="262">
        <v>0</v>
      </c>
      <c r="M157" s="262">
        <v>0</v>
      </c>
      <c r="N157" s="262">
        <v>0</v>
      </c>
      <c r="O157" s="262">
        <v>0</v>
      </c>
      <c r="P157" s="262">
        <v>0</v>
      </c>
      <c r="Q157" s="262">
        <v>182</v>
      </c>
      <c r="R157" s="262">
        <v>389</v>
      </c>
      <c r="S157" s="264">
        <v>1251</v>
      </c>
      <c r="T157" s="262">
        <v>30</v>
      </c>
      <c r="U157" s="262">
        <v>586</v>
      </c>
      <c r="V157" s="262">
        <v>0</v>
      </c>
      <c r="W157" s="262">
        <v>0</v>
      </c>
      <c r="X157" s="262">
        <v>0</v>
      </c>
      <c r="Y157" s="262">
        <v>0</v>
      </c>
      <c r="Z157" s="262">
        <v>21</v>
      </c>
      <c r="AA157" s="262">
        <v>0</v>
      </c>
      <c r="AB157" s="262">
        <v>0</v>
      </c>
      <c r="AC157" s="262">
        <v>0</v>
      </c>
      <c r="AD157" s="262">
        <v>65</v>
      </c>
      <c r="AE157" s="262">
        <v>0</v>
      </c>
      <c r="AF157" s="266">
        <v>1292</v>
      </c>
      <c r="AG157" s="167"/>
      <c r="AH157" s="167"/>
    </row>
    <row r="158" spans="1:34" x14ac:dyDescent="0.25">
      <c r="A158" s="259" t="s">
        <v>378</v>
      </c>
      <c r="B158" s="259" t="s">
        <v>379</v>
      </c>
      <c r="C158" s="260" t="s">
        <v>122</v>
      </c>
      <c r="D158" s="261" t="s">
        <v>363</v>
      </c>
      <c r="E158" s="262">
        <v>0</v>
      </c>
      <c r="F158" s="262">
        <v>0</v>
      </c>
      <c r="G158" s="262">
        <v>0</v>
      </c>
      <c r="H158" s="262">
        <v>0</v>
      </c>
      <c r="I158" s="262">
        <v>0</v>
      </c>
      <c r="J158" s="262">
        <v>0</v>
      </c>
      <c r="K158" s="262">
        <v>0</v>
      </c>
      <c r="L158" s="262">
        <v>0</v>
      </c>
      <c r="M158" s="262">
        <v>0</v>
      </c>
      <c r="N158" s="262">
        <v>0</v>
      </c>
      <c r="O158" s="262">
        <v>0</v>
      </c>
      <c r="P158" s="262">
        <v>0</v>
      </c>
      <c r="Q158" s="262">
        <v>0</v>
      </c>
      <c r="R158" s="262">
        <v>0</v>
      </c>
      <c r="S158" s="262">
        <v>1</v>
      </c>
      <c r="T158" s="262">
        <v>0</v>
      </c>
      <c r="U158" s="264">
        <v>1244</v>
      </c>
      <c r="V158" s="262">
        <v>0</v>
      </c>
      <c r="W158" s="262">
        <v>0</v>
      </c>
      <c r="X158" s="262">
        <v>0</v>
      </c>
      <c r="Y158" s="262">
        <v>0</v>
      </c>
      <c r="Z158" s="262">
        <v>0</v>
      </c>
      <c r="AA158" s="262">
        <v>0</v>
      </c>
      <c r="AB158" s="262">
        <v>0</v>
      </c>
      <c r="AC158" s="262">
        <v>0</v>
      </c>
      <c r="AD158" s="262">
        <v>219</v>
      </c>
      <c r="AE158" s="262">
        <v>0</v>
      </c>
      <c r="AF158" s="265">
        <v>0</v>
      </c>
      <c r="AG158" s="167"/>
      <c r="AH158" s="167"/>
    </row>
    <row r="159" spans="1:34" x14ac:dyDescent="0.25">
      <c r="A159" s="259" t="s">
        <v>378</v>
      </c>
      <c r="B159" s="259" t="s">
        <v>379</v>
      </c>
      <c r="C159" s="260" t="s">
        <v>124</v>
      </c>
      <c r="D159" s="261" t="s">
        <v>363</v>
      </c>
      <c r="E159" s="262">
        <v>0</v>
      </c>
      <c r="F159" s="262">
        <v>0</v>
      </c>
      <c r="G159" s="262">
        <v>0</v>
      </c>
      <c r="H159" s="262">
        <v>0</v>
      </c>
      <c r="I159" s="262">
        <v>0</v>
      </c>
      <c r="J159" s="262">
        <v>0</v>
      </c>
      <c r="K159" s="262">
        <v>0</v>
      </c>
      <c r="L159" s="262">
        <v>0</v>
      </c>
      <c r="M159" s="262">
        <v>0</v>
      </c>
      <c r="N159" s="262">
        <v>0</v>
      </c>
      <c r="O159" s="262">
        <v>0</v>
      </c>
      <c r="P159" s="262">
        <v>0</v>
      </c>
      <c r="Q159" s="262">
        <v>511</v>
      </c>
      <c r="R159" s="262">
        <v>0</v>
      </c>
      <c r="S159" s="262">
        <v>170</v>
      </c>
      <c r="T159" s="264">
        <v>1141</v>
      </c>
      <c r="U159" s="262">
        <v>493</v>
      </c>
      <c r="V159" s="262">
        <v>0</v>
      </c>
      <c r="W159" s="262">
        <v>0</v>
      </c>
      <c r="X159" s="262">
        <v>262</v>
      </c>
      <c r="Y159" s="262">
        <v>36</v>
      </c>
      <c r="Z159" s="262">
        <v>0</v>
      </c>
      <c r="AA159" s="262">
        <v>0</v>
      </c>
      <c r="AB159" s="262">
        <v>0</v>
      </c>
      <c r="AC159" s="262">
        <v>0</v>
      </c>
      <c r="AD159" s="262">
        <v>85</v>
      </c>
      <c r="AE159" s="262">
        <v>0</v>
      </c>
      <c r="AF159" s="265">
        <v>0</v>
      </c>
      <c r="AG159" s="167"/>
      <c r="AH159" s="167"/>
    </row>
    <row r="160" spans="1:34" x14ac:dyDescent="0.25">
      <c r="A160" s="259" t="s">
        <v>378</v>
      </c>
      <c r="B160" s="259" t="s">
        <v>379</v>
      </c>
      <c r="C160" s="260" t="s">
        <v>126</v>
      </c>
      <c r="D160" s="261" t="s">
        <v>363</v>
      </c>
      <c r="E160" s="262">
        <v>0</v>
      </c>
      <c r="F160" s="264">
        <v>4092</v>
      </c>
      <c r="G160" s="262">
        <v>6</v>
      </c>
      <c r="H160" s="262">
        <v>212</v>
      </c>
      <c r="I160" s="264">
        <v>5249</v>
      </c>
      <c r="J160" s="264">
        <v>4572</v>
      </c>
      <c r="K160" s="264">
        <v>72625</v>
      </c>
      <c r="L160" s="262">
        <v>0</v>
      </c>
      <c r="M160" s="262">
        <v>0</v>
      </c>
      <c r="N160" s="264">
        <v>26019</v>
      </c>
      <c r="O160" s="262">
        <v>0</v>
      </c>
      <c r="P160" s="262">
        <v>0</v>
      </c>
      <c r="Q160" s="264">
        <v>19948</v>
      </c>
      <c r="R160" s="264">
        <v>68765</v>
      </c>
      <c r="S160" s="264">
        <v>81940</v>
      </c>
      <c r="T160" s="264">
        <v>161555</v>
      </c>
      <c r="U160" s="264">
        <v>197646</v>
      </c>
      <c r="V160" s="264">
        <v>25376</v>
      </c>
      <c r="W160" s="262">
        <v>0</v>
      </c>
      <c r="X160" s="264">
        <v>272306</v>
      </c>
      <c r="Y160" s="262">
        <v>978</v>
      </c>
      <c r="Z160" s="264">
        <v>26436</v>
      </c>
      <c r="AA160" s="262">
        <v>0</v>
      </c>
      <c r="AB160" s="262">
        <v>0</v>
      </c>
      <c r="AC160" s="262">
        <v>0</v>
      </c>
      <c r="AD160" s="264">
        <v>77481</v>
      </c>
      <c r="AE160" s="264">
        <v>346294</v>
      </c>
      <c r="AF160" s="266">
        <v>386597</v>
      </c>
      <c r="AG160" s="167"/>
      <c r="AH160" s="167"/>
    </row>
    <row r="161" spans="1:34" x14ac:dyDescent="0.25">
      <c r="A161" s="259" t="s">
        <v>378</v>
      </c>
      <c r="B161" s="259" t="s">
        <v>379</v>
      </c>
      <c r="C161" s="260" t="s">
        <v>128</v>
      </c>
      <c r="D161" s="261" t="s">
        <v>363</v>
      </c>
      <c r="E161" s="262">
        <v>0</v>
      </c>
      <c r="F161" s="262">
        <v>0</v>
      </c>
      <c r="G161" s="262">
        <v>0</v>
      </c>
      <c r="H161" s="264">
        <v>1009</v>
      </c>
      <c r="I161" s="262">
        <v>577</v>
      </c>
      <c r="J161" s="264">
        <v>3494</v>
      </c>
      <c r="K161" s="264">
        <v>13250</v>
      </c>
      <c r="L161" s="262">
        <v>0</v>
      </c>
      <c r="M161" s="262">
        <v>0</v>
      </c>
      <c r="N161" s="264">
        <v>10852</v>
      </c>
      <c r="O161" s="262">
        <v>0</v>
      </c>
      <c r="P161" s="262">
        <v>0</v>
      </c>
      <c r="Q161" s="264">
        <v>8350</v>
      </c>
      <c r="R161" s="264">
        <v>58313</v>
      </c>
      <c r="S161" s="264">
        <v>47921</v>
      </c>
      <c r="T161" s="264">
        <v>108408</v>
      </c>
      <c r="U161" s="264">
        <v>106175</v>
      </c>
      <c r="V161" s="262">
        <v>0</v>
      </c>
      <c r="W161" s="262">
        <v>0</v>
      </c>
      <c r="X161" s="264">
        <v>67873</v>
      </c>
      <c r="Y161" s="262">
        <v>76</v>
      </c>
      <c r="Z161" s="264">
        <v>11040</v>
      </c>
      <c r="AA161" s="262">
        <v>0</v>
      </c>
      <c r="AB161" s="262">
        <v>0</v>
      </c>
      <c r="AC161" s="262">
        <v>0</v>
      </c>
      <c r="AD161" s="264">
        <v>63836</v>
      </c>
      <c r="AE161" s="264">
        <v>47691</v>
      </c>
      <c r="AF161" s="266">
        <v>378790</v>
      </c>
      <c r="AG161" s="167"/>
      <c r="AH161" s="167"/>
    </row>
    <row r="162" spans="1:34" x14ac:dyDescent="0.25">
      <c r="A162" s="259" t="s">
        <v>378</v>
      </c>
      <c r="B162" s="259" t="s">
        <v>379</v>
      </c>
      <c r="C162" s="260" t="s">
        <v>130</v>
      </c>
      <c r="D162" s="261" t="s">
        <v>363</v>
      </c>
      <c r="E162" s="262">
        <v>0</v>
      </c>
      <c r="F162" s="262">
        <v>0</v>
      </c>
      <c r="G162" s="262">
        <v>0</v>
      </c>
      <c r="H162" s="262">
        <v>0</v>
      </c>
      <c r="I162" s="262">
        <v>0</v>
      </c>
      <c r="J162" s="264">
        <v>2061</v>
      </c>
      <c r="K162" s="262">
        <v>0</v>
      </c>
      <c r="L162" s="262">
        <v>0</v>
      </c>
      <c r="M162" s="262">
        <v>0</v>
      </c>
      <c r="N162" s="262">
        <v>0</v>
      </c>
      <c r="O162" s="262">
        <v>0</v>
      </c>
      <c r="P162" s="262">
        <v>0</v>
      </c>
      <c r="Q162" s="264">
        <v>6645</v>
      </c>
      <c r="R162" s="262">
        <v>647</v>
      </c>
      <c r="S162" s="264">
        <v>7399</v>
      </c>
      <c r="T162" s="264">
        <v>3783</v>
      </c>
      <c r="U162" s="264">
        <v>16902</v>
      </c>
      <c r="V162" s="262">
        <v>0</v>
      </c>
      <c r="W162" s="262">
        <v>0</v>
      </c>
      <c r="X162" s="262">
        <v>0</v>
      </c>
      <c r="Y162" s="262">
        <v>0</v>
      </c>
      <c r="Z162" s="262">
        <v>0</v>
      </c>
      <c r="AA162" s="262">
        <v>0</v>
      </c>
      <c r="AB162" s="262">
        <v>0</v>
      </c>
      <c r="AC162" s="262">
        <v>0</v>
      </c>
      <c r="AD162" s="264">
        <v>80291</v>
      </c>
      <c r="AE162" s="262">
        <v>163</v>
      </c>
      <c r="AF162" s="266">
        <v>3904</v>
      </c>
      <c r="AG162" s="167"/>
      <c r="AH162" s="167"/>
    </row>
    <row r="163" spans="1:34" x14ac:dyDescent="0.25">
      <c r="A163" s="259" t="s">
        <v>378</v>
      </c>
      <c r="B163" s="259" t="s">
        <v>379</v>
      </c>
      <c r="C163" s="260" t="s">
        <v>132</v>
      </c>
      <c r="D163" s="261" t="s">
        <v>363</v>
      </c>
      <c r="E163" s="262">
        <v>0</v>
      </c>
      <c r="F163" s="262">
        <v>45</v>
      </c>
      <c r="G163" s="262">
        <v>0</v>
      </c>
      <c r="H163" s="262">
        <v>396</v>
      </c>
      <c r="I163" s="262">
        <v>229</v>
      </c>
      <c r="J163" s="262">
        <v>85</v>
      </c>
      <c r="K163" s="264">
        <v>3108</v>
      </c>
      <c r="L163" s="262">
        <v>0</v>
      </c>
      <c r="M163" s="262">
        <v>0</v>
      </c>
      <c r="N163" s="262">
        <v>0</v>
      </c>
      <c r="O163" s="262">
        <v>0</v>
      </c>
      <c r="P163" s="264">
        <v>6602</v>
      </c>
      <c r="Q163" s="262">
        <v>341</v>
      </c>
      <c r="R163" s="262">
        <v>93</v>
      </c>
      <c r="S163" s="264">
        <v>1665</v>
      </c>
      <c r="T163" s="264">
        <v>5813</v>
      </c>
      <c r="U163" s="264">
        <v>3550</v>
      </c>
      <c r="V163" s="264">
        <v>3974</v>
      </c>
      <c r="W163" s="262">
        <v>0</v>
      </c>
      <c r="X163" s="264">
        <v>10626</v>
      </c>
      <c r="Y163" s="262">
        <v>13</v>
      </c>
      <c r="Z163" s="262">
        <v>142</v>
      </c>
      <c r="AA163" s="262">
        <v>0</v>
      </c>
      <c r="AB163" s="262">
        <v>437</v>
      </c>
      <c r="AC163" s="262">
        <v>0</v>
      </c>
      <c r="AD163" s="262">
        <v>215</v>
      </c>
      <c r="AE163" s="264">
        <v>1223</v>
      </c>
      <c r="AF163" s="266">
        <v>6646</v>
      </c>
      <c r="AG163" s="167"/>
      <c r="AH163" s="167"/>
    </row>
    <row r="164" spans="1:34" x14ac:dyDescent="0.25">
      <c r="A164" s="259" t="s">
        <v>378</v>
      </c>
      <c r="B164" s="259" t="s">
        <v>379</v>
      </c>
      <c r="C164" s="260" t="s">
        <v>134</v>
      </c>
      <c r="D164" s="261" t="s">
        <v>363</v>
      </c>
      <c r="E164" s="262">
        <v>0</v>
      </c>
      <c r="F164" s="262">
        <v>2</v>
      </c>
      <c r="G164" s="262">
        <v>72</v>
      </c>
      <c r="H164" s="262">
        <v>426</v>
      </c>
      <c r="I164" s="262">
        <v>501</v>
      </c>
      <c r="J164" s="264">
        <v>1020</v>
      </c>
      <c r="K164" s="264">
        <v>11550</v>
      </c>
      <c r="L164" s="262">
        <v>0</v>
      </c>
      <c r="M164" s="262">
        <v>0</v>
      </c>
      <c r="N164" s="262">
        <v>0</v>
      </c>
      <c r="O164" s="262">
        <v>0</v>
      </c>
      <c r="P164" s="264">
        <v>64230</v>
      </c>
      <c r="Q164" s="262">
        <v>859</v>
      </c>
      <c r="R164" s="264">
        <v>4531</v>
      </c>
      <c r="S164" s="264">
        <v>2094</v>
      </c>
      <c r="T164" s="264">
        <v>31498</v>
      </c>
      <c r="U164" s="264">
        <v>11364</v>
      </c>
      <c r="V164" s="264">
        <v>4545</v>
      </c>
      <c r="W164" s="264">
        <v>59583</v>
      </c>
      <c r="X164" s="264">
        <v>30121</v>
      </c>
      <c r="Y164" s="262">
        <v>36</v>
      </c>
      <c r="Z164" s="264">
        <v>1572</v>
      </c>
      <c r="AA164" s="262">
        <v>0</v>
      </c>
      <c r="AB164" s="262">
        <v>0</v>
      </c>
      <c r="AC164" s="262">
        <v>0</v>
      </c>
      <c r="AD164" s="264">
        <v>11123</v>
      </c>
      <c r="AE164" s="264">
        <v>2955</v>
      </c>
      <c r="AF164" s="266">
        <v>4714</v>
      </c>
      <c r="AG164" s="167"/>
      <c r="AH164" s="167"/>
    </row>
    <row r="165" spans="1:34" x14ac:dyDescent="0.25">
      <c r="A165" s="259" t="s">
        <v>378</v>
      </c>
      <c r="B165" s="259" t="s">
        <v>379</v>
      </c>
      <c r="C165" s="267" t="s">
        <v>1701</v>
      </c>
      <c r="D165" s="261" t="s">
        <v>363</v>
      </c>
      <c r="E165" s="262">
        <v>0</v>
      </c>
      <c r="F165" s="262">
        <v>0</v>
      </c>
      <c r="G165" s="262">
        <v>0</v>
      </c>
      <c r="H165" s="262">
        <v>0</v>
      </c>
      <c r="I165" s="262">
        <v>0</v>
      </c>
      <c r="J165" s="262">
        <v>0</v>
      </c>
      <c r="K165" s="262">
        <v>0</v>
      </c>
      <c r="L165" s="262">
        <v>0</v>
      </c>
      <c r="M165" s="262">
        <v>0</v>
      </c>
      <c r="N165" s="262">
        <v>0</v>
      </c>
      <c r="O165" s="262">
        <v>0</v>
      </c>
      <c r="P165" s="262">
        <v>0</v>
      </c>
      <c r="Q165" s="262">
        <v>0</v>
      </c>
      <c r="R165" s="262">
        <v>0</v>
      </c>
      <c r="S165" s="262">
        <v>11</v>
      </c>
      <c r="T165" s="262">
        <v>0</v>
      </c>
      <c r="U165" s="262">
        <v>0</v>
      </c>
      <c r="V165" s="262">
        <v>0</v>
      </c>
      <c r="W165" s="262">
        <v>0</v>
      </c>
      <c r="X165" s="262">
        <v>0</v>
      </c>
      <c r="Y165" s="262">
        <v>0</v>
      </c>
      <c r="Z165" s="262">
        <v>0</v>
      </c>
      <c r="AA165" s="262">
        <v>0</v>
      </c>
      <c r="AB165" s="262">
        <v>0</v>
      </c>
      <c r="AC165" s="262">
        <v>0</v>
      </c>
      <c r="AD165" s="262">
        <v>0</v>
      </c>
      <c r="AE165" s="262">
        <v>0</v>
      </c>
      <c r="AF165" s="265">
        <v>0</v>
      </c>
      <c r="AG165" s="167"/>
      <c r="AH165" s="167"/>
    </row>
    <row r="166" spans="1:34" x14ac:dyDescent="0.25">
      <c r="A166" s="259" t="s">
        <v>378</v>
      </c>
      <c r="B166" s="259" t="s">
        <v>379</v>
      </c>
      <c r="C166" s="267" t="s">
        <v>137</v>
      </c>
      <c r="D166" s="261" t="s">
        <v>363</v>
      </c>
      <c r="E166" s="262">
        <v>0</v>
      </c>
      <c r="F166" s="262">
        <v>0</v>
      </c>
      <c r="G166" s="262">
        <v>0</v>
      </c>
      <c r="H166" s="262">
        <v>0</v>
      </c>
      <c r="I166" s="262">
        <v>0</v>
      </c>
      <c r="J166" s="262">
        <v>0</v>
      </c>
      <c r="K166" s="262">
        <v>0</v>
      </c>
      <c r="L166" s="262">
        <v>0</v>
      </c>
      <c r="M166" s="262">
        <v>0</v>
      </c>
      <c r="N166" s="262">
        <v>0</v>
      </c>
      <c r="O166" s="262">
        <v>0</v>
      </c>
      <c r="P166" s="262">
        <v>0</v>
      </c>
      <c r="Q166" s="262">
        <v>0</v>
      </c>
      <c r="R166" s="262">
        <v>0</v>
      </c>
      <c r="S166" s="262">
        <v>14</v>
      </c>
      <c r="T166" s="262">
        <v>24</v>
      </c>
      <c r="U166" s="262">
        <v>4</v>
      </c>
      <c r="V166" s="262">
        <v>0</v>
      </c>
      <c r="W166" s="262">
        <v>0</v>
      </c>
      <c r="X166" s="262">
        <v>0</v>
      </c>
      <c r="Y166" s="262">
        <v>0</v>
      </c>
      <c r="Z166" s="262">
        <v>0</v>
      </c>
      <c r="AA166" s="262">
        <v>0</v>
      </c>
      <c r="AB166" s="262">
        <v>0</v>
      </c>
      <c r="AC166" s="262">
        <v>0</v>
      </c>
      <c r="AD166" s="262">
        <v>0</v>
      </c>
      <c r="AE166" s="262">
        <v>0</v>
      </c>
      <c r="AF166" s="265">
        <v>0</v>
      </c>
      <c r="AG166" s="167"/>
      <c r="AH166" s="167"/>
    </row>
    <row r="167" spans="1:34" x14ac:dyDescent="0.25">
      <c r="A167" s="259" t="s">
        <v>378</v>
      </c>
      <c r="B167" s="259" t="s">
        <v>379</v>
      </c>
      <c r="C167" s="260" t="s">
        <v>139</v>
      </c>
      <c r="D167" s="261" t="s">
        <v>363</v>
      </c>
      <c r="E167" s="262">
        <v>0</v>
      </c>
      <c r="F167" s="262">
        <v>0</v>
      </c>
      <c r="G167" s="262">
        <v>0</v>
      </c>
      <c r="H167" s="262">
        <v>0</v>
      </c>
      <c r="I167" s="262">
        <v>0</v>
      </c>
      <c r="J167" s="262">
        <v>0</v>
      </c>
      <c r="K167" s="262">
        <v>0</v>
      </c>
      <c r="L167" s="262">
        <v>0</v>
      </c>
      <c r="M167" s="262">
        <v>0</v>
      </c>
      <c r="N167" s="262">
        <v>0</v>
      </c>
      <c r="O167" s="262">
        <v>0</v>
      </c>
      <c r="P167" s="262">
        <v>0</v>
      </c>
      <c r="Q167" s="262">
        <v>0</v>
      </c>
      <c r="R167" s="262">
        <v>13</v>
      </c>
      <c r="S167" s="262">
        <v>50</v>
      </c>
      <c r="T167" s="262">
        <v>106</v>
      </c>
      <c r="U167" s="262">
        <v>870</v>
      </c>
      <c r="V167" s="262">
        <v>0</v>
      </c>
      <c r="W167" s="262">
        <v>0</v>
      </c>
      <c r="X167" s="262">
        <v>0</v>
      </c>
      <c r="Y167" s="262">
        <v>0</v>
      </c>
      <c r="Z167" s="262">
        <v>84</v>
      </c>
      <c r="AA167" s="262">
        <v>0</v>
      </c>
      <c r="AB167" s="262">
        <v>0</v>
      </c>
      <c r="AC167" s="262">
        <v>0</v>
      </c>
      <c r="AD167" s="262">
        <v>31</v>
      </c>
      <c r="AE167" s="262">
        <v>0</v>
      </c>
      <c r="AF167" s="265">
        <v>0</v>
      </c>
      <c r="AG167" s="167"/>
      <c r="AH167" s="167"/>
    </row>
    <row r="168" spans="1:34" x14ac:dyDescent="0.25">
      <c r="A168" s="268"/>
      <c r="B168" s="268"/>
      <c r="C168" s="269"/>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c r="AA168" s="269"/>
      <c r="AB168" s="269"/>
      <c r="AC168" s="269"/>
      <c r="AD168" s="269"/>
      <c r="AE168" s="269"/>
      <c r="AF168" s="269"/>
      <c r="AG168" s="167"/>
      <c r="AH168" s="167"/>
    </row>
    <row r="169" spans="1:34" x14ac:dyDescent="0.25">
      <c r="A169" s="259" t="s">
        <v>380</v>
      </c>
      <c r="B169" s="259" t="s">
        <v>381</v>
      </c>
      <c r="C169" s="260" t="s">
        <v>113</v>
      </c>
      <c r="D169" s="261" t="s">
        <v>363</v>
      </c>
      <c r="E169" s="262">
        <v>0</v>
      </c>
      <c r="F169" s="262">
        <v>0</v>
      </c>
      <c r="G169" s="262">
        <v>0</v>
      </c>
      <c r="H169" s="262">
        <v>0</v>
      </c>
      <c r="I169" s="262">
        <v>0</v>
      </c>
      <c r="J169" s="262">
        <v>0</v>
      </c>
      <c r="K169" s="262">
        <v>0</v>
      </c>
      <c r="L169" s="262">
        <v>0</v>
      </c>
      <c r="M169" s="262">
        <v>0</v>
      </c>
      <c r="N169" s="262">
        <v>0</v>
      </c>
      <c r="O169" s="262">
        <v>0</v>
      </c>
      <c r="P169" s="262">
        <v>0</v>
      </c>
      <c r="Q169" s="262">
        <v>0</v>
      </c>
      <c r="R169" s="262">
        <v>0</v>
      </c>
      <c r="S169" s="262">
        <v>0</v>
      </c>
      <c r="T169" s="262">
        <v>0</v>
      </c>
      <c r="U169" s="262">
        <v>0</v>
      </c>
      <c r="V169" s="262">
        <v>0</v>
      </c>
      <c r="W169" s="262">
        <v>0</v>
      </c>
      <c r="X169" s="262">
        <v>0</v>
      </c>
      <c r="Y169" s="262">
        <v>0</v>
      </c>
      <c r="Z169" s="262">
        <v>0</v>
      </c>
      <c r="AA169" s="262">
        <v>0</v>
      </c>
      <c r="AB169" s="262">
        <v>0</v>
      </c>
      <c r="AC169" s="262">
        <v>0</v>
      </c>
      <c r="AD169" s="262">
        <v>0</v>
      </c>
      <c r="AE169" s="262">
        <v>0</v>
      </c>
      <c r="AF169" s="265">
        <v>0</v>
      </c>
      <c r="AG169" s="167"/>
      <c r="AH169" s="167"/>
    </row>
    <row r="170" spans="1:34" x14ac:dyDescent="0.25">
      <c r="A170" s="259" t="s">
        <v>380</v>
      </c>
      <c r="B170" s="259" t="s">
        <v>381</v>
      </c>
      <c r="C170" s="260" t="s">
        <v>115</v>
      </c>
      <c r="D170" s="261" t="s">
        <v>363</v>
      </c>
      <c r="E170" s="262">
        <v>0</v>
      </c>
      <c r="F170" s="262">
        <v>0</v>
      </c>
      <c r="G170" s="262">
        <v>0</v>
      </c>
      <c r="H170" s="262">
        <v>0</v>
      </c>
      <c r="I170" s="262">
        <v>0</v>
      </c>
      <c r="J170" s="262">
        <v>0</v>
      </c>
      <c r="K170" s="262">
        <v>0</v>
      </c>
      <c r="L170" s="262">
        <v>0</v>
      </c>
      <c r="M170" s="262">
        <v>0</v>
      </c>
      <c r="N170" s="262">
        <v>0</v>
      </c>
      <c r="O170" s="262">
        <v>0</v>
      </c>
      <c r="P170" s="262">
        <v>0</v>
      </c>
      <c r="Q170" s="262">
        <v>0</v>
      </c>
      <c r="R170" s="262">
        <v>0</v>
      </c>
      <c r="S170" s="262">
        <v>0</v>
      </c>
      <c r="T170" s="262">
        <v>274</v>
      </c>
      <c r="U170" s="262">
        <v>126</v>
      </c>
      <c r="V170" s="262">
        <v>0</v>
      </c>
      <c r="W170" s="262">
        <v>0</v>
      </c>
      <c r="X170" s="262">
        <v>0</v>
      </c>
      <c r="Y170" s="262">
        <v>0</v>
      </c>
      <c r="Z170" s="262">
        <v>0</v>
      </c>
      <c r="AA170" s="262">
        <v>0</v>
      </c>
      <c r="AB170" s="262">
        <v>0</v>
      </c>
      <c r="AC170" s="262">
        <v>0</v>
      </c>
      <c r="AD170" s="262">
        <v>0</v>
      </c>
      <c r="AE170" s="262">
        <v>0</v>
      </c>
      <c r="AF170" s="265">
        <v>0</v>
      </c>
      <c r="AG170" s="167"/>
      <c r="AH170" s="167"/>
    </row>
    <row r="171" spans="1:34" x14ac:dyDescent="0.25">
      <c r="A171" s="259" t="s">
        <v>380</v>
      </c>
      <c r="B171" s="259" t="s">
        <v>381</v>
      </c>
      <c r="C171" s="260" t="s">
        <v>117</v>
      </c>
      <c r="D171" s="261" t="s">
        <v>363</v>
      </c>
      <c r="E171" s="262">
        <v>0</v>
      </c>
      <c r="F171" s="262">
        <v>0</v>
      </c>
      <c r="G171" s="262">
        <v>0</v>
      </c>
      <c r="H171" s="262">
        <v>35</v>
      </c>
      <c r="I171" s="262">
        <v>17</v>
      </c>
      <c r="J171" s="262">
        <v>0</v>
      </c>
      <c r="K171" s="262">
        <v>0</v>
      </c>
      <c r="L171" s="262">
        <v>0</v>
      </c>
      <c r="M171" s="262">
        <v>0</v>
      </c>
      <c r="N171" s="262">
        <v>0</v>
      </c>
      <c r="O171" s="262">
        <v>489</v>
      </c>
      <c r="P171" s="262">
        <v>714</v>
      </c>
      <c r="Q171" s="262">
        <v>164</v>
      </c>
      <c r="R171" s="262">
        <v>0</v>
      </c>
      <c r="S171" s="262">
        <v>160</v>
      </c>
      <c r="T171" s="262">
        <v>216</v>
      </c>
      <c r="U171" s="264">
        <v>2012</v>
      </c>
      <c r="V171" s="262">
        <v>0</v>
      </c>
      <c r="W171" s="262">
        <v>0</v>
      </c>
      <c r="X171" s="262">
        <v>0</v>
      </c>
      <c r="Y171" s="262">
        <v>3</v>
      </c>
      <c r="Z171" s="262">
        <v>0</v>
      </c>
      <c r="AA171" s="262">
        <v>0</v>
      </c>
      <c r="AB171" s="262">
        <v>0</v>
      </c>
      <c r="AC171" s="262">
        <v>0</v>
      </c>
      <c r="AD171" s="262">
        <v>483</v>
      </c>
      <c r="AE171" s="262">
        <v>14</v>
      </c>
      <c r="AF171" s="265">
        <v>0</v>
      </c>
      <c r="AG171" s="167"/>
      <c r="AH171" s="167"/>
    </row>
    <row r="172" spans="1:34" x14ac:dyDescent="0.25">
      <c r="A172" s="259" t="s">
        <v>380</v>
      </c>
      <c r="B172" s="259" t="s">
        <v>381</v>
      </c>
      <c r="C172" s="260" t="s">
        <v>119</v>
      </c>
      <c r="D172" s="261" t="s">
        <v>363</v>
      </c>
      <c r="E172" s="262">
        <v>0</v>
      </c>
      <c r="F172" s="262">
        <v>0</v>
      </c>
      <c r="G172" s="262">
        <v>0</v>
      </c>
      <c r="H172" s="262">
        <v>0</v>
      </c>
      <c r="I172" s="262">
        <v>0</v>
      </c>
      <c r="J172" s="262">
        <v>0</v>
      </c>
      <c r="K172" s="262">
        <v>0</v>
      </c>
      <c r="L172" s="262">
        <v>0</v>
      </c>
      <c r="M172" s="264">
        <v>1288</v>
      </c>
      <c r="N172" s="262">
        <v>0</v>
      </c>
      <c r="O172" s="262">
        <v>0</v>
      </c>
      <c r="P172" s="262">
        <v>0</v>
      </c>
      <c r="Q172" s="262">
        <v>0</v>
      </c>
      <c r="R172" s="262">
        <v>0</v>
      </c>
      <c r="S172" s="262">
        <v>0</v>
      </c>
      <c r="T172" s="262">
        <v>522</v>
      </c>
      <c r="U172" s="262">
        <v>647</v>
      </c>
      <c r="V172" s="262">
        <v>103</v>
      </c>
      <c r="W172" s="262">
        <v>0</v>
      </c>
      <c r="X172" s="262">
        <v>0</v>
      </c>
      <c r="Y172" s="262">
        <v>675</v>
      </c>
      <c r="Z172" s="262">
        <v>0</v>
      </c>
      <c r="AA172" s="262">
        <v>0</v>
      </c>
      <c r="AB172" s="262">
        <v>0</v>
      </c>
      <c r="AC172" s="262">
        <v>0</v>
      </c>
      <c r="AD172" s="262">
        <v>0</v>
      </c>
      <c r="AE172" s="262">
        <v>0</v>
      </c>
      <c r="AF172" s="266">
        <v>1457</v>
      </c>
      <c r="AG172" s="167"/>
      <c r="AH172" s="167"/>
    </row>
    <row r="173" spans="1:34" x14ac:dyDescent="0.25">
      <c r="A173" s="259" t="s">
        <v>380</v>
      </c>
      <c r="B173" s="259" t="s">
        <v>381</v>
      </c>
      <c r="C173" s="260" t="s">
        <v>120</v>
      </c>
      <c r="D173" s="261" t="s">
        <v>363</v>
      </c>
      <c r="E173" s="262">
        <v>0</v>
      </c>
      <c r="F173" s="262">
        <v>0</v>
      </c>
      <c r="G173" s="262">
        <v>0</v>
      </c>
      <c r="H173" s="264">
        <v>5134</v>
      </c>
      <c r="I173" s="264">
        <v>5034</v>
      </c>
      <c r="J173" s="264">
        <v>30735</v>
      </c>
      <c r="K173" s="262">
        <v>0</v>
      </c>
      <c r="L173" s="262">
        <v>0</v>
      </c>
      <c r="M173" s="264">
        <v>10113</v>
      </c>
      <c r="N173" s="262">
        <v>0</v>
      </c>
      <c r="O173" s="264">
        <v>1042</v>
      </c>
      <c r="P173" s="262">
        <v>0</v>
      </c>
      <c r="Q173" s="262">
        <v>458</v>
      </c>
      <c r="R173" s="262">
        <v>0</v>
      </c>
      <c r="S173" s="262">
        <v>516</v>
      </c>
      <c r="T173" s="264">
        <v>3615</v>
      </c>
      <c r="U173" s="264">
        <v>7810</v>
      </c>
      <c r="V173" s="262">
        <v>0</v>
      </c>
      <c r="W173" s="262">
        <v>0</v>
      </c>
      <c r="X173" s="262">
        <v>0</v>
      </c>
      <c r="Y173" s="262">
        <v>0</v>
      </c>
      <c r="Z173" s="262">
        <v>225</v>
      </c>
      <c r="AA173" s="262">
        <v>0</v>
      </c>
      <c r="AB173" s="262">
        <v>0</v>
      </c>
      <c r="AC173" s="262">
        <v>0</v>
      </c>
      <c r="AD173" s="262">
        <v>791</v>
      </c>
      <c r="AE173" s="262">
        <v>0</v>
      </c>
      <c r="AF173" s="265">
        <v>0</v>
      </c>
      <c r="AG173" s="167"/>
      <c r="AH173" s="167"/>
    </row>
    <row r="174" spans="1:34" x14ac:dyDescent="0.25">
      <c r="A174" s="259" t="s">
        <v>380</v>
      </c>
      <c r="B174" s="259" t="s">
        <v>381</v>
      </c>
      <c r="C174" s="260" t="s">
        <v>122</v>
      </c>
      <c r="D174" s="261" t="s">
        <v>363</v>
      </c>
      <c r="E174" s="262">
        <v>0</v>
      </c>
      <c r="F174" s="262">
        <v>0</v>
      </c>
      <c r="G174" s="262">
        <v>0</v>
      </c>
      <c r="H174" s="262">
        <v>0</v>
      </c>
      <c r="I174" s="262">
        <v>0</v>
      </c>
      <c r="J174" s="262">
        <v>0</v>
      </c>
      <c r="K174" s="262">
        <v>0</v>
      </c>
      <c r="L174" s="262">
        <v>0</v>
      </c>
      <c r="M174" s="262">
        <v>0</v>
      </c>
      <c r="N174" s="262">
        <v>0</v>
      </c>
      <c r="O174" s="262">
        <v>0</v>
      </c>
      <c r="P174" s="262">
        <v>0</v>
      </c>
      <c r="Q174" s="262">
        <v>0</v>
      </c>
      <c r="R174" s="262">
        <v>0</v>
      </c>
      <c r="S174" s="262">
        <v>0</v>
      </c>
      <c r="T174" s="262">
        <v>0</v>
      </c>
      <c r="U174" s="262">
        <v>456</v>
      </c>
      <c r="V174" s="262">
        <v>0</v>
      </c>
      <c r="W174" s="262">
        <v>0</v>
      </c>
      <c r="X174" s="262">
        <v>0</v>
      </c>
      <c r="Y174" s="262">
        <v>0</v>
      </c>
      <c r="Z174" s="262">
        <v>0</v>
      </c>
      <c r="AA174" s="262">
        <v>0</v>
      </c>
      <c r="AB174" s="262">
        <v>0</v>
      </c>
      <c r="AC174" s="262">
        <v>0</v>
      </c>
      <c r="AD174" s="262">
        <v>0</v>
      </c>
      <c r="AE174" s="262">
        <v>0</v>
      </c>
      <c r="AF174" s="265">
        <v>0</v>
      </c>
      <c r="AG174" s="167"/>
      <c r="AH174" s="167"/>
    </row>
    <row r="175" spans="1:34" x14ac:dyDescent="0.25">
      <c r="A175" s="259" t="s">
        <v>380</v>
      </c>
      <c r="B175" s="259" t="s">
        <v>381</v>
      </c>
      <c r="C175" s="260" t="s">
        <v>124</v>
      </c>
      <c r="D175" s="261" t="s">
        <v>363</v>
      </c>
      <c r="E175" s="262">
        <v>533</v>
      </c>
      <c r="F175" s="262">
        <v>0</v>
      </c>
      <c r="G175" s="262">
        <v>0</v>
      </c>
      <c r="H175" s="262">
        <v>0</v>
      </c>
      <c r="I175" s="264">
        <v>4154</v>
      </c>
      <c r="J175" s="264">
        <v>6090</v>
      </c>
      <c r="K175" s="262">
        <v>0</v>
      </c>
      <c r="L175" s="262">
        <v>0</v>
      </c>
      <c r="M175" s="264">
        <v>1502</v>
      </c>
      <c r="N175" s="264">
        <v>4907</v>
      </c>
      <c r="O175" s="262">
        <v>167</v>
      </c>
      <c r="P175" s="262">
        <v>0</v>
      </c>
      <c r="Q175" s="264">
        <v>2382</v>
      </c>
      <c r="R175" s="262">
        <v>0</v>
      </c>
      <c r="S175" s="262">
        <v>20</v>
      </c>
      <c r="T175" s="262">
        <v>0</v>
      </c>
      <c r="U175" s="264">
        <v>1141</v>
      </c>
      <c r="V175" s="262">
        <v>0</v>
      </c>
      <c r="W175" s="262">
        <v>0</v>
      </c>
      <c r="X175" s="264">
        <v>1461</v>
      </c>
      <c r="Y175" s="262">
        <v>0</v>
      </c>
      <c r="Z175" s="262">
        <v>0</v>
      </c>
      <c r="AA175" s="262">
        <v>0</v>
      </c>
      <c r="AB175" s="262">
        <v>0</v>
      </c>
      <c r="AC175" s="262">
        <v>0</v>
      </c>
      <c r="AD175" s="264">
        <v>1915</v>
      </c>
      <c r="AE175" s="262">
        <v>0</v>
      </c>
      <c r="AF175" s="265">
        <v>0</v>
      </c>
      <c r="AG175" s="167"/>
      <c r="AH175" s="167"/>
    </row>
    <row r="176" spans="1:34" x14ac:dyDescent="0.25">
      <c r="A176" s="259" t="s">
        <v>380</v>
      </c>
      <c r="B176" s="259" t="s">
        <v>381</v>
      </c>
      <c r="C176" s="260" t="s">
        <v>126</v>
      </c>
      <c r="D176" s="261" t="s">
        <v>363</v>
      </c>
      <c r="E176" s="262">
        <v>0</v>
      </c>
      <c r="F176" s="264">
        <v>11890</v>
      </c>
      <c r="G176" s="264">
        <v>32656</v>
      </c>
      <c r="H176" s="264">
        <v>120917</v>
      </c>
      <c r="I176" s="264">
        <v>75683</v>
      </c>
      <c r="J176" s="264">
        <v>29417</v>
      </c>
      <c r="K176" s="262">
        <v>109</v>
      </c>
      <c r="L176" s="262">
        <v>0</v>
      </c>
      <c r="M176" s="264">
        <v>43222</v>
      </c>
      <c r="N176" s="264">
        <v>61614</v>
      </c>
      <c r="O176" s="264">
        <v>96933</v>
      </c>
      <c r="P176" s="262">
        <v>0</v>
      </c>
      <c r="Q176" s="264">
        <v>39245</v>
      </c>
      <c r="R176" s="264">
        <v>2244</v>
      </c>
      <c r="S176" s="264">
        <v>21145</v>
      </c>
      <c r="T176" s="264">
        <v>19375</v>
      </c>
      <c r="U176" s="264">
        <v>37936</v>
      </c>
      <c r="V176" s="264">
        <v>3160</v>
      </c>
      <c r="W176" s="262">
        <v>0</v>
      </c>
      <c r="X176" s="264">
        <v>4559</v>
      </c>
      <c r="Y176" s="264">
        <v>87106</v>
      </c>
      <c r="Z176" s="264">
        <v>16754</v>
      </c>
      <c r="AA176" s="264">
        <v>1097</v>
      </c>
      <c r="AB176" s="264">
        <v>42391</v>
      </c>
      <c r="AC176" s="262">
        <v>0</v>
      </c>
      <c r="AD176" s="264">
        <v>119405</v>
      </c>
      <c r="AE176" s="264">
        <v>7825</v>
      </c>
      <c r="AF176" s="266">
        <v>129035</v>
      </c>
      <c r="AG176" s="167"/>
      <c r="AH176" s="167"/>
    </row>
    <row r="177" spans="1:34" x14ac:dyDescent="0.25">
      <c r="A177" s="259" t="s">
        <v>380</v>
      </c>
      <c r="B177" s="259" t="s">
        <v>381</v>
      </c>
      <c r="C177" s="260" t="s">
        <v>128</v>
      </c>
      <c r="D177" s="261" t="s">
        <v>363</v>
      </c>
      <c r="E177" s="262">
        <v>0</v>
      </c>
      <c r="F177" s="264">
        <v>1297</v>
      </c>
      <c r="G177" s="262">
        <v>0</v>
      </c>
      <c r="H177" s="262">
        <v>6</v>
      </c>
      <c r="I177" s="264">
        <v>5229</v>
      </c>
      <c r="J177" s="264">
        <v>17275</v>
      </c>
      <c r="K177" s="262">
        <v>0</v>
      </c>
      <c r="L177" s="262">
        <v>0</v>
      </c>
      <c r="M177" s="264">
        <v>12362</v>
      </c>
      <c r="N177" s="264">
        <v>41456</v>
      </c>
      <c r="O177" s="264">
        <v>8207</v>
      </c>
      <c r="P177" s="262">
        <v>0</v>
      </c>
      <c r="Q177" s="264">
        <v>12137</v>
      </c>
      <c r="R177" s="262">
        <v>86</v>
      </c>
      <c r="S177" s="264">
        <v>7775</v>
      </c>
      <c r="T177" s="264">
        <v>9458</v>
      </c>
      <c r="U177" s="264">
        <v>15251</v>
      </c>
      <c r="V177" s="262">
        <v>0</v>
      </c>
      <c r="W177" s="262">
        <v>0</v>
      </c>
      <c r="X177" s="262">
        <v>0</v>
      </c>
      <c r="Y177" s="264">
        <v>10733</v>
      </c>
      <c r="Z177" s="264">
        <v>5628</v>
      </c>
      <c r="AA177" s="262">
        <v>562</v>
      </c>
      <c r="AB177" s="264">
        <v>12165</v>
      </c>
      <c r="AC177" s="262">
        <v>0</v>
      </c>
      <c r="AD177" s="264">
        <v>93608</v>
      </c>
      <c r="AE177" s="262">
        <v>0</v>
      </c>
      <c r="AF177" s="266">
        <v>204626</v>
      </c>
      <c r="AG177" s="167"/>
      <c r="AH177" s="167"/>
    </row>
    <row r="178" spans="1:34" x14ac:dyDescent="0.25">
      <c r="A178" s="259" t="s">
        <v>380</v>
      </c>
      <c r="B178" s="259" t="s">
        <v>381</v>
      </c>
      <c r="C178" s="260" t="s">
        <v>130</v>
      </c>
      <c r="D178" s="261" t="s">
        <v>363</v>
      </c>
      <c r="E178" s="262">
        <v>0</v>
      </c>
      <c r="F178" s="262">
        <v>0</v>
      </c>
      <c r="G178" s="262">
        <v>0</v>
      </c>
      <c r="H178" s="262">
        <v>0</v>
      </c>
      <c r="I178" s="262">
        <v>0</v>
      </c>
      <c r="J178" s="264">
        <v>21114</v>
      </c>
      <c r="K178" s="262">
        <v>0</v>
      </c>
      <c r="L178" s="262">
        <v>0</v>
      </c>
      <c r="M178" s="262">
        <v>0</v>
      </c>
      <c r="N178" s="262">
        <v>0</v>
      </c>
      <c r="O178" s="262">
        <v>0</v>
      </c>
      <c r="P178" s="262">
        <v>0</v>
      </c>
      <c r="Q178" s="264">
        <v>3473</v>
      </c>
      <c r="R178" s="262">
        <v>0</v>
      </c>
      <c r="S178" s="264">
        <v>4218</v>
      </c>
      <c r="T178" s="262">
        <v>524</v>
      </c>
      <c r="U178" s="264">
        <v>2102</v>
      </c>
      <c r="V178" s="262">
        <v>0</v>
      </c>
      <c r="W178" s="262">
        <v>0</v>
      </c>
      <c r="X178" s="262">
        <v>0</v>
      </c>
      <c r="Y178" s="262">
        <v>0</v>
      </c>
      <c r="Z178" s="262">
        <v>0</v>
      </c>
      <c r="AA178" s="262">
        <v>0</v>
      </c>
      <c r="AB178" s="262">
        <v>0</v>
      </c>
      <c r="AC178" s="262">
        <v>0</v>
      </c>
      <c r="AD178" s="264">
        <v>41246</v>
      </c>
      <c r="AE178" s="262">
        <v>0</v>
      </c>
      <c r="AF178" s="265">
        <v>0</v>
      </c>
      <c r="AG178" s="167"/>
      <c r="AH178" s="167"/>
    </row>
    <row r="179" spans="1:34" x14ac:dyDescent="0.25">
      <c r="A179" s="259" t="s">
        <v>380</v>
      </c>
      <c r="B179" s="259" t="s">
        <v>381</v>
      </c>
      <c r="C179" s="260" t="s">
        <v>132</v>
      </c>
      <c r="D179" s="261" t="s">
        <v>363</v>
      </c>
      <c r="E179" s="262">
        <v>268</v>
      </c>
      <c r="F179" s="262">
        <v>196</v>
      </c>
      <c r="G179" s="262">
        <v>0</v>
      </c>
      <c r="H179" s="262">
        <v>229</v>
      </c>
      <c r="I179" s="264">
        <v>1441</v>
      </c>
      <c r="J179" s="262">
        <v>137</v>
      </c>
      <c r="K179" s="262">
        <v>0</v>
      </c>
      <c r="L179" s="262">
        <v>0</v>
      </c>
      <c r="M179" s="264">
        <v>1171</v>
      </c>
      <c r="N179" s="264">
        <v>5827</v>
      </c>
      <c r="O179" s="262">
        <v>561</v>
      </c>
      <c r="P179" s="262">
        <v>50</v>
      </c>
      <c r="Q179" s="262">
        <v>114</v>
      </c>
      <c r="R179" s="262">
        <v>132</v>
      </c>
      <c r="S179" s="262">
        <v>309</v>
      </c>
      <c r="T179" s="264">
        <v>1292</v>
      </c>
      <c r="U179" s="262">
        <v>825</v>
      </c>
      <c r="V179" s="262">
        <v>0</v>
      </c>
      <c r="W179" s="262">
        <v>0</v>
      </c>
      <c r="X179" s="262">
        <v>14</v>
      </c>
      <c r="Y179" s="264">
        <v>2837</v>
      </c>
      <c r="Z179" s="262">
        <v>0</v>
      </c>
      <c r="AA179" s="262">
        <v>0</v>
      </c>
      <c r="AB179" s="264">
        <v>5459</v>
      </c>
      <c r="AC179" s="262">
        <v>0</v>
      </c>
      <c r="AD179" s="262">
        <v>69</v>
      </c>
      <c r="AE179" s="262">
        <v>79</v>
      </c>
      <c r="AF179" s="265">
        <v>0</v>
      </c>
      <c r="AG179" s="167"/>
      <c r="AH179" s="167"/>
    </row>
    <row r="180" spans="1:34" x14ac:dyDescent="0.25">
      <c r="A180" s="259" t="s">
        <v>380</v>
      </c>
      <c r="B180" s="259" t="s">
        <v>381</v>
      </c>
      <c r="C180" s="260" t="s">
        <v>134</v>
      </c>
      <c r="D180" s="261" t="s">
        <v>363</v>
      </c>
      <c r="E180" s="264">
        <v>9917</v>
      </c>
      <c r="F180" s="264">
        <v>14317</v>
      </c>
      <c r="G180" s="264">
        <v>29567</v>
      </c>
      <c r="H180" s="264">
        <v>76011</v>
      </c>
      <c r="I180" s="264">
        <v>115158</v>
      </c>
      <c r="J180" s="264">
        <v>21983</v>
      </c>
      <c r="K180" s="264">
        <v>23023</v>
      </c>
      <c r="L180" s="262">
        <v>0</v>
      </c>
      <c r="M180" s="264">
        <v>30376</v>
      </c>
      <c r="N180" s="264">
        <v>43624</v>
      </c>
      <c r="O180" s="264">
        <v>90250</v>
      </c>
      <c r="P180" s="264">
        <v>105917</v>
      </c>
      <c r="Q180" s="264">
        <v>12698</v>
      </c>
      <c r="R180" s="264">
        <v>3541</v>
      </c>
      <c r="S180" s="264">
        <v>6620</v>
      </c>
      <c r="T180" s="264">
        <v>11927</v>
      </c>
      <c r="U180" s="264">
        <v>8284</v>
      </c>
      <c r="V180" s="264">
        <v>10716</v>
      </c>
      <c r="W180" s="264">
        <v>668095</v>
      </c>
      <c r="X180" s="264">
        <v>8201</v>
      </c>
      <c r="Y180" s="264">
        <v>108995</v>
      </c>
      <c r="Z180" s="264">
        <v>-2799</v>
      </c>
      <c r="AA180" s="264">
        <v>4837</v>
      </c>
      <c r="AB180" s="264">
        <v>5549</v>
      </c>
      <c r="AC180" s="262">
        <v>0</v>
      </c>
      <c r="AD180" s="264">
        <v>125155</v>
      </c>
      <c r="AE180" s="264">
        <v>3247</v>
      </c>
      <c r="AF180" s="266">
        <v>73992</v>
      </c>
      <c r="AG180" s="167"/>
      <c r="AH180" s="167"/>
    </row>
    <row r="181" spans="1:34" x14ac:dyDescent="0.25">
      <c r="A181" s="259" t="s">
        <v>380</v>
      </c>
      <c r="B181" s="259" t="s">
        <v>381</v>
      </c>
      <c r="C181" s="267" t="s">
        <v>1701</v>
      </c>
      <c r="D181" s="261" t="s">
        <v>363</v>
      </c>
      <c r="E181" s="262">
        <v>0</v>
      </c>
      <c r="F181" s="262">
        <v>0</v>
      </c>
      <c r="G181" s="262">
        <v>0</v>
      </c>
      <c r="H181" s="262">
        <v>0</v>
      </c>
      <c r="I181" s="262">
        <v>0</v>
      </c>
      <c r="J181" s="262">
        <v>0</v>
      </c>
      <c r="K181" s="262">
        <v>0</v>
      </c>
      <c r="L181" s="262">
        <v>0</v>
      </c>
      <c r="M181" s="262">
        <v>0</v>
      </c>
      <c r="N181" s="262">
        <v>0</v>
      </c>
      <c r="O181" s="262">
        <v>0</v>
      </c>
      <c r="P181" s="262">
        <v>0</v>
      </c>
      <c r="Q181" s="262">
        <v>0</v>
      </c>
      <c r="R181" s="262">
        <v>0</v>
      </c>
      <c r="S181" s="262">
        <v>0</v>
      </c>
      <c r="T181" s="262">
        <v>0</v>
      </c>
      <c r="U181" s="262">
        <v>0</v>
      </c>
      <c r="V181" s="262">
        <v>0</v>
      </c>
      <c r="W181" s="262">
        <v>0</v>
      </c>
      <c r="X181" s="262">
        <v>0</v>
      </c>
      <c r="Y181" s="262">
        <v>0</v>
      </c>
      <c r="Z181" s="262">
        <v>0</v>
      </c>
      <c r="AA181" s="262">
        <v>0</v>
      </c>
      <c r="AB181" s="262">
        <v>0</v>
      </c>
      <c r="AC181" s="262">
        <v>0</v>
      </c>
      <c r="AD181" s="262">
        <v>0</v>
      </c>
      <c r="AE181" s="262">
        <v>0</v>
      </c>
      <c r="AF181" s="265">
        <v>0</v>
      </c>
      <c r="AG181" s="167"/>
      <c r="AH181" s="167"/>
    </row>
    <row r="182" spans="1:34" x14ac:dyDescent="0.25">
      <c r="A182" s="259" t="s">
        <v>380</v>
      </c>
      <c r="B182" s="259" t="s">
        <v>381</v>
      </c>
      <c r="C182" s="267" t="s">
        <v>137</v>
      </c>
      <c r="D182" s="261" t="s">
        <v>363</v>
      </c>
      <c r="E182" s="262">
        <v>0</v>
      </c>
      <c r="F182" s="262">
        <v>0</v>
      </c>
      <c r="G182" s="262">
        <v>0</v>
      </c>
      <c r="H182" s="262">
        <v>0</v>
      </c>
      <c r="I182" s="262">
        <v>0</v>
      </c>
      <c r="J182" s="262">
        <v>0</v>
      </c>
      <c r="K182" s="262">
        <v>0</v>
      </c>
      <c r="L182" s="262">
        <v>0</v>
      </c>
      <c r="M182" s="262">
        <v>0</v>
      </c>
      <c r="N182" s="262">
        <v>0</v>
      </c>
      <c r="O182" s="262">
        <v>0</v>
      </c>
      <c r="P182" s="262">
        <v>0</v>
      </c>
      <c r="Q182" s="262">
        <v>0</v>
      </c>
      <c r="R182" s="262">
        <v>0</v>
      </c>
      <c r="S182" s="262">
        <v>0</v>
      </c>
      <c r="T182" s="262">
        <v>0</v>
      </c>
      <c r="U182" s="262">
        <v>0</v>
      </c>
      <c r="V182" s="262">
        <v>0</v>
      </c>
      <c r="W182" s="262">
        <v>0</v>
      </c>
      <c r="X182" s="262">
        <v>0</v>
      </c>
      <c r="Y182" s="262">
        <v>1</v>
      </c>
      <c r="Z182" s="262">
        <v>0</v>
      </c>
      <c r="AA182" s="262">
        <v>0</v>
      </c>
      <c r="AB182" s="262">
        <v>0</v>
      </c>
      <c r="AC182" s="262">
        <v>0</v>
      </c>
      <c r="AD182" s="262">
        <v>0</v>
      </c>
      <c r="AE182" s="262">
        <v>0</v>
      </c>
      <c r="AF182" s="265">
        <v>0</v>
      </c>
      <c r="AG182" s="167"/>
      <c r="AH182" s="167"/>
    </row>
    <row r="183" spans="1:34" x14ac:dyDescent="0.25">
      <c r="A183" s="259" t="s">
        <v>380</v>
      </c>
      <c r="B183" s="259" t="s">
        <v>381</v>
      </c>
      <c r="C183" s="260" t="s">
        <v>139</v>
      </c>
      <c r="D183" s="261" t="s">
        <v>363</v>
      </c>
      <c r="E183" s="262">
        <v>0</v>
      </c>
      <c r="F183" s="262">
        <v>0</v>
      </c>
      <c r="G183" s="262">
        <v>0</v>
      </c>
      <c r="H183" s="262">
        <v>0</v>
      </c>
      <c r="I183" s="262">
        <v>0</v>
      </c>
      <c r="J183" s="262">
        <v>0</v>
      </c>
      <c r="K183" s="262">
        <v>0</v>
      </c>
      <c r="L183" s="262">
        <v>0</v>
      </c>
      <c r="M183" s="262">
        <v>0</v>
      </c>
      <c r="N183" s="262">
        <v>0</v>
      </c>
      <c r="O183" s="262">
        <v>0</v>
      </c>
      <c r="P183" s="262">
        <v>0</v>
      </c>
      <c r="Q183" s="262">
        <v>0</v>
      </c>
      <c r="R183" s="262">
        <v>0</v>
      </c>
      <c r="S183" s="262">
        <v>31</v>
      </c>
      <c r="T183" s="262">
        <v>1</v>
      </c>
      <c r="U183" s="262">
        <v>0</v>
      </c>
      <c r="V183" s="262">
        <v>0</v>
      </c>
      <c r="W183" s="262">
        <v>0</v>
      </c>
      <c r="X183" s="262">
        <v>0</v>
      </c>
      <c r="Y183" s="262">
        <v>0</v>
      </c>
      <c r="Z183" s="262">
        <v>0</v>
      </c>
      <c r="AA183" s="262">
        <v>0</v>
      </c>
      <c r="AB183" s="262">
        <v>0</v>
      </c>
      <c r="AC183" s="262">
        <v>0</v>
      </c>
      <c r="AD183" s="262">
        <v>315</v>
      </c>
      <c r="AE183" s="262">
        <v>0</v>
      </c>
      <c r="AF183" s="265">
        <v>0</v>
      </c>
      <c r="AG183" s="167"/>
      <c r="AH183" s="167"/>
    </row>
    <row r="184" spans="1:34" x14ac:dyDescent="0.25">
      <c r="A184" s="268"/>
      <c r="B184" s="268"/>
      <c r="C184" s="269"/>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c r="AA184" s="269"/>
      <c r="AB184" s="269"/>
      <c r="AC184" s="269"/>
      <c r="AD184" s="269"/>
      <c r="AE184" s="269"/>
      <c r="AF184" s="269"/>
      <c r="AG184" s="167"/>
      <c r="AH184" s="167"/>
    </row>
    <row r="185" spans="1:34" x14ac:dyDescent="0.25">
      <c r="A185" s="259" t="s">
        <v>382</v>
      </c>
      <c r="B185" s="259" t="s">
        <v>383</v>
      </c>
      <c r="C185" s="260" t="s">
        <v>113</v>
      </c>
      <c r="D185" s="261" t="s">
        <v>363</v>
      </c>
      <c r="E185" s="262">
        <v>0</v>
      </c>
      <c r="F185" s="262">
        <v>0</v>
      </c>
      <c r="G185" s="262">
        <v>0</v>
      </c>
      <c r="H185" s="262">
        <v>0</v>
      </c>
      <c r="I185" s="262">
        <v>0</v>
      </c>
      <c r="J185" s="262">
        <v>0</v>
      </c>
      <c r="K185" s="262">
        <v>0</v>
      </c>
      <c r="L185" s="262">
        <v>0</v>
      </c>
      <c r="M185" s="262">
        <v>0</v>
      </c>
      <c r="N185" s="262">
        <v>0</v>
      </c>
      <c r="O185" s="262">
        <v>0</v>
      </c>
      <c r="P185" s="262">
        <v>0</v>
      </c>
      <c r="Q185" s="262">
        <v>0</v>
      </c>
      <c r="R185" s="262">
        <v>0</v>
      </c>
      <c r="S185" s="262">
        <v>0</v>
      </c>
      <c r="T185" s="262">
        <v>0</v>
      </c>
      <c r="U185" s="262">
        <v>0</v>
      </c>
      <c r="V185" s="262">
        <v>0</v>
      </c>
      <c r="W185" s="262">
        <v>0</v>
      </c>
      <c r="X185" s="262">
        <v>0</v>
      </c>
      <c r="Y185" s="262">
        <v>0</v>
      </c>
      <c r="Z185" s="262">
        <v>0</v>
      </c>
      <c r="AA185" s="262">
        <v>0</v>
      </c>
      <c r="AB185" s="262">
        <v>0</v>
      </c>
      <c r="AC185" s="262">
        <v>0</v>
      </c>
      <c r="AD185" s="262">
        <v>0</v>
      </c>
      <c r="AE185" s="262">
        <v>0</v>
      </c>
      <c r="AF185" s="265">
        <v>0</v>
      </c>
      <c r="AG185" s="167"/>
      <c r="AH185" s="167"/>
    </row>
    <row r="186" spans="1:34" x14ac:dyDescent="0.25">
      <c r="A186" s="259" t="s">
        <v>382</v>
      </c>
      <c r="B186" s="259" t="s">
        <v>383</v>
      </c>
      <c r="C186" s="260" t="s">
        <v>115</v>
      </c>
      <c r="D186" s="261" t="s">
        <v>363</v>
      </c>
      <c r="E186" s="262">
        <v>0</v>
      </c>
      <c r="F186" s="262">
        <v>0</v>
      </c>
      <c r="G186" s="262">
        <v>0</v>
      </c>
      <c r="H186" s="262">
        <v>0</v>
      </c>
      <c r="I186" s="262">
        <v>0</v>
      </c>
      <c r="J186" s="262">
        <v>0</v>
      </c>
      <c r="K186" s="262">
        <v>0</v>
      </c>
      <c r="L186" s="262">
        <v>0</v>
      </c>
      <c r="M186" s="262">
        <v>0</v>
      </c>
      <c r="N186" s="262">
        <v>0</v>
      </c>
      <c r="O186" s="262">
        <v>0</v>
      </c>
      <c r="P186" s="262">
        <v>0</v>
      </c>
      <c r="Q186" s="262">
        <v>0</v>
      </c>
      <c r="R186" s="262">
        <v>0</v>
      </c>
      <c r="S186" s="262">
        <v>19</v>
      </c>
      <c r="T186" s="262">
        <v>3</v>
      </c>
      <c r="U186" s="262">
        <v>3</v>
      </c>
      <c r="V186" s="262">
        <v>0</v>
      </c>
      <c r="W186" s="262">
        <v>0</v>
      </c>
      <c r="X186" s="262">
        <v>0</v>
      </c>
      <c r="Y186" s="262">
        <v>0</v>
      </c>
      <c r="Z186" s="262">
        <v>0</v>
      </c>
      <c r="AA186" s="262">
        <v>0</v>
      </c>
      <c r="AB186" s="262">
        <v>0</v>
      </c>
      <c r="AC186" s="262">
        <v>0</v>
      </c>
      <c r="AD186" s="262">
        <v>0</v>
      </c>
      <c r="AE186" s="262">
        <v>40</v>
      </c>
      <c r="AF186" s="265">
        <v>0</v>
      </c>
      <c r="AG186" s="167"/>
      <c r="AH186" s="167"/>
    </row>
    <row r="187" spans="1:34" x14ac:dyDescent="0.25">
      <c r="A187" s="259" t="s">
        <v>382</v>
      </c>
      <c r="B187" s="259" t="s">
        <v>383</v>
      </c>
      <c r="C187" s="260" t="s">
        <v>117</v>
      </c>
      <c r="D187" s="261" t="s">
        <v>363</v>
      </c>
      <c r="E187" s="262">
        <v>0</v>
      </c>
      <c r="F187" s="262">
        <v>39</v>
      </c>
      <c r="G187" s="262">
        <v>0</v>
      </c>
      <c r="H187" s="264">
        <v>1063</v>
      </c>
      <c r="I187" s="262">
        <v>0</v>
      </c>
      <c r="J187" s="262">
        <v>0</v>
      </c>
      <c r="K187" s="262">
        <v>680</v>
      </c>
      <c r="L187" s="262">
        <v>0</v>
      </c>
      <c r="M187" s="262">
        <v>0</v>
      </c>
      <c r="N187" s="262">
        <v>0</v>
      </c>
      <c r="O187" s="262">
        <v>0</v>
      </c>
      <c r="P187" s="264">
        <v>13439</v>
      </c>
      <c r="Q187" s="264">
        <v>1305</v>
      </c>
      <c r="R187" s="262">
        <v>103</v>
      </c>
      <c r="S187" s="262">
        <v>195</v>
      </c>
      <c r="T187" s="264">
        <v>1884</v>
      </c>
      <c r="U187" s="262">
        <v>160</v>
      </c>
      <c r="V187" s="262">
        <v>0</v>
      </c>
      <c r="W187" s="262">
        <v>0</v>
      </c>
      <c r="X187" s="264">
        <v>9070</v>
      </c>
      <c r="Y187" s="262">
        <v>0</v>
      </c>
      <c r="Z187" s="262">
        <v>0</v>
      </c>
      <c r="AA187" s="262">
        <v>0</v>
      </c>
      <c r="AB187" s="262">
        <v>0</v>
      </c>
      <c r="AC187" s="262">
        <v>0</v>
      </c>
      <c r="AD187" s="262">
        <v>44</v>
      </c>
      <c r="AE187" s="264">
        <v>2449</v>
      </c>
      <c r="AF187" s="265">
        <v>0</v>
      </c>
      <c r="AG187" s="167"/>
      <c r="AH187" s="167"/>
    </row>
    <row r="188" spans="1:34" x14ac:dyDescent="0.25">
      <c r="A188" s="259" t="s">
        <v>382</v>
      </c>
      <c r="B188" s="259" t="s">
        <v>383</v>
      </c>
      <c r="C188" s="260" t="s">
        <v>119</v>
      </c>
      <c r="D188" s="261" t="s">
        <v>363</v>
      </c>
      <c r="E188" s="262">
        <v>0</v>
      </c>
      <c r="F188" s="262">
        <v>0</v>
      </c>
      <c r="G188" s="262">
        <v>0</v>
      </c>
      <c r="H188" s="262">
        <v>0</v>
      </c>
      <c r="I188" s="262">
        <v>0</v>
      </c>
      <c r="J188" s="262">
        <v>0</v>
      </c>
      <c r="K188" s="262">
        <v>0</v>
      </c>
      <c r="L188" s="262">
        <v>0</v>
      </c>
      <c r="M188" s="262">
        <v>0</v>
      </c>
      <c r="N188" s="262">
        <v>0</v>
      </c>
      <c r="O188" s="262">
        <v>0</v>
      </c>
      <c r="P188" s="262">
        <v>0</v>
      </c>
      <c r="Q188" s="262">
        <v>0</v>
      </c>
      <c r="R188" s="262">
        <v>0</v>
      </c>
      <c r="S188" s="262">
        <v>0</v>
      </c>
      <c r="T188" s="262">
        <v>7</v>
      </c>
      <c r="U188" s="262">
        <v>0</v>
      </c>
      <c r="V188" s="262">
        <v>1</v>
      </c>
      <c r="W188" s="262">
        <v>0</v>
      </c>
      <c r="X188" s="262">
        <v>0</v>
      </c>
      <c r="Y188" s="262">
        <v>0</v>
      </c>
      <c r="Z188" s="262">
        <v>0</v>
      </c>
      <c r="AA188" s="262">
        <v>0</v>
      </c>
      <c r="AB188" s="262">
        <v>0</v>
      </c>
      <c r="AC188" s="262">
        <v>0</v>
      </c>
      <c r="AD188" s="262">
        <v>0</v>
      </c>
      <c r="AE188" s="262">
        <v>0</v>
      </c>
      <c r="AF188" s="265">
        <v>0</v>
      </c>
      <c r="AG188" s="167"/>
      <c r="AH188" s="167"/>
    </row>
    <row r="189" spans="1:34" x14ac:dyDescent="0.25">
      <c r="A189" s="259" t="s">
        <v>382</v>
      </c>
      <c r="B189" s="259" t="s">
        <v>383</v>
      </c>
      <c r="C189" s="260" t="s">
        <v>120</v>
      </c>
      <c r="D189" s="261" t="s">
        <v>363</v>
      </c>
      <c r="E189" s="262">
        <v>0</v>
      </c>
      <c r="F189" s="262">
        <v>0</v>
      </c>
      <c r="G189" s="262">
        <v>0</v>
      </c>
      <c r="H189" s="262">
        <v>92</v>
      </c>
      <c r="I189" s="264">
        <v>1206</v>
      </c>
      <c r="J189" s="262">
        <v>429</v>
      </c>
      <c r="K189" s="262">
        <v>55</v>
      </c>
      <c r="L189" s="262">
        <v>0</v>
      </c>
      <c r="M189" s="262">
        <v>0</v>
      </c>
      <c r="N189" s="262">
        <v>0</v>
      </c>
      <c r="O189" s="262">
        <v>0</v>
      </c>
      <c r="P189" s="262">
        <v>0</v>
      </c>
      <c r="Q189" s="262">
        <v>9</v>
      </c>
      <c r="R189" s="264">
        <v>1555</v>
      </c>
      <c r="S189" s="262">
        <v>503</v>
      </c>
      <c r="T189" s="262">
        <v>368</v>
      </c>
      <c r="U189" s="262">
        <v>224</v>
      </c>
      <c r="V189" s="262">
        <v>0</v>
      </c>
      <c r="W189" s="264">
        <v>2141</v>
      </c>
      <c r="X189" s="262">
        <v>0</v>
      </c>
      <c r="Y189" s="264">
        <v>5222</v>
      </c>
      <c r="Z189" s="264">
        <v>22123</v>
      </c>
      <c r="AA189" s="262">
        <v>0</v>
      </c>
      <c r="AB189" s="262">
        <v>0</v>
      </c>
      <c r="AC189" s="262">
        <v>0</v>
      </c>
      <c r="AD189" s="262">
        <v>12</v>
      </c>
      <c r="AE189" s="264">
        <v>3710</v>
      </c>
      <c r="AF189" s="266">
        <v>1445</v>
      </c>
      <c r="AG189" s="167"/>
      <c r="AH189" s="167"/>
    </row>
    <row r="190" spans="1:34" x14ac:dyDescent="0.25">
      <c r="A190" s="259" t="s">
        <v>382</v>
      </c>
      <c r="B190" s="259" t="s">
        <v>383</v>
      </c>
      <c r="C190" s="260" t="s">
        <v>122</v>
      </c>
      <c r="D190" s="261" t="s">
        <v>363</v>
      </c>
      <c r="E190" s="262">
        <v>0</v>
      </c>
      <c r="F190" s="262">
        <v>0</v>
      </c>
      <c r="G190" s="262">
        <v>0</v>
      </c>
      <c r="H190" s="262">
        <v>0</v>
      </c>
      <c r="I190" s="262">
        <v>0</v>
      </c>
      <c r="J190" s="262">
        <v>0</v>
      </c>
      <c r="K190" s="262">
        <v>0</v>
      </c>
      <c r="L190" s="262">
        <v>0</v>
      </c>
      <c r="M190" s="262">
        <v>0</v>
      </c>
      <c r="N190" s="262">
        <v>0</v>
      </c>
      <c r="O190" s="262">
        <v>0</v>
      </c>
      <c r="P190" s="262">
        <v>0</v>
      </c>
      <c r="Q190" s="262">
        <v>0</v>
      </c>
      <c r="R190" s="262">
        <v>0</v>
      </c>
      <c r="S190" s="262">
        <v>0</v>
      </c>
      <c r="T190" s="262">
        <v>0</v>
      </c>
      <c r="U190" s="262">
        <v>0</v>
      </c>
      <c r="V190" s="262">
        <v>0</v>
      </c>
      <c r="W190" s="262">
        <v>0</v>
      </c>
      <c r="X190" s="262">
        <v>0</v>
      </c>
      <c r="Y190" s="262">
        <v>0</v>
      </c>
      <c r="Z190" s="262">
        <v>0</v>
      </c>
      <c r="AA190" s="262">
        <v>0</v>
      </c>
      <c r="AB190" s="262">
        <v>0</v>
      </c>
      <c r="AC190" s="262">
        <v>0</v>
      </c>
      <c r="AD190" s="262">
        <v>0</v>
      </c>
      <c r="AE190" s="262">
        <v>0</v>
      </c>
      <c r="AF190" s="265">
        <v>0</v>
      </c>
      <c r="AG190" s="167"/>
      <c r="AH190" s="167"/>
    </row>
    <row r="191" spans="1:34" x14ac:dyDescent="0.25">
      <c r="A191" s="259" t="s">
        <v>382</v>
      </c>
      <c r="B191" s="259" t="s">
        <v>383</v>
      </c>
      <c r="C191" s="260" t="s">
        <v>124</v>
      </c>
      <c r="D191" s="261" t="s">
        <v>363</v>
      </c>
      <c r="E191" s="262">
        <v>0</v>
      </c>
      <c r="F191" s="262">
        <v>0</v>
      </c>
      <c r="G191" s="262">
        <v>0</v>
      </c>
      <c r="H191" s="262">
        <v>0</v>
      </c>
      <c r="I191" s="262">
        <v>0</v>
      </c>
      <c r="J191" s="262">
        <v>0</v>
      </c>
      <c r="K191" s="262">
        <v>0</v>
      </c>
      <c r="L191" s="262">
        <v>0</v>
      </c>
      <c r="M191" s="262">
        <v>0</v>
      </c>
      <c r="N191" s="262">
        <v>0</v>
      </c>
      <c r="O191" s="262">
        <v>0</v>
      </c>
      <c r="P191" s="262">
        <v>0</v>
      </c>
      <c r="Q191" s="262">
        <v>0</v>
      </c>
      <c r="R191" s="262">
        <v>0</v>
      </c>
      <c r="S191" s="262">
        <v>1</v>
      </c>
      <c r="T191" s="262">
        <v>2</v>
      </c>
      <c r="U191" s="262">
        <v>0</v>
      </c>
      <c r="V191" s="262">
        <v>0</v>
      </c>
      <c r="W191" s="262">
        <v>0</v>
      </c>
      <c r="X191" s="262">
        <v>18</v>
      </c>
      <c r="Y191" s="262">
        <v>0</v>
      </c>
      <c r="Z191" s="262">
        <v>0</v>
      </c>
      <c r="AA191" s="262">
        <v>0</v>
      </c>
      <c r="AB191" s="262">
        <v>0</v>
      </c>
      <c r="AC191" s="262">
        <v>0</v>
      </c>
      <c r="AD191" s="262">
        <v>1</v>
      </c>
      <c r="AE191" s="262">
        <v>0</v>
      </c>
      <c r="AF191" s="265">
        <v>0</v>
      </c>
      <c r="AG191" s="167"/>
      <c r="AH191" s="167"/>
    </row>
    <row r="192" spans="1:34" x14ac:dyDescent="0.25">
      <c r="A192" s="259" t="s">
        <v>382</v>
      </c>
      <c r="B192" s="259" t="s">
        <v>383</v>
      </c>
      <c r="C192" s="260" t="s">
        <v>126</v>
      </c>
      <c r="D192" s="261" t="s">
        <v>363</v>
      </c>
      <c r="E192" s="262">
        <v>0</v>
      </c>
      <c r="F192" s="264">
        <v>6080</v>
      </c>
      <c r="G192" s="262">
        <v>457</v>
      </c>
      <c r="H192" s="264">
        <v>1806</v>
      </c>
      <c r="I192" s="264">
        <v>1028</v>
      </c>
      <c r="J192" s="264">
        <v>10403</v>
      </c>
      <c r="K192" s="264">
        <v>30806</v>
      </c>
      <c r="L192" s="262">
        <v>0</v>
      </c>
      <c r="M192" s="264">
        <v>22900</v>
      </c>
      <c r="N192" s="264">
        <v>2277</v>
      </c>
      <c r="O192" s="262">
        <v>0</v>
      </c>
      <c r="P192" s="262">
        <v>0</v>
      </c>
      <c r="Q192" s="264">
        <v>5247</v>
      </c>
      <c r="R192" s="264">
        <v>11324</v>
      </c>
      <c r="S192" s="264">
        <v>13103</v>
      </c>
      <c r="T192" s="264">
        <v>42298</v>
      </c>
      <c r="U192" s="264">
        <v>16350</v>
      </c>
      <c r="V192" s="264">
        <v>7866</v>
      </c>
      <c r="W192" s="262">
        <v>0</v>
      </c>
      <c r="X192" s="264">
        <v>16279</v>
      </c>
      <c r="Y192" s="264">
        <v>5068</v>
      </c>
      <c r="Z192" s="264">
        <v>66215</v>
      </c>
      <c r="AA192" s="262">
        <v>0</v>
      </c>
      <c r="AB192" s="262">
        <v>287</v>
      </c>
      <c r="AC192" s="262">
        <v>0</v>
      </c>
      <c r="AD192" s="264">
        <v>6293</v>
      </c>
      <c r="AE192" s="264">
        <v>46681</v>
      </c>
      <c r="AF192" s="266">
        <v>62787</v>
      </c>
      <c r="AG192" s="167"/>
      <c r="AH192" s="167"/>
    </row>
    <row r="193" spans="1:34" x14ac:dyDescent="0.25">
      <c r="A193" s="259" t="s">
        <v>382</v>
      </c>
      <c r="B193" s="259" t="s">
        <v>383</v>
      </c>
      <c r="C193" s="260" t="s">
        <v>128</v>
      </c>
      <c r="D193" s="261" t="s">
        <v>363</v>
      </c>
      <c r="E193" s="262">
        <v>0</v>
      </c>
      <c r="F193" s="264">
        <v>3904</v>
      </c>
      <c r="G193" s="262">
        <v>0</v>
      </c>
      <c r="H193" s="262">
        <v>14</v>
      </c>
      <c r="I193" s="264">
        <v>5137</v>
      </c>
      <c r="J193" s="264">
        <v>10853</v>
      </c>
      <c r="K193" s="264">
        <v>2904</v>
      </c>
      <c r="L193" s="262">
        <v>0</v>
      </c>
      <c r="M193" s="264">
        <v>8674</v>
      </c>
      <c r="N193" s="264">
        <v>2929</v>
      </c>
      <c r="O193" s="262">
        <v>0</v>
      </c>
      <c r="P193" s="262">
        <v>0</v>
      </c>
      <c r="Q193" s="264">
        <v>1175</v>
      </c>
      <c r="R193" s="264">
        <v>10976</v>
      </c>
      <c r="S193" s="264">
        <v>13188</v>
      </c>
      <c r="T193" s="264">
        <v>45360</v>
      </c>
      <c r="U193" s="264">
        <v>19693</v>
      </c>
      <c r="V193" s="262">
        <v>0</v>
      </c>
      <c r="W193" s="262">
        <v>0</v>
      </c>
      <c r="X193" s="264">
        <v>9768</v>
      </c>
      <c r="Y193" s="264">
        <v>2695</v>
      </c>
      <c r="Z193" s="264">
        <v>43945</v>
      </c>
      <c r="AA193" s="262">
        <v>0</v>
      </c>
      <c r="AB193" s="262">
        <v>0</v>
      </c>
      <c r="AC193" s="262">
        <v>0</v>
      </c>
      <c r="AD193" s="264">
        <v>2629</v>
      </c>
      <c r="AE193" s="264">
        <v>14262</v>
      </c>
      <c r="AF193" s="266">
        <v>54455</v>
      </c>
      <c r="AG193" s="167"/>
      <c r="AH193" s="167"/>
    </row>
    <row r="194" spans="1:34" x14ac:dyDescent="0.25">
      <c r="A194" s="259" t="s">
        <v>382</v>
      </c>
      <c r="B194" s="259" t="s">
        <v>383</v>
      </c>
      <c r="C194" s="260" t="s">
        <v>130</v>
      </c>
      <c r="D194" s="261" t="s">
        <v>363</v>
      </c>
      <c r="E194" s="262">
        <v>0</v>
      </c>
      <c r="F194" s="262">
        <v>0</v>
      </c>
      <c r="G194" s="262">
        <v>0</v>
      </c>
      <c r="H194" s="262">
        <v>0</v>
      </c>
      <c r="I194" s="262">
        <v>0</v>
      </c>
      <c r="J194" s="262">
        <v>998</v>
      </c>
      <c r="K194" s="262">
        <v>0</v>
      </c>
      <c r="L194" s="262">
        <v>0</v>
      </c>
      <c r="M194" s="262">
        <v>0</v>
      </c>
      <c r="N194" s="262">
        <v>0</v>
      </c>
      <c r="O194" s="262">
        <v>0</v>
      </c>
      <c r="P194" s="262">
        <v>0</v>
      </c>
      <c r="Q194" s="264">
        <v>3223</v>
      </c>
      <c r="R194" s="262">
        <v>1</v>
      </c>
      <c r="S194" s="264">
        <v>1918</v>
      </c>
      <c r="T194" s="264">
        <v>3562</v>
      </c>
      <c r="U194" s="264">
        <v>1362</v>
      </c>
      <c r="V194" s="262">
        <v>0</v>
      </c>
      <c r="W194" s="262">
        <v>0</v>
      </c>
      <c r="X194" s="262">
        <v>0</v>
      </c>
      <c r="Y194" s="262">
        <v>0</v>
      </c>
      <c r="Z194" s="262">
        <v>0</v>
      </c>
      <c r="AA194" s="262">
        <v>0</v>
      </c>
      <c r="AB194" s="262">
        <v>0</v>
      </c>
      <c r="AC194" s="262">
        <v>0</v>
      </c>
      <c r="AD194" s="264">
        <v>45697</v>
      </c>
      <c r="AE194" s="264">
        <v>18696</v>
      </c>
      <c r="AF194" s="266">
        <v>6296</v>
      </c>
      <c r="AG194" s="167"/>
      <c r="AH194" s="167"/>
    </row>
    <row r="195" spans="1:34" x14ac:dyDescent="0.25">
      <c r="A195" s="259" t="s">
        <v>382</v>
      </c>
      <c r="B195" s="259" t="s">
        <v>383</v>
      </c>
      <c r="C195" s="260" t="s">
        <v>132</v>
      </c>
      <c r="D195" s="261" t="s">
        <v>363</v>
      </c>
      <c r="E195" s="262">
        <v>0</v>
      </c>
      <c r="F195" s="262">
        <v>359</v>
      </c>
      <c r="G195" s="262">
        <v>0</v>
      </c>
      <c r="H195" s="262">
        <v>70</v>
      </c>
      <c r="I195" s="262">
        <v>175</v>
      </c>
      <c r="J195" s="262">
        <v>28</v>
      </c>
      <c r="K195" s="262">
        <v>725</v>
      </c>
      <c r="L195" s="262">
        <v>0</v>
      </c>
      <c r="M195" s="264">
        <v>1222</v>
      </c>
      <c r="N195" s="262">
        <v>0</v>
      </c>
      <c r="O195" s="262">
        <v>0</v>
      </c>
      <c r="P195" s="264">
        <v>1215</v>
      </c>
      <c r="Q195" s="262">
        <v>229</v>
      </c>
      <c r="R195" s="262">
        <v>25</v>
      </c>
      <c r="S195" s="262">
        <v>225</v>
      </c>
      <c r="T195" s="264">
        <v>1306</v>
      </c>
      <c r="U195" s="262">
        <v>234</v>
      </c>
      <c r="V195" s="262">
        <v>676</v>
      </c>
      <c r="W195" s="262">
        <v>0</v>
      </c>
      <c r="X195" s="264">
        <v>1747</v>
      </c>
      <c r="Y195" s="262">
        <v>67</v>
      </c>
      <c r="Z195" s="262">
        <v>0</v>
      </c>
      <c r="AA195" s="262">
        <v>0</v>
      </c>
      <c r="AB195" s="262">
        <v>0</v>
      </c>
      <c r="AC195" s="262">
        <v>0</v>
      </c>
      <c r="AD195" s="262">
        <v>33</v>
      </c>
      <c r="AE195" s="262">
        <v>175</v>
      </c>
      <c r="AF195" s="265">
        <v>0</v>
      </c>
      <c r="AG195" s="167"/>
      <c r="AH195" s="167"/>
    </row>
    <row r="196" spans="1:34" x14ac:dyDescent="0.25">
      <c r="A196" s="259" t="s">
        <v>382</v>
      </c>
      <c r="B196" s="259" t="s">
        <v>383</v>
      </c>
      <c r="C196" s="260" t="s">
        <v>134</v>
      </c>
      <c r="D196" s="261" t="s">
        <v>363</v>
      </c>
      <c r="E196" s="262">
        <v>0</v>
      </c>
      <c r="F196" s="264">
        <v>1521</v>
      </c>
      <c r="G196" s="262">
        <v>378</v>
      </c>
      <c r="H196" s="262">
        <v>70</v>
      </c>
      <c r="I196" s="262">
        <v>583</v>
      </c>
      <c r="J196" s="262">
        <v>243</v>
      </c>
      <c r="K196" s="264">
        <v>5264</v>
      </c>
      <c r="L196" s="262">
        <v>0</v>
      </c>
      <c r="M196" s="262">
        <v>268</v>
      </c>
      <c r="N196" s="262">
        <v>0</v>
      </c>
      <c r="O196" s="262">
        <v>0</v>
      </c>
      <c r="P196" s="264">
        <v>15664</v>
      </c>
      <c r="Q196" s="262">
        <v>828</v>
      </c>
      <c r="R196" s="264">
        <v>2675</v>
      </c>
      <c r="S196" s="262">
        <v>471</v>
      </c>
      <c r="T196" s="264">
        <v>1998</v>
      </c>
      <c r="U196" s="262">
        <v>662</v>
      </c>
      <c r="V196" s="262">
        <v>72</v>
      </c>
      <c r="W196" s="264">
        <v>12110</v>
      </c>
      <c r="X196" s="264">
        <v>5165</v>
      </c>
      <c r="Y196" s="262">
        <v>726</v>
      </c>
      <c r="Z196" s="264">
        <v>1678</v>
      </c>
      <c r="AA196" s="262">
        <v>0</v>
      </c>
      <c r="AB196" s="262">
        <v>0</v>
      </c>
      <c r="AC196" s="262">
        <v>0</v>
      </c>
      <c r="AD196" s="262">
        <v>940</v>
      </c>
      <c r="AE196" s="262">
        <v>737</v>
      </c>
      <c r="AF196" s="265">
        <v>0</v>
      </c>
      <c r="AG196" s="167"/>
      <c r="AH196" s="167"/>
    </row>
    <row r="197" spans="1:34" x14ac:dyDescent="0.25">
      <c r="A197" s="259" t="s">
        <v>382</v>
      </c>
      <c r="B197" s="259" t="s">
        <v>383</v>
      </c>
      <c r="C197" s="267" t="s">
        <v>1701</v>
      </c>
      <c r="D197" s="261" t="s">
        <v>363</v>
      </c>
      <c r="E197" s="262">
        <v>0</v>
      </c>
      <c r="F197" s="262">
        <v>0</v>
      </c>
      <c r="G197" s="262">
        <v>0</v>
      </c>
      <c r="H197" s="262">
        <v>0</v>
      </c>
      <c r="I197" s="262">
        <v>0</v>
      </c>
      <c r="J197" s="262">
        <v>0</v>
      </c>
      <c r="K197" s="262">
        <v>0</v>
      </c>
      <c r="L197" s="262">
        <v>0</v>
      </c>
      <c r="M197" s="262">
        <v>0</v>
      </c>
      <c r="N197" s="262">
        <v>0</v>
      </c>
      <c r="O197" s="262">
        <v>0</v>
      </c>
      <c r="P197" s="262">
        <v>0</v>
      </c>
      <c r="Q197" s="262">
        <v>0</v>
      </c>
      <c r="R197" s="262">
        <v>0</v>
      </c>
      <c r="S197" s="262">
        <v>0</v>
      </c>
      <c r="T197" s="262">
        <v>0</v>
      </c>
      <c r="U197" s="262">
        <v>0</v>
      </c>
      <c r="V197" s="262">
        <v>0</v>
      </c>
      <c r="W197" s="262">
        <v>0</v>
      </c>
      <c r="X197" s="262">
        <v>0</v>
      </c>
      <c r="Y197" s="262">
        <v>0</v>
      </c>
      <c r="Z197" s="262">
        <v>0</v>
      </c>
      <c r="AA197" s="262">
        <v>0</v>
      </c>
      <c r="AB197" s="262">
        <v>0</v>
      </c>
      <c r="AC197" s="262">
        <v>0</v>
      </c>
      <c r="AD197" s="262">
        <v>0</v>
      </c>
      <c r="AE197" s="262">
        <v>0</v>
      </c>
      <c r="AF197" s="265">
        <v>0</v>
      </c>
      <c r="AG197" s="167"/>
      <c r="AH197" s="167"/>
    </row>
    <row r="198" spans="1:34" x14ac:dyDescent="0.25">
      <c r="A198" s="259" t="s">
        <v>382</v>
      </c>
      <c r="B198" s="259" t="s">
        <v>383</v>
      </c>
      <c r="C198" s="267" t="s">
        <v>137</v>
      </c>
      <c r="D198" s="261" t="s">
        <v>363</v>
      </c>
      <c r="E198" s="262">
        <v>0</v>
      </c>
      <c r="F198" s="262">
        <v>3</v>
      </c>
      <c r="G198" s="262">
        <v>0</v>
      </c>
      <c r="H198" s="262">
        <v>0</v>
      </c>
      <c r="I198" s="262">
        <v>0</v>
      </c>
      <c r="J198" s="262">
        <v>0</v>
      </c>
      <c r="K198" s="262">
        <v>0</v>
      </c>
      <c r="L198" s="262">
        <v>0</v>
      </c>
      <c r="M198" s="262">
        <v>0</v>
      </c>
      <c r="N198" s="262">
        <v>0</v>
      </c>
      <c r="O198" s="262">
        <v>0</v>
      </c>
      <c r="P198" s="262">
        <v>0</v>
      </c>
      <c r="Q198" s="262">
        <v>0</v>
      </c>
      <c r="R198" s="262">
        <v>0</v>
      </c>
      <c r="S198" s="262">
        <v>0</v>
      </c>
      <c r="T198" s="262">
        <v>5</v>
      </c>
      <c r="U198" s="262">
        <v>0</v>
      </c>
      <c r="V198" s="262">
        <v>0</v>
      </c>
      <c r="W198" s="262">
        <v>0</v>
      </c>
      <c r="X198" s="262">
        <v>0</v>
      </c>
      <c r="Y198" s="262">
        <v>0</v>
      </c>
      <c r="Z198" s="262">
        <v>0</v>
      </c>
      <c r="AA198" s="262">
        <v>0</v>
      </c>
      <c r="AB198" s="262">
        <v>0</v>
      </c>
      <c r="AC198" s="262">
        <v>0</v>
      </c>
      <c r="AD198" s="262">
        <v>0</v>
      </c>
      <c r="AE198" s="262">
        <v>0</v>
      </c>
      <c r="AF198" s="265">
        <v>0</v>
      </c>
      <c r="AG198" s="167"/>
      <c r="AH198" s="167"/>
    </row>
    <row r="199" spans="1:34" x14ac:dyDescent="0.25">
      <c r="A199" s="259" t="s">
        <v>382</v>
      </c>
      <c r="B199" s="259" t="s">
        <v>383</v>
      </c>
      <c r="C199" s="260" t="s">
        <v>139</v>
      </c>
      <c r="D199" s="261" t="s">
        <v>363</v>
      </c>
      <c r="E199" s="262">
        <v>0</v>
      </c>
      <c r="F199" s="262">
        <v>0</v>
      </c>
      <c r="G199" s="262">
        <v>0</v>
      </c>
      <c r="H199" s="262">
        <v>0</v>
      </c>
      <c r="I199" s="262">
        <v>0</v>
      </c>
      <c r="J199" s="262">
        <v>0</v>
      </c>
      <c r="K199" s="262">
        <v>0</v>
      </c>
      <c r="L199" s="262">
        <v>0</v>
      </c>
      <c r="M199" s="262">
        <v>0</v>
      </c>
      <c r="N199" s="262">
        <v>0</v>
      </c>
      <c r="O199" s="262">
        <v>0</v>
      </c>
      <c r="P199" s="262">
        <v>0</v>
      </c>
      <c r="Q199" s="262">
        <v>0</v>
      </c>
      <c r="R199" s="262">
        <v>0</v>
      </c>
      <c r="S199" s="262">
        <v>13</v>
      </c>
      <c r="T199" s="262">
        <v>2</v>
      </c>
      <c r="U199" s="262">
        <v>11</v>
      </c>
      <c r="V199" s="262">
        <v>0</v>
      </c>
      <c r="W199" s="262">
        <v>0</v>
      </c>
      <c r="X199" s="262">
        <v>0</v>
      </c>
      <c r="Y199" s="262">
        <v>4</v>
      </c>
      <c r="Z199" s="262">
        <v>0</v>
      </c>
      <c r="AA199" s="262">
        <v>0</v>
      </c>
      <c r="AB199" s="262">
        <v>0</v>
      </c>
      <c r="AC199" s="262">
        <v>0</v>
      </c>
      <c r="AD199" s="262">
        <v>147</v>
      </c>
      <c r="AE199" s="264">
        <v>2464</v>
      </c>
      <c r="AF199" s="265">
        <v>0</v>
      </c>
      <c r="AG199" s="167"/>
      <c r="AH199" s="167"/>
    </row>
    <row r="200" spans="1:34" x14ac:dyDescent="0.25">
      <c r="A200" s="268"/>
      <c r="B200" s="268"/>
      <c r="C200" s="269"/>
      <c r="D200" s="269"/>
      <c r="E200" s="270"/>
      <c r="F200" s="270"/>
      <c r="G200" s="270"/>
      <c r="H200" s="270"/>
      <c r="I200" s="270"/>
      <c r="J200" s="270"/>
      <c r="K200" s="270"/>
      <c r="L200" s="270"/>
      <c r="M200" s="270"/>
      <c r="N200" s="270"/>
      <c r="O200" s="270"/>
      <c r="P200" s="270"/>
      <c r="Q200" s="270"/>
      <c r="R200" s="270"/>
      <c r="S200" s="270"/>
      <c r="T200" s="270"/>
      <c r="U200" s="270"/>
      <c r="V200" s="270"/>
      <c r="W200" s="270"/>
      <c r="X200" s="270"/>
      <c r="Y200" s="270"/>
      <c r="Z200" s="270"/>
      <c r="AA200" s="270"/>
      <c r="AB200" s="270"/>
      <c r="AC200" s="270"/>
      <c r="AD200" s="270"/>
      <c r="AE200" s="270"/>
      <c r="AF200" s="268"/>
      <c r="AG200" s="167"/>
      <c r="AH200" s="167"/>
    </row>
    <row r="201" spans="1:34" x14ac:dyDescent="0.25">
      <c r="A201" s="259" t="s">
        <v>384</v>
      </c>
      <c r="B201" s="259" t="s">
        <v>385</v>
      </c>
      <c r="C201" s="260" t="s">
        <v>113</v>
      </c>
      <c r="D201" s="261" t="s">
        <v>363</v>
      </c>
      <c r="E201" s="262">
        <v>0</v>
      </c>
      <c r="F201" s="262">
        <v>0</v>
      </c>
      <c r="G201" s="262">
        <v>0</v>
      </c>
      <c r="H201" s="262">
        <v>0</v>
      </c>
      <c r="I201" s="262">
        <v>0</v>
      </c>
      <c r="J201" s="262">
        <v>0</v>
      </c>
      <c r="K201" s="262">
        <v>0</v>
      </c>
      <c r="L201" s="262">
        <v>0</v>
      </c>
      <c r="M201" s="262">
        <v>0</v>
      </c>
      <c r="N201" s="262">
        <v>0</v>
      </c>
      <c r="O201" s="262">
        <v>0</v>
      </c>
      <c r="P201" s="264">
        <v>16225</v>
      </c>
      <c r="Q201" s="262">
        <v>0</v>
      </c>
      <c r="R201" s="262">
        <v>0</v>
      </c>
      <c r="S201" s="262">
        <v>0</v>
      </c>
      <c r="T201" s="262">
        <v>0</v>
      </c>
      <c r="U201" s="262">
        <v>0</v>
      </c>
      <c r="V201" s="262">
        <v>0</v>
      </c>
      <c r="W201" s="262">
        <v>0</v>
      </c>
      <c r="X201" s="262">
        <v>0</v>
      </c>
      <c r="Y201" s="262">
        <v>0</v>
      </c>
      <c r="Z201" s="262">
        <v>0</v>
      </c>
      <c r="AA201" s="262">
        <v>0</v>
      </c>
      <c r="AB201" s="262">
        <v>0</v>
      </c>
      <c r="AC201" s="262">
        <v>0</v>
      </c>
      <c r="AD201" s="262">
        <v>0</v>
      </c>
      <c r="AE201" s="262">
        <v>0</v>
      </c>
      <c r="AF201" s="265">
        <v>0</v>
      </c>
      <c r="AG201" s="167"/>
      <c r="AH201" s="167"/>
    </row>
    <row r="202" spans="1:34" x14ac:dyDescent="0.25">
      <c r="A202" s="259" t="s">
        <v>384</v>
      </c>
      <c r="B202" s="259" t="s">
        <v>385</v>
      </c>
      <c r="C202" s="260" t="s">
        <v>115</v>
      </c>
      <c r="D202" s="261" t="s">
        <v>363</v>
      </c>
      <c r="E202" s="262">
        <v>0</v>
      </c>
      <c r="F202" s="262">
        <v>0</v>
      </c>
      <c r="G202" s="262">
        <v>0</v>
      </c>
      <c r="H202" s="262">
        <v>0</v>
      </c>
      <c r="I202" s="262">
        <v>29</v>
      </c>
      <c r="J202" s="262">
        <v>0</v>
      </c>
      <c r="K202" s="262">
        <v>0</v>
      </c>
      <c r="L202" s="262">
        <v>0</v>
      </c>
      <c r="M202" s="262">
        <v>0</v>
      </c>
      <c r="N202" s="262">
        <v>0</v>
      </c>
      <c r="O202" s="262">
        <v>27</v>
      </c>
      <c r="P202" s="262">
        <v>0</v>
      </c>
      <c r="Q202" s="262">
        <v>0</v>
      </c>
      <c r="R202" s="264">
        <v>4945</v>
      </c>
      <c r="S202" s="262">
        <v>36</v>
      </c>
      <c r="T202" s="262">
        <v>29</v>
      </c>
      <c r="U202" s="262">
        <v>323</v>
      </c>
      <c r="V202" s="262">
        <v>0</v>
      </c>
      <c r="W202" s="262">
        <v>0</v>
      </c>
      <c r="X202" s="262">
        <v>0</v>
      </c>
      <c r="Y202" s="262">
        <v>0</v>
      </c>
      <c r="Z202" s="262">
        <v>0</v>
      </c>
      <c r="AA202" s="262">
        <v>0</v>
      </c>
      <c r="AB202" s="262">
        <v>0</v>
      </c>
      <c r="AC202" s="262">
        <v>0</v>
      </c>
      <c r="AD202" s="262">
        <v>0</v>
      </c>
      <c r="AE202" s="262">
        <v>125</v>
      </c>
      <c r="AF202" s="265">
        <v>121</v>
      </c>
      <c r="AG202" s="167"/>
      <c r="AH202" s="167"/>
    </row>
    <row r="203" spans="1:34" x14ac:dyDescent="0.25">
      <c r="A203" s="259" t="s">
        <v>384</v>
      </c>
      <c r="B203" s="259" t="s">
        <v>385</v>
      </c>
      <c r="C203" s="260" t="s">
        <v>117</v>
      </c>
      <c r="D203" s="261" t="s">
        <v>363</v>
      </c>
      <c r="E203" s="264">
        <v>227418</v>
      </c>
      <c r="F203" s="264">
        <v>18597</v>
      </c>
      <c r="G203" s="264">
        <v>50571</v>
      </c>
      <c r="H203" s="264">
        <v>100657</v>
      </c>
      <c r="I203" s="264">
        <v>21262</v>
      </c>
      <c r="J203" s="262">
        <v>2</v>
      </c>
      <c r="K203" s="264">
        <v>105658</v>
      </c>
      <c r="L203" s="264">
        <v>218987</v>
      </c>
      <c r="M203" s="262">
        <v>0</v>
      </c>
      <c r="N203" s="264">
        <v>50659</v>
      </c>
      <c r="O203" s="264">
        <v>83150</v>
      </c>
      <c r="P203" s="264">
        <v>11823</v>
      </c>
      <c r="Q203" s="264">
        <v>3077</v>
      </c>
      <c r="R203" s="264">
        <v>20705</v>
      </c>
      <c r="S203" s="264">
        <v>11716</v>
      </c>
      <c r="T203" s="264">
        <v>12347</v>
      </c>
      <c r="U203" s="264">
        <v>294524</v>
      </c>
      <c r="V203" s="264">
        <v>967279</v>
      </c>
      <c r="W203" s="264">
        <v>1930183</v>
      </c>
      <c r="X203" s="262">
        <v>56</v>
      </c>
      <c r="Y203" s="264">
        <v>166209</v>
      </c>
      <c r="Z203" s="262">
        <v>402</v>
      </c>
      <c r="AA203" s="262">
        <v>0</v>
      </c>
      <c r="AB203" s="264">
        <v>6003</v>
      </c>
      <c r="AC203" s="264">
        <v>173976</v>
      </c>
      <c r="AD203" s="262">
        <v>292</v>
      </c>
      <c r="AE203" s="264">
        <v>7549</v>
      </c>
      <c r="AF203" s="266">
        <v>20650</v>
      </c>
      <c r="AG203" s="167"/>
      <c r="AH203" s="167"/>
    </row>
    <row r="204" spans="1:34" x14ac:dyDescent="0.25">
      <c r="A204" s="259" t="s">
        <v>384</v>
      </c>
      <c r="B204" s="259" t="s">
        <v>385</v>
      </c>
      <c r="C204" s="260" t="s">
        <v>119</v>
      </c>
      <c r="D204" s="261" t="s">
        <v>363</v>
      </c>
      <c r="E204" s="262">
        <v>0</v>
      </c>
      <c r="F204" s="262">
        <v>0</v>
      </c>
      <c r="G204" s="262">
        <v>0</v>
      </c>
      <c r="H204" s="262">
        <v>0</v>
      </c>
      <c r="I204" s="262">
        <v>0</v>
      </c>
      <c r="J204" s="262">
        <v>0</v>
      </c>
      <c r="K204" s="262">
        <v>0</v>
      </c>
      <c r="L204" s="262">
        <v>0</v>
      </c>
      <c r="M204" s="262">
        <v>353</v>
      </c>
      <c r="N204" s="262">
        <v>0</v>
      </c>
      <c r="O204" s="262">
        <v>0</v>
      </c>
      <c r="P204" s="262">
        <v>0</v>
      </c>
      <c r="Q204" s="262">
        <v>0</v>
      </c>
      <c r="R204" s="262">
        <v>27</v>
      </c>
      <c r="S204" s="262">
        <v>0</v>
      </c>
      <c r="T204" s="262">
        <v>16</v>
      </c>
      <c r="U204" s="262">
        <v>238</v>
      </c>
      <c r="V204" s="264">
        <v>9403</v>
      </c>
      <c r="W204" s="262">
        <v>0</v>
      </c>
      <c r="X204" s="262">
        <v>0</v>
      </c>
      <c r="Y204" s="262">
        <v>357</v>
      </c>
      <c r="Z204" s="262">
        <v>0</v>
      </c>
      <c r="AA204" s="262">
        <v>0</v>
      </c>
      <c r="AB204" s="262">
        <v>0</v>
      </c>
      <c r="AC204" s="262">
        <v>0</v>
      </c>
      <c r="AD204" s="262">
        <v>0</v>
      </c>
      <c r="AE204" s="262">
        <v>0</v>
      </c>
      <c r="AF204" s="265">
        <v>303</v>
      </c>
      <c r="AG204" s="167"/>
      <c r="AH204" s="167"/>
    </row>
    <row r="205" spans="1:34" x14ac:dyDescent="0.25">
      <c r="A205" s="259" t="s">
        <v>384</v>
      </c>
      <c r="B205" s="259" t="s">
        <v>385</v>
      </c>
      <c r="C205" s="260" t="s">
        <v>120</v>
      </c>
      <c r="D205" s="261" t="s">
        <v>363</v>
      </c>
      <c r="E205" s="264">
        <v>19414</v>
      </c>
      <c r="F205" s="262">
        <v>0</v>
      </c>
      <c r="G205" s="264">
        <v>1548</v>
      </c>
      <c r="H205" s="264">
        <v>136209</v>
      </c>
      <c r="I205" s="264">
        <v>2613</v>
      </c>
      <c r="J205" s="264">
        <v>19002</v>
      </c>
      <c r="K205" s="264">
        <v>371475</v>
      </c>
      <c r="L205" s="264">
        <v>443833</v>
      </c>
      <c r="M205" s="264">
        <v>3152</v>
      </c>
      <c r="N205" s="264">
        <v>7694</v>
      </c>
      <c r="O205" s="264">
        <v>2060</v>
      </c>
      <c r="P205" s="264">
        <v>7058930</v>
      </c>
      <c r="Q205" s="262">
        <v>69</v>
      </c>
      <c r="R205" s="264">
        <v>12899</v>
      </c>
      <c r="S205" s="264">
        <v>2042</v>
      </c>
      <c r="T205" s="262">
        <v>2</v>
      </c>
      <c r="U205" s="264">
        <v>2565</v>
      </c>
      <c r="V205" s="264">
        <v>1566007</v>
      </c>
      <c r="W205" s="264">
        <v>4254381</v>
      </c>
      <c r="X205" s="262">
        <v>297</v>
      </c>
      <c r="Y205" s="264">
        <v>17580</v>
      </c>
      <c r="Z205" s="264">
        <v>8695</v>
      </c>
      <c r="AA205" s="264">
        <v>61654</v>
      </c>
      <c r="AB205" s="264">
        <v>67054</v>
      </c>
      <c r="AC205" s="262">
        <v>0</v>
      </c>
      <c r="AD205" s="262">
        <v>139</v>
      </c>
      <c r="AE205" s="264">
        <v>8661</v>
      </c>
      <c r="AF205" s="266">
        <v>28385</v>
      </c>
      <c r="AG205" s="167"/>
      <c r="AH205" s="167"/>
    </row>
    <row r="206" spans="1:34" x14ac:dyDescent="0.25">
      <c r="A206" s="259" t="s">
        <v>384</v>
      </c>
      <c r="B206" s="259" t="s">
        <v>385</v>
      </c>
      <c r="C206" s="260" t="s">
        <v>122</v>
      </c>
      <c r="D206" s="261" t="s">
        <v>363</v>
      </c>
      <c r="E206" s="262">
        <v>0</v>
      </c>
      <c r="F206" s="262">
        <v>0</v>
      </c>
      <c r="G206" s="262">
        <v>0</v>
      </c>
      <c r="H206" s="262">
        <v>0</v>
      </c>
      <c r="I206" s="262">
        <v>0</v>
      </c>
      <c r="J206" s="262">
        <v>0</v>
      </c>
      <c r="K206" s="262">
        <v>0</v>
      </c>
      <c r="L206" s="262">
        <v>0</v>
      </c>
      <c r="M206" s="262">
        <v>0</v>
      </c>
      <c r="N206" s="262">
        <v>0</v>
      </c>
      <c r="O206" s="262">
        <v>0</v>
      </c>
      <c r="P206" s="264">
        <v>60150</v>
      </c>
      <c r="Q206" s="262">
        <v>0</v>
      </c>
      <c r="R206" s="262">
        <v>0</v>
      </c>
      <c r="S206" s="262">
        <v>0</v>
      </c>
      <c r="T206" s="262">
        <v>0</v>
      </c>
      <c r="U206" s="262">
        <v>46</v>
      </c>
      <c r="V206" s="262">
        <v>0</v>
      </c>
      <c r="W206" s="262">
        <v>0</v>
      </c>
      <c r="X206" s="262">
        <v>0</v>
      </c>
      <c r="Y206" s="262">
        <v>0</v>
      </c>
      <c r="Z206" s="262">
        <v>0</v>
      </c>
      <c r="AA206" s="262">
        <v>0</v>
      </c>
      <c r="AB206" s="262">
        <v>0</v>
      </c>
      <c r="AC206" s="262">
        <v>0</v>
      </c>
      <c r="AD206" s="262">
        <v>0</v>
      </c>
      <c r="AE206" s="262">
        <v>0</v>
      </c>
      <c r="AF206" s="266">
        <v>29806</v>
      </c>
      <c r="AG206" s="167"/>
      <c r="AH206" s="167"/>
    </row>
    <row r="207" spans="1:34" x14ac:dyDescent="0.25">
      <c r="A207" s="259" t="s">
        <v>384</v>
      </c>
      <c r="B207" s="259" t="s">
        <v>385</v>
      </c>
      <c r="C207" s="260" t="s">
        <v>124</v>
      </c>
      <c r="D207" s="261" t="s">
        <v>363</v>
      </c>
      <c r="E207" s="262">
        <v>0</v>
      </c>
      <c r="F207" s="262">
        <v>0</v>
      </c>
      <c r="G207" s="262">
        <v>0</v>
      </c>
      <c r="H207" s="264">
        <v>2209</v>
      </c>
      <c r="I207" s="262">
        <v>0</v>
      </c>
      <c r="J207" s="262">
        <v>0</v>
      </c>
      <c r="K207" s="262">
        <v>0</v>
      </c>
      <c r="L207" s="262">
        <v>0</v>
      </c>
      <c r="M207" s="262">
        <v>0</v>
      </c>
      <c r="N207" s="262">
        <v>0</v>
      </c>
      <c r="O207" s="262">
        <v>28</v>
      </c>
      <c r="P207" s="264">
        <v>867768</v>
      </c>
      <c r="Q207" s="262">
        <v>0</v>
      </c>
      <c r="R207" s="262">
        <v>0</v>
      </c>
      <c r="S207" s="262">
        <v>3</v>
      </c>
      <c r="T207" s="262">
        <v>3</v>
      </c>
      <c r="U207" s="262">
        <v>0</v>
      </c>
      <c r="V207" s="264">
        <v>5002</v>
      </c>
      <c r="W207" s="262">
        <v>0</v>
      </c>
      <c r="X207" s="262">
        <v>0</v>
      </c>
      <c r="Y207" s="262">
        <v>1</v>
      </c>
      <c r="Z207" s="262">
        <v>0</v>
      </c>
      <c r="AA207" s="264">
        <v>4307</v>
      </c>
      <c r="AB207" s="262">
        <v>0</v>
      </c>
      <c r="AC207" s="262">
        <v>0</v>
      </c>
      <c r="AD207" s="262">
        <v>35</v>
      </c>
      <c r="AE207" s="264">
        <v>8883</v>
      </c>
      <c r="AF207" s="265">
        <v>0</v>
      </c>
      <c r="AG207" s="167"/>
      <c r="AH207" s="167"/>
    </row>
    <row r="208" spans="1:34" x14ac:dyDescent="0.25">
      <c r="A208" s="259" t="s">
        <v>384</v>
      </c>
      <c r="B208" s="259" t="s">
        <v>385</v>
      </c>
      <c r="C208" s="260" t="s">
        <v>126</v>
      </c>
      <c r="D208" s="261" t="s">
        <v>363</v>
      </c>
      <c r="E208" s="264">
        <v>51694</v>
      </c>
      <c r="F208" s="264">
        <v>209134</v>
      </c>
      <c r="G208" s="264">
        <v>35379</v>
      </c>
      <c r="H208" s="264">
        <v>134956</v>
      </c>
      <c r="I208" s="264">
        <v>2489</v>
      </c>
      <c r="J208" s="264">
        <v>40581</v>
      </c>
      <c r="K208" s="264">
        <v>458739</v>
      </c>
      <c r="L208" s="264">
        <v>266728</v>
      </c>
      <c r="M208" s="264">
        <v>188045</v>
      </c>
      <c r="N208" s="264">
        <v>29323</v>
      </c>
      <c r="O208" s="264">
        <v>37134</v>
      </c>
      <c r="P208" s="264">
        <v>9912236</v>
      </c>
      <c r="Q208" s="264">
        <v>18798</v>
      </c>
      <c r="R208" s="264">
        <v>93309</v>
      </c>
      <c r="S208" s="264">
        <v>60634</v>
      </c>
      <c r="T208" s="264">
        <v>122487</v>
      </c>
      <c r="U208" s="264">
        <v>110201</v>
      </c>
      <c r="V208" s="264">
        <v>697609</v>
      </c>
      <c r="W208" s="264">
        <v>1984903</v>
      </c>
      <c r="X208" s="264">
        <v>93389</v>
      </c>
      <c r="Y208" s="264">
        <v>403249</v>
      </c>
      <c r="Z208" s="264">
        <v>141843</v>
      </c>
      <c r="AA208" s="264">
        <v>606332</v>
      </c>
      <c r="AB208" s="264">
        <v>404480</v>
      </c>
      <c r="AC208" s="264">
        <v>14136</v>
      </c>
      <c r="AD208" s="264">
        <v>26751</v>
      </c>
      <c r="AE208" s="264">
        <v>18349</v>
      </c>
      <c r="AF208" s="266">
        <v>360598</v>
      </c>
      <c r="AG208" s="167"/>
      <c r="AH208" s="167"/>
    </row>
    <row r="209" spans="1:36" x14ac:dyDescent="0.25">
      <c r="A209" s="259" t="s">
        <v>384</v>
      </c>
      <c r="B209" s="259" t="s">
        <v>385</v>
      </c>
      <c r="C209" s="260" t="s">
        <v>128</v>
      </c>
      <c r="D209" s="261" t="s">
        <v>363</v>
      </c>
      <c r="E209" s="264">
        <v>4700</v>
      </c>
      <c r="F209" s="264">
        <v>213300</v>
      </c>
      <c r="G209" s="264">
        <v>54586</v>
      </c>
      <c r="H209" s="264">
        <v>17651</v>
      </c>
      <c r="I209" s="262">
        <v>280</v>
      </c>
      <c r="J209" s="264">
        <v>35210</v>
      </c>
      <c r="K209" s="264">
        <v>414567</v>
      </c>
      <c r="L209" s="264">
        <v>425450</v>
      </c>
      <c r="M209" s="264">
        <v>45851</v>
      </c>
      <c r="N209" s="264">
        <v>115165</v>
      </c>
      <c r="O209" s="264">
        <v>15902</v>
      </c>
      <c r="P209" s="264">
        <v>2425311</v>
      </c>
      <c r="Q209" s="264">
        <v>1360</v>
      </c>
      <c r="R209" s="264">
        <v>29567</v>
      </c>
      <c r="S209" s="264">
        <v>21605</v>
      </c>
      <c r="T209" s="264">
        <v>24708</v>
      </c>
      <c r="U209" s="264">
        <v>46684</v>
      </c>
      <c r="V209" s="264">
        <v>308481</v>
      </c>
      <c r="W209" s="264">
        <v>260973</v>
      </c>
      <c r="X209" s="264">
        <v>24682</v>
      </c>
      <c r="Y209" s="264">
        <v>398073</v>
      </c>
      <c r="Z209" s="264">
        <v>126658</v>
      </c>
      <c r="AA209" s="264">
        <v>3335154</v>
      </c>
      <c r="AB209" s="264">
        <v>84334</v>
      </c>
      <c r="AC209" s="264">
        <v>73821</v>
      </c>
      <c r="AD209" s="264">
        <v>32355</v>
      </c>
      <c r="AE209" s="264">
        <v>65284</v>
      </c>
      <c r="AF209" s="266">
        <v>593308</v>
      </c>
      <c r="AG209" s="167"/>
      <c r="AH209" s="167"/>
    </row>
    <row r="210" spans="1:36" x14ac:dyDescent="0.25">
      <c r="A210" s="259" t="s">
        <v>384</v>
      </c>
      <c r="B210" s="259" t="s">
        <v>385</v>
      </c>
      <c r="C210" s="260" t="s">
        <v>130</v>
      </c>
      <c r="D210" s="261" t="s">
        <v>363</v>
      </c>
      <c r="E210" s="262">
        <v>0</v>
      </c>
      <c r="F210" s="262">
        <v>0</v>
      </c>
      <c r="G210" s="262">
        <v>0</v>
      </c>
      <c r="H210" s="262">
        <v>0</v>
      </c>
      <c r="I210" s="262">
        <v>0</v>
      </c>
      <c r="J210" s="264">
        <v>31129</v>
      </c>
      <c r="K210" s="262">
        <v>0</v>
      </c>
      <c r="L210" s="262">
        <v>0</v>
      </c>
      <c r="M210" s="262">
        <v>0</v>
      </c>
      <c r="N210" s="264">
        <v>6321</v>
      </c>
      <c r="O210" s="262">
        <v>0</v>
      </c>
      <c r="P210" s="264">
        <v>1436239</v>
      </c>
      <c r="Q210" s="264">
        <v>4960</v>
      </c>
      <c r="R210" s="264">
        <v>20720</v>
      </c>
      <c r="S210" s="264">
        <v>5026</v>
      </c>
      <c r="T210" s="264">
        <v>18941</v>
      </c>
      <c r="U210" s="264">
        <v>33544</v>
      </c>
      <c r="V210" s="262">
        <v>0</v>
      </c>
      <c r="W210" s="262">
        <v>0</v>
      </c>
      <c r="X210" s="262">
        <v>0</v>
      </c>
      <c r="Y210" s="262">
        <v>0</v>
      </c>
      <c r="Z210" s="264">
        <v>42990</v>
      </c>
      <c r="AA210" s="262">
        <v>0</v>
      </c>
      <c r="AB210" s="262">
        <v>0</v>
      </c>
      <c r="AC210" s="262">
        <v>0</v>
      </c>
      <c r="AD210" s="262">
        <v>0</v>
      </c>
      <c r="AE210" s="264">
        <v>10529</v>
      </c>
      <c r="AF210" s="265">
        <v>935</v>
      </c>
      <c r="AG210" s="167"/>
      <c r="AH210" s="167"/>
    </row>
    <row r="211" spans="1:36" x14ac:dyDescent="0.25">
      <c r="A211" s="259" t="s">
        <v>384</v>
      </c>
      <c r="B211" s="259" t="s">
        <v>385</v>
      </c>
      <c r="C211" s="260" t="s">
        <v>132</v>
      </c>
      <c r="D211" s="261" t="s">
        <v>363</v>
      </c>
      <c r="E211" s="264">
        <v>2615</v>
      </c>
      <c r="F211" s="264">
        <v>5237</v>
      </c>
      <c r="G211" s="264">
        <v>3870</v>
      </c>
      <c r="H211" s="262">
        <v>202</v>
      </c>
      <c r="I211" s="264">
        <v>3526</v>
      </c>
      <c r="J211" s="262">
        <v>112</v>
      </c>
      <c r="K211" s="264">
        <v>16943</v>
      </c>
      <c r="L211" s="264">
        <v>3518</v>
      </c>
      <c r="M211" s="264">
        <v>7380</v>
      </c>
      <c r="N211" s="262">
        <v>0</v>
      </c>
      <c r="O211" s="264">
        <v>7030</v>
      </c>
      <c r="P211" s="264">
        <v>6149</v>
      </c>
      <c r="Q211" s="262">
        <v>360</v>
      </c>
      <c r="R211" s="264">
        <v>7426</v>
      </c>
      <c r="S211" s="262">
        <v>927</v>
      </c>
      <c r="T211" s="264">
        <v>2460</v>
      </c>
      <c r="U211" s="264">
        <v>4932</v>
      </c>
      <c r="V211" s="264">
        <v>23388</v>
      </c>
      <c r="W211" s="264">
        <v>192119</v>
      </c>
      <c r="X211" s="264">
        <v>2406</v>
      </c>
      <c r="Y211" s="264">
        <v>55769</v>
      </c>
      <c r="Z211" s="264">
        <v>13446</v>
      </c>
      <c r="AA211" s="262">
        <v>8</v>
      </c>
      <c r="AB211" s="264">
        <v>20434</v>
      </c>
      <c r="AC211" s="262">
        <v>134</v>
      </c>
      <c r="AD211" s="262">
        <v>77</v>
      </c>
      <c r="AE211" s="264">
        <v>33234</v>
      </c>
      <c r="AF211" s="266">
        <v>1863</v>
      </c>
      <c r="AG211" s="167"/>
      <c r="AH211" s="167"/>
    </row>
    <row r="212" spans="1:36" x14ac:dyDescent="0.25">
      <c r="A212" s="259" t="s">
        <v>384</v>
      </c>
      <c r="B212" s="259" t="s">
        <v>385</v>
      </c>
      <c r="C212" s="260" t="s">
        <v>134</v>
      </c>
      <c r="D212" s="261" t="s">
        <v>363</v>
      </c>
      <c r="E212" s="264">
        <v>78036</v>
      </c>
      <c r="F212" s="264">
        <v>206400</v>
      </c>
      <c r="G212" s="264">
        <v>69330</v>
      </c>
      <c r="H212" s="264">
        <v>18126</v>
      </c>
      <c r="I212" s="264">
        <v>7859</v>
      </c>
      <c r="J212" s="262">
        <v>478</v>
      </c>
      <c r="K212" s="264">
        <v>233566</v>
      </c>
      <c r="L212" s="264">
        <v>56962</v>
      </c>
      <c r="M212" s="264">
        <v>29987</v>
      </c>
      <c r="N212" s="264">
        <v>76618</v>
      </c>
      <c r="O212" s="264">
        <v>31453</v>
      </c>
      <c r="P212" s="264">
        <v>90807</v>
      </c>
      <c r="Q212" s="264">
        <v>4336</v>
      </c>
      <c r="R212" s="264">
        <v>45225</v>
      </c>
      <c r="S212" s="264">
        <v>1084</v>
      </c>
      <c r="T212" s="264">
        <v>3974</v>
      </c>
      <c r="U212" s="264">
        <v>16808</v>
      </c>
      <c r="V212" s="264">
        <v>435633</v>
      </c>
      <c r="W212" s="264">
        <v>150372</v>
      </c>
      <c r="X212" s="264">
        <v>9761</v>
      </c>
      <c r="Y212" s="264">
        <v>268039</v>
      </c>
      <c r="Z212" s="264">
        <v>54919</v>
      </c>
      <c r="AA212" s="264">
        <v>999222</v>
      </c>
      <c r="AB212" s="264">
        <v>24908</v>
      </c>
      <c r="AC212" s="264">
        <v>19058</v>
      </c>
      <c r="AD212" s="264">
        <v>73084</v>
      </c>
      <c r="AE212" s="264">
        <v>14969</v>
      </c>
      <c r="AF212" s="266">
        <v>46634</v>
      </c>
      <c r="AG212" s="167"/>
      <c r="AH212" s="167"/>
    </row>
    <row r="213" spans="1:36" x14ac:dyDescent="0.25">
      <c r="A213" s="259" t="s">
        <v>384</v>
      </c>
      <c r="B213" s="259" t="s">
        <v>385</v>
      </c>
      <c r="C213" s="267" t="s">
        <v>1701</v>
      </c>
      <c r="D213" s="261" t="s">
        <v>363</v>
      </c>
      <c r="E213" s="262">
        <v>0</v>
      </c>
      <c r="F213" s="262">
        <v>0</v>
      </c>
      <c r="G213" s="262">
        <v>0</v>
      </c>
      <c r="H213" s="262">
        <v>0</v>
      </c>
      <c r="I213" s="264">
        <v>4908</v>
      </c>
      <c r="J213" s="262">
        <v>0</v>
      </c>
      <c r="K213" s="262">
        <v>0</v>
      </c>
      <c r="L213" s="262">
        <v>0</v>
      </c>
      <c r="M213" s="262">
        <v>0</v>
      </c>
      <c r="N213" s="262">
        <v>0</v>
      </c>
      <c r="O213" s="262">
        <v>0</v>
      </c>
      <c r="P213" s="262">
        <v>0</v>
      </c>
      <c r="Q213" s="262">
        <v>0</v>
      </c>
      <c r="R213" s="262">
        <v>483</v>
      </c>
      <c r="S213" s="262">
        <v>14</v>
      </c>
      <c r="T213" s="262">
        <v>67</v>
      </c>
      <c r="U213" s="262">
        <v>0</v>
      </c>
      <c r="V213" s="262">
        <v>0</v>
      </c>
      <c r="W213" s="262">
        <v>0</v>
      </c>
      <c r="X213" s="262">
        <v>23</v>
      </c>
      <c r="Y213" s="262">
        <v>0</v>
      </c>
      <c r="Z213" s="262">
        <v>0</v>
      </c>
      <c r="AA213" s="262">
        <v>0</v>
      </c>
      <c r="AB213" s="262">
        <v>0</v>
      </c>
      <c r="AC213" s="262">
        <v>0</v>
      </c>
      <c r="AD213" s="262">
        <v>0</v>
      </c>
      <c r="AE213" s="262">
        <v>189</v>
      </c>
      <c r="AF213" s="265">
        <v>0</v>
      </c>
      <c r="AG213" s="167"/>
      <c r="AH213" s="167"/>
    </row>
    <row r="214" spans="1:36" x14ac:dyDescent="0.25">
      <c r="A214" s="259" t="s">
        <v>384</v>
      </c>
      <c r="B214" s="259" t="s">
        <v>385</v>
      </c>
      <c r="C214" s="267" t="s">
        <v>137</v>
      </c>
      <c r="D214" s="261" t="s">
        <v>363</v>
      </c>
      <c r="E214" s="262">
        <v>0</v>
      </c>
      <c r="F214" s="262">
        <v>0</v>
      </c>
      <c r="G214" s="262">
        <v>0</v>
      </c>
      <c r="H214" s="262">
        <v>0</v>
      </c>
      <c r="I214" s="262">
        <v>0</v>
      </c>
      <c r="J214" s="262">
        <v>0</v>
      </c>
      <c r="K214" s="262">
        <v>0</v>
      </c>
      <c r="L214" s="262">
        <v>0</v>
      </c>
      <c r="M214" s="262">
        <v>0</v>
      </c>
      <c r="N214" s="262">
        <v>0</v>
      </c>
      <c r="O214" s="262">
        <v>0</v>
      </c>
      <c r="P214" s="262">
        <v>0</v>
      </c>
      <c r="Q214" s="262">
        <v>0</v>
      </c>
      <c r="R214" s="262">
        <v>81</v>
      </c>
      <c r="S214" s="262">
        <v>0</v>
      </c>
      <c r="T214" s="262">
        <v>616</v>
      </c>
      <c r="U214" s="262">
        <v>4</v>
      </c>
      <c r="V214" s="262">
        <v>0</v>
      </c>
      <c r="W214" s="262">
        <v>0</v>
      </c>
      <c r="X214" s="262">
        <v>0</v>
      </c>
      <c r="Y214" s="262">
        <v>2</v>
      </c>
      <c r="Z214" s="264">
        <v>12150</v>
      </c>
      <c r="AA214" s="262">
        <v>0</v>
      </c>
      <c r="AB214" s="262">
        <v>736</v>
      </c>
      <c r="AC214" s="262">
        <v>0</v>
      </c>
      <c r="AD214" s="262">
        <v>0</v>
      </c>
      <c r="AE214" s="262">
        <v>75</v>
      </c>
      <c r="AF214" s="265">
        <v>0</v>
      </c>
      <c r="AG214" s="167"/>
      <c r="AH214" s="167"/>
    </row>
    <row r="215" spans="1:36" x14ac:dyDescent="0.25">
      <c r="A215" s="259" t="s">
        <v>384</v>
      </c>
      <c r="B215" s="259" t="s">
        <v>385</v>
      </c>
      <c r="C215" s="260" t="s">
        <v>139</v>
      </c>
      <c r="D215" s="261" t="s">
        <v>363</v>
      </c>
      <c r="E215" s="262">
        <v>0</v>
      </c>
      <c r="F215" s="262">
        <v>0</v>
      </c>
      <c r="G215" s="262">
        <v>28</v>
      </c>
      <c r="H215" s="262">
        <v>0</v>
      </c>
      <c r="I215" s="262">
        <v>0</v>
      </c>
      <c r="J215" s="262">
        <v>0</v>
      </c>
      <c r="K215" s="264">
        <v>2536</v>
      </c>
      <c r="L215" s="262">
        <v>0</v>
      </c>
      <c r="M215" s="262">
        <v>0</v>
      </c>
      <c r="N215" s="262">
        <v>0</v>
      </c>
      <c r="O215" s="262">
        <v>0</v>
      </c>
      <c r="P215" s="262">
        <v>0</v>
      </c>
      <c r="Q215" s="262">
        <v>0</v>
      </c>
      <c r="R215" s="262">
        <v>506</v>
      </c>
      <c r="S215" s="262">
        <v>13</v>
      </c>
      <c r="T215" s="264">
        <v>1198</v>
      </c>
      <c r="U215" s="262">
        <v>135</v>
      </c>
      <c r="V215" s="262">
        <v>0</v>
      </c>
      <c r="W215" s="262">
        <v>0</v>
      </c>
      <c r="X215" s="262">
        <v>0</v>
      </c>
      <c r="Y215" s="262">
        <v>241</v>
      </c>
      <c r="Z215" s="264">
        <v>5662</v>
      </c>
      <c r="AA215" s="262">
        <v>0</v>
      </c>
      <c r="AB215" s="262">
        <v>0</v>
      </c>
      <c r="AC215" s="262">
        <v>0</v>
      </c>
      <c r="AD215" s="262">
        <v>146</v>
      </c>
      <c r="AE215" s="264">
        <v>5012</v>
      </c>
      <c r="AF215" s="266">
        <v>2524</v>
      </c>
      <c r="AG215" s="167"/>
      <c r="AH215" s="167"/>
    </row>
    <row r="216" spans="1:36" x14ac:dyDescent="0.25">
      <c r="A216" s="268"/>
      <c r="B216" s="268"/>
      <c r="C216" s="269"/>
      <c r="D216" s="269"/>
      <c r="E216" s="270"/>
      <c r="F216" s="270"/>
      <c r="G216" s="270"/>
      <c r="H216" s="270"/>
      <c r="I216" s="270"/>
      <c r="J216" s="270"/>
      <c r="K216" s="270"/>
      <c r="L216" s="270"/>
      <c r="M216" s="270"/>
      <c r="N216" s="270"/>
      <c r="O216" s="270"/>
      <c r="P216" s="270"/>
      <c r="Q216" s="270"/>
      <c r="R216" s="270"/>
      <c r="S216" s="270"/>
      <c r="T216" s="270"/>
      <c r="U216" s="270"/>
      <c r="V216" s="270"/>
      <c r="W216" s="270"/>
      <c r="X216" s="270"/>
      <c r="Y216" s="270"/>
      <c r="Z216" s="270"/>
      <c r="AA216" s="270"/>
      <c r="AB216" s="270"/>
      <c r="AC216" s="270"/>
      <c r="AD216" s="270"/>
      <c r="AE216" s="270"/>
      <c r="AF216" s="268"/>
      <c r="AG216" s="167"/>
      <c r="AH216" s="167"/>
    </row>
    <row r="217" spans="1:36" x14ac:dyDescent="0.25">
      <c r="A217" s="168"/>
      <c r="B217" s="168"/>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c r="AC217" s="167"/>
      <c r="AD217" s="167"/>
      <c r="AE217" s="167"/>
      <c r="AF217" s="167"/>
      <c r="AG217" s="167"/>
      <c r="AH217" s="167"/>
    </row>
    <row r="218" spans="1:36" x14ac:dyDescent="0.25">
      <c r="A218" s="168"/>
      <c r="B218" s="168"/>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c r="AD218" s="167"/>
      <c r="AE218" s="167"/>
      <c r="AF218" s="167"/>
      <c r="AG218" s="167"/>
      <c r="AH218" s="167"/>
    </row>
    <row r="219" spans="1:36" x14ac:dyDescent="0.25">
      <c r="A219" s="168"/>
      <c r="B219" s="168"/>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c r="AC219" s="167"/>
      <c r="AD219" s="167"/>
      <c r="AE219" s="167"/>
      <c r="AF219" s="167"/>
      <c r="AG219" s="167"/>
      <c r="AH219" s="167"/>
    </row>
    <row r="220" spans="1:36" ht="15.75" x14ac:dyDescent="0.25">
      <c r="A220" s="228" t="s">
        <v>386</v>
      </c>
      <c r="B220" s="168"/>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c r="AD220" s="167"/>
      <c r="AE220" s="167"/>
      <c r="AF220" s="167"/>
      <c r="AG220" s="167"/>
      <c r="AH220" s="167"/>
    </row>
    <row r="221" spans="1:36" x14ac:dyDescent="0.25">
      <c r="A221" s="168"/>
      <c r="B221" s="168"/>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c r="AD221" s="167"/>
      <c r="AE221" s="167"/>
      <c r="AF221" s="167"/>
      <c r="AG221" s="167"/>
      <c r="AH221" s="167"/>
    </row>
    <row r="222" spans="1:36" ht="17.25" x14ac:dyDescent="0.3">
      <c r="A222" s="201" t="s">
        <v>387</v>
      </c>
      <c r="B222" s="120"/>
      <c r="C222" s="120"/>
      <c r="D222" s="120"/>
    </row>
    <row r="223" spans="1:36" x14ac:dyDescent="0.25">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c r="AE223" s="168"/>
      <c r="AF223" s="168"/>
      <c r="AI223" t="s">
        <v>120</v>
      </c>
      <c r="AJ223">
        <f>SUMIFS(AF8:AF100,C8:C100,AI223)</f>
        <v>455517</v>
      </c>
    </row>
    <row r="224" spans="1:36" x14ac:dyDescent="0.25">
      <c r="B224" s="170"/>
      <c r="C224" s="170"/>
      <c r="D224" s="170"/>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c r="AC224" s="171"/>
      <c r="AD224" s="171"/>
      <c r="AE224" s="171"/>
      <c r="AF224" s="169"/>
    </row>
    <row r="225" spans="1:35" ht="15.75" x14ac:dyDescent="0.25">
      <c r="B225" s="174" t="s">
        <v>358</v>
      </c>
      <c r="C225" s="174" t="s">
        <v>360</v>
      </c>
      <c r="D225" s="174" t="s">
        <v>342</v>
      </c>
      <c r="E225" s="175" t="s">
        <v>162</v>
      </c>
      <c r="F225" s="175" t="s">
        <v>164</v>
      </c>
      <c r="G225" s="175" t="s">
        <v>166</v>
      </c>
      <c r="H225" s="175" t="s">
        <v>168</v>
      </c>
      <c r="I225" s="175" t="s">
        <v>170</v>
      </c>
      <c r="J225" s="175" t="s">
        <v>173</v>
      </c>
      <c r="K225" s="175" t="s">
        <v>175</v>
      </c>
      <c r="L225" s="175" t="s">
        <v>177</v>
      </c>
      <c r="M225" s="175" t="s">
        <v>179</v>
      </c>
      <c r="N225" s="175" t="s">
        <v>181</v>
      </c>
      <c r="O225" s="175" t="s">
        <v>183</v>
      </c>
      <c r="P225" s="175" t="s">
        <v>185</v>
      </c>
      <c r="Q225" s="175" t="s">
        <v>188</v>
      </c>
      <c r="R225" s="175" t="s">
        <v>190</v>
      </c>
      <c r="S225" s="175" t="s">
        <v>192</v>
      </c>
      <c r="T225" s="175" t="s">
        <v>194</v>
      </c>
      <c r="U225" s="175" t="s">
        <v>196</v>
      </c>
      <c r="V225" s="175" t="s">
        <v>198</v>
      </c>
      <c r="W225" s="175" t="s">
        <v>9</v>
      </c>
      <c r="X225" s="175" t="s">
        <v>201</v>
      </c>
      <c r="Y225" s="175" t="s">
        <v>203</v>
      </c>
      <c r="Z225" s="175" t="s">
        <v>205</v>
      </c>
      <c r="AA225" s="175" t="s">
        <v>207</v>
      </c>
      <c r="AB225" s="175" t="s">
        <v>210</v>
      </c>
      <c r="AC225" s="175" t="s">
        <v>212</v>
      </c>
      <c r="AD225" s="175" t="s">
        <v>214</v>
      </c>
      <c r="AE225" s="175" t="s">
        <v>217</v>
      </c>
      <c r="AF225" s="176" t="s">
        <v>219</v>
      </c>
    </row>
    <row r="226" spans="1:35" x14ac:dyDescent="0.25">
      <c r="B226" s="178" t="s">
        <v>388</v>
      </c>
      <c r="C226" s="178" t="s">
        <v>389</v>
      </c>
      <c r="D226" s="179" t="s">
        <v>363</v>
      </c>
      <c r="E226" s="180">
        <v>0</v>
      </c>
      <c r="F226" s="180">
        <v>0</v>
      </c>
      <c r="G226" s="180">
        <v>0</v>
      </c>
      <c r="H226" s="180">
        <v>0</v>
      </c>
      <c r="I226" s="180">
        <v>0</v>
      </c>
      <c r="J226" s="180">
        <v>0</v>
      </c>
      <c r="K226" s="180">
        <v>0</v>
      </c>
      <c r="L226" s="180">
        <v>0</v>
      </c>
      <c r="M226" s="180">
        <v>0</v>
      </c>
      <c r="N226" s="180">
        <v>0</v>
      </c>
      <c r="O226" s="180">
        <v>0</v>
      </c>
      <c r="P226" s="180">
        <v>0</v>
      </c>
      <c r="Q226" s="180">
        <v>0</v>
      </c>
      <c r="R226" s="180">
        <v>0</v>
      </c>
      <c r="S226" s="180">
        <v>0</v>
      </c>
      <c r="T226" s="180">
        <v>0</v>
      </c>
      <c r="U226" s="180">
        <v>-24</v>
      </c>
      <c r="V226" s="180">
        <v>0</v>
      </c>
      <c r="W226" s="180">
        <v>0</v>
      </c>
      <c r="X226" s="180">
        <v>0</v>
      </c>
      <c r="Y226" s="180">
        <v>0</v>
      </c>
      <c r="Z226" s="180">
        <v>0</v>
      </c>
      <c r="AA226" s="180">
        <v>0</v>
      </c>
      <c r="AB226" s="180">
        <v>0</v>
      </c>
      <c r="AC226" s="180">
        <v>0</v>
      </c>
      <c r="AD226" s="180">
        <v>0</v>
      </c>
      <c r="AE226" s="180">
        <v>0</v>
      </c>
      <c r="AF226" s="182">
        <v>0</v>
      </c>
    </row>
    <row r="227" spans="1:35" x14ac:dyDescent="0.25">
      <c r="B227" s="178" t="s">
        <v>388</v>
      </c>
      <c r="C227" s="178" t="s">
        <v>390</v>
      </c>
      <c r="D227" s="179" t="s">
        <v>363</v>
      </c>
      <c r="E227" s="180">
        <v>0</v>
      </c>
      <c r="F227" s="180">
        <v>-508</v>
      </c>
      <c r="G227" s="180">
        <v>0</v>
      </c>
      <c r="H227" s="180">
        <v>0</v>
      </c>
      <c r="I227" s="180">
        <v>-1642</v>
      </c>
      <c r="J227" s="180">
        <v>0</v>
      </c>
      <c r="K227" s="180">
        <v>0</v>
      </c>
      <c r="L227" s="180">
        <v>0</v>
      </c>
      <c r="M227" s="180">
        <v>0</v>
      </c>
      <c r="N227" s="180">
        <v>0</v>
      </c>
      <c r="O227" s="180">
        <v>0</v>
      </c>
      <c r="P227" s="180">
        <v>0</v>
      </c>
      <c r="Q227" s="180">
        <v>-6389</v>
      </c>
      <c r="R227" s="180">
        <v>-30162</v>
      </c>
      <c r="S227" s="180">
        <v>-30101</v>
      </c>
      <c r="T227" s="180">
        <v>-94630</v>
      </c>
      <c r="U227" s="180">
        <v>-241100</v>
      </c>
      <c r="V227" s="180">
        <v>-7779</v>
      </c>
      <c r="W227" s="180">
        <v>-68539</v>
      </c>
      <c r="X227" s="180">
        <v>-349069</v>
      </c>
      <c r="Y227" s="180">
        <v>0</v>
      </c>
      <c r="Z227" s="180">
        <v>-27762</v>
      </c>
      <c r="AA227" s="180">
        <v>0</v>
      </c>
      <c r="AB227" s="180">
        <v>0</v>
      </c>
      <c r="AC227" s="180">
        <v>0</v>
      </c>
      <c r="AD227" s="180">
        <v>-67280</v>
      </c>
      <c r="AE227" s="180">
        <v>-202209</v>
      </c>
      <c r="AF227" s="182">
        <v>-26858</v>
      </c>
    </row>
    <row r="228" spans="1:35" x14ac:dyDescent="0.25">
      <c r="B228" s="178" t="s">
        <v>388</v>
      </c>
      <c r="C228" s="178" t="s">
        <v>391</v>
      </c>
      <c r="D228" s="179" t="s">
        <v>363</v>
      </c>
      <c r="E228" s="180">
        <v>0</v>
      </c>
      <c r="F228" s="180">
        <v>-16215</v>
      </c>
      <c r="G228" s="180">
        <v>0</v>
      </c>
      <c r="H228" s="180">
        <v>-45329</v>
      </c>
      <c r="I228" s="180">
        <v>-52807</v>
      </c>
      <c r="J228" s="180">
        <v>-56573</v>
      </c>
      <c r="K228" s="180">
        <v>-4858</v>
      </c>
      <c r="L228" s="180">
        <v>0</v>
      </c>
      <c r="M228" s="180">
        <v>0</v>
      </c>
      <c r="N228" s="180">
        <v>-52955</v>
      </c>
      <c r="O228" s="180">
        <v>-8024</v>
      </c>
      <c r="P228" s="180">
        <v>-9761909</v>
      </c>
      <c r="Q228" s="180">
        <v>-257714</v>
      </c>
      <c r="R228" s="180">
        <v>-62348</v>
      </c>
      <c r="S228" s="180">
        <v>-192455</v>
      </c>
      <c r="T228" s="180">
        <v>-162461</v>
      </c>
      <c r="U228" s="180">
        <v>-461002</v>
      </c>
      <c r="V228" s="180">
        <v>0</v>
      </c>
      <c r="W228" s="180">
        <v>-1020695</v>
      </c>
      <c r="X228" s="180">
        <v>-812199</v>
      </c>
      <c r="Y228" s="180">
        <v>-20353</v>
      </c>
      <c r="Z228" s="180">
        <v>-95610</v>
      </c>
      <c r="AA228" s="180">
        <v>-35292</v>
      </c>
      <c r="AB228" s="180">
        <v>-39121</v>
      </c>
      <c r="AC228" s="180">
        <v>0</v>
      </c>
      <c r="AD228" s="180">
        <v>-478411</v>
      </c>
      <c r="AE228" s="180">
        <v>-413916</v>
      </c>
      <c r="AF228" s="182">
        <v>-239829</v>
      </c>
    </row>
    <row r="229" spans="1:35" x14ac:dyDescent="0.25">
      <c r="B229" s="178" t="s">
        <v>388</v>
      </c>
      <c r="C229" s="178" t="s">
        <v>392</v>
      </c>
      <c r="D229" s="179" t="s">
        <v>363</v>
      </c>
      <c r="E229" s="180">
        <v>0</v>
      </c>
      <c r="F229" s="180">
        <v>0</v>
      </c>
      <c r="G229" s="180">
        <v>0</v>
      </c>
      <c r="H229" s="180">
        <v>0</v>
      </c>
      <c r="I229" s="180">
        <v>0</v>
      </c>
      <c r="J229" s="180">
        <v>0</v>
      </c>
      <c r="K229" s="180">
        <v>0</v>
      </c>
      <c r="L229" s="180">
        <v>0</v>
      </c>
      <c r="M229" s="180">
        <v>0</v>
      </c>
      <c r="N229" s="180">
        <v>0</v>
      </c>
      <c r="O229" s="180">
        <v>0</v>
      </c>
      <c r="P229" s="180">
        <v>0</v>
      </c>
      <c r="Q229" s="180">
        <v>0</v>
      </c>
      <c r="R229" s="180">
        <v>0</v>
      </c>
      <c r="S229" s="180">
        <v>-1181</v>
      </c>
      <c r="T229" s="180">
        <v>0</v>
      </c>
      <c r="U229" s="180">
        <v>0</v>
      </c>
      <c r="V229" s="180">
        <v>0</v>
      </c>
      <c r="W229" s="180">
        <v>0</v>
      </c>
      <c r="X229" s="180">
        <v>0</v>
      </c>
      <c r="Y229" s="180">
        <v>0</v>
      </c>
      <c r="Z229" s="180">
        <v>0</v>
      </c>
      <c r="AA229" s="180">
        <v>0</v>
      </c>
      <c r="AB229" s="180">
        <v>0</v>
      </c>
      <c r="AC229" s="180">
        <v>0</v>
      </c>
      <c r="AD229" s="180">
        <v>0</v>
      </c>
      <c r="AE229" s="180">
        <v>0</v>
      </c>
      <c r="AF229" s="182">
        <v>0</v>
      </c>
    </row>
    <row r="230" spans="1:35" x14ac:dyDescent="0.25">
      <c r="B230" s="178" t="s">
        <v>388</v>
      </c>
      <c r="C230" s="178" t="s">
        <v>393</v>
      </c>
      <c r="D230" s="179" t="s">
        <v>363</v>
      </c>
      <c r="E230" s="180">
        <v>0</v>
      </c>
      <c r="F230" s="180">
        <v>0</v>
      </c>
      <c r="G230" s="180">
        <v>0</v>
      </c>
      <c r="H230" s="180">
        <v>0</v>
      </c>
      <c r="I230" s="180">
        <v>0</v>
      </c>
      <c r="J230" s="180">
        <v>-5074</v>
      </c>
      <c r="K230" s="180">
        <v>0</v>
      </c>
      <c r="L230" s="180">
        <v>0</v>
      </c>
      <c r="M230" s="180">
        <v>0</v>
      </c>
      <c r="N230" s="180">
        <v>0</v>
      </c>
      <c r="O230" s="180">
        <v>0</v>
      </c>
      <c r="P230" s="180">
        <v>0</v>
      </c>
      <c r="Q230" s="180">
        <v>0</v>
      </c>
      <c r="R230" s="180">
        <v>0</v>
      </c>
      <c r="S230" s="180">
        <v>0</v>
      </c>
      <c r="T230" s="180">
        <v>0</v>
      </c>
      <c r="U230" s="180">
        <v>-1414</v>
      </c>
      <c r="V230" s="180">
        <v>0</v>
      </c>
      <c r="W230" s="180">
        <v>0</v>
      </c>
      <c r="X230" s="180">
        <v>0</v>
      </c>
      <c r="Y230" s="180">
        <v>0</v>
      </c>
      <c r="Z230" s="180">
        <v>0</v>
      </c>
      <c r="AA230" s="180">
        <v>0</v>
      </c>
      <c r="AB230" s="180">
        <v>0</v>
      </c>
      <c r="AC230" s="180">
        <v>0</v>
      </c>
      <c r="AD230" s="180">
        <v>0</v>
      </c>
      <c r="AE230" s="180">
        <v>0</v>
      </c>
      <c r="AF230" s="182">
        <v>0</v>
      </c>
    </row>
    <row r="231" spans="1:35" x14ac:dyDescent="0.25">
      <c r="B231" s="195" t="s">
        <v>388</v>
      </c>
      <c r="C231" s="195" t="s">
        <v>394</v>
      </c>
      <c r="D231" s="196" t="s">
        <v>363</v>
      </c>
      <c r="E231" s="198">
        <v>0</v>
      </c>
      <c r="F231" s="198">
        <v>0</v>
      </c>
      <c r="G231" s="198">
        <v>0</v>
      </c>
      <c r="H231" s="198">
        <v>0</v>
      </c>
      <c r="I231" s="198">
        <v>0</v>
      </c>
      <c r="J231" s="198">
        <v>0</v>
      </c>
      <c r="K231" s="198">
        <v>0</v>
      </c>
      <c r="L231" s="198">
        <v>0</v>
      </c>
      <c r="M231" s="198">
        <v>0</v>
      </c>
      <c r="N231" s="198">
        <v>0</v>
      </c>
      <c r="O231" s="198">
        <v>0</v>
      </c>
      <c r="P231" s="198">
        <v>0</v>
      </c>
      <c r="Q231" s="198">
        <v>0</v>
      </c>
      <c r="R231" s="198">
        <v>0</v>
      </c>
      <c r="S231" s="198">
        <v>0</v>
      </c>
      <c r="T231" s="198">
        <v>0</v>
      </c>
      <c r="U231" s="198">
        <v>0</v>
      </c>
      <c r="V231" s="198">
        <v>0</v>
      </c>
      <c r="W231" s="198">
        <v>0</v>
      </c>
      <c r="X231" s="198">
        <v>0</v>
      </c>
      <c r="Y231" s="198">
        <v>-31850</v>
      </c>
      <c r="Z231" s="198">
        <v>0</v>
      </c>
      <c r="AA231" s="198">
        <v>0</v>
      </c>
      <c r="AB231" s="198">
        <v>0</v>
      </c>
      <c r="AC231" s="198">
        <v>0</v>
      </c>
      <c r="AD231" s="198">
        <v>0</v>
      </c>
      <c r="AE231" s="198">
        <v>0</v>
      </c>
      <c r="AF231" s="199">
        <v>0</v>
      </c>
    </row>
    <row r="232" spans="1:35" x14ac:dyDescent="0.25">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c r="AD232" s="167"/>
      <c r="AE232" s="167"/>
      <c r="AF232" s="167"/>
    </row>
    <row r="233" spans="1:35" ht="17.25" x14ac:dyDescent="0.3">
      <c r="A233" s="201" t="s">
        <v>395</v>
      </c>
      <c r="B233" s="120"/>
      <c r="C233" s="120"/>
      <c r="D233" s="120"/>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c r="AD233" s="167"/>
      <c r="AE233" s="167"/>
      <c r="AF233" s="167"/>
    </row>
    <row r="234" spans="1:35" x14ac:dyDescent="0.25">
      <c r="A234" s="167"/>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c r="AD234" s="168"/>
      <c r="AE234" s="168"/>
      <c r="AF234" s="168"/>
      <c r="AG234" s="5"/>
      <c r="AH234" s="5"/>
      <c r="AI234" s="5"/>
    </row>
    <row r="235" spans="1:35" x14ac:dyDescent="0.25">
      <c r="A235" s="167"/>
      <c r="B235" s="170"/>
      <c r="C235" s="188"/>
      <c r="D235" s="188"/>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c r="AA235" s="189"/>
      <c r="AB235" s="189"/>
      <c r="AC235" s="189"/>
      <c r="AD235" s="189"/>
      <c r="AE235" s="189"/>
      <c r="AF235" s="190"/>
    </row>
    <row r="236" spans="1:35" ht="15.75" x14ac:dyDescent="0.25">
      <c r="A236" s="167"/>
      <c r="B236" s="174" t="s">
        <v>358</v>
      </c>
      <c r="C236" s="174" t="s">
        <v>360</v>
      </c>
      <c r="D236" s="174" t="s">
        <v>342</v>
      </c>
      <c r="E236" s="175" t="s">
        <v>162</v>
      </c>
      <c r="F236" s="175" t="s">
        <v>164</v>
      </c>
      <c r="G236" s="175" t="s">
        <v>166</v>
      </c>
      <c r="H236" s="175" t="s">
        <v>168</v>
      </c>
      <c r="I236" s="175" t="s">
        <v>170</v>
      </c>
      <c r="J236" s="175" t="s">
        <v>173</v>
      </c>
      <c r="K236" s="175" t="s">
        <v>175</v>
      </c>
      <c r="L236" s="175" t="s">
        <v>177</v>
      </c>
      <c r="M236" s="175" t="s">
        <v>179</v>
      </c>
      <c r="N236" s="175" t="s">
        <v>181</v>
      </c>
      <c r="O236" s="175" t="s">
        <v>183</v>
      </c>
      <c r="P236" s="175" t="s">
        <v>185</v>
      </c>
      <c r="Q236" s="175" t="s">
        <v>188</v>
      </c>
      <c r="R236" s="175" t="s">
        <v>190</v>
      </c>
      <c r="S236" s="175" t="s">
        <v>192</v>
      </c>
      <c r="T236" s="175" t="s">
        <v>194</v>
      </c>
      <c r="U236" s="175" t="s">
        <v>196</v>
      </c>
      <c r="V236" s="175" t="s">
        <v>198</v>
      </c>
      <c r="W236" s="175" t="s">
        <v>9</v>
      </c>
      <c r="X236" s="175" t="s">
        <v>201</v>
      </c>
      <c r="Y236" s="175" t="s">
        <v>203</v>
      </c>
      <c r="Z236" s="175" t="s">
        <v>205</v>
      </c>
      <c r="AA236" s="175" t="s">
        <v>207</v>
      </c>
      <c r="AB236" s="175" t="s">
        <v>210</v>
      </c>
      <c r="AC236" s="175" t="s">
        <v>212</v>
      </c>
      <c r="AD236" s="175" t="s">
        <v>214</v>
      </c>
      <c r="AE236" s="175" t="s">
        <v>217</v>
      </c>
      <c r="AF236" s="176" t="s">
        <v>219</v>
      </c>
    </row>
    <row r="237" spans="1:35" x14ac:dyDescent="0.25">
      <c r="A237" s="167"/>
      <c r="B237" s="195" t="s">
        <v>388</v>
      </c>
      <c r="C237" s="195" t="s">
        <v>396</v>
      </c>
      <c r="D237" s="196" t="s">
        <v>363</v>
      </c>
      <c r="E237" s="198">
        <v>0</v>
      </c>
      <c r="F237" s="198">
        <v>3350</v>
      </c>
      <c r="G237" s="198">
        <v>0</v>
      </c>
      <c r="H237" s="198">
        <v>18142</v>
      </c>
      <c r="I237" s="198">
        <v>23635</v>
      </c>
      <c r="J237" s="198">
        <v>17821</v>
      </c>
      <c r="K237" s="198">
        <v>2654</v>
      </c>
      <c r="L237" s="198">
        <v>0</v>
      </c>
      <c r="M237" s="198">
        <v>0</v>
      </c>
      <c r="N237" s="198">
        <v>22913</v>
      </c>
      <c r="O237" s="198">
        <v>2355</v>
      </c>
      <c r="P237" s="198">
        <v>4375053</v>
      </c>
      <c r="Q237" s="198">
        <v>85166</v>
      </c>
      <c r="R237" s="198">
        <v>36844</v>
      </c>
      <c r="S237" s="198">
        <v>88202</v>
      </c>
      <c r="T237" s="198">
        <v>116913</v>
      </c>
      <c r="U237" s="198">
        <v>265080</v>
      </c>
      <c r="V237" s="198">
        <v>3260</v>
      </c>
      <c r="W237" s="198">
        <v>444595</v>
      </c>
      <c r="X237" s="198">
        <v>410945</v>
      </c>
      <c r="Y237" s="198">
        <v>10451</v>
      </c>
      <c r="Z237" s="198">
        <v>49991</v>
      </c>
      <c r="AA237" s="198">
        <v>14213</v>
      </c>
      <c r="AB237" s="198">
        <v>16062</v>
      </c>
      <c r="AC237" s="198">
        <v>0</v>
      </c>
      <c r="AD237" s="198">
        <v>214602</v>
      </c>
      <c r="AE237" s="198">
        <v>225861</v>
      </c>
      <c r="AF237" s="199">
        <v>110352</v>
      </c>
    </row>
    <row r="238" spans="1:35" x14ac:dyDescent="0.25">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c r="AD238" s="167"/>
      <c r="AE238" s="167"/>
      <c r="AF238" s="167"/>
    </row>
    <row r="239" spans="1:35" x14ac:dyDescent="0.25">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row>
    <row r="240" spans="1:35" hidden="1" x14ac:dyDescent="0.25">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c r="AD240" s="167"/>
      <c r="AE240" s="167"/>
      <c r="AF240" s="167"/>
    </row>
    <row r="241" spans="1:32" ht="17.25" hidden="1" x14ac:dyDescent="0.3">
      <c r="A241" s="201" t="s">
        <v>397</v>
      </c>
      <c r="B241" s="120"/>
      <c r="C241" s="120"/>
      <c r="D241" s="120"/>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c r="AA241" s="167"/>
      <c r="AB241" s="167"/>
      <c r="AC241" s="167"/>
      <c r="AD241" s="167"/>
      <c r="AE241" s="167"/>
      <c r="AF241" s="167"/>
    </row>
    <row r="242" spans="1:32" hidden="1" x14ac:dyDescent="0.25">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c r="AD242" s="167"/>
      <c r="AE242" s="167"/>
      <c r="AF242" s="167"/>
    </row>
    <row r="243" spans="1:32" hidden="1" x14ac:dyDescent="0.25">
      <c r="A243" s="169"/>
      <c r="B243" s="169"/>
      <c r="C243" s="170"/>
      <c r="D243" s="170"/>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c r="AC243" s="171"/>
      <c r="AD243" s="171"/>
      <c r="AE243" s="171"/>
      <c r="AF243" s="169"/>
    </row>
    <row r="244" spans="1:32" ht="15.75" hidden="1" x14ac:dyDescent="0.25">
      <c r="A244" s="172" t="s">
        <v>358</v>
      </c>
      <c r="B244" s="172" t="s">
        <v>359</v>
      </c>
      <c r="C244" s="174" t="s">
        <v>360</v>
      </c>
      <c r="D244" s="174" t="s">
        <v>342</v>
      </c>
      <c r="E244" s="175" t="s">
        <v>162</v>
      </c>
      <c r="F244" s="175" t="s">
        <v>164</v>
      </c>
      <c r="G244" s="175" t="s">
        <v>166</v>
      </c>
      <c r="H244" s="175" t="s">
        <v>168</v>
      </c>
      <c r="I244" s="175" t="s">
        <v>170</v>
      </c>
      <c r="J244" s="175" t="s">
        <v>173</v>
      </c>
      <c r="K244" s="175" t="s">
        <v>175</v>
      </c>
      <c r="L244" s="175" t="s">
        <v>177</v>
      </c>
      <c r="M244" s="175" t="s">
        <v>179</v>
      </c>
      <c r="N244" s="175" t="s">
        <v>181</v>
      </c>
      <c r="O244" s="175" t="s">
        <v>183</v>
      </c>
      <c r="P244" s="175" t="s">
        <v>185</v>
      </c>
      <c r="Q244" s="175" t="s">
        <v>188</v>
      </c>
      <c r="R244" s="175" t="s">
        <v>190</v>
      </c>
      <c r="S244" s="175" t="s">
        <v>192</v>
      </c>
      <c r="T244" s="175" t="s">
        <v>194</v>
      </c>
      <c r="U244" s="175" t="s">
        <v>196</v>
      </c>
      <c r="V244" s="175" t="s">
        <v>198</v>
      </c>
      <c r="W244" s="175" t="s">
        <v>9</v>
      </c>
      <c r="X244" s="175" t="s">
        <v>201</v>
      </c>
      <c r="Y244" s="175" t="s">
        <v>203</v>
      </c>
      <c r="Z244" s="175" t="s">
        <v>205</v>
      </c>
      <c r="AA244" s="175" t="s">
        <v>207</v>
      </c>
      <c r="AB244" s="175" t="s">
        <v>210</v>
      </c>
      <c r="AC244" s="175" t="s">
        <v>212</v>
      </c>
      <c r="AD244" s="175" t="s">
        <v>214</v>
      </c>
      <c r="AE244" s="175" t="s">
        <v>217</v>
      </c>
      <c r="AF244" s="176" t="s">
        <v>219</v>
      </c>
    </row>
    <row r="245" spans="1:32" hidden="1" x14ac:dyDescent="0.25">
      <c r="A245" s="177" t="s">
        <v>398</v>
      </c>
      <c r="B245" s="177" t="s">
        <v>399</v>
      </c>
      <c r="C245" s="178" t="s">
        <v>400</v>
      </c>
      <c r="D245" s="179" t="s">
        <v>363</v>
      </c>
      <c r="E245" s="180">
        <v>0</v>
      </c>
      <c r="F245" s="180">
        <v>0</v>
      </c>
      <c r="G245" s="180">
        <v>0</v>
      </c>
      <c r="H245" s="180">
        <v>0</v>
      </c>
      <c r="I245" s="180">
        <v>0</v>
      </c>
      <c r="J245" s="180">
        <v>0</v>
      </c>
      <c r="K245" s="180">
        <v>0</v>
      </c>
      <c r="L245" s="180">
        <v>0</v>
      </c>
      <c r="M245" s="180">
        <v>0</v>
      </c>
      <c r="N245" s="180">
        <v>0</v>
      </c>
      <c r="O245" s="180">
        <v>0</v>
      </c>
      <c r="P245" s="180">
        <v>0</v>
      </c>
      <c r="Q245" s="180">
        <v>0</v>
      </c>
      <c r="R245" s="180">
        <v>0</v>
      </c>
      <c r="S245" s="180">
        <v>0</v>
      </c>
      <c r="T245" s="180">
        <v>0</v>
      </c>
      <c r="U245" s="180">
        <v>-543</v>
      </c>
      <c r="V245" s="180">
        <v>0</v>
      </c>
      <c r="W245" s="180">
        <v>0</v>
      </c>
      <c r="X245" s="180">
        <v>0</v>
      </c>
      <c r="Y245" s="180">
        <v>-1</v>
      </c>
      <c r="Z245" s="180">
        <v>0</v>
      </c>
      <c r="AA245" s="180">
        <v>0</v>
      </c>
      <c r="AB245" s="180">
        <v>0</v>
      </c>
      <c r="AC245" s="180">
        <v>0</v>
      </c>
      <c r="AD245" s="180">
        <v>0</v>
      </c>
      <c r="AE245" s="180">
        <v>0</v>
      </c>
      <c r="AF245" s="181">
        <v>-4232</v>
      </c>
    </row>
    <row r="246" spans="1:32" hidden="1" x14ac:dyDescent="0.25">
      <c r="A246" s="177" t="s">
        <v>398</v>
      </c>
      <c r="B246" s="177" t="s">
        <v>399</v>
      </c>
      <c r="C246" s="178" t="s">
        <v>396</v>
      </c>
      <c r="D246" s="179" t="s">
        <v>363</v>
      </c>
      <c r="E246" s="180">
        <v>0</v>
      </c>
      <c r="F246" s="180">
        <v>0</v>
      </c>
      <c r="G246" s="180">
        <v>0</v>
      </c>
      <c r="H246" s="180">
        <v>0</v>
      </c>
      <c r="I246" s="180">
        <v>-17056</v>
      </c>
      <c r="J246" s="180">
        <v>-7930</v>
      </c>
      <c r="K246" s="180">
        <v>0</v>
      </c>
      <c r="L246" s="180">
        <v>0</v>
      </c>
      <c r="M246" s="180">
        <v>0</v>
      </c>
      <c r="N246" s="180">
        <v>0</v>
      </c>
      <c r="O246" s="180">
        <v>-2355</v>
      </c>
      <c r="P246" s="180">
        <v>-10093</v>
      </c>
      <c r="Q246" s="180">
        <v>-4662</v>
      </c>
      <c r="R246" s="180">
        <v>-11808</v>
      </c>
      <c r="S246" s="180">
        <v>-18248</v>
      </c>
      <c r="T246" s="180">
        <v>-63424</v>
      </c>
      <c r="U246" s="180">
        <v>-48103</v>
      </c>
      <c r="V246" s="180">
        <v>0</v>
      </c>
      <c r="W246" s="180">
        <v>0</v>
      </c>
      <c r="X246" s="180">
        <v>-57681</v>
      </c>
      <c r="Y246" s="180">
        <v>-6969</v>
      </c>
      <c r="Z246" s="180">
        <v>-27198</v>
      </c>
      <c r="AA246" s="180">
        <v>-4105</v>
      </c>
      <c r="AB246" s="180">
        <v>-11648</v>
      </c>
      <c r="AC246" s="180">
        <v>0</v>
      </c>
      <c r="AD246" s="180">
        <v>-3778</v>
      </c>
      <c r="AE246" s="180">
        <v>-103554</v>
      </c>
      <c r="AF246" s="182">
        <v>-22022</v>
      </c>
    </row>
    <row r="247" spans="1:32" hidden="1" x14ac:dyDescent="0.25">
      <c r="A247" s="177" t="s">
        <v>398</v>
      </c>
      <c r="B247" s="177" t="s">
        <v>399</v>
      </c>
      <c r="C247" s="178" t="s">
        <v>401</v>
      </c>
      <c r="D247" s="179" t="s">
        <v>363</v>
      </c>
      <c r="E247" s="180">
        <v>0</v>
      </c>
      <c r="F247" s="180">
        <v>0</v>
      </c>
      <c r="G247" s="180">
        <v>0</v>
      </c>
      <c r="H247" s="180">
        <v>0</v>
      </c>
      <c r="I247" s="180">
        <v>0</v>
      </c>
      <c r="J247" s="180">
        <v>0</v>
      </c>
      <c r="K247" s="180">
        <v>0</v>
      </c>
      <c r="L247" s="180">
        <v>0</v>
      </c>
      <c r="M247" s="180">
        <v>0</v>
      </c>
      <c r="N247" s="180">
        <v>0</v>
      </c>
      <c r="O247" s="180">
        <v>0</v>
      </c>
      <c r="P247" s="180">
        <v>0</v>
      </c>
      <c r="Q247" s="180">
        <v>0</v>
      </c>
      <c r="R247" s="180">
        <v>0</v>
      </c>
      <c r="S247" s="180">
        <v>-511</v>
      </c>
      <c r="T247" s="180">
        <v>0</v>
      </c>
      <c r="U247" s="180">
        <v>-20479</v>
      </c>
      <c r="V247" s="180">
        <v>0</v>
      </c>
      <c r="W247" s="180">
        <v>0</v>
      </c>
      <c r="X247" s="180">
        <v>0</v>
      </c>
      <c r="Y247" s="180">
        <v>0</v>
      </c>
      <c r="Z247" s="180">
        <v>0</v>
      </c>
      <c r="AA247" s="180">
        <v>0</v>
      </c>
      <c r="AB247" s="180">
        <v>0</v>
      </c>
      <c r="AC247" s="180">
        <v>0</v>
      </c>
      <c r="AD247" s="180">
        <v>0</v>
      </c>
      <c r="AE247" s="180">
        <v>0</v>
      </c>
      <c r="AF247" s="182">
        <v>0</v>
      </c>
    </row>
    <row r="248" spans="1:32" hidden="1" x14ac:dyDescent="0.25">
      <c r="A248" s="177" t="s">
        <v>398</v>
      </c>
      <c r="B248" s="177" t="s">
        <v>399</v>
      </c>
      <c r="C248" s="178" t="s">
        <v>389</v>
      </c>
      <c r="D248" s="179" t="s">
        <v>363</v>
      </c>
      <c r="E248" s="180">
        <v>-28</v>
      </c>
      <c r="F248" s="180">
        <v>0</v>
      </c>
      <c r="G248" s="180">
        <v>0</v>
      </c>
      <c r="H248" s="180">
        <v>-207</v>
      </c>
      <c r="I248" s="180">
        <v>0</v>
      </c>
      <c r="J248" s="180">
        <v>0</v>
      </c>
      <c r="K248" s="180">
        <v>0</v>
      </c>
      <c r="L248" s="180">
        <v>0</v>
      </c>
      <c r="M248" s="180">
        <v>-548933</v>
      </c>
      <c r="N248" s="180">
        <v>0</v>
      </c>
      <c r="O248" s="180">
        <v>0</v>
      </c>
      <c r="P248" s="180">
        <v>-559</v>
      </c>
      <c r="Q248" s="180">
        <v>-20</v>
      </c>
      <c r="R248" s="180">
        <v>0</v>
      </c>
      <c r="S248" s="180">
        <v>-21</v>
      </c>
      <c r="T248" s="180">
        <v>0</v>
      </c>
      <c r="U248" s="180">
        <v>-1515</v>
      </c>
      <c r="V248" s="180">
        <v>0</v>
      </c>
      <c r="W248" s="180">
        <v>0</v>
      </c>
      <c r="X248" s="180">
        <v>0</v>
      </c>
      <c r="Y248" s="180">
        <v>-1423</v>
      </c>
      <c r="Z248" s="180">
        <v>0</v>
      </c>
      <c r="AA248" s="180">
        <v>0</v>
      </c>
      <c r="AB248" s="180">
        <v>0</v>
      </c>
      <c r="AC248" s="180">
        <v>0</v>
      </c>
      <c r="AD248" s="180">
        <v>0</v>
      </c>
      <c r="AE248" s="180">
        <v>0</v>
      </c>
      <c r="AF248" s="182">
        <v>0</v>
      </c>
    </row>
    <row r="249" spans="1:32" hidden="1" x14ac:dyDescent="0.25">
      <c r="A249" s="177" t="s">
        <v>398</v>
      </c>
      <c r="B249" s="177" t="s">
        <v>399</v>
      </c>
      <c r="C249" s="178" t="s">
        <v>390</v>
      </c>
      <c r="D249" s="179" t="s">
        <v>363</v>
      </c>
      <c r="E249" s="180">
        <v>0</v>
      </c>
      <c r="F249" s="180">
        <v>0</v>
      </c>
      <c r="G249" s="180">
        <v>-144</v>
      </c>
      <c r="H249" s="180">
        <v>-671813</v>
      </c>
      <c r="I249" s="180">
        <v>-663</v>
      </c>
      <c r="J249" s="180">
        <v>-8349</v>
      </c>
      <c r="K249" s="180">
        <v>0</v>
      </c>
      <c r="L249" s="180">
        <v>0</v>
      </c>
      <c r="M249" s="180">
        <v>0</v>
      </c>
      <c r="N249" s="180">
        <v>0</v>
      </c>
      <c r="O249" s="180">
        <v>0</v>
      </c>
      <c r="P249" s="180">
        <v>-3434146</v>
      </c>
      <c r="Q249" s="180">
        <v>-585</v>
      </c>
      <c r="R249" s="180">
        <v>0</v>
      </c>
      <c r="S249" s="180">
        <v>-5861</v>
      </c>
      <c r="T249" s="180">
        <v>0</v>
      </c>
      <c r="U249" s="180">
        <v>-6879</v>
      </c>
      <c r="V249" s="180">
        <v>-61472</v>
      </c>
      <c r="W249" s="180">
        <v>-4367</v>
      </c>
      <c r="X249" s="180">
        <v>-4696</v>
      </c>
      <c r="Y249" s="180">
        <v>0</v>
      </c>
      <c r="Z249" s="180">
        <v>-466</v>
      </c>
      <c r="AA249" s="180">
        <v>0</v>
      </c>
      <c r="AB249" s="180">
        <v>0</v>
      </c>
      <c r="AC249" s="180">
        <v>0</v>
      </c>
      <c r="AD249" s="180">
        <v>-9538</v>
      </c>
      <c r="AE249" s="180">
        <v>0</v>
      </c>
      <c r="AF249" s="182">
        <v>-480</v>
      </c>
    </row>
    <row r="250" spans="1:32" hidden="1" x14ac:dyDescent="0.25">
      <c r="A250" s="177" t="s">
        <v>398</v>
      </c>
      <c r="B250" s="177" t="s">
        <v>399</v>
      </c>
      <c r="C250" s="178" t="s">
        <v>402</v>
      </c>
      <c r="D250" s="179" t="s">
        <v>363</v>
      </c>
      <c r="E250" s="180">
        <v>0</v>
      </c>
      <c r="F250" s="180">
        <v>0</v>
      </c>
      <c r="G250" s="180">
        <v>0</v>
      </c>
      <c r="H250" s="180">
        <v>0</v>
      </c>
      <c r="I250" s="180">
        <v>0</v>
      </c>
      <c r="J250" s="180">
        <v>-32</v>
      </c>
      <c r="K250" s="180">
        <v>0</v>
      </c>
      <c r="L250" s="180">
        <v>0</v>
      </c>
      <c r="M250" s="180">
        <v>0</v>
      </c>
      <c r="N250" s="180">
        <v>0</v>
      </c>
      <c r="O250" s="180">
        <v>0</v>
      </c>
      <c r="P250" s="180">
        <v>0</v>
      </c>
      <c r="Q250" s="180">
        <v>-1188</v>
      </c>
      <c r="R250" s="180">
        <v>0</v>
      </c>
      <c r="S250" s="180">
        <v>-10281</v>
      </c>
      <c r="T250" s="180">
        <v>0</v>
      </c>
      <c r="U250" s="180">
        <v>-6426</v>
      </c>
      <c r="V250" s="180">
        <v>0</v>
      </c>
      <c r="W250" s="180">
        <v>0</v>
      </c>
      <c r="X250" s="180">
        <v>0</v>
      </c>
      <c r="Y250" s="180">
        <v>0</v>
      </c>
      <c r="Z250" s="180">
        <v>0</v>
      </c>
      <c r="AA250" s="180">
        <v>0</v>
      </c>
      <c r="AB250" s="180">
        <v>0</v>
      </c>
      <c r="AC250" s="180">
        <v>0</v>
      </c>
      <c r="AD250" s="180">
        <v>-579</v>
      </c>
      <c r="AE250" s="180">
        <v>0</v>
      </c>
      <c r="AF250" s="182">
        <v>0</v>
      </c>
    </row>
    <row r="251" spans="1:32" hidden="1" x14ac:dyDescent="0.25">
      <c r="A251" s="177" t="s">
        <v>398</v>
      </c>
      <c r="B251" s="177" t="s">
        <v>399</v>
      </c>
      <c r="C251" s="178" t="s">
        <v>403</v>
      </c>
      <c r="D251" s="179" t="s">
        <v>363</v>
      </c>
      <c r="E251" s="180">
        <v>0</v>
      </c>
      <c r="F251" s="180">
        <v>0</v>
      </c>
      <c r="G251" s="180">
        <v>0</v>
      </c>
      <c r="H251" s="180">
        <v>0</v>
      </c>
      <c r="I251" s="180">
        <v>-21373</v>
      </c>
      <c r="J251" s="180">
        <v>-14455</v>
      </c>
      <c r="K251" s="180">
        <v>0</v>
      </c>
      <c r="L251" s="180">
        <v>0</v>
      </c>
      <c r="M251" s="180">
        <v>-8330</v>
      </c>
      <c r="N251" s="180">
        <v>0</v>
      </c>
      <c r="O251" s="180">
        <v>-3550</v>
      </c>
      <c r="P251" s="180">
        <v>-372815</v>
      </c>
      <c r="Q251" s="180">
        <v>-30644</v>
      </c>
      <c r="R251" s="180">
        <v>-6800</v>
      </c>
      <c r="S251" s="180">
        <v>-59201</v>
      </c>
      <c r="T251" s="180">
        <v>-4583</v>
      </c>
      <c r="U251" s="180">
        <v>-32600</v>
      </c>
      <c r="V251" s="180">
        <v>0</v>
      </c>
      <c r="W251" s="180">
        <v>-81463</v>
      </c>
      <c r="X251" s="180">
        <v>-58700</v>
      </c>
      <c r="Y251" s="180">
        <v>-1746</v>
      </c>
      <c r="Z251" s="180">
        <v>-15277</v>
      </c>
      <c r="AA251" s="180">
        <v>-2632</v>
      </c>
      <c r="AB251" s="180">
        <v>0</v>
      </c>
      <c r="AC251" s="180">
        <v>0</v>
      </c>
      <c r="AD251" s="180">
        <v>-42118</v>
      </c>
      <c r="AE251" s="180">
        <v>-38388</v>
      </c>
      <c r="AF251" s="182">
        <v>-28274</v>
      </c>
    </row>
    <row r="252" spans="1:32" hidden="1" x14ac:dyDescent="0.25">
      <c r="A252" s="177" t="s">
        <v>398</v>
      </c>
      <c r="B252" s="177" t="s">
        <v>399</v>
      </c>
      <c r="C252" s="178" t="s">
        <v>391</v>
      </c>
      <c r="D252" s="179" t="s">
        <v>363</v>
      </c>
      <c r="E252" s="180">
        <v>0</v>
      </c>
      <c r="F252" s="180">
        <v>0</v>
      </c>
      <c r="G252" s="180">
        <v>0</v>
      </c>
      <c r="H252" s="180">
        <v>-770</v>
      </c>
      <c r="I252" s="180">
        <v>0</v>
      </c>
      <c r="J252" s="180">
        <v>0</v>
      </c>
      <c r="K252" s="180">
        <v>0</v>
      </c>
      <c r="L252" s="180">
        <v>0</v>
      </c>
      <c r="M252" s="180">
        <v>0</v>
      </c>
      <c r="N252" s="180">
        <v>0</v>
      </c>
      <c r="O252" s="180">
        <v>0</v>
      </c>
      <c r="P252" s="180">
        <v>-26683</v>
      </c>
      <c r="Q252" s="180">
        <v>0</v>
      </c>
      <c r="R252" s="180">
        <v>0</v>
      </c>
      <c r="S252" s="180">
        <v>0</v>
      </c>
      <c r="T252" s="180">
        <v>-1645</v>
      </c>
      <c r="U252" s="180">
        <v>0</v>
      </c>
      <c r="V252" s="180">
        <v>-197</v>
      </c>
      <c r="W252" s="180">
        <v>0</v>
      </c>
      <c r="X252" s="180">
        <v>0</v>
      </c>
      <c r="Y252" s="180">
        <v>0</v>
      </c>
      <c r="Z252" s="180">
        <v>0</v>
      </c>
      <c r="AA252" s="180">
        <v>0</v>
      </c>
      <c r="AB252" s="180">
        <v>-1576</v>
      </c>
      <c r="AC252" s="180">
        <v>0</v>
      </c>
      <c r="AD252" s="180">
        <v>0</v>
      </c>
      <c r="AE252" s="180">
        <v>0</v>
      </c>
      <c r="AF252" s="182">
        <v>0</v>
      </c>
    </row>
    <row r="253" spans="1:32" hidden="1" x14ac:dyDescent="0.25">
      <c r="A253" s="177" t="s">
        <v>398</v>
      </c>
      <c r="B253" s="177" t="s">
        <v>399</v>
      </c>
      <c r="C253" s="178" t="s">
        <v>404</v>
      </c>
      <c r="D253" s="179" t="s">
        <v>363</v>
      </c>
      <c r="E253" s="180">
        <v>0</v>
      </c>
      <c r="F253" s="180">
        <v>-33926</v>
      </c>
      <c r="G253" s="180">
        <v>-3968</v>
      </c>
      <c r="H253" s="180">
        <v>-48904</v>
      </c>
      <c r="I253" s="180">
        <v>-159640</v>
      </c>
      <c r="J253" s="180">
        <v>-16706</v>
      </c>
      <c r="K253" s="180">
        <v>-1522</v>
      </c>
      <c r="L253" s="180">
        <v>0</v>
      </c>
      <c r="M253" s="180">
        <v>-175273</v>
      </c>
      <c r="N253" s="180">
        <v>-342937</v>
      </c>
      <c r="O253" s="180">
        <v>0</v>
      </c>
      <c r="P253" s="180">
        <v>-138111</v>
      </c>
      <c r="Q253" s="180">
        <v>-8559</v>
      </c>
      <c r="R253" s="180">
        <v>-123339</v>
      </c>
      <c r="S253" s="180">
        <v>-10071</v>
      </c>
      <c r="T253" s="180">
        <v>-7047</v>
      </c>
      <c r="U253" s="180">
        <v>-6439</v>
      </c>
      <c r="V253" s="180">
        <v>-113921</v>
      </c>
      <c r="W253" s="180">
        <v>0</v>
      </c>
      <c r="X253" s="180">
        <v>-3532</v>
      </c>
      <c r="Y253" s="180">
        <v>-32311</v>
      </c>
      <c r="Z253" s="180">
        <v>-5122</v>
      </c>
      <c r="AA253" s="180">
        <v>-70757</v>
      </c>
      <c r="AB253" s="180">
        <v>0</v>
      </c>
      <c r="AC253" s="180">
        <v>-207</v>
      </c>
      <c r="AD253" s="180">
        <v>-354574</v>
      </c>
      <c r="AE253" s="180">
        <v>-2099</v>
      </c>
      <c r="AF253" s="182">
        <v>-426368</v>
      </c>
    </row>
    <row r="254" spans="1:32" hidden="1" x14ac:dyDescent="0.25">
      <c r="A254" s="177" t="s">
        <v>398</v>
      </c>
      <c r="B254" s="177" t="s">
        <v>399</v>
      </c>
      <c r="C254" s="178" t="s">
        <v>405</v>
      </c>
      <c r="D254" s="179" t="s">
        <v>363</v>
      </c>
      <c r="E254" s="180">
        <v>-210</v>
      </c>
      <c r="F254" s="180">
        <v>-7152</v>
      </c>
      <c r="G254" s="180">
        <v>-668</v>
      </c>
      <c r="H254" s="180">
        <v>-70609</v>
      </c>
      <c r="I254" s="180">
        <v>-84729</v>
      </c>
      <c r="J254" s="180">
        <v>-51550</v>
      </c>
      <c r="K254" s="180">
        <v>-1379</v>
      </c>
      <c r="L254" s="180">
        <v>0</v>
      </c>
      <c r="M254" s="180">
        <v>-90504</v>
      </c>
      <c r="N254" s="180">
        <v>-116481</v>
      </c>
      <c r="O254" s="180">
        <v>-2687</v>
      </c>
      <c r="P254" s="180">
        <v>-986324</v>
      </c>
      <c r="Q254" s="180">
        <v>-34281</v>
      </c>
      <c r="R254" s="180">
        <v>-75995</v>
      </c>
      <c r="S254" s="180">
        <v>-94148</v>
      </c>
      <c r="T254" s="180">
        <v>-135774</v>
      </c>
      <c r="U254" s="180">
        <v>-134942</v>
      </c>
      <c r="V254" s="180">
        <v>0</v>
      </c>
      <c r="W254" s="180">
        <v>-20322</v>
      </c>
      <c r="X254" s="180">
        <v>-79157</v>
      </c>
      <c r="Y254" s="180">
        <v>-27079</v>
      </c>
      <c r="Z254" s="180">
        <v>-18100</v>
      </c>
      <c r="AA254" s="180">
        <v>-81908</v>
      </c>
      <c r="AB254" s="180">
        <v>-13148</v>
      </c>
      <c r="AC254" s="180">
        <v>-871</v>
      </c>
      <c r="AD254" s="180">
        <v>-625035</v>
      </c>
      <c r="AE254" s="180">
        <v>-62755</v>
      </c>
      <c r="AF254" s="182">
        <v>-544338</v>
      </c>
    </row>
    <row r="255" spans="1:32" hidden="1" x14ac:dyDescent="0.25">
      <c r="A255" s="177" t="s">
        <v>398</v>
      </c>
      <c r="B255" s="177" t="s">
        <v>399</v>
      </c>
      <c r="C255" s="178" t="s">
        <v>392</v>
      </c>
      <c r="D255" s="179" t="s">
        <v>363</v>
      </c>
      <c r="E255" s="180">
        <v>0</v>
      </c>
      <c r="F255" s="180">
        <v>-406496</v>
      </c>
      <c r="G255" s="180">
        <v>-6102</v>
      </c>
      <c r="H255" s="180">
        <v>-19837</v>
      </c>
      <c r="I255" s="180">
        <v>-382216</v>
      </c>
      <c r="J255" s="180">
        <v>-422657</v>
      </c>
      <c r="K255" s="180">
        <v>-614008</v>
      </c>
      <c r="L255" s="180">
        <v>-17690</v>
      </c>
      <c r="M255" s="180">
        <v>-261424</v>
      </c>
      <c r="N255" s="180">
        <v>-1437495</v>
      </c>
      <c r="O255" s="180">
        <v>-7867</v>
      </c>
      <c r="P255" s="180">
        <v>-859008</v>
      </c>
      <c r="Q255" s="180">
        <v>-46489</v>
      </c>
      <c r="R255" s="180">
        <v>-383907</v>
      </c>
      <c r="S255" s="180">
        <v>-104535</v>
      </c>
      <c r="T255" s="180">
        <v>-221812</v>
      </c>
      <c r="U255" s="180">
        <v>-196778</v>
      </c>
      <c r="V255" s="180">
        <v>-201102</v>
      </c>
      <c r="W255" s="180">
        <v>-311978</v>
      </c>
      <c r="X255" s="180">
        <v>-32802</v>
      </c>
      <c r="Y255" s="180">
        <v>-605638</v>
      </c>
      <c r="Z255" s="180">
        <v>-65247</v>
      </c>
      <c r="AA255" s="180">
        <v>-1822634</v>
      </c>
      <c r="AB255" s="180">
        <v>-630004</v>
      </c>
      <c r="AC255" s="180">
        <v>-220441</v>
      </c>
      <c r="AD255" s="180">
        <v>-687267</v>
      </c>
      <c r="AE255" s="180">
        <v>-4605</v>
      </c>
      <c r="AF255" s="182">
        <v>-2757393</v>
      </c>
    </row>
    <row r="256" spans="1:32" hidden="1" x14ac:dyDescent="0.25">
      <c r="A256" s="177" t="s">
        <v>398</v>
      </c>
      <c r="B256" s="177" t="s">
        <v>399</v>
      </c>
      <c r="C256" s="178" t="s">
        <v>406</v>
      </c>
      <c r="D256" s="179" t="s">
        <v>363</v>
      </c>
      <c r="E256" s="180">
        <v>0</v>
      </c>
      <c r="F256" s="180">
        <v>0</v>
      </c>
      <c r="G256" s="180">
        <v>0</v>
      </c>
      <c r="H256" s="180">
        <v>0</v>
      </c>
      <c r="I256" s="180">
        <v>-3</v>
      </c>
      <c r="J256" s="180">
        <v>0</v>
      </c>
      <c r="K256" s="180">
        <v>0</v>
      </c>
      <c r="L256" s="180">
        <v>0</v>
      </c>
      <c r="M256" s="180">
        <v>0</v>
      </c>
      <c r="N256" s="180">
        <v>-2546</v>
      </c>
      <c r="O256" s="180">
        <v>0</v>
      </c>
      <c r="P256" s="180">
        <v>-10106</v>
      </c>
      <c r="Q256" s="180">
        <v>0</v>
      </c>
      <c r="R256" s="180">
        <v>0</v>
      </c>
      <c r="S256" s="180">
        <v>-19</v>
      </c>
      <c r="T256" s="180">
        <v>-1</v>
      </c>
      <c r="U256" s="180">
        <v>-6</v>
      </c>
      <c r="V256" s="180">
        <v>-2715</v>
      </c>
      <c r="W256" s="180">
        <v>0</v>
      </c>
      <c r="X256" s="180">
        <v>-22</v>
      </c>
      <c r="Y256" s="180">
        <v>-4668</v>
      </c>
      <c r="Z256" s="180">
        <v>0</v>
      </c>
      <c r="AA256" s="180">
        <v>0</v>
      </c>
      <c r="AB256" s="180">
        <v>0</v>
      </c>
      <c r="AC256" s="180">
        <v>0</v>
      </c>
      <c r="AD256" s="180">
        <v>0</v>
      </c>
      <c r="AE256" s="180">
        <v>0</v>
      </c>
      <c r="AF256" s="182">
        <v>-195536</v>
      </c>
    </row>
    <row r="257" spans="1:32" hidden="1" x14ac:dyDescent="0.25">
      <c r="A257" s="177" t="s">
        <v>398</v>
      </c>
      <c r="B257" s="177" t="s">
        <v>399</v>
      </c>
      <c r="C257" s="178" t="s">
        <v>407</v>
      </c>
      <c r="D257" s="179" t="s">
        <v>363</v>
      </c>
      <c r="E257" s="180">
        <v>0</v>
      </c>
      <c r="F257" s="180">
        <v>0</v>
      </c>
      <c r="G257" s="180">
        <v>0</v>
      </c>
      <c r="H257" s="180">
        <v>0</v>
      </c>
      <c r="I257" s="180">
        <v>0</v>
      </c>
      <c r="J257" s="180">
        <v>-28246</v>
      </c>
      <c r="K257" s="180">
        <v>0</v>
      </c>
      <c r="L257" s="180">
        <v>0</v>
      </c>
      <c r="M257" s="180">
        <v>0</v>
      </c>
      <c r="N257" s="180">
        <v>0</v>
      </c>
      <c r="O257" s="180">
        <v>0</v>
      </c>
      <c r="P257" s="180">
        <v>-691259</v>
      </c>
      <c r="Q257" s="180">
        <v>-39085</v>
      </c>
      <c r="R257" s="180">
        <v>-13348</v>
      </c>
      <c r="S257" s="180">
        <v>-34933</v>
      </c>
      <c r="T257" s="180">
        <v>-65321</v>
      </c>
      <c r="U257" s="180">
        <v>-31874</v>
      </c>
      <c r="V257" s="180">
        <v>0</v>
      </c>
      <c r="W257" s="180">
        <v>0</v>
      </c>
      <c r="X257" s="180">
        <v>0</v>
      </c>
      <c r="Y257" s="180">
        <v>0</v>
      </c>
      <c r="Z257" s="180">
        <v>0</v>
      </c>
      <c r="AA257" s="180">
        <v>0</v>
      </c>
      <c r="AB257" s="180">
        <v>0</v>
      </c>
      <c r="AC257" s="180">
        <v>0</v>
      </c>
      <c r="AD257" s="180">
        <v>-521467</v>
      </c>
      <c r="AE257" s="180">
        <v>-1233</v>
      </c>
      <c r="AF257" s="182">
        <v>-61749</v>
      </c>
    </row>
    <row r="258" spans="1:32" hidden="1" x14ac:dyDescent="0.25">
      <c r="A258" s="177" t="s">
        <v>398</v>
      </c>
      <c r="B258" s="177" t="s">
        <v>399</v>
      </c>
      <c r="C258" s="178" t="s">
        <v>393</v>
      </c>
      <c r="D258" s="179" t="s">
        <v>363</v>
      </c>
      <c r="E258" s="180">
        <v>0</v>
      </c>
      <c r="F258" s="180">
        <v>-9344</v>
      </c>
      <c r="G258" s="180">
        <v>-2168</v>
      </c>
      <c r="H258" s="180">
        <v>0</v>
      </c>
      <c r="I258" s="180">
        <v>-8231</v>
      </c>
      <c r="J258" s="180">
        <v>-2093</v>
      </c>
      <c r="K258" s="180">
        <v>-102838</v>
      </c>
      <c r="L258" s="180">
        <v>-4543</v>
      </c>
      <c r="M258" s="180">
        <v>-31197</v>
      </c>
      <c r="N258" s="180">
        <v>-579</v>
      </c>
      <c r="O258" s="180">
        <v>-9352</v>
      </c>
      <c r="P258" s="180">
        <v>-16715</v>
      </c>
      <c r="Q258" s="180">
        <v>-32070</v>
      </c>
      <c r="R258" s="180">
        <v>-16413</v>
      </c>
      <c r="S258" s="180">
        <v>-54895</v>
      </c>
      <c r="T258" s="180">
        <v>-119452</v>
      </c>
      <c r="U258" s="180">
        <v>-171354</v>
      </c>
      <c r="V258" s="180">
        <v>0</v>
      </c>
      <c r="W258" s="180">
        <v>0</v>
      </c>
      <c r="X258" s="180">
        <v>-135185</v>
      </c>
      <c r="Y258" s="180">
        <v>-169483</v>
      </c>
      <c r="Z258" s="180">
        <v>-111728</v>
      </c>
      <c r="AA258" s="180">
        <v>-249017</v>
      </c>
      <c r="AB258" s="180">
        <v>-136963</v>
      </c>
      <c r="AC258" s="180">
        <v>-1619</v>
      </c>
      <c r="AD258" s="180">
        <v>-54780</v>
      </c>
      <c r="AE258" s="180">
        <v>-118421</v>
      </c>
      <c r="AF258" s="182">
        <v>-7946</v>
      </c>
    </row>
    <row r="259" spans="1:32" hidden="1" x14ac:dyDescent="0.25">
      <c r="A259" s="177" t="s">
        <v>398</v>
      </c>
      <c r="B259" s="177" t="s">
        <v>399</v>
      </c>
      <c r="C259" s="178" t="s">
        <v>408</v>
      </c>
      <c r="D259" s="179" t="s">
        <v>363</v>
      </c>
      <c r="E259" s="180">
        <v>0</v>
      </c>
      <c r="F259" s="180">
        <v>0</v>
      </c>
      <c r="G259" s="180">
        <v>0</v>
      </c>
      <c r="H259" s="180">
        <v>0</v>
      </c>
      <c r="I259" s="180">
        <v>-623</v>
      </c>
      <c r="J259" s="180">
        <v>0</v>
      </c>
      <c r="K259" s="180">
        <v>0</v>
      </c>
      <c r="L259" s="180">
        <v>0</v>
      </c>
      <c r="M259" s="180">
        <v>0</v>
      </c>
      <c r="N259" s="180">
        <v>-931</v>
      </c>
      <c r="O259" s="180">
        <v>0</v>
      </c>
      <c r="P259" s="180">
        <v>-599</v>
      </c>
      <c r="Q259" s="180">
        <v>0</v>
      </c>
      <c r="R259" s="180">
        <v>0</v>
      </c>
      <c r="S259" s="180">
        <v>-35</v>
      </c>
      <c r="T259" s="180">
        <v>0</v>
      </c>
      <c r="U259" s="180">
        <v>0</v>
      </c>
      <c r="V259" s="180">
        <v>-258</v>
      </c>
      <c r="W259" s="180">
        <v>0</v>
      </c>
      <c r="X259" s="180">
        <v>-3526</v>
      </c>
      <c r="Y259" s="180">
        <v>-4889</v>
      </c>
      <c r="Z259" s="180">
        <v>0</v>
      </c>
      <c r="AA259" s="180">
        <v>0</v>
      </c>
      <c r="AB259" s="180">
        <v>0</v>
      </c>
      <c r="AC259" s="180">
        <v>0</v>
      </c>
      <c r="AD259" s="180">
        <v>0</v>
      </c>
      <c r="AE259" s="180">
        <v>-247</v>
      </c>
      <c r="AF259" s="182">
        <v>-5225</v>
      </c>
    </row>
    <row r="260" spans="1:32" hidden="1" x14ac:dyDescent="0.25">
      <c r="A260" s="177" t="s">
        <v>398</v>
      </c>
      <c r="B260" s="177" t="s">
        <v>399</v>
      </c>
      <c r="C260" s="178" t="s">
        <v>409</v>
      </c>
      <c r="D260" s="179" t="s">
        <v>363</v>
      </c>
      <c r="E260" s="180">
        <v>0</v>
      </c>
      <c r="F260" s="180">
        <v>-867</v>
      </c>
      <c r="G260" s="180">
        <v>-355</v>
      </c>
      <c r="H260" s="180">
        <v>0</v>
      </c>
      <c r="I260" s="180">
        <v>-627</v>
      </c>
      <c r="J260" s="180">
        <v>-6642</v>
      </c>
      <c r="K260" s="180">
        <v>-13269</v>
      </c>
      <c r="L260" s="180">
        <v>0</v>
      </c>
      <c r="M260" s="180">
        <v>0</v>
      </c>
      <c r="N260" s="180">
        <v>-13671</v>
      </c>
      <c r="O260" s="180">
        <v>-6948</v>
      </c>
      <c r="P260" s="180">
        <v>-542846</v>
      </c>
      <c r="Q260" s="180">
        <v>-593</v>
      </c>
      <c r="R260" s="180">
        <v>-11</v>
      </c>
      <c r="S260" s="180">
        <v>-10881</v>
      </c>
      <c r="T260" s="180">
        <v>-36142</v>
      </c>
      <c r="U260" s="180">
        <v>-69701</v>
      </c>
      <c r="V260" s="180">
        <v>-35</v>
      </c>
      <c r="W260" s="180">
        <v>0</v>
      </c>
      <c r="X260" s="180">
        <v>-17014</v>
      </c>
      <c r="Y260" s="180">
        <v>-37298</v>
      </c>
      <c r="Z260" s="180">
        <v>0</v>
      </c>
      <c r="AA260" s="180">
        <v>-84903</v>
      </c>
      <c r="AB260" s="180">
        <v>0</v>
      </c>
      <c r="AC260" s="180">
        <v>-166</v>
      </c>
      <c r="AD260" s="180">
        <v>-12610</v>
      </c>
      <c r="AE260" s="180">
        <v>-76437</v>
      </c>
      <c r="AF260" s="182">
        <v>-26957</v>
      </c>
    </row>
    <row r="261" spans="1:32" hidden="1" x14ac:dyDescent="0.25">
      <c r="A261" s="177" t="s">
        <v>398</v>
      </c>
      <c r="B261" s="177" t="s">
        <v>399</v>
      </c>
      <c r="C261" s="178" t="s">
        <v>410</v>
      </c>
      <c r="D261" s="179" t="s">
        <v>363</v>
      </c>
      <c r="E261" s="180">
        <v>0</v>
      </c>
      <c r="F261" s="180">
        <v>0</v>
      </c>
      <c r="G261" s="180">
        <v>0</v>
      </c>
      <c r="H261" s="180">
        <v>0</v>
      </c>
      <c r="I261" s="180">
        <v>0</v>
      </c>
      <c r="J261" s="180">
        <v>0</v>
      </c>
      <c r="K261" s="180">
        <v>0</v>
      </c>
      <c r="L261" s="180">
        <v>0</v>
      </c>
      <c r="M261" s="180">
        <v>0</v>
      </c>
      <c r="N261" s="180">
        <v>0</v>
      </c>
      <c r="O261" s="180">
        <v>0</v>
      </c>
      <c r="P261" s="180">
        <v>-65298</v>
      </c>
      <c r="Q261" s="180">
        <v>0</v>
      </c>
      <c r="R261" s="180">
        <v>0</v>
      </c>
      <c r="S261" s="180">
        <v>0</v>
      </c>
      <c r="T261" s="180">
        <v>0</v>
      </c>
      <c r="U261" s="180">
        <v>0</v>
      </c>
      <c r="V261" s="180">
        <v>0</v>
      </c>
      <c r="W261" s="180">
        <v>0</v>
      </c>
      <c r="X261" s="180">
        <v>-1206</v>
      </c>
      <c r="Y261" s="180">
        <v>-5</v>
      </c>
      <c r="Z261" s="180">
        <v>0</v>
      </c>
      <c r="AA261" s="180">
        <v>-4276</v>
      </c>
      <c r="AB261" s="180">
        <v>0</v>
      </c>
      <c r="AC261" s="180">
        <v>0</v>
      </c>
      <c r="AD261" s="180">
        <v>0</v>
      </c>
      <c r="AE261" s="180">
        <v>0</v>
      </c>
      <c r="AF261" s="182">
        <v>-21</v>
      </c>
    </row>
    <row r="262" spans="1:32" hidden="1" x14ac:dyDescent="0.25">
      <c r="A262" s="177" t="s">
        <v>398</v>
      </c>
      <c r="B262" s="177" t="s">
        <v>399</v>
      </c>
      <c r="C262" s="178" t="s">
        <v>411</v>
      </c>
      <c r="D262" s="179" t="s">
        <v>363</v>
      </c>
      <c r="E262" s="180">
        <v>-3479</v>
      </c>
      <c r="F262" s="180">
        <v>-16841</v>
      </c>
      <c r="G262" s="180">
        <v>-4984</v>
      </c>
      <c r="H262" s="180">
        <v>0</v>
      </c>
      <c r="I262" s="180">
        <v>-952</v>
      </c>
      <c r="J262" s="180">
        <v>-46987</v>
      </c>
      <c r="K262" s="180">
        <v>-7035</v>
      </c>
      <c r="L262" s="180">
        <v>0</v>
      </c>
      <c r="M262" s="180">
        <v>0</v>
      </c>
      <c r="N262" s="180">
        <v>0</v>
      </c>
      <c r="O262" s="180">
        <v>0</v>
      </c>
      <c r="P262" s="180">
        <v>-112387</v>
      </c>
      <c r="Q262" s="180">
        <v>-168</v>
      </c>
      <c r="R262" s="180">
        <v>0</v>
      </c>
      <c r="S262" s="180">
        <v>-85</v>
      </c>
      <c r="T262" s="180">
        <v>0</v>
      </c>
      <c r="U262" s="180">
        <v>0</v>
      </c>
      <c r="V262" s="180">
        <v>-73457</v>
      </c>
      <c r="W262" s="180">
        <v>0</v>
      </c>
      <c r="X262" s="180">
        <v>0</v>
      </c>
      <c r="Y262" s="180">
        <v>-12882</v>
      </c>
      <c r="Z262" s="180">
        <v>0</v>
      </c>
      <c r="AA262" s="180">
        <v>-135696</v>
      </c>
      <c r="AB262" s="180">
        <v>0</v>
      </c>
      <c r="AC262" s="180">
        <v>0</v>
      </c>
      <c r="AD262" s="180">
        <v>-3862</v>
      </c>
      <c r="AE262" s="180">
        <v>0</v>
      </c>
      <c r="AF262" s="182">
        <v>0</v>
      </c>
    </row>
    <row r="263" spans="1:32" hidden="1" x14ac:dyDescent="0.25">
      <c r="A263" s="177" t="s">
        <v>398</v>
      </c>
      <c r="B263" s="177" t="s">
        <v>399</v>
      </c>
      <c r="C263" s="178" t="s">
        <v>394</v>
      </c>
      <c r="D263" s="179" t="s">
        <v>363</v>
      </c>
      <c r="E263" s="180">
        <v>-990</v>
      </c>
      <c r="F263" s="180">
        <v>0</v>
      </c>
      <c r="G263" s="180">
        <v>0</v>
      </c>
      <c r="H263" s="180">
        <v>0</v>
      </c>
      <c r="I263" s="180">
        <v>-41202</v>
      </c>
      <c r="J263" s="180">
        <v>-17855</v>
      </c>
      <c r="K263" s="180">
        <v>-590</v>
      </c>
      <c r="L263" s="180">
        <v>0</v>
      </c>
      <c r="M263" s="180">
        <v>0</v>
      </c>
      <c r="N263" s="180">
        <v>-253033</v>
      </c>
      <c r="O263" s="180">
        <v>0</v>
      </c>
      <c r="P263" s="180">
        <v>-1968636</v>
      </c>
      <c r="Q263" s="180">
        <v>-2068</v>
      </c>
      <c r="R263" s="180">
        <v>-65886</v>
      </c>
      <c r="S263" s="180">
        <v>-75930</v>
      </c>
      <c r="T263" s="180">
        <v>-303825</v>
      </c>
      <c r="U263" s="180">
        <v>-203521</v>
      </c>
      <c r="V263" s="180">
        <v>0</v>
      </c>
      <c r="W263" s="180">
        <v>-765765</v>
      </c>
      <c r="X263" s="180">
        <v>-124781</v>
      </c>
      <c r="Y263" s="180">
        <v>-2807</v>
      </c>
      <c r="Z263" s="180">
        <v>-465</v>
      </c>
      <c r="AA263" s="180">
        <v>-17623</v>
      </c>
      <c r="AB263" s="180">
        <v>-14373</v>
      </c>
      <c r="AC263" s="180">
        <v>-25</v>
      </c>
      <c r="AD263" s="180">
        <v>0</v>
      </c>
      <c r="AE263" s="180">
        <v>-56103</v>
      </c>
      <c r="AF263" s="182">
        <v>-675494</v>
      </c>
    </row>
    <row r="264" spans="1:32" hidden="1" x14ac:dyDescent="0.25">
      <c r="A264" s="194" t="s">
        <v>398</v>
      </c>
      <c r="B264" s="195" t="s">
        <v>399</v>
      </c>
      <c r="C264" s="195" t="s">
        <v>412</v>
      </c>
      <c r="D264" s="196" t="s">
        <v>363</v>
      </c>
      <c r="E264" s="197">
        <v>0</v>
      </c>
      <c r="F264" s="198">
        <v>0</v>
      </c>
      <c r="G264" s="198">
        <v>0</v>
      </c>
      <c r="H264" s="198">
        <v>0</v>
      </c>
      <c r="I264" s="198">
        <v>0</v>
      </c>
      <c r="J264" s="198">
        <v>0</v>
      </c>
      <c r="K264" s="198">
        <v>0</v>
      </c>
      <c r="L264" s="198">
        <v>0</v>
      </c>
      <c r="M264" s="198">
        <v>0</v>
      </c>
      <c r="N264" s="198">
        <v>0</v>
      </c>
      <c r="O264" s="198">
        <v>0</v>
      </c>
      <c r="P264" s="198">
        <v>0</v>
      </c>
      <c r="Q264" s="198">
        <v>0</v>
      </c>
      <c r="R264" s="198">
        <v>0</v>
      </c>
      <c r="S264" s="198">
        <v>0</v>
      </c>
      <c r="T264" s="198">
        <v>0</v>
      </c>
      <c r="U264" s="198">
        <v>-2159</v>
      </c>
      <c r="V264" s="198">
        <v>0</v>
      </c>
      <c r="W264" s="198">
        <v>0</v>
      </c>
      <c r="X264" s="198">
        <v>0</v>
      </c>
      <c r="Y264" s="198">
        <v>0</v>
      </c>
      <c r="Z264" s="198">
        <v>0</v>
      </c>
      <c r="AA264" s="198">
        <v>0</v>
      </c>
      <c r="AB264" s="198">
        <v>0</v>
      </c>
      <c r="AC264" s="198">
        <v>0</v>
      </c>
      <c r="AD264" s="198">
        <v>-5683</v>
      </c>
      <c r="AE264" s="198">
        <v>0</v>
      </c>
      <c r="AF264" s="199">
        <v>0</v>
      </c>
    </row>
    <row r="265" spans="1:32" hidden="1" x14ac:dyDescent="0.25">
      <c r="A265" s="168"/>
      <c r="B265" s="168"/>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c r="AA265" s="167"/>
      <c r="AB265" s="167"/>
      <c r="AC265" s="167"/>
      <c r="AD265" s="167"/>
      <c r="AE265" s="167"/>
      <c r="AF265" s="167"/>
    </row>
    <row r="266" spans="1:32" hidden="1" x14ac:dyDescent="0.25">
      <c r="A266" s="168"/>
      <c r="B266" s="168"/>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c r="AA266" s="167"/>
      <c r="AB266" s="167"/>
      <c r="AC266" s="167"/>
      <c r="AD266" s="167"/>
      <c r="AE266" s="167"/>
      <c r="AF266" s="167"/>
    </row>
    <row r="267" spans="1:32" hidden="1" x14ac:dyDescent="0.25">
      <c r="A267" s="168"/>
      <c r="B267" s="168"/>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c r="AC267" s="167"/>
      <c r="AD267" s="167"/>
      <c r="AE267" s="167"/>
      <c r="AF267" s="167"/>
    </row>
    <row r="268" spans="1:32" ht="15.75" hidden="1" x14ac:dyDescent="0.25">
      <c r="A268" s="227" t="s">
        <v>413</v>
      </c>
      <c r="B268" s="168"/>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c r="AD268" s="167"/>
      <c r="AE268" s="167"/>
      <c r="AF268" s="167"/>
    </row>
    <row r="269" spans="1:32" hidden="1" x14ac:dyDescent="0.25">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c r="AC269" s="167"/>
      <c r="AD269" s="167"/>
      <c r="AE269" s="167"/>
      <c r="AF269" s="167"/>
    </row>
    <row r="270" spans="1:32" hidden="1" x14ac:dyDescent="0.25">
      <c r="A270" s="168" t="s">
        <v>414</v>
      </c>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c r="AC270" s="167"/>
      <c r="AD270" s="167"/>
      <c r="AE270" s="167"/>
      <c r="AF270" s="167"/>
    </row>
    <row r="271" spans="1:32" hidden="1" x14ac:dyDescent="0.25">
      <c r="A271" s="187" t="s">
        <v>415</v>
      </c>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c r="AD271" s="167"/>
      <c r="AE271" s="167"/>
      <c r="AF271" s="167"/>
    </row>
    <row r="272" spans="1:32" hidden="1" x14ac:dyDescent="0.25">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c r="AD272" s="167"/>
      <c r="AE272" s="167"/>
      <c r="AF272" s="167"/>
    </row>
    <row r="273" spans="1:32" hidden="1" x14ac:dyDescent="0.25">
      <c r="A273" s="167"/>
      <c r="B273" s="229" t="s">
        <v>358</v>
      </c>
      <c r="C273" s="230" t="s">
        <v>416</v>
      </c>
      <c r="D273" s="230" t="s">
        <v>342</v>
      </c>
      <c r="E273" s="230" t="s">
        <v>162</v>
      </c>
      <c r="F273" s="230" t="s">
        <v>164</v>
      </c>
      <c r="G273" s="230" t="s">
        <v>166</v>
      </c>
      <c r="H273" s="230" t="s">
        <v>168</v>
      </c>
      <c r="I273" s="230" t="s">
        <v>170</v>
      </c>
      <c r="J273" s="230" t="s">
        <v>173</v>
      </c>
      <c r="K273" s="230" t="s">
        <v>175</v>
      </c>
      <c r="L273" s="230" t="s">
        <v>177</v>
      </c>
      <c r="M273" s="230" t="s">
        <v>179</v>
      </c>
      <c r="N273" s="230" t="s">
        <v>181</v>
      </c>
      <c r="O273" s="230" t="s">
        <v>183</v>
      </c>
      <c r="P273" s="230" t="s">
        <v>185</v>
      </c>
      <c r="Q273" s="230" t="s">
        <v>188</v>
      </c>
      <c r="R273" s="230" t="s">
        <v>190</v>
      </c>
      <c r="S273" s="230" t="s">
        <v>192</v>
      </c>
      <c r="T273" s="230" t="s">
        <v>194</v>
      </c>
      <c r="U273" s="230" t="s">
        <v>196</v>
      </c>
      <c r="V273" s="230" t="s">
        <v>198</v>
      </c>
      <c r="W273" s="230" t="s">
        <v>9</v>
      </c>
      <c r="X273" s="230" t="s">
        <v>201</v>
      </c>
      <c r="Y273" s="230" t="s">
        <v>203</v>
      </c>
      <c r="Z273" s="230" t="s">
        <v>205</v>
      </c>
      <c r="AA273" s="230" t="s">
        <v>207</v>
      </c>
      <c r="AB273" s="230" t="s">
        <v>210</v>
      </c>
      <c r="AC273" s="230" t="s">
        <v>212</v>
      </c>
      <c r="AD273" s="230" t="s">
        <v>214</v>
      </c>
      <c r="AE273" s="230" t="s">
        <v>217</v>
      </c>
      <c r="AF273" s="183" t="s">
        <v>219</v>
      </c>
    </row>
    <row r="274" spans="1:32" hidden="1" x14ac:dyDescent="0.25">
      <c r="A274" s="167"/>
      <c r="B274" s="231" t="s">
        <v>417</v>
      </c>
      <c r="C274" s="189" t="s">
        <v>400</v>
      </c>
      <c r="D274" s="189" t="s">
        <v>418</v>
      </c>
      <c r="E274" s="232">
        <v>0</v>
      </c>
      <c r="F274" s="232">
        <v>0</v>
      </c>
      <c r="G274" s="232">
        <v>0</v>
      </c>
      <c r="H274" s="232">
        <v>0</v>
      </c>
      <c r="I274" s="232">
        <v>0</v>
      </c>
      <c r="J274" s="232">
        <v>0</v>
      </c>
      <c r="K274" s="232">
        <v>0</v>
      </c>
      <c r="L274" s="232">
        <v>0</v>
      </c>
      <c r="M274" s="232">
        <v>0</v>
      </c>
      <c r="N274" s="232">
        <v>0</v>
      </c>
      <c r="O274" s="232">
        <v>0</v>
      </c>
      <c r="P274" s="232">
        <v>0</v>
      </c>
      <c r="Q274" s="232">
        <v>0</v>
      </c>
      <c r="R274" s="232">
        <v>0</v>
      </c>
      <c r="S274" s="232">
        <v>0</v>
      </c>
      <c r="T274" s="232">
        <v>1</v>
      </c>
      <c r="U274" s="232">
        <v>0</v>
      </c>
      <c r="V274" s="232">
        <v>0</v>
      </c>
      <c r="W274" s="232">
        <v>0</v>
      </c>
      <c r="X274" s="232">
        <v>0</v>
      </c>
      <c r="Y274" s="232">
        <v>0</v>
      </c>
      <c r="Z274" s="232">
        <v>0</v>
      </c>
      <c r="AA274" s="232">
        <v>0</v>
      </c>
      <c r="AB274" s="232">
        <v>0</v>
      </c>
      <c r="AC274" s="232">
        <v>0</v>
      </c>
      <c r="AD274" s="232">
        <v>0</v>
      </c>
      <c r="AE274" s="232">
        <v>0</v>
      </c>
      <c r="AF274" s="233">
        <v>0</v>
      </c>
    </row>
    <row r="275" spans="1:32" hidden="1" x14ac:dyDescent="0.25">
      <c r="A275" s="167"/>
      <c r="B275" s="234" t="s">
        <v>417</v>
      </c>
      <c r="C275" s="167" t="s">
        <v>396</v>
      </c>
      <c r="D275" s="167" t="s">
        <v>418</v>
      </c>
      <c r="E275" s="235">
        <v>0</v>
      </c>
      <c r="F275" s="235">
        <v>0</v>
      </c>
      <c r="G275" s="235">
        <v>0</v>
      </c>
      <c r="H275" s="235">
        <v>0</v>
      </c>
      <c r="I275" s="235">
        <v>0.97987575693687312</v>
      </c>
      <c r="J275" s="235">
        <v>1</v>
      </c>
      <c r="K275" s="235">
        <v>0</v>
      </c>
      <c r="L275" s="235">
        <v>0</v>
      </c>
      <c r="M275" s="235">
        <v>0</v>
      </c>
      <c r="N275" s="235">
        <v>0</v>
      </c>
      <c r="O275" s="235">
        <v>1</v>
      </c>
      <c r="P275" s="235">
        <v>0</v>
      </c>
      <c r="Q275" s="235">
        <v>1</v>
      </c>
      <c r="R275" s="235">
        <v>0.8290661870064937</v>
      </c>
      <c r="S275" s="235">
        <v>0.66170610034749133</v>
      </c>
      <c r="T275" s="235">
        <v>0.58951571983838214</v>
      </c>
      <c r="U275" s="235">
        <v>0.52865562275878375</v>
      </c>
      <c r="V275" s="235">
        <v>0</v>
      </c>
      <c r="W275" s="235">
        <v>0</v>
      </c>
      <c r="X275" s="235">
        <v>0</v>
      </c>
      <c r="Y275" s="235">
        <v>1</v>
      </c>
      <c r="Z275" s="235">
        <v>0.66413641852757865</v>
      </c>
      <c r="AA275" s="235">
        <v>0</v>
      </c>
      <c r="AB275" s="235">
        <v>1</v>
      </c>
      <c r="AC275" s="235">
        <v>0</v>
      </c>
      <c r="AD275" s="235">
        <v>0</v>
      </c>
      <c r="AE275" s="235">
        <v>0.52775425146844968</v>
      </c>
      <c r="AF275" s="236">
        <v>0.98219961856325488</v>
      </c>
    </row>
    <row r="276" spans="1:32" hidden="1" x14ac:dyDescent="0.25">
      <c r="A276" s="167"/>
      <c r="B276" s="234" t="s">
        <v>417</v>
      </c>
      <c r="C276" s="167" t="s">
        <v>401</v>
      </c>
      <c r="D276" s="167" t="s">
        <v>418</v>
      </c>
      <c r="E276" s="235">
        <v>0</v>
      </c>
      <c r="F276" s="235">
        <v>0</v>
      </c>
      <c r="G276" s="235">
        <v>0</v>
      </c>
      <c r="H276" s="235">
        <v>0</v>
      </c>
      <c r="I276" s="235">
        <v>0</v>
      </c>
      <c r="J276" s="235">
        <v>0</v>
      </c>
      <c r="K276" s="235">
        <v>0</v>
      </c>
      <c r="L276" s="235">
        <v>0</v>
      </c>
      <c r="M276" s="235">
        <v>0</v>
      </c>
      <c r="N276" s="235">
        <v>0</v>
      </c>
      <c r="O276" s="235">
        <v>0</v>
      </c>
      <c r="P276" s="235">
        <v>0</v>
      </c>
      <c r="Q276" s="235">
        <v>0</v>
      </c>
      <c r="R276" s="235">
        <v>0</v>
      </c>
      <c r="S276" s="235">
        <v>0</v>
      </c>
      <c r="T276" s="235">
        <v>0</v>
      </c>
      <c r="U276" s="235">
        <v>0</v>
      </c>
      <c r="V276" s="235">
        <v>0</v>
      </c>
      <c r="W276" s="235">
        <v>0</v>
      </c>
      <c r="X276" s="235">
        <v>0</v>
      </c>
      <c r="Y276" s="235">
        <v>0</v>
      </c>
      <c r="Z276" s="235">
        <v>0</v>
      </c>
      <c r="AA276" s="235">
        <v>0</v>
      </c>
      <c r="AB276" s="235">
        <v>0</v>
      </c>
      <c r="AC276" s="235">
        <v>0</v>
      </c>
      <c r="AD276" s="235">
        <v>0</v>
      </c>
      <c r="AE276" s="235">
        <v>0</v>
      </c>
      <c r="AF276" s="236">
        <v>0</v>
      </c>
    </row>
    <row r="277" spans="1:32" hidden="1" x14ac:dyDescent="0.25">
      <c r="A277" s="167"/>
      <c r="B277" s="234" t="s">
        <v>417</v>
      </c>
      <c r="C277" s="167" t="s">
        <v>389</v>
      </c>
      <c r="D277" s="167" t="s">
        <v>418</v>
      </c>
      <c r="E277" s="235">
        <v>0</v>
      </c>
      <c r="F277" s="235">
        <v>0</v>
      </c>
      <c r="G277" s="235">
        <v>0</v>
      </c>
      <c r="H277" s="235">
        <v>0</v>
      </c>
      <c r="I277" s="235">
        <v>0</v>
      </c>
      <c r="J277" s="235">
        <v>0</v>
      </c>
      <c r="K277" s="235">
        <v>0</v>
      </c>
      <c r="L277" s="235">
        <v>0</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6">
        <v>0</v>
      </c>
    </row>
    <row r="278" spans="1:32" hidden="1" x14ac:dyDescent="0.25">
      <c r="A278" s="167"/>
      <c r="B278" s="234" t="s">
        <v>417</v>
      </c>
      <c r="C278" s="167" t="s">
        <v>390</v>
      </c>
      <c r="D278" s="167" t="s">
        <v>418</v>
      </c>
      <c r="E278" s="235">
        <v>0</v>
      </c>
      <c r="F278" s="235">
        <v>0</v>
      </c>
      <c r="G278" s="235">
        <v>0</v>
      </c>
      <c r="H278" s="235">
        <v>0</v>
      </c>
      <c r="I278" s="235">
        <v>0</v>
      </c>
      <c r="J278" s="235">
        <v>0</v>
      </c>
      <c r="K278" s="235">
        <v>0</v>
      </c>
      <c r="L278" s="235">
        <v>0</v>
      </c>
      <c r="M278" s="235">
        <v>0</v>
      </c>
      <c r="N278" s="235">
        <v>0</v>
      </c>
      <c r="O278" s="235">
        <v>0</v>
      </c>
      <c r="P278" s="235">
        <v>0</v>
      </c>
      <c r="Q278" s="235">
        <v>0</v>
      </c>
      <c r="R278" s="235">
        <v>0</v>
      </c>
      <c r="S278" s="235">
        <v>0</v>
      </c>
      <c r="T278" s="235">
        <v>0</v>
      </c>
      <c r="U278" s="235">
        <v>4.4383051272965601E-2</v>
      </c>
      <c r="V278" s="235">
        <v>0</v>
      </c>
      <c r="W278" s="235">
        <v>0</v>
      </c>
      <c r="X278" s="235">
        <v>0</v>
      </c>
      <c r="Y278" s="235">
        <v>0</v>
      </c>
      <c r="Z278" s="235">
        <v>0</v>
      </c>
      <c r="AA278" s="235">
        <v>0</v>
      </c>
      <c r="AB278" s="235">
        <v>0</v>
      </c>
      <c r="AC278" s="235">
        <v>0</v>
      </c>
      <c r="AD278" s="235">
        <v>0</v>
      </c>
      <c r="AE278" s="235">
        <v>0</v>
      </c>
      <c r="AF278" s="236">
        <v>0</v>
      </c>
    </row>
    <row r="279" spans="1:32" hidden="1" x14ac:dyDescent="0.25">
      <c r="A279" s="167"/>
      <c r="B279" s="234" t="s">
        <v>417</v>
      </c>
      <c r="C279" s="167" t="s">
        <v>402</v>
      </c>
      <c r="D279" s="167" t="s">
        <v>418</v>
      </c>
      <c r="E279" s="235">
        <v>0</v>
      </c>
      <c r="F279" s="235">
        <v>0</v>
      </c>
      <c r="G279" s="235">
        <v>0</v>
      </c>
      <c r="H279" s="235">
        <v>0</v>
      </c>
      <c r="I279" s="235">
        <v>0</v>
      </c>
      <c r="J279" s="235">
        <v>0</v>
      </c>
      <c r="K279" s="235">
        <v>0</v>
      </c>
      <c r="L279" s="235">
        <v>0</v>
      </c>
      <c r="M279" s="235">
        <v>0</v>
      </c>
      <c r="N279" s="235">
        <v>0</v>
      </c>
      <c r="O279" s="235">
        <v>0</v>
      </c>
      <c r="P279" s="235">
        <v>0</v>
      </c>
      <c r="Q279" s="235">
        <v>0</v>
      </c>
      <c r="R279" s="235">
        <v>0</v>
      </c>
      <c r="S279" s="235">
        <v>0</v>
      </c>
      <c r="T279" s="235">
        <v>0</v>
      </c>
      <c r="U279" s="235">
        <v>0</v>
      </c>
      <c r="V279" s="235">
        <v>0</v>
      </c>
      <c r="W279" s="235">
        <v>0</v>
      </c>
      <c r="X279" s="235">
        <v>0</v>
      </c>
      <c r="Y279" s="235">
        <v>0</v>
      </c>
      <c r="Z279" s="235">
        <v>0</v>
      </c>
      <c r="AA279" s="235">
        <v>0</v>
      </c>
      <c r="AB279" s="235">
        <v>0</v>
      </c>
      <c r="AC279" s="235">
        <v>0</v>
      </c>
      <c r="AD279" s="235">
        <v>0</v>
      </c>
      <c r="AE279" s="235">
        <v>0</v>
      </c>
      <c r="AF279" s="236">
        <v>0</v>
      </c>
    </row>
    <row r="280" spans="1:32" hidden="1" x14ac:dyDescent="0.25">
      <c r="A280" s="167"/>
      <c r="B280" s="234" t="s">
        <v>417</v>
      </c>
      <c r="C280" s="167" t="s">
        <v>403</v>
      </c>
      <c r="D280" s="167" t="s">
        <v>418</v>
      </c>
      <c r="E280" s="235">
        <v>0</v>
      </c>
      <c r="F280" s="235">
        <v>0</v>
      </c>
      <c r="G280" s="235">
        <v>0</v>
      </c>
      <c r="H280" s="235">
        <v>0</v>
      </c>
      <c r="I280" s="235">
        <v>0</v>
      </c>
      <c r="J280" s="235">
        <v>0</v>
      </c>
      <c r="K280" s="235">
        <v>0</v>
      </c>
      <c r="L280" s="235">
        <v>0</v>
      </c>
      <c r="M280" s="235">
        <v>0</v>
      </c>
      <c r="N280" s="235">
        <v>0</v>
      </c>
      <c r="O280" s="235">
        <v>1</v>
      </c>
      <c r="P280" s="235">
        <v>0</v>
      </c>
      <c r="Q280" s="235">
        <v>0.31088158989671544</v>
      </c>
      <c r="R280" s="235">
        <v>0.18078967430434964</v>
      </c>
      <c r="S280" s="235">
        <v>4.2278759256670198E-2</v>
      </c>
      <c r="T280" s="235">
        <v>0</v>
      </c>
      <c r="U280" s="235">
        <v>0.17749207171613848</v>
      </c>
      <c r="V280" s="235">
        <v>0</v>
      </c>
      <c r="W280" s="235">
        <v>0.25000306887789547</v>
      </c>
      <c r="X280" s="235">
        <v>0</v>
      </c>
      <c r="Y280" s="235">
        <v>0</v>
      </c>
      <c r="Z280" s="235">
        <v>0.40915642776254035</v>
      </c>
      <c r="AA280" s="235">
        <v>0</v>
      </c>
      <c r="AB280" s="235">
        <v>0</v>
      </c>
      <c r="AC280" s="235">
        <v>0</v>
      </c>
      <c r="AD280" s="235">
        <v>0</v>
      </c>
      <c r="AE280" s="235">
        <v>0.62842225069978686</v>
      </c>
      <c r="AF280" s="236">
        <v>0.24117563839569922</v>
      </c>
    </row>
    <row r="281" spans="1:32" hidden="1" x14ac:dyDescent="0.25">
      <c r="A281" s="167"/>
      <c r="B281" s="234" t="s">
        <v>417</v>
      </c>
      <c r="C281" s="167" t="s">
        <v>391</v>
      </c>
      <c r="D281" s="167" t="s">
        <v>418</v>
      </c>
      <c r="E281" s="235">
        <v>0</v>
      </c>
      <c r="F281" s="235">
        <v>0</v>
      </c>
      <c r="G281" s="235">
        <v>0</v>
      </c>
      <c r="H281" s="235">
        <v>0</v>
      </c>
      <c r="I281" s="235">
        <v>0</v>
      </c>
      <c r="J281" s="235">
        <v>0</v>
      </c>
      <c r="K281" s="235">
        <v>0</v>
      </c>
      <c r="L281" s="235">
        <v>0</v>
      </c>
      <c r="M281" s="235">
        <v>0</v>
      </c>
      <c r="N281" s="235">
        <v>0</v>
      </c>
      <c r="O281" s="235">
        <v>0</v>
      </c>
      <c r="P281" s="235">
        <v>0</v>
      </c>
      <c r="Q281" s="235">
        <v>0</v>
      </c>
      <c r="R281" s="235">
        <v>0</v>
      </c>
      <c r="S281" s="235">
        <v>0</v>
      </c>
      <c r="T281" s="235">
        <v>0</v>
      </c>
      <c r="U281" s="235">
        <v>0</v>
      </c>
      <c r="V281" s="235">
        <v>0</v>
      </c>
      <c r="W281" s="235">
        <v>0</v>
      </c>
      <c r="X281" s="235">
        <v>0</v>
      </c>
      <c r="Y281" s="235">
        <v>0</v>
      </c>
      <c r="Z281" s="235">
        <v>0</v>
      </c>
      <c r="AA281" s="235">
        <v>0</v>
      </c>
      <c r="AB281" s="235">
        <v>0</v>
      </c>
      <c r="AC281" s="235">
        <v>0</v>
      </c>
      <c r="AD281" s="235">
        <v>0</v>
      </c>
      <c r="AE281" s="235">
        <v>0</v>
      </c>
      <c r="AF281" s="236">
        <v>0</v>
      </c>
    </row>
    <row r="282" spans="1:32" hidden="1" x14ac:dyDescent="0.25">
      <c r="A282" s="167"/>
      <c r="B282" s="234" t="s">
        <v>417</v>
      </c>
      <c r="C282" s="167" t="s">
        <v>404</v>
      </c>
      <c r="D282" s="167" t="s">
        <v>418</v>
      </c>
      <c r="E282" s="235">
        <v>0</v>
      </c>
      <c r="F282" s="235">
        <v>0</v>
      </c>
      <c r="G282" s="235">
        <v>0</v>
      </c>
      <c r="H282" s="235">
        <v>0</v>
      </c>
      <c r="I282" s="235">
        <v>0</v>
      </c>
      <c r="J282" s="235">
        <v>0</v>
      </c>
      <c r="K282" s="235">
        <v>0</v>
      </c>
      <c r="L282" s="235">
        <v>0</v>
      </c>
      <c r="M282" s="235">
        <v>0</v>
      </c>
      <c r="N282" s="235">
        <v>0</v>
      </c>
      <c r="O282" s="235">
        <v>0</v>
      </c>
      <c r="P282" s="235">
        <v>0</v>
      </c>
      <c r="Q282" s="235">
        <v>0</v>
      </c>
      <c r="R282" s="235">
        <v>0</v>
      </c>
      <c r="S282" s="235">
        <v>0</v>
      </c>
      <c r="T282" s="235">
        <v>1.8745493871665463E-3</v>
      </c>
      <c r="U282" s="235">
        <v>9.26526452330214E-3</v>
      </c>
      <c r="V282" s="235">
        <v>0</v>
      </c>
      <c r="W282" s="235">
        <v>0</v>
      </c>
      <c r="X282" s="235">
        <v>0</v>
      </c>
      <c r="Y282" s="235">
        <v>0</v>
      </c>
      <c r="Z282" s="235">
        <v>0</v>
      </c>
      <c r="AA282" s="235">
        <v>0</v>
      </c>
      <c r="AB282" s="235">
        <v>0</v>
      </c>
      <c r="AC282" s="235">
        <v>0</v>
      </c>
      <c r="AD282" s="235">
        <v>0</v>
      </c>
      <c r="AE282" s="235">
        <v>0</v>
      </c>
      <c r="AF282" s="236">
        <v>0</v>
      </c>
    </row>
    <row r="283" spans="1:32" hidden="1" x14ac:dyDescent="0.25">
      <c r="A283" s="167"/>
      <c r="B283" s="234" t="s">
        <v>417</v>
      </c>
      <c r="C283" s="167" t="s">
        <v>405</v>
      </c>
      <c r="D283" s="167" t="s">
        <v>418</v>
      </c>
      <c r="E283" s="235">
        <v>0</v>
      </c>
      <c r="F283" s="235">
        <v>0</v>
      </c>
      <c r="G283" s="235">
        <v>0</v>
      </c>
      <c r="H283" s="235">
        <v>0</v>
      </c>
      <c r="I283" s="235">
        <v>5.605996396052043E-3</v>
      </c>
      <c r="J283" s="235">
        <v>0</v>
      </c>
      <c r="K283" s="235">
        <v>0</v>
      </c>
      <c r="L283" s="235">
        <v>0</v>
      </c>
      <c r="M283" s="235">
        <v>0</v>
      </c>
      <c r="N283" s="235">
        <v>0</v>
      </c>
      <c r="O283" s="235">
        <v>0</v>
      </c>
      <c r="P283" s="235">
        <v>0</v>
      </c>
      <c r="Q283" s="235">
        <v>0</v>
      </c>
      <c r="R283" s="235">
        <v>7.4877997735431894E-3</v>
      </c>
      <c r="S283" s="235">
        <v>7.897541228647097E-3</v>
      </c>
      <c r="T283" s="235">
        <v>0</v>
      </c>
      <c r="U283" s="235">
        <v>3.2951326103518759E-2</v>
      </c>
      <c r="V283" s="235">
        <v>0</v>
      </c>
      <c r="W283" s="235">
        <v>0</v>
      </c>
      <c r="X283" s="235">
        <v>0</v>
      </c>
      <c r="Y283" s="235">
        <v>0</v>
      </c>
      <c r="Z283" s="235">
        <v>0</v>
      </c>
      <c r="AA283" s="235">
        <v>2.4869131646481617E-3</v>
      </c>
      <c r="AB283" s="235">
        <v>0</v>
      </c>
      <c r="AC283" s="235">
        <v>0</v>
      </c>
      <c r="AD283" s="235">
        <v>0</v>
      </c>
      <c r="AE283" s="235">
        <v>0</v>
      </c>
      <c r="AF283" s="236">
        <v>2.7187181296160316E-2</v>
      </c>
    </row>
    <row r="284" spans="1:32" hidden="1" x14ac:dyDescent="0.25">
      <c r="A284" s="167"/>
      <c r="B284" s="234" t="s">
        <v>417</v>
      </c>
      <c r="C284" s="167" t="s">
        <v>392</v>
      </c>
      <c r="D284" s="167" t="s">
        <v>418</v>
      </c>
      <c r="E284" s="235">
        <v>0</v>
      </c>
      <c r="F284" s="235">
        <v>0</v>
      </c>
      <c r="G284" s="235">
        <v>0</v>
      </c>
      <c r="H284" s="235">
        <v>0</v>
      </c>
      <c r="I284" s="235">
        <v>1.0741462527992579E-2</v>
      </c>
      <c r="J284" s="235">
        <v>0</v>
      </c>
      <c r="K284" s="235">
        <v>0</v>
      </c>
      <c r="L284" s="235">
        <v>0</v>
      </c>
      <c r="M284" s="235">
        <v>0</v>
      </c>
      <c r="N284" s="235">
        <v>0</v>
      </c>
      <c r="O284" s="235">
        <v>0</v>
      </c>
      <c r="P284" s="235">
        <v>0</v>
      </c>
      <c r="Q284" s="235">
        <v>0</v>
      </c>
      <c r="R284" s="235">
        <v>0</v>
      </c>
      <c r="S284" s="235">
        <v>2.0513164741493227E-3</v>
      </c>
      <c r="T284" s="235">
        <v>0</v>
      </c>
      <c r="U284" s="235">
        <v>1.3387125425262155E-2</v>
      </c>
      <c r="V284" s="235">
        <v>0</v>
      </c>
      <c r="W284" s="235">
        <v>0</v>
      </c>
      <c r="X284" s="235">
        <v>0</v>
      </c>
      <c r="Y284" s="235">
        <v>0</v>
      </c>
      <c r="Z284" s="235">
        <v>0</v>
      </c>
      <c r="AA284" s="235">
        <v>3.5719591643615001E-3</v>
      </c>
      <c r="AB284" s="235">
        <v>0</v>
      </c>
      <c r="AC284" s="235">
        <v>0</v>
      </c>
      <c r="AD284" s="235">
        <v>0</v>
      </c>
      <c r="AE284" s="235">
        <v>0</v>
      </c>
      <c r="AF284" s="236">
        <v>3.5513613433769994E-3</v>
      </c>
    </row>
    <row r="285" spans="1:32" hidden="1" x14ac:dyDescent="0.25">
      <c r="A285" s="167"/>
      <c r="B285" s="234" t="s">
        <v>417</v>
      </c>
      <c r="C285" s="167" t="s">
        <v>406</v>
      </c>
      <c r="D285" s="167" t="s">
        <v>418</v>
      </c>
      <c r="E285" s="235">
        <v>0</v>
      </c>
      <c r="F285" s="235">
        <v>0</v>
      </c>
      <c r="G285" s="235">
        <v>0</v>
      </c>
      <c r="H285" s="235">
        <v>0</v>
      </c>
      <c r="I285" s="235">
        <v>0</v>
      </c>
      <c r="J285" s="235">
        <v>0</v>
      </c>
      <c r="K285" s="235">
        <v>0</v>
      </c>
      <c r="L285" s="235">
        <v>0</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6">
        <v>0</v>
      </c>
    </row>
    <row r="286" spans="1:32" hidden="1" x14ac:dyDescent="0.25">
      <c r="A286" s="167"/>
      <c r="B286" s="234" t="s">
        <v>417</v>
      </c>
      <c r="C286" s="167" t="s">
        <v>407</v>
      </c>
      <c r="D286" s="167" t="s">
        <v>418</v>
      </c>
      <c r="E286" s="235">
        <v>0</v>
      </c>
      <c r="F286" s="235">
        <v>0</v>
      </c>
      <c r="G286" s="235">
        <v>0</v>
      </c>
      <c r="H286" s="235">
        <v>0</v>
      </c>
      <c r="I286" s="235">
        <v>0</v>
      </c>
      <c r="J286" s="235">
        <v>0</v>
      </c>
      <c r="K286" s="235">
        <v>0</v>
      </c>
      <c r="L286" s="235">
        <v>0</v>
      </c>
      <c r="M286" s="235">
        <v>0</v>
      </c>
      <c r="N286" s="235">
        <v>0</v>
      </c>
      <c r="O286" s="235">
        <v>0</v>
      </c>
      <c r="P286" s="235">
        <v>0</v>
      </c>
      <c r="Q286" s="235">
        <v>0</v>
      </c>
      <c r="R286" s="235">
        <v>0</v>
      </c>
      <c r="S286" s="235">
        <v>1.6288390971765689E-2</v>
      </c>
      <c r="T286" s="235">
        <v>0</v>
      </c>
      <c r="U286" s="235">
        <v>0</v>
      </c>
      <c r="V286" s="235">
        <v>0</v>
      </c>
      <c r="W286" s="235">
        <v>0</v>
      </c>
      <c r="X286" s="235">
        <v>0</v>
      </c>
      <c r="Y286" s="235">
        <v>0</v>
      </c>
      <c r="Z286" s="235">
        <v>0</v>
      </c>
      <c r="AA286" s="235">
        <v>0</v>
      </c>
      <c r="AB286" s="235">
        <v>0</v>
      </c>
      <c r="AC286" s="235">
        <v>0</v>
      </c>
      <c r="AD286" s="235">
        <v>0</v>
      </c>
      <c r="AE286" s="235">
        <v>0</v>
      </c>
      <c r="AF286" s="236">
        <v>0</v>
      </c>
    </row>
    <row r="287" spans="1:32" hidden="1" x14ac:dyDescent="0.25">
      <c r="A287" s="167"/>
      <c r="B287" s="234" t="s">
        <v>417</v>
      </c>
      <c r="C287" s="167" t="s">
        <v>393</v>
      </c>
      <c r="D287" s="167" t="s">
        <v>418</v>
      </c>
      <c r="E287" s="235">
        <v>0</v>
      </c>
      <c r="F287" s="235">
        <v>0</v>
      </c>
      <c r="G287" s="235">
        <v>0</v>
      </c>
      <c r="H287" s="235">
        <v>0</v>
      </c>
      <c r="I287" s="235">
        <v>0</v>
      </c>
      <c r="J287" s="235">
        <v>0</v>
      </c>
      <c r="K287" s="235">
        <v>0</v>
      </c>
      <c r="L287" s="235">
        <v>0</v>
      </c>
      <c r="M287" s="235">
        <v>0</v>
      </c>
      <c r="N287" s="235">
        <v>0</v>
      </c>
      <c r="O287" s="235">
        <v>0</v>
      </c>
      <c r="P287" s="235">
        <v>0</v>
      </c>
      <c r="Q287" s="235">
        <v>0</v>
      </c>
      <c r="R287" s="235">
        <v>0</v>
      </c>
      <c r="S287" s="235">
        <v>0</v>
      </c>
      <c r="T287" s="235">
        <v>0</v>
      </c>
      <c r="U287" s="235">
        <v>0</v>
      </c>
      <c r="V287" s="235">
        <v>0</v>
      </c>
      <c r="W287" s="235">
        <v>0</v>
      </c>
      <c r="X287" s="235">
        <v>0</v>
      </c>
      <c r="Y287" s="235">
        <v>0</v>
      </c>
      <c r="Z287" s="235">
        <v>0</v>
      </c>
      <c r="AA287" s="235">
        <v>0</v>
      </c>
      <c r="AB287" s="235">
        <v>0</v>
      </c>
      <c r="AC287" s="235">
        <v>0</v>
      </c>
      <c r="AD287" s="235">
        <v>0</v>
      </c>
      <c r="AE287" s="235">
        <v>0</v>
      </c>
      <c r="AF287" s="236">
        <v>0</v>
      </c>
    </row>
    <row r="288" spans="1:32" hidden="1" x14ac:dyDescent="0.25">
      <c r="A288" s="167"/>
      <c r="B288" s="234" t="s">
        <v>417</v>
      </c>
      <c r="C288" s="167" t="s">
        <v>408</v>
      </c>
      <c r="D288" s="167" t="s">
        <v>418</v>
      </c>
      <c r="E288" s="235">
        <v>0</v>
      </c>
      <c r="F288" s="235">
        <v>0</v>
      </c>
      <c r="G288" s="235">
        <v>0</v>
      </c>
      <c r="H288" s="235">
        <v>0</v>
      </c>
      <c r="I288" s="235">
        <v>0</v>
      </c>
      <c r="J288" s="235">
        <v>0</v>
      </c>
      <c r="K288" s="235">
        <v>0</v>
      </c>
      <c r="L288" s="235">
        <v>0</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6">
        <v>0</v>
      </c>
    </row>
    <row r="289" spans="1:32" hidden="1" x14ac:dyDescent="0.25">
      <c r="A289" s="167"/>
      <c r="B289" s="234" t="s">
        <v>417</v>
      </c>
      <c r="C289" s="167" t="s">
        <v>409</v>
      </c>
      <c r="D289" s="167" t="s">
        <v>418</v>
      </c>
      <c r="E289" s="235">
        <v>0</v>
      </c>
      <c r="F289" s="235">
        <v>0</v>
      </c>
      <c r="G289" s="235">
        <v>0</v>
      </c>
      <c r="H289" s="235">
        <v>0</v>
      </c>
      <c r="I289" s="235">
        <v>0</v>
      </c>
      <c r="J289" s="235">
        <v>0</v>
      </c>
      <c r="K289" s="235">
        <v>0</v>
      </c>
      <c r="L289" s="235">
        <v>0</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6">
        <v>0</v>
      </c>
    </row>
    <row r="290" spans="1:32" hidden="1" x14ac:dyDescent="0.25">
      <c r="A290" s="167"/>
      <c r="B290" s="234" t="s">
        <v>417</v>
      </c>
      <c r="C290" s="167" t="s">
        <v>410</v>
      </c>
      <c r="D290" s="167" t="s">
        <v>418</v>
      </c>
      <c r="E290" s="235">
        <v>0</v>
      </c>
      <c r="F290" s="235">
        <v>0</v>
      </c>
      <c r="G290" s="235">
        <v>0</v>
      </c>
      <c r="H290" s="235">
        <v>0</v>
      </c>
      <c r="I290" s="235">
        <v>0</v>
      </c>
      <c r="J290" s="235">
        <v>0</v>
      </c>
      <c r="K290" s="235">
        <v>0</v>
      </c>
      <c r="L290" s="235">
        <v>0</v>
      </c>
      <c r="M290" s="235">
        <v>0</v>
      </c>
      <c r="N290" s="235">
        <v>0</v>
      </c>
      <c r="O290" s="235">
        <v>0</v>
      </c>
      <c r="P290" s="235">
        <v>0</v>
      </c>
      <c r="Q290" s="235">
        <v>0</v>
      </c>
      <c r="R290" s="235">
        <v>0</v>
      </c>
      <c r="S290" s="235">
        <v>0</v>
      </c>
      <c r="T290" s="235">
        <v>0</v>
      </c>
      <c r="U290" s="235">
        <v>0</v>
      </c>
      <c r="V290" s="235">
        <v>0</v>
      </c>
      <c r="W290" s="235">
        <v>0</v>
      </c>
      <c r="X290" s="235">
        <v>0</v>
      </c>
      <c r="Y290" s="235">
        <v>0</v>
      </c>
      <c r="Z290" s="235">
        <v>0</v>
      </c>
      <c r="AA290" s="235">
        <v>0</v>
      </c>
      <c r="AB290" s="235">
        <v>0</v>
      </c>
      <c r="AC290" s="235">
        <v>0</v>
      </c>
      <c r="AD290" s="235">
        <v>0</v>
      </c>
      <c r="AE290" s="235">
        <v>0</v>
      </c>
      <c r="AF290" s="236">
        <v>0</v>
      </c>
    </row>
    <row r="291" spans="1:32" hidden="1" x14ac:dyDescent="0.25">
      <c r="A291" s="167"/>
      <c r="B291" s="234" t="s">
        <v>417</v>
      </c>
      <c r="C291" s="167" t="s">
        <v>411</v>
      </c>
      <c r="D291" s="167" t="s">
        <v>418</v>
      </c>
      <c r="E291" s="235">
        <v>0</v>
      </c>
      <c r="F291" s="235">
        <v>0</v>
      </c>
      <c r="G291" s="235">
        <v>0</v>
      </c>
      <c r="H291" s="235">
        <v>0</v>
      </c>
      <c r="I291" s="235">
        <v>0</v>
      </c>
      <c r="J291" s="235">
        <v>0</v>
      </c>
      <c r="K291" s="235">
        <v>0</v>
      </c>
      <c r="L291" s="235">
        <v>0</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6">
        <v>0</v>
      </c>
    </row>
    <row r="292" spans="1:32" hidden="1" x14ac:dyDescent="0.25">
      <c r="A292" s="167"/>
      <c r="B292" s="234" t="s">
        <v>417</v>
      </c>
      <c r="C292" s="167" t="s">
        <v>394</v>
      </c>
      <c r="D292" s="167" t="s">
        <v>418</v>
      </c>
      <c r="E292" s="235">
        <v>0</v>
      </c>
      <c r="F292" s="235">
        <v>0</v>
      </c>
      <c r="G292" s="235">
        <v>0</v>
      </c>
      <c r="H292" s="235">
        <v>0</v>
      </c>
      <c r="I292" s="235">
        <v>0</v>
      </c>
      <c r="J292" s="235">
        <v>0</v>
      </c>
      <c r="K292" s="235">
        <v>0</v>
      </c>
      <c r="L292" s="235">
        <v>0</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6">
        <v>0</v>
      </c>
    </row>
    <row r="293" spans="1:32" hidden="1" x14ac:dyDescent="0.25">
      <c r="A293" s="167"/>
      <c r="B293" s="237" t="s">
        <v>417</v>
      </c>
      <c r="C293" s="238" t="s">
        <v>412</v>
      </c>
      <c r="D293" s="238" t="s">
        <v>418</v>
      </c>
      <c r="E293" s="239">
        <v>0</v>
      </c>
      <c r="F293" s="239">
        <v>0</v>
      </c>
      <c r="G293" s="239">
        <v>0</v>
      </c>
      <c r="H293" s="239">
        <v>0</v>
      </c>
      <c r="I293" s="239">
        <v>0</v>
      </c>
      <c r="J293" s="239">
        <v>0</v>
      </c>
      <c r="K293" s="239">
        <v>0</v>
      </c>
      <c r="L293" s="239">
        <v>0</v>
      </c>
      <c r="M293" s="239">
        <v>0</v>
      </c>
      <c r="N293" s="239">
        <v>0</v>
      </c>
      <c r="O293" s="239">
        <v>0</v>
      </c>
      <c r="P293" s="239">
        <v>0</v>
      </c>
      <c r="Q293" s="239">
        <v>0</v>
      </c>
      <c r="R293" s="239">
        <v>0</v>
      </c>
      <c r="S293" s="239">
        <v>0</v>
      </c>
      <c r="T293" s="239">
        <v>0</v>
      </c>
      <c r="U293" s="239">
        <v>0</v>
      </c>
      <c r="V293" s="239">
        <v>0</v>
      </c>
      <c r="W293" s="239">
        <v>0</v>
      </c>
      <c r="X293" s="239">
        <v>0</v>
      </c>
      <c r="Y293" s="239">
        <v>0</v>
      </c>
      <c r="Z293" s="239">
        <v>0</v>
      </c>
      <c r="AA293" s="239">
        <v>0</v>
      </c>
      <c r="AB293" s="239">
        <v>0</v>
      </c>
      <c r="AC293" s="239">
        <v>0</v>
      </c>
      <c r="AD293" s="239">
        <v>0</v>
      </c>
      <c r="AE293" s="239">
        <v>0</v>
      </c>
      <c r="AF293" s="240">
        <v>0</v>
      </c>
    </row>
    <row r="294" spans="1:32" hidden="1" x14ac:dyDescent="0.25">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c r="AC294" s="167"/>
      <c r="AD294" s="167"/>
      <c r="AE294" s="167"/>
      <c r="AF294" s="167"/>
    </row>
    <row r="295" spans="1:32" hidden="1" x14ac:dyDescent="0.2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c r="AA295" s="167"/>
      <c r="AB295" s="167"/>
      <c r="AC295" s="167"/>
      <c r="AD295" s="167"/>
      <c r="AE295" s="167"/>
      <c r="AF295" s="167"/>
    </row>
    <row r="296" spans="1:32" ht="15.75" hidden="1" x14ac:dyDescent="0.25">
      <c r="A296" s="241" t="s">
        <v>358</v>
      </c>
      <c r="B296" s="242" t="s">
        <v>359</v>
      </c>
      <c r="C296" s="241" t="s">
        <v>360</v>
      </c>
      <c r="D296" s="241" t="s">
        <v>342</v>
      </c>
      <c r="E296" s="243" t="s">
        <v>162</v>
      </c>
      <c r="F296" s="243" t="s">
        <v>164</v>
      </c>
      <c r="G296" s="243" t="s">
        <v>166</v>
      </c>
      <c r="H296" s="243" t="s">
        <v>168</v>
      </c>
      <c r="I296" s="243" t="s">
        <v>170</v>
      </c>
      <c r="J296" s="243" t="s">
        <v>173</v>
      </c>
      <c r="K296" s="243" t="s">
        <v>175</v>
      </c>
      <c r="L296" s="243" t="s">
        <v>177</v>
      </c>
      <c r="M296" s="243" t="s">
        <v>179</v>
      </c>
      <c r="N296" s="243" t="s">
        <v>181</v>
      </c>
      <c r="O296" s="243" t="s">
        <v>183</v>
      </c>
      <c r="P296" s="243" t="s">
        <v>185</v>
      </c>
      <c r="Q296" s="243" t="s">
        <v>188</v>
      </c>
      <c r="R296" s="243" t="s">
        <v>190</v>
      </c>
      <c r="S296" s="243" t="s">
        <v>192</v>
      </c>
      <c r="T296" s="243" t="s">
        <v>194</v>
      </c>
      <c r="U296" s="243" t="s">
        <v>196</v>
      </c>
      <c r="V296" s="243" t="s">
        <v>198</v>
      </c>
      <c r="W296" s="243" t="s">
        <v>9</v>
      </c>
      <c r="X296" s="243" t="s">
        <v>201</v>
      </c>
      <c r="Y296" s="243" t="s">
        <v>203</v>
      </c>
      <c r="Z296" s="243" t="s">
        <v>205</v>
      </c>
      <c r="AA296" s="243" t="s">
        <v>207</v>
      </c>
      <c r="AB296" s="243" t="s">
        <v>210</v>
      </c>
      <c r="AC296" s="243" t="s">
        <v>212</v>
      </c>
      <c r="AD296" s="243" t="s">
        <v>214</v>
      </c>
      <c r="AE296" s="243" t="s">
        <v>217</v>
      </c>
      <c r="AF296" s="244" t="s">
        <v>219</v>
      </c>
    </row>
    <row r="297" spans="1:32" hidden="1" x14ac:dyDescent="0.25">
      <c r="A297" s="178" t="s">
        <v>398</v>
      </c>
      <c r="B297" s="177" t="s">
        <v>419</v>
      </c>
      <c r="C297" s="178" t="s">
        <v>400</v>
      </c>
      <c r="D297" s="179" t="s">
        <v>363</v>
      </c>
      <c r="E297" s="245">
        <f t="shared" ref="E297:AF297" si="0">E245*E274</f>
        <v>0</v>
      </c>
      <c r="F297" s="245">
        <f t="shared" si="0"/>
        <v>0</v>
      </c>
      <c r="G297" s="245">
        <f t="shared" si="0"/>
        <v>0</v>
      </c>
      <c r="H297" s="245">
        <f t="shared" si="0"/>
        <v>0</v>
      </c>
      <c r="I297" s="245">
        <f t="shared" si="0"/>
        <v>0</v>
      </c>
      <c r="J297" s="245">
        <f t="shared" si="0"/>
        <v>0</v>
      </c>
      <c r="K297" s="245">
        <f t="shared" si="0"/>
        <v>0</v>
      </c>
      <c r="L297" s="245">
        <f t="shared" si="0"/>
        <v>0</v>
      </c>
      <c r="M297" s="245">
        <f t="shared" si="0"/>
        <v>0</v>
      </c>
      <c r="N297" s="245">
        <f t="shared" si="0"/>
        <v>0</v>
      </c>
      <c r="O297" s="245">
        <f t="shared" si="0"/>
        <v>0</v>
      </c>
      <c r="P297" s="245">
        <f t="shared" si="0"/>
        <v>0</v>
      </c>
      <c r="Q297" s="245">
        <f t="shared" si="0"/>
        <v>0</v>
      </c>
      <c r="R297" s="245">
        <f t="shared" si="0"/>
        <v>0</v>
      </c>
      <c r="S297" s="245">
        <f t="shared" si="0"/>
        <v>0</v>
      </c>
      <c r="T297" s="245">
        <f t="shared" si="0"/>
        <v>0</v>
      </c>
      <c r="U297" s="245">
        <f t="shared" si="0"/>
        <v>0</v>
      </c>
      <c r="V297" s="245">
        <f t="shared" si="0"/>
        <v>0</v>
      </c>
      <c r="W297" s="245">
        <f t="shared" si="0"/>
        <v>0</v>
      </c>
      <c r="X297" s="245">
        <f t="shared" si="0"/>
        <v>0</v>
      </c>
      <c r="Y297" s="245">
        <f t="shared" si="0"/>
        <v>0</v>
      </c>
      <c r="Z297" s="245">
        <f t="shared" si="0"/>
        <v>0</v>
      </c>
      <c r="AA297" s="245">
        <f t="shared" si="0"/>
        <v>0</v>
      </c>
      <c r="AB297" s="245">
        <f t="shared" si="0"/>
        <v>0</v>
      </c>
      <c r="AC297" s="245">
        <f t="shared" si="0"/>
        <v>0</v>
      </c>
      <c r="AD297" s="245">
        <f t="shared" si="0"/>
        <v>0</v>
      </c>
      <c r="AE297" s="245">
        <f t="shared" si="0"/>
        <v>0</v>
      </c>
      <c r="AF297" s="206">
        <f t="shared" si="0"/>
        <v>0</v>
      </c>
    </row>
    <row r="298" spans="1:32" hidden="1" x14ac:dyDescent="0.25">
      <c r="A298" s="178" t="s">
        <v>398</v>
      </c>
      <c r="B298" s="177" t="s">
        <v>419</v>
      </c>
      <c r="C298" s="178" t="s">
        <v>396</v>
      </c>
      <c r="D298" s="179" t="s">
        <v>363</v>
      </c>
      <c r="E298" s="245">
        <f t="shared" ref="E298:AF298" si="1">E246*E275</f>
        <v>0</v>
      </c>
      <c r="F298" s="245">
        <f t="shared" si="1"/>
        <v>0</v>
      </c>
      <c r="G298" s="245">
        <f t="shared" si="1"/>
        <v>0</v>
      </c>
      <c r="H298" s="245">
        <f t="shared" si="1"/>
        <v>0</v>
      </c>
      <c r="I298" s="245">
        <f t="shared" si="1"/>
        <v>-16712.760910315308</v>
      </c>
      <c r="J298" s="245">
        <f t="shared" si="1"/>
        <v>-7930</v>
      </c>
      <c r="K298" s="245">
        <f t="shared" si="1"/>
        <v>0</v>
      </c>
      <c r="L298" s="245">
        <f t="shared" si="1"/>
        <v>0</v>
      </c>
      <c r="M298" s="245">
        <f t="shared" si="1"/>
        <v>0</v>
      </c>
      <c r="N298" s="245">
        <f t="shared" si="1"/>
        <v>0</v>
      </c>
      <c r="O298" s="245">
        <f t="shared" si="1"/>
        <v>-2355</v>
      </c>
      <c r="P298" s="245">
        <f t="shared" si="1"/>
        <v>0</v>
      </c>
      <c r="Q298" s="245">
        <f t="shared" si="1"/>
        <v>-4662</v>
      </c>
      <c r="R298" s="245">
        <f t="shared" si="1"/>
        <v>-9789.6135361726774</v>
      </c>
      <c r="S298" s="245">
        <f t="shared" si="1"/>
        <v>-12074.812919141023</v>
      </c>
      <c r="T298" s="245">
        <f t="shared" si="1"/>
        <v>-37389.445015029545</v>
      </c>
      <c r="U298" s="245">
        <f t="shared" si="1"/>
        <v>-25429.921421565774</v>
      </c>
      <c r="V298" s="245">
        <f t="shared" si="1"/>
        <v>0</v>
      </c>
      <c r="W298" s="245">
        <f t="shared" si="1"/>
        <v>0</v>
      </c>
      <c r="X298" s="245">
        <f t="shared" si="1"/>
        <v>0</v>
      </c>
      <c r="Y298" s="245">
        <f t="shared" si="1"/>
        <v>-6969</v>
      </c>
      <c r="Z298" s="245">
        <f t="shared" si="1"/>
        <v>-18063.182311113083</v>
      </c>
      <c r="AA298" s="245">
        <f t="shared" si="1"/>
        <v>0</v>
      </c>
      <c r="AB298" s="245">
        <f t="shared" si="1"/>
        <v>-11648</v>
      </c>
      <c r="AC298" s="245">
        <f t="shared" si="1"/>
        <v>0</v>
      </c>
      <c r="AD298" s="245">
        <f t="shared" si="1"/>
        <v>0</v>
      </c>
      <c r="AE298" s="245">
        <f t="shared" si="1"/>
        <v>-54651.063756563839</v>
      </c>
      <c r="AF298" s="206">
        <f t="shared" si="1"/>
        <v>-21630</v>
      </c>
    </row>
    <row r="299" spans="1:32" hidden="1" x14ac:dyDescent="0.25">
      <c r="A299" s="178" t="s">
        <v>398</v>
      </c>
      <c r="B299" s="177" t="s">
        <v>419</v>
      </c>
      <c r="C299" s="178" t="s">
        <v>401</v>
      </c>
      <c r="D299" s="179" t="s">
        <v>363</v>
      </c>
      <c r="E299" s="245">
        <f t="shared" ref="E299:AF299" si="2">E247*E276</f>
        <v>0</v>
      </c>
      <c r="F299" s="245">
        <f t="shared" si="2"/>
        <v>0</v>
      </c>
      <c r="G299" s="245">
        <f t="shared" si="2"/>
        <v>0</v>
      </c>
      <c r="H299" s="245">
        <f t="shared" si="2"/>
        <v>0</v>
      </c>
      <c r="I299" s="245">
        <f t="shared" si="2"/>
        <v>0</v>
      </c>
      <c r="J299" s="245">
        <f t="shared" si="2"/>
        <v>0</v>
      </c>
      <c r="K299" s="245">
        <f t="shared" si="2"/>
        <v>0</v>
      </c>
      <c r="L299" s="245">
        <f t="shared" si="2"/>
        <v>0</v>
      </c>
      <c r="M299" s="245">
        <f t="shared" si="2"/>
        <v>0</v>
      </c>
      <c r="N299" s="245">
        <f t="shared" si="2"/>
        <v>0</v>
      </c>
      <c r="O299" s="245">
        <f t="shared" si="2"/>
        <v>0</v>
      </c>
      <c r="P299" s="245">
        <f t="shared" si="2"/>
        <v>0</v>
      </c>
      <c r="Q299" s="245">
        <f t="shared" si="2"/>
        <v>0</v>
      </c>
      <c r="R299" s="245">
        <f t="shared" si="2"/>
        <v>0</v>
      </c>
      <c r="S299" s="245">
        <f t="shared" si="2"/>
        <v>0</v>
      </c>
      <c r="T299" s="245">
        <f t="shared" si="2"/>
        <v>0</v>
      </c>
      <c r="U299" s="245">
        <f t="shared" si="2"/>
        <v>0</v>
      </c>
      <c r="V299" s="245">
        <f t="shared" si="2"/>
        <v>0</v>
      </c>
      <c r="W299" s="245">
        <f t="shared" si="2"/>
        <v>0</v>
      </c>
      <c r="X299" s="245">
        <f t="shared" si="2"/>
        <v>0</v>
      </c>
      <c r="Y299" s="245">
        <f t="shared" si="2"/>
        <v>0</v>
      </c>
      <c r="Z299" s="245">
        <f t="shared" si="2"/>
        <v>0</v>
      </c>
      <c r="AA299" s="245">
        <f t="shared" si="2"/>
        <v>0</v>
      </c>
      <c r="AB299" s="245">
        <f t="shared" si="2"/>
        <v>0</v>
      </c>
      <c r="AC299" s="245">
        <f t="shared" si="2"/>
        <v>0</v>
      </c>
      <c r="AD299" s="245">
        <f t="shared" si="2"/>
        <v>0</v>
      </c>
      <c r="AE299" s="245">
        <f t="shared" si="2"/>
        <v>0</v>
      </c>
      <c r="AF299" s="206">
        <f t="shared" si="2"/>
        <v>0</v>
      </c>
    </row>
    <row r="300" spans="1:32" hidden="1" x14ac:dyDescent="0.25">
      <c r="A300" s="178" t="s">
        <v>398</v>
      </c>
      <c r="B300" s="177" t="s">
        <v>419</v>
      </c>
      <c r="C300" s="178" t="s">
        <v>389</v>
      </c>
      <c r="D300" s="179" t="s">
        <v>363</v>
      </c>
      <c r="E300" s="245">
        <f t="shared" ref="E300:AF300" si="3">E248*E277</f>
        <v>0</v>
      </c>
      <c r="F300" s="245">
        <f t="shared" si="3"/>
        <v>0</v>
      </c>
      <c r="G300" s="245">
        <f t="shared" si="3"/>
        <v>0</v>
      </c>
      <c r="H300" s="245">
        <f t="shared" si="3"/>
        <v>0</v>
      </c>
      <c r="I300" s="245">
        <f t="shared" si="3"/>
        <v>0</v>
      </c>
      <c r="J300" s="245">
        <f t="shared" si="3"/>
        <v>0</v>
      </c>
      <c r="K300" s="245">
        <f t="shared" si="3"/>
        <v>0</v>
      </c>
      <c r="L300" s="245">
        <f t="shared" si="3"/>
        <v>0</v>
      </c>
      <c r="M300" s="245">
        <f t="shared" si="3"/>
        <v>0</v>
      </c>
      <c r="N300" s="245">
        <f t="shared" si="3"/>
        <v>0</v>
      </c>
      <c r="O300" s="245">
        <f t="shared" si="3"/>
        <v>0</v>
      </c>
      <c r="P300" s="245">
        <f t="shared" si="3"/>
        <v>0</v>
      </c>
      <c r="Q300" s="245">
        <f t="shared" si="3"/>
        <v>0</v>
      </c>
      <c r="R300" s="245">
        <f t="shared" si="3"/>
        <v>0</v>
      </c>
      <c r="S300" s="245">
        <f t="shared" si="3"/>
        <v>0</v>
      </c>
      <c r="T300" s="245">
        <f t="shared" si="3"/>
        <v>0</v>
      </c>
      <c r="U300" s="245">
        <f t="shared" si="3"/>
        <v>0</v>
      </c>
      <c r="V300" s="245">
        <f t="shared" si="3"/>
        <v>0</v>
      </c>
      <c r="W300" s="245">
        <f t="shared" si="3"/>
        <v>0</v>
      </c>
      <c r="X300" s="245">
        <f t="shared" si="3"/>
        <v>0</v>
      </c>
      <c r="Y300" s="245">
        <f t="shared" si="3"/>
        <v>0</v>
      </c>
      <c r="Z300" s="245">
        <f t="shared" si="3"/>
        <v>0</v>
      </c>
      <c r="AA300" s="245">
        <f t="shared" si="3"/>
        <v>0</v>
      </c>
      <c r="AB300" s="245">
        <f t="shared" si="3"/>
        <v>0</v>
      </c>
      <c r="AC300" s="245">
        <f t="shared" si="3"/>
        <v>0</v>
      </c>
      <c r="AD300" s="245">
        <f t="shared" si="3"/>
        <v>0</v>
      </c>
      <c r="AE300" s="245">
        <f t="shared" si="3"/>
        <v>0</v>
      </c>
      <c r="AF300" s="206">
        <f t="shared" si="3"/>
        <v>0</v>
      </c>
    </row>
    <row r="301" spans="1:32" hidden="1" x14ac:dyDescent="0.25">
      <c r="A301" s="178" t="s">
        <v>398</v>
      </c>
      <c r="B301" s="177" t="s">
        <v>419</v>
      </c>
      <c r="C301" s="178" t="s">
        <v>390</v>
      </c>
      <c r="D301" s="179" t="s">
        <v>363</v>
      </c>
      <c r="E301" s="245">
        <f t="shared" ref="E301:AF301" si="4">E249*E278</f>
        <v>0</v>
      </c>
      <c r="F301" s="245">
        <f t="shared" si="4"/>
        <v>0</v>
      </c>
      <c r="G301" s="245">
        <f t="shared" si="4"/>
        <v>0</v>
      </c>
      <c r="H301" s="245">
        <f t="shared" si="4"/>
        <v>0</v>
      </c>
      <c r="I301" s="245">
        <f t="shared" si="4"/>
        <v>0</v>
      </c>
      <c r="J301" s="245">
        <f t="shared" si="4"/>
        <v>0</v>
      </c>
      <c r="K301" s="245">
        <f t="shared" si="4"/>
        <v>0</v>
      </c>
      <c r="L301" s="245">
        <f t="shared" si="4"/>
        <v>0</v>
      </c>
      <c r="M301" s="245">
        <f t="shared" si="4"/>
        <v>0</v>
      </c>
      <c r="N301" s="245">
        <f t="shared" si="4"/>
        <v>0</v>
      </c>
      <c r="O301" s="245">
        <f t="shared" si="4"/>
        <v>0</v>
      </c>
      <c r="P301" s="245">
        <f t="shared" si="4"/>
        <v>0</v>
      </c>
      <c r="Q301" s="245">
        <f t="shared" si="4"/>
        <v>0</v>
      </c>
      <c r="R301" s="245">
        <f t="shared" si="4"/>
        <v>0</v>
      </c>
      <c r="S301" s="245">
        <f t="shared" si="4"/>
        <v>0</v>
      </c>
      <c r="T301" s="245">
        <f t="shared" si="4"/>
        <v>0</v>
      </c>
      <c r="U301" s="245">
        <f t="shared" si="4"/>
        <v>-305.31100970673037</v>
      </c>
      <c r="V301" s="245">
        <f t="shared" si="4"/>
        <v>0</v>
      </c>
      <c r="W301" s="245">
        <f t="shared" si="4"/>
        <v>0</v>
      </c>
      <c r="X301" s="245">
        <f t="shared" si="4"/>
        <v>0</v>
      </c>
      <c r="Y301" s="245">
        <f t="shared" si="4"/>
        <v>0</v>
      </c>
      <c r="Z301" s="245">
        <f t="shared" si="4"/>
        <v>0</v>
      </c>
      <c r="AA301" s="245">
        <f t="shared" si="4"/>
        <v>0</v>
      </c>
      <c r="AB301" s="245">
        <f t="shared" si="4"/>
        <v>0</v>
      </c>
      <c r="AC301" s="245">
        <f t="shared" si="4"/>
        <v>0</v>
      </c>
      <c r="AD301" s="245">
        <f t="shared" si="4"/>
        <v>0</v>
      </c>
      <c r="AE301" s="245">
        <f t="shared" si="4"/>
        <v>0</v>
      </c>
      <c r="AF301" s="206">
        <f t="shared" si="4"/>
        <v>0</v>
      </c>
    </row>
    <row r="302" spans="1:32" hidden="1" x14ac:dyDescent="0.25">
      <c r="A302" s="178" t="s">
        <v>398</v>
      </c>
      <c r="B302" s="177" t="s">
        <v>419</v>
      </c>
      <c r="C302" s="178" t="s">
        <v>402</v>
      </c>
      <c r="D302" s="179" t="s">
        <v>363</v>
      </c>
      <c r="E302" s="245">
        <f t="shared" ref="E302:AF302" si="5">E250*E279</f>
        <v>0</v>
      </c>
      <c r="F302" s="245">
        <f t="shared" si="5"/>
        <v>0</v>
      </c>
      <c r="G302" s="245">
        <f t="shared" si="5"/>
        <v>0</v>
      </c>
      <c r="H302" s="245">
        <f t="shared" si="5"/>
        <v>0</v>
      </c>
      <c r="I302" s="245">
        <f t="shared" si="5"/>
        <v>0</v>
      </c>
      <c r="J302" s="245">
        <f t="shared" si="5"/>
        <v>0</v>
      </c>
      <c r="K302" s="245">
        <f t="shared" si="5"/>
        <v>0</v>
      </c>
      <c r="L302" s="245">
        <f t="shared" si="5"/>
        <v>0</v>
      </c>
      <c r="M302" s="245">
        <f t="shared" si="5"/>
        <v>0</v>
      </c>
      <c r="N302" s="245">
        <f t="shared" si="5"/>
        <v>0</v>
      </c>
      <c r="O302" s="245">
        <f t="shared" si="5"/>
        <v>0</v>
      </c>
      <c r="P302" s="245">
        <f t="shared" si="5"/>
        <v>0</v>
      </c>
      <c r="Q302" s="245">
        <f t="shared" si="5"/>
        <v>0</v>
      </c>
      <c r="R302" s="245">
        <f t="shared" si="5"/>
        <v>0</v>
      </c>
      <c r="S302" s="245">
        <f t="shared" si="5"/>
        <v>0</v>
      </c>
      <c r="T302" s="245">
        <f t="shared" si="5"/>
        <v>0</v>
      </c>
      <c r="U302" s="245">
        <f t="shared" si="5"/>
        <v>0</v>
      </c>
      <c r="V302" s="245">
        <f t="shared" si="5"/>
        <v>0</v>
      </c>
      <c r="W302" s="245">
        <f t="shared" si="5"/>
        <v>0</v>
      </c>
      <c r="X302" s="245">
        <f t="shared" si="5"/>
        <v>0</v>
      </c>
      <c r="Y302" s="245">
        <f t="shared" si="5"/>
        <v>0</v>
      </c>
      <c r="Z302" s="245">
        <f t="shared" si="5"/>
        <v>0</v>
      </c>
      <c r="AA302" s="245">
        <f t="shared" si="5"/>
        <v>0</v>
      </c>
      <c r="AB302" s="245">
        <f t="shared" si="5"/>
        <v>0</v>
      </c>
      <c r="AC302" s="245">
        <f t="shared" si="5"/>
        <v>0</v>
      </c>
      <c r="AD302" s="245">
        <f t="shared" si="5"/>
        <v>0</v>
      </c>
      <c r="AE302" s="245">
        <f t="shared" si="5"/>
        <v>0</v>
      </c>
      <c r="AF302" s="206">
        <f t="shared" si="5"/>
        <v>0</v>
      </c>
    </row>
    <row r="303" spans="1:32" hidden="1" x14ac:dyDescent="0.25">
      <c r="A303" s="178" t="s">
        <v>398</v>
      </c>
      <c r="B303" s="177" t="s">
        <v>419</v>
      </c>
      <c r="C303" s="178" t="s">
        <v>403</v>
      </c>
      <c r="D303" s="179" t="s">
        <v>363</v>
      </c>
      <c r="E303" s="245">
        <f t="shared" ref="E303:AF303" si="6">E251*E280</f>
        <v>0</v>
      </c>
      <c r="F303" s="245">
        <f t="shared" si="6"/>
        <v>0</v>
      </c>
      <c r="G303" s="245">
        <f t="shared" si="6"/>
        <v>0</v>
      </c>
      <c r="H303" s="245">
        <f t="shared" si="6"/>
        <v>0</v>
      </c>
      <c r="I303" s="245">
        <f t="shared" si="6"/>
        <v>0</v>
      </c>
      <c r="J303" s="245">
        <f t="shared" si="6"/>
        <v>0</v>
      </c>
      <c r="K303" s="245">
        <f t="shared" si="6"/>
        <v>0</v>
      </c>
      <c r="L303" s="245">
        <f t="shared" si="6"/>
        <v>0</v>
      </c>
      <c r="M303" s="245">
        <f t="shared" si="6"/>
        <v>0</v>
      </c>
      <c r="N303" s="245">
        <f t="shared" si="6"/>
        <v>0</v>
      </c>
      <c r="O303" s="245">
        <f t="shared" si="6"/>
        <v>-3550</v>
      </c>
      <c r="P303" s="245">
        <f t="shared" si="6"/>
        <v>0</v>
      </c>
      <c r="Q303" s="245">
        <f t="shared" si="6"/>
        <v>-9526.6554407949479</v>
      </c>
      <c r="R303" s="245">
        <f t="shared" si="6"/>
        <v>-1229.3697852695775</v>
      </c>
      <c r="S303" s="245">
        <f t="shared" si="6"/>
        <v>-2502.9448267541325</v>
      </c>
      <c r="T303" s="245">
        <f t="shared" si="6"/>
        <v>0</v>
      </c>
      <c r="U303" s="245">
        <f t="shared" si="6"/>
        <v>-5786.2415379461145</v>
      </c>
      <c r="V303" s="245">
        <f t="shared" si="6"/>
        <v>0</v>
      </c>
      <c r="W303" s="245">
        <f t="shared" si="6"/>
        <v>-20366</v>
      </c>
      <c r="X303" s="245">
        <f t="shared" si="6"/>
        <v>0</v>
      </c>
      <c r="Y303" s="245">
        <f t="shared" si="6"/>
        <v>0</v>
      </c>
      <c r="Z303" s="245">
        <f t="shared" si="6"/>
        <v>-6250.6827469283289</v>
      </c>
      <c r="AA303" s="245">
        <f t="shared" si="6"/>
        <v>0</v>
      </c>
      <c r="AB303" s="245">
        <f t="shared" si="6"/>
        <v>0</v>
      </c>
      <c r="AC303" s="245">
        <f t="shared" si="6"/>
        <v>0</v>
      </c>
      <c r="AD303" s="245">
        <f t="shared" si="6"/>
        <v>0</v>
      </c>
      <c r="AE303" s="245">
        <f t="shared" si="6"/>
        <v>-24123.873359863417</v>
      </c>
      <c r="AF303" s="206">
        <f t="shared" si="6"/>
        <v>-6819</v>
      </c>
    </row>
    <row r="304" spans="1:32" hidden="1" x14ac:dyDescent="0.25">
      <c r="A304" s="178" t="s">
        <v>398</v>
      </c>
      <c r="B304" s="177" t="s">
        <v>419</v>
      </c>
      <c r="C304" s="178" t="s">
        <v>391</v>
      </c>
      <c r="D304" s="179" t="s">
        <v>363</v>
      </c>
      <c r="E304" s="245">
        <f t="shared" ref="E304:AF304" si="7">E252*E281</f>
        <v>0</v>
      </c>
      <c r="F304" s="245">
        <f t="shared" si="7"/>
        <v>0</v>
      </c>
      <c r="G304" s="245">
        <f t="shared" si="7"/>
        <v>0</v>
      </c>
      <c r="H304" s="245">
        <f t="shared" si="7"/>
        <v>0</v>
      </c>
      <c r="I304" s="245">
        <f t="shared" si="7"/>
        <v>0</v>
      </c>
      <c r="J304" s="245">
        <f t="shared" si="7"/>
        <v>0</v>
      </c>
      <c r="K304" s="245">
        <f t="shared" si="7"/>
        <v>0</v>
      </c>
      <c r="L304" s="245">
        <f t="shared" si="7"/>
        <v>0</v>
      </c>
      <c r="M304" s="245">
        <f t="shared" si="7"/>
        <v>0</v>
      </c>
      <c r="N304" s="245">
        <f t="shared" si="7"/>
        <v>0</v>
      </c>
      <c r="O304" s="245">
        <f t="shared" si="7"/>
        <v>0</v>
      </c>
      <c r="P304" s="245">
        <f t="shared" si="7"/>
        <v>0</v>
      </c>
      <c r="Q304" s="245">
        <f t="shared" si="7"/>
        <v>0</v>
      </c>
      <c r="R304" s="245">
        <f t="shared" si="7"/>
        <v>0</v>
      </c>
      <c r="S304" s="245">
        <f t="shared" si="7"/>
        <v>0</v>
      </c>
      <c r="T304" s="245">
        <f t="shared" si="7"/>
        <v>0</v>
      </c>
      <c r="U304" s="245">
        <f t="shared" si="7"/>
        <v>0</v>
      </c>
      <c r="V304" s="245">
        <f t="shared" si="7"/>
        <v>0</v>
      </c>
      <c r="W304" s="245">
        <f t="shared" si="7"/>
        <v>0</v>
      </c>
      <c r="X304" s="245">
        <f t="shared" si="7"/>
        <v>0</v>
      </c>
      <c r="Y304" s="245">
        <f t="shared" si="7"/>
        <v>0</v>
      </c>
      <c r="Z304" s="245">
        <f t="shared" si="7"/>
        <v>0</v>
      </c>
      <c r="AA304" s="245">
        <f t="shared" si="7"/>
        <v>0</v>
      </c>
      <c r="AB304" s="245">
        <f t="shared" si="7"/>
        <v>0</v>
      </c>
      <c r="AC304" s="245">
        <f t="shared" si="7"/>
        <v>0</v>
      </c>
      <c r="AD304" s="245">
        <f t="shared" si="7"/>
        <v>0</v>
      </c>
      <c r="AE304" s="245">
        <f t="shared" si="7"/>
        <v>0</v>
      </c>
      <c r="AF304" s="206">
        <f t="shared" si="7"/>
        <v>0</v>
      </c>
    </row>
    <row r="305" spans="1:32" hidden="1" x14ac:dyDescent="0.25">
      <c r="A305" s="178" t="s">
        <v>398</v>
      </c>
      <c r="B305" s="177" t="s">
        <v>419</v>
      </c>
      <c r="C305" s="178" t="s">
        <v>404</v>
      </c>
      <c r="D305" s="179" t="s">
        <v>363</v>
      </c>
      <c r="E305" s="245">
        <f t="shared" ref="E305:AF305" si="8">E253*E282</f>
        <v>0</v>
      </c>
      <c r="F305" s="245">
        <f t="shared" si="8"/>
        <v>0</v>
      </c>
      <c r="G305" s="245">
        <f t="shared" si="8"/>
        <v>0</v>
      </c>
      <c r="H305" s="245">
        <f t="shared" si="8"/>
        <v>0</v>
      </c>
      <c r="I305" s="245">
        <f t="shared" si="8"/>
        <v>0</v>
      </c>
      <c r="J305" s="245">
        <f t="shared" si="8"/>
        <v>0</v>
      </c>
      <c r="K305" s="245">
        <f t="shared" si="8"/>
        <v>0</v>
      </c>
      <c r="L305" s="245">
        <f t="shared" si="8"/>
        <v>0</v>
      </c>
      <c r="M305" s="245">
        <f t="shared" si="8"/>
        <v>0</v>
      </c>
      <c r="N305" s="245">
        <f t="shared" si="8"/>
        <v>0</v>
      </c>
      <c r="O305" s="245">
        <f t="shared" si="8"/>
        <v>0</v>
      </c>
      <c r="P305" s="245">
        <f t="shared" si="8"/>
        <v>0</v>
      </c>
      <c r="Q305" s="245">
        <f t="shared" si="8"/>
        <v>0</v>
      </c>
      <c r="R305" s="245">
        <f t="shared" si="8"/>
        <v>0</v>
      </c>
      <c r="S305" s="245">
        <f t="shared" si="8"/>
        <v>0</v>
      </c>
      <c r="T305" s="245">
        <f t="shared" si="8"/>
        <v>-13.209949531362652</v>
      </c>
      <c r="U305" s="245">
        <f t="shared" si="8"/>
        <v>-59.659038265542478</v>
      </c>
      <c r="V305" s="245">
        <f t="shared" si="8"/>
        <v>0</v>
      </c>
      <c r="W305" s="245">
        <f t="shared" si="8"/>
        <v>0</v>
      </c>
      <c r="X305" s="245">
        <f t="shared" si="8"/>
        <v>0</v>
      </c>
      <c r="Y305" s="245">
        <f t="shared" si="8"/>
        <v>0</v>
      </c>
      <c r="Z305" s="245">
        <f t="shared" si="8"/>
        <v>0</v>
      </c>
      <c r="AA305" s="245">
        <f t="shared" si="8"/>
        <v>0</v>
      </c>
      <c r="AB305" s="245">
        <f t="shared" si="8"/>
        <v>0</v>
      </c>
      <c r="AC305" s="245">
        <f t="shared" si="8"/>
        <v>0</v>
      </c>
      <c r="AD305" s="245">
        <f t="shared" si="8"/>
        <v>0</v>
      </c>
      <c r="AE305" s="245">
        <f t="shared" si="8"/>
        <v>0</v>
      </c>
      <c r="AF305" s="206">
        <f t="shared" si="8"/>
        <v>0</v>
      </c>
    </row>
    <row r="306" spans="1:32" hidden="1" x14ac:dyDescent="0.25">
      <c r="A306" s="178" t="s">
        <v>398</v>
      </c>
      <c r="B306" s="177" t="s">
        <v>419</v>
      </c>
      <c r="C306" s="178" t="s">
        <v>405</v>
      </c>
      <c r="D306" s="179" t="s">
        <v>363</v>
      </c>
      <c r="E306" s="245">
        <f t="shared" ref="E306:AF306" si="9">E254*E283</f>
        <v>0</v>
      </c>
      <c r="F306" s="245">
        <f t="shared" si="9"/>
        <v>0</v>
      </c>
      <c r="G306" s="245">
        <f t="shared" si="9"/>
        <v>0</v>
      </c>
      <c r="H306" s="245">
        <f t="shared" si="9"/>
        <v>0</v>
      </c>
      <c r="I306" s="245">
        <f t="shared" si="9"/>
        <v>-474.99046864109357</v>
      </c>
      <c r="J306" s="245">
        <f t="shared" si="9"/>
        <v>0</v>
      </c>
      <c r="K306" s="245">
        <f t="shared" si="9"/>
        <v>0</v>
      </c>
      <c r="L306" s="245">
        <f t="shared" si="9"/>
        <v>0</v>
      </c>
      <c r="M306" s="245">
        <f t="shared" si="9"/>
        <v>0</v>
      </c>
      <c r="N306" s="245">
        <f t="shared" si="9"/>
        <v>0</v>
      </c>
      <c r="O306" s="245">
        <f t="shared" si="9"/>
        <v>0</v>
      </c>
      <c r="P306" s="245">
        <f t="shared" si="9"/>
        <v>0</v>
      </c>
      <c r="Q306" s="245">
        <f t="shared" si="9"/>
        <v>0</v>
      </c>
      <c r="R306" s="245">
        <f t="shared" si="9"/>
        <v>-569.03534379041469</v>
      </c>
      <c r="S306" s="245">
        <f t="shared" si="9"/>
        <v>-743.53771159466692</v>
      </c>
      <c r="T306" s="245">
        <f t="shared" si="9"/>
        <v>0</v>
      </c>
      <c r="U306" s="245">
        <f t="shared" si="9"/>
        <v>-4446.5178470610281</v>
      </c>
      <c r="V306" s="245">
        <f t="shared" si="9"/>
        <v>0</v>
      </c>
      <c r="W306" s="245">
        <f t="shared" si="9"/>
        <v>0</v>
      </c>
      <c r="X306" s="245">
        <f t="shared" si="9"/>
        <v>0</v>
      </c>
      <c r="Y306" s="245">
        <f t="shared" si="9"/>
        <v>0</v>
      </c>
      <c r="Z306" s="245">
        <f t="shared" si="9"/>
        <v>0</v>
      </c>
      <c r="AA306" s="245">
        <f t="shared" si="9"/>
        <v>-203.69808349000164</v>
      </c>
      <c r="AB306" s="245">
        <f t="shared" si="9"/>
        <v>0</v>
      </c>
      <c r="AC306" s="245">
        <f t="shared" si="9"/>
        <v>0</v>
      </c>
      <c r="AD306" s="245">
        <f t="shared" si="9"/>
        <v>0</v>
      </c>
      <c r="AE306" s="245">
        <f t="shared" si="9"/>
        <v>0</v>
      </c>
      <c r="AF306" s="206">
        <f t="shared" si="9"/>
        <v>-14799.015892389314</v>
      </c>
    </row>
    <row r="307" spans="1:32" hidden="1" x14ac:dyDescent="0.25">
      <c r="A307" s="178" t="s">
        <v>398</v>
      </c>
      <c r="B307" s="177" t="s">
        <v>419</v>
      </c>
      <c r="C307" s="178" t="s">
        <v>392</v>
      </c>
      <c r="D307" s="179" t="s">
        <v>363</v>
      </c>
      <c r="E307" s="245">
        <f t="shared" ref="E307:AF307" si="10">E255*E284</f>
        <v>0</v>
      </c>
      <c r="F307" s="245">
        <f t="shared" si="10"/>
        <v>0</v>
      </c>
      <c r="G307" s="245">
        <f t="shared" si="10"/>
        <v>0</v>
      </c>
      <c r="H307" s="245">
        <f t="shared" si="10"/>
        <v>0</v>
      </c>
      <c r="I307" s="245">
        <f t="shared" si="10"/>
        <v>-4105.5588415992115</v>
      </c>
      <c r="J307" s="245">
        <f t="shared" si="10"/>
        <v>0</v>
      </c>
      <c r="K307" s="245">
        <f t="shared" si="10"/>
        <v>0</v>
      </c>
      <c r="L307" s="245">
        <f t="shared" si="10"/>
        <v>0</v>
      </c>
      <c r="M307" s="245">
        <f t="shared" si="10"/>
        <v>0</v>
      </c>
      <c r="N307" s="245">
        <f t="shared" si="10"/>
        <v>0</v>
      </c>
      <c r="O307" s="245">
        <f t="shared" si="10"/>
        <v>0</v>
      </c>
      <c r="P307" s="245">
        <f t="shared" si="10"/>
        <v>0</v>
      </c>
      <c r="Q307" s="245">
        <f t="shared" si="10"/>
        <v>0</v>
      </c>
      <c r="R307" s="245">
        <f t="shared" si="10"/>
        <v>0</v>
      </c>
      <c r="S307" s="245">
        <f t="shared" si="10"/>
        <v>-214.43436762519946</v>
      </c>
      <c r="T307" s="245">
        <f t="shared" si="10"/>
        <v>0</v>
      </c>
      <c r="U307" s="245">
        <f t="shared" si="10"/>
        <v>-2634.2917669322364</v>
      </c>
      <c r="V307" s="245">
        <f t="shared" si="10"/>
        <v>0</v>
      </c>
      <c r="W307" s="245">
        <f t="shared" si="10"/>
        <v>0</v>
      </c>
      <c r="X307" s="245">
        <f t="shared" si="10"/>
        <v>0</v>
      </c>
      <c r="Y307" s="245">
        <f t="shared" si="10"/>
        <v>0</v>
      </c>
      <c r="Z307" s="245">
        <f t="shared" si="10"/>
        <v>0</v>
      </c>
      <c r="AA307" s="245">
        <f t="shared" si="10"/>
        <v>-6510.3742195768582</v>
      </c>
      <c r="AB307" s="245">
        <f t="shared" si="10"/>
        <v>0</v>
      </c>
      <c r="AC307" s="245">
        <f t="shared" si="10"/>
        <v>0</v>
      </c>
      <c r="AD307" s="245">
        <f t="shared" si="10"/>
        <v>0</v>
      </c>
      <c r="AE307" s="245">
        <f t="shared" si="10"/>
        <v>0</v>
      </c>
      <c r="AF307" s="206">
        <f t="shared" si="10"/>
        <v>-9792.4989086983351</v>
      </c>
    </row>
    <row r="308" spans="1:32" hidden="1" x14ac:dyDescent="0.25">
      <c r="A308" s="178" t="s">
        <v>398</v>
      </c>
      <c r="B308" s="177" t="s">
        <v>419</v>
      </c>
      <c r="C308" s="178" t="s">
        <v>406</v>
      </c>
      <c r="D308" s="179" t="s">
        <v>363</v>
      </c>
      <c r="E308" s="245">
        <f t="shared" ref="E308:AF308" si="11">E256*E285</f>
        <v>0</v>
      </c>
      <c r="F308" s="245">
        <f t="shared" si="11"/>
        <v>0</v>
      </c>
      <c r="G308" s="245">
        <f t="shared" si="11"/>
        <v>0</v>
      </c>
      <c r="H308" s="245">
        <f t="shared" si="11"/>
        <v>0</v>
      </c>
      <c r="I308" s="245">
        <f t="shared" si="11"/>
        <v>0</v>
      </c>
      <c r="J308" s="245">
        <f t="shared" si="11"/>
        <v>0</v>
      </c>
      <c r="K308" s="245">
        <f t="shared" si="11"/>
        <v>0</v>
      </c>
      <c r="L308" s="245">
        <f t="shared" si="11"/>
        <v>0</v>
      </c>
      <c r="M308" s="245">
        <f t="shared" si="11"/>
        <v>0</v>
      </c>
      <c r="N308" s="245">
        <f t="shared" si="11"/>
        <v>0</v>
      </c>
      <c r="O308" s="245">
        <f t="shared" si="11"/>
        <v>0</v>
      </c>
      <c r="P308" s="245">
        <f t="shared" si="11"/>
        <v>0</v>
      </c>
      <c r="Q308" s="245">
        <f t="shared" si="11"/>
        <v>0</v>
      </c>
      <c r="R308" s="245">
        <f t="shared" si="11"/>
        <v>0</v>
      </c>
      <c r="S308" s="245">
        <f t="shared" si="11"/>
        <v>0</v>
      </c>
      <c r="T308" s="245">
        <f t="shared" si="11"/>
        <v>0</v>
      </c>
      <c r="U308" s="245">
        <f t="shared" si="11"/>
        <v>0</v>
      </c>
      <c r="V308" s="245">
        <f t="shared" si="11"/>
        <v>0</v>
      </c>
      <c r="W308" s="245">
        <f t="shared" si="11"/>
        <v>0</v>
      </c>
      <c r="X308" s="245">
        <f t="shared" si="11"/>
        <v>0</v>
      </c>
      <c r="Y308" s="245">
        <f t="shared" si="11"/>
        <v>0</v>
      </c>
      <c r="Z308" s="245">
        <f t="shared" si="11"/>
        <v>0</v>
      </c>
      <c r="AA308" s="245">
        <f t="shared" si="11"/>
        <v>0</v>
      </c>
      <c r="AB308" s="245">
        <f t="shared" si="11"/>
        <v>0</v>
      </c>
      <c r="AC308" s="245">
        <f t="shared" si="11"/>
        <v>0</v>
      </c>
      <c r="AD308" s="245">
        <f t="shared" si="11"/>
        <v>0</v>
      </c>
      <c r="AE308" s="245">
        <f t="shared" si="11"/>
        <v>0</v>
      </c>
      <c r="AF308" s="206">
        <f t="shared" si="11"/>
        <v>0</v>
      </c>
    </row>
    <row r="309" spans="1:32" hidden="1" x14ac:dyDescent="0.25">
      <c r="A309" s="178" t="s">
        <v>398</v>
      </c>
      <c r="B309" s="177" t="s">
        <v>419</v>
      </c>
      <c r="C309" s="178" t="s">
        <v>407</v>
      </c>
      <c r="D309" s="179" t="s">
        <v>363</v>
      </c>
      <c r="E309" s="245">
        <f t="shared" ref="E309:AF309" si="12">E257*E286</f>
        <v>0</v>
      </c>
      <c r="F309" s="245">
        <f t="shared" si="12"/>
        <v>0</v>
      </c>
      <c r="G309" s="245">
        <f t="shared" si="12"/>
        <v>0</v>
      </c>
      <c r="H309" s="245">
        <f t="shared" si="12"/>
        <v>0</v>
      </c>
      <c r="I309" s="245">
        <f t="shared" si="12"/>
        <v>0</v>
      </c>
      <c r="J309" s="245">
        <f t="shared" si="12"/>
        <v>0</v>
      </c>
      <c r="K309" s="245">
        <f t="shared" si="12"/>
        <v>0</v>
      </c>
      <c r="L309" s="245">
        <f t="shared" si="12"/>
        <v>0</v>
      </c>
      <c r="M309" s="245">
        <f t="shared" si="12"/>
        <v>0</v>
      </c>
      <c r="N309" s="245">
        <f t="shared" si="12"/>
        <v>0</v>
      </c>
      <c r="O309" s="245">
        <f t="shared" si="12"/>
        <v>0</v>
      </c>
      <c r="P309" s="245">
        <f t="shared" si="12"/>
        <v>0</v>
      </c>
      <c r="Q309" s="245">
        <f t="shared" si="12"/>
        <v>0</v>
      </c>
      <c r="R309" s="245">
        <f t="shared" si="12"/>
        <v>0</v>
      </c>
      <c r="S309" s="245">
        <f t="shared" si="12"/>
        <v>-569.00236181669084</v>
      </c>
      <c r="T309" s="245">
        <f t="shared" si="12"/>
        <v>0</v>
      </c>
      <c r="U309" s="245">
        <f t="shared" si="12"/>
        <v>0</v>
      </c>
      <c r="V309" s="245">
        <f t="shared" si="12"/>
        <v>0</v>
      </c>
      <c r="W309" s="245">
        <f t="shared" si="12"/>
        <v>0</v>
      </c>
      <c r="X309" s="245">
        <f t="shared" si="12"/>
        <v>0</v>
      </c>
      <c r="Y309" s="245">
        <f t="shared" si="12"/>
        <v>0</v>
      </c>
      <c r="Z309" s="245">
        <f t="shared" si="12"/>
        <v>0</v>
      </c>
      <c r="AA309" s="245">
        <f t="shared" si="12"/>
        <v>0</v>
      </c>
      <c r="AB309" s="245">
        <f t="shared" si="12"/>
        <v>0</v>
      </c>
      <c r="AC309" s="245">
        <f t="shared" si="12"/>
        <v>0</v>
      </c>
      <c r="AD309" s="245">
        <f t="shared" si="12"/>
        <v>0</v>
      </c>
      <c r="AE309" s="245">
        <f t="shared" si="12"/>
        <v>0</v>
      </c>
      <c r="AF309" s="206">
        <f t="shared" si="12"/>
        <v>0</v>
      </c>
    </row>
    <row r="310" spans="1:32" hidden="1" x14ac:dyDescent="0.25">
      <c r="A310" s="178" t="s">
        <v>398</v>
      </c>
      <c r="B310" s="177" t="s">
        <v>419</v>
      </c>
      <c r="C310" s="178" t="s">
        <v>393</v>
      </c>
      <c r="D310" s="179" t="s">
        <v>363</v>
      </c>
      <c r="E310" s="245">
        <f t="shared" ref="E310:AF310" si="13">E258*E287</f>
        <v>0</v>
      </c>
      <c r="F310" s="245">
        <f t="shared" si="13"/>
        <v>0</v>
      </c>
      <c r="G310" s="245">
        <f t="shared" si="13"/>
        <v>0</v>
      </c>
      <c r="H310" s="245">
        <f t="shared" si="13"/>
        <v>0</v>
      </c>
      <c r="I310" s="245">
        <f t="shared" si="13"/>
        <v>0</v>
      </c>
      <c r="J310" s="245">
        <f t="shared" si="13"/>
        <v>0</v>
      </c>
      <c r="K310" s="245">
        <f t="shared" si="13"/>
        <v>0</v>
      </c>
      <c r="L310" s="245">
        <f t="shared" si="13"/>
        <v>0</v>
      </c>
      <c r="M310" s="245">
        <f t="shared" si="13"/>
        <v>0</v>
      </c>
      <c r="N310" s="245">
        <f t="shared" si="13"/>
        <v>0</v>
      </c>
      <c r="O310" s="245">
        <f t="shared" si="13"/>
        <v>0</v>
      </c>
      <c r="P310" s="245">
        <f t="shared" si="13"/>
        <v>0</v>
      </c>
      <c r="Q310" s="245">
        <f t="shared" si="13"/>
        <v>0</v>
      </c>
      <c r="R310" s="245">
        <f t="shared" si="13"/>
        <v>0</v>
      </c>
      <c r="S310" s="245">
        <f t="shared" si="13"/>
        <v>0</v>
      </c>
      <c r="T310" s="245">
        <f t="shared" si="13"/>
        <v>0</v>
      </c>
      <c r="U310" s="245">
        <f t="shared" si="13"/>
        <v>0</v>
      </c>
      <c r="V310" s="245">
        <f t="shared" si="13"/>
        <v>0</v>
      </c>
      <c r="W310" s="245">
        <f t="shared" si="13"/>
        <v>0</v>
      </c>
      <c r="X310" s="245">
        <f t="shared" si="13"/>
        <v>0</v>
      </c>
      <c r="Y310" s="245">
        <f t="shared" si="13"/>
        <v>0</v>
      </c>
      <c r="Z310" s="245">
        <f t="shared" si="13"/>
        <v>0</v>
      </c>
      <c r="AA310" s="245">
        <f t="shared" si="13"/>
        <v>0</v>
      </c>
      <c r="AB310" s="245">
        <f t="shared" si="13"/>
        <v>0</v>
      </c>
      <c r="AC310" s="245">
        <f t="shared" si="13"/>
        <v>0</v>
      </c>
      <c r="AD310" s="245">
        <f t="shared" si="13"/>
        <v>0</v>
      </c>
      <c r="AE310" s="245">
        <f t="shared" si="13"/>
        <v>0</v>
      </c>
      <c r="AF310" s="206">
        <f t="shared" si="13"/>
        <v>0</v>
      </c>
    </row>
    <row r="311" spans="1:32" hidden="1" x14ac:dyDescent="0.25">
      <c r="A311" s="178" t="s">
        <v>398</v>
      </c>
      <c r="B311" s="177" t="s">
        <v>419</v>
      </c>
      <c r="C311" s="178" t="s">
        <v>408</v>
      </c>
      <c r="D311" s="179" t="s">
        <v>363</v>
      </c>
      <c r="E311" s="245">
        <f t="shared" ref="E311:AF311" si="14">E259*E288</f>
        <v>0</v>
      </c>
      <c r="F311" s="245">
        <f t="shared" si="14"/>
        <v>0</v>
      </c>
      <c r="G311" s="245">
        <f t="shared" si="14"/>
        <v>0</v>
      </c>
      <c r="H311" s="245">
        <f t="shared" si="14"/>
        <v>0</v>
      </c>
      <c r="I311" s="245">
        <f t="shared" si="14"/>
        <v>0</v>
      </c>
      <c r="J311" s="245">
        <f t="shared" si="14"/>
        <v>0</v>
      </c>
      <c r="K311" s="245">
        <f t="shared" si="14"/>
        <v>0</v>
      </c>
      <c r="L311" s="245">
        <f t="shared" si="14"/>
        <v>0</v>
      </c>
      <c r="M311" s="245">
        <f t="shared" si="14"/>
        <v>0</v>
      </c>
      <c r="N311" s="245">
        <f t="shared" si="14"/>
        <v>0</v>
      </c>
      <c r="O311" s="245">
        <f t="shared" si="14"/>
        <v>0</v>
      </c>
      <c r="P311" s="245">
        <f t="shared" si="14"/>
        <v>0</v>
      </c>
      <c r="Q311" s="245">
        <f t="shared" si="14"/>
        <v>0</v>
      </c>
      <c r="R311" s="245">
        <f t="shared" si="14"/>
        <v>0</v>
      </c>
      <c r="S311" s="245">
        <f t="shared" si="14"/>
        <v>0</v>
      </c>
      <c r="T311" s="245">
        <f t="shared" si="14"/>
        <v>0</v>
      </c>
      <c r="U311" s="245">
        <f t="shared" si="14"/>
        <v>0</v>
      </c>
      <c r="V311" s="245">
        <f t="shared" si="14"/>
        <v>0</v>
      </c>
      <c r="W311" s="245">
        <f t="shared" si="14"/>
        <v>0</v>
      </c>
      <c r="X311" s="245">
        <f t="shared" si="14"/>
        <v>0</v>
      </c>
      <c r="Y311" s="245">
        <f t="shared" si="14"/>
        <v>0</v>
      </c>
      <c r="Z311" s="245">
        <f t="shared" si="14"/>
        <v>0</v>
      </c>
      <c r="AA311" s="245">
        <f t="shared" si="14"/>
        <v>0</v>
      </c>
      <c r="AB311" s="245">
        <f t="shared" si="14"/>
        <v>0</v>
      </c>
      <c r="AC311" s="245">
        <f t="shared" si="14"/>
        <v>0</v>
      </c>
      <c r="AD311" s="245">
        <f t="shared" si="14"/>
        <v>0</v>
      </c>
      <c r="AE311" s="245">
        <f t="shared" si="14"/>
        <v>0</v>
      </c>
      <c r="AF311" s="206">
        <f t="shared" si="14"/>
        <v>0</v>
      </c>
    </row>
    <row r="312" spans="1:32" hidden="1" x14ac:dyDescent="0.25">
      <c r="A312" s="178" t="s">
        <v>398</v>
      </c>
      <c r="B312" s="177" t="s">
        <v>419</v>
      </c>
      <c r="C312" s="178" t="s">
        <v>409</v>
      </c>
      <c r="D312" s="179" t="s">
        <v>363</v>
      </c>
      <c r="E312" s="245">
        <f t="shared" ref="E312:AF312" si="15">E260*E289</f>
        <v>0</v>
      </c>
      <c r="F312" s="245">
        <f t="shared" si="15"/>
        <v>0</v>
      </c>
      <c r="G312" s="245">
        <f t="shared" si="15"/>
        <v>0</v>
      </c>
      <c r="H312" s="245">
        <f t="shared" si="15"/>
        <v>0</v>
      </c>
      <c r="I312" s="245">
        <f t="shared" si="15"/>
        <v>0</v>
      </c>
      <c r="J312" s="245">
        <f t="shared" si="15"/>
        <v>0</v>
      </c>
      <c r="K312" s="245">
        <f t="shared" si="15"/>
        <v>0</v>
      </c>
      <c r="L312" s="245">
        <f t="shared" si="15"/>
        <v>0</v>
      </c>
      <c r="M312" s="245">
        <f t="shared" si="15"/>
        <v>0</v>
      </c>
      <c r="N312" s="245">
        <f t="shared" si="15"/>
        <v>0</v>
      </c>
      <c r="O312" s="245">
        <f t="shared" si="15"/>
        <v>0</v>
      </c>
      <c r="P312" s="245">
        <f t="shared" si="15"/>
        <v>0</v>
      </c>
      <c r="Q312" s="245">
        <f t="shared" si="15"/>
        <v>0</v>
      </c>
      <c r="R312" s="245">
        <f t="shared" si="15"/>
        <v>0</v>
      </c>
      <c r="S312" s="245">
        <f t="shared" si="15"/>
        <v>0</v>
      </c>
      <c r="T312" s="245">
        <f t="shared" si="15"/>
        <v>0</v>
      </c>
      <c r="U312" s="245">
        <f t="shared" si="15"/>
        <v>0</v>
      </c>
      <c r="V312" s="245">
        <f t="shared" si="15"/>
        <v>0</v>
      </c>
      <c r="W312" s="245">
        <f t="shared" si="15"/>
        <v>0</v>
      </c>
      <c r="X312" s="245">
        <f t="shared" si="15"/>
        <v>0</v>
      </c>
      <c r="Y312" s="245">
        <f t="shared" si="15"/>
        <v>0</v>
      </c>
      <c r="Z312" s="245">
        <f t="shared" si="15"/>
        <v>0</v>
      </c>
      <c r="AA312" s="245">
        <f t="shared" si="15"/>
        <v>0</v>
      </c>
      <c r="AB312" s="245">
        <f t="shared" si="15"/>
        <v>0</v>
      </c>
      <c r="AC312" s="245">
        <f t="shared" si="15"/>
        <v>0</v>
      </c>
      <c r="AD312" s="245">
        <f t="shared" si="15"/>
        <v>0</v>
      </c>
      <c r="AE312" s="245">
        <f t="shared" si="15"/>
        <v>0</v>
      </c>
      <c r="AF312" s="206">
        <f t="shared" si="15"/>
        <v>0</v>
      </c>
    </row>
    <row r="313" spans="1:32" hidden="1" x14ac:dyDescent="0.25">
      <c r="A313" s="178" t="s">
        <v>398</v>
      </c>
      <c r="B313" s="177" t="s">
        <v>419</v>
      </c>
      <c r="C313" s="178" t="s">
        <v>410</v>
      </c>
      <c r="D313" s="179" t="s">
        <v>363</v>
      </c>
      <c r="E313" s="245">
        <f t="shared" ref="E313:AF313" si="16">E261*E290</f>
        <v>0</v>
      </c>
      <c r="F313" s="245">
        <f t="shared" si="16"/>
        <v>0</v>
      </c>
      <c r="G313" s="245">
        <f t="shared" si="16"/>
        <v>0</v>
      </c>
      <c r="H313" s="245">
        <f t="shared" si="16"/>
        <v>0</v>
      </c>
      <c r="I313" s="245">
        <f t="shared" si="16"/>
        <v>0</v>
      </c>
      <c r="J313" s="245">
        <f t="shared" si="16"/>
        <v>0</v>
      </c>
      <c r="K313" s="245">
        <f t="shared" si="16"/>
        <v>0</v>
      </c>
      <c r="L313" s="245">
        <f t="shared" si="16"/>
        <v>0</v>
      </c>
      <c r="M313" s="245">
        <f t="shared" si="16"/>
        <v>0</v>
      </c>
      <c r="N313" s="245">
        <f t="shared" si="16"/>
        <v>0</v>
      </c>
      <c r="O313" s="245">
        <f t="shared" si="16"/>
        <v>0</v>
      </c>
      <c r="P313" s="245">
        <f t="shared" si="16"/>
        <v>0</v>
      </c>
      <c r="Q313" s="245">
        <f t="shared" si="16"/>
        <v>0</v>
      </c>
      <c r="R313" s="245">
        <f t="shared" si="16"/>
        <v>0</v>
      </c>
      <c r="S313" s="245">
        <f t="shared" si="16"/>
        <v>0</v>
      </c>
      <c r="T313" s="245">
        <f t="shared" si="16"/>
        <v>0</v>
      </c>
      <c r="U313" s="245">
        <f t="shared" si="16"/>
        <v>0</v>
      </c>
      <c r="V313" s="245">
        <f t="shared" si="16"/>
        <v>0</v>
      </c>
      <c r="W313" s="245">
        <f t="shared" si="16"/>
        <v>0</v>
      </c>
      <c r="X313" s="245">
        <f t="shared" si="16"/>
        <v>0</v>
      </c>
      <c r="Y313" s="245">
        <f t="shared" si="16"/>
        <v>0</v>
      </c>
      <c r="Z313" s="245">
        <f t="shared" si="16"/>
        <v>0</v>
      </c>
      <c r="AA313" s="245">
        <f t="shared" si="16"/>
        <v>0</v>
      </c>
      <c r="AB313" s="245">
        <f t="shared" si="16"/>
        <v>0</v>
      </c>
      <c r="AC313" s="245">
        <f t="shared" si="16"/>
        <v>0</v>
      </c>
      <c r="AD313" s="245">
        <f t="shared" si="16"/>
        <v>0</v>
      </c>
      <c r="AE313" s="245">
        <f t="shared" si="16"/>
        <v>0</v>
      </c>
      <c r="AF313" s="206">
        <f t="shared" si="16"/>
        <v>0</v>
      </c>
    </row>
    <row r="314" spans="1:32" hidden="1" x14ac:dyDescent="0.25">
      <c r="A314" s="178" t="s">
        <v>398</v>
      </c>
      <c r="B314" s="177" t="s">
        <v>419</v>
      </c>
      <c r="C314" s="178" t="s">
        <v>411</v>
      </c>
      <c r="D314" s="179" t="s">
        <v>363</v>
      </c>
      <c r="E314" s="245">
        <f t="shared" ref="E314:AF314" si="17">E262*E291</f>
        <v>0</v>
      </c>
      <c r="F314" s="245">
        <f t="shared" si="17"/>
        <v>0</v>
      </c>
      <c r="G314" s="245">
        <f t="shared" si="17"/>
        <v>0</v>
      </c>
      <c r="H314" s="245">
        <f t="shared" si="17"/>
        <v>0</v>
      </c>
      <c r="I314" s="245">
        <f t="shared" si="17"/>
        <v>0</v>
      </c>
      <c r="J314" s="245">
        <f t="shared" si="17"/>
        <v>0</v>
      </c>
      <c r="K314" s="245">
        <f t="shared" si="17"/>
        <v>0</v>
      </c>
      <c r="L314" s="245">
        <f t="shared" si="17"/>
        <v>0</v>
      </c>
      <c r="M314" s="245">
        <f t="shared" si="17"/>
        <v>0</v>
      </c>
      <c r="N314" s="245">
        <f t="shared" si="17"/>
        <v>0</v>
      </c>
      <c r="O314" s="245">
        <f t="shared" si="17"/>
        <v>0</v>
      </c>
      <c r="P314" s="245">
        <f t="shared" si="17"/>
        <v>0</v>
      </c>
      <c r="Q314" s="245">
        <f t="shared" si="17"/>
        <v>0</v>
      </c>
      <c r="R314" s="245">
        <f t="shared" si="17"/>
        <v>0</v>
      </c>
      <c r="S314" s="245">
        <f t="shared" si="17"/>
        <v>0</v>
      </c>
      <c r="T314" s="245">
        <f t="shared" si="17"/>
        <v>0</v>
      </c>
      <c r="U314" s="245">
        <f t="shared" si="17"/>
        <v>0</v>
      </c>
      <c r="V314" s="245">
        <f t="shared" si="17"/>
        <v>0</v>
      </c>
      <c r="W314" s="245">
        <f t="shared" si="17"/>
        <v>0</v>
      </c>
      <c r="X314" s="245">
        <f t="shared" si="17"/>
        <v>0</v>
      </c>
      <c r="Y314" s="245">
        <f t="shared" si="17"/>
        <v>0</v>
      </c>
      <c r="Z314" s="245">
        <f t="shared" si="17"/>
        <v>0</v>
      </c>
      <c r="AA314" s="245">
        <f t="shared" si="17"/>
        <v>0</v>
      </c>
      <c r="AB314" s="245">
        <f t="shared" si="17"/>
        <v>0</v>
      </c>
      <c r="AC314" s="245">
        <f t="shared" si="17"/>
        <v>0</v>
      </c>
      <c r="AD314" s="245">
        <f t="shared" si="17"/>
        <v>0</v>
      </c>
      <c r="AE314" s="245">
        <f t="shared" si="17"/>
        <v>0</v>
      </c>
      <c r="AF314" s="206">
        <f t="shared" si="17"/>
        <v>0</v>
      </c>
    </row>
    <row r="315" spans="1:32" hidden="1" x14ac:dyDescent="0.25">
      <c r="A315" s="178" t="s">
        <v>398</v>
      </c>
      <c r="B315" s="177" t="s">
        <v>419</v>
      </c>
      <c r="C315" s="178" t="s">
        <v>394</v>
      </c>
      <c r="D315" s="179" t="s">
        <v>363</v>
      </c>
      <c r="E315" s="245">
        <f t="shared" ref="E315:AF315" si="18">E263*E292</f>
        <v>0</v>
      </c>
      <c r="F315" s="245">
        <f t="shared" si="18"/>
        <v>0</v>
      </c>
      <c r="G315" s="245">
        <f t="shared" si="18"/>
        <v>0</v>
      </c>
      <c r="H315" s="245">
        <f t="shared" si="18"/>
        <v>0</v>
      </c>
      <c r="I315" s="245">
        <f t="shared" si="18"/>
        <v>0</v>
      </c>
      <c r="J315" s="245">
        <f t="shared" si="18"/>
        <v>0</v>
      </c>
      <c r="K315" s="245">
        <f t="shared" si="18"/>
        <v>0</v>
      </c>
      <c r="L315" s="245">
        <f t="shared" si="18"/>
        <v>0</v>
      </c>
      <c r="M315" s="245">
        <f t="shared" si="18"/>
        <v>0</v>
      </c>
      <c r="N315" s="245">
        <f t="shared" si="18"/>
        <v>0</v>
      </c>
      <c r="O315" s="245">
        <f t="shared" si="18"/>
        <v>0</v>
      </c>
      <c r="P315" s="245">
        <f t="shared" si="18"/>
        <v>0</v>
      </c>
      <c r="Q315" s="245">
        <f t="shared" si="18"/>
        <v>0</v>
      </c>
      <c r="R315" s="245">
        <f t="shared" si="18"/>
        <v>0</v>
      </c>
      <c r="S315" s="245">
        <f t="shared" si="18"/>
        <v>0</v>
      </c>
      <c r="T315" s="245">
        <f t="shared" si="18"/>
        <v>0</v>
      </c>
      <c r="U315" s="245">
        <f t="shared" si="18"/>
        <v>0</v>
      </c>
      <c r="V315" s="245">
        <f t="shared" si="18"/>
        <v>0</v>
      </c>
      <c r="W315" s="245">
        <f t="shared" si="18"/>
        <v>0</v>
      </c>
      <c r="X315" s="245">
        <f t="shared" si="18"/>
        <v>0</v>
      </c>
      <c r="Y315" s="245">
        <f t="shared" si="18"/>
        <v>0</v>
      </c>
      <c r="Z315" s="245">
        <f t="shared" si="18"/>
        <v>0</v>
      </c>
      <c r="AA315" s="245">
        <f t="shared" si="18"/>
        <v>0</v>
      </c>
      <c r="AB315" s="245">
        <f t="shared" si="18"/>
        <v>0</v>
      </c>
      <c r="AC315" s="245">
        <f t="shared" si="18"/>
        <v>0</v>
      </c>
      <c r="AD315" s="245">
        <f t="shared" si="18"/>
        <v>0</v>
      </c>
      <c r="AE315" s="245">
        <f t="shared" si="18"/>
        <v>0</v>
      </c>
      <c r="AF315" s="206">
        <f t="shared" si="18"/>
        <v>0</v>
      </c>
    </row>
    <row r="316" spans="1:32" hidden="1" x14ac:dyDescent="0.25">
      <c r="A316" s="195" t="s">
        <v>398</v>
      </c>
      <c r="B316" s="194" t="s">
        <v>419</v>
      </c>
      <c r="C316" s="195" t="s">
        <v>412</v>
      </c>
      <c r="D316" s="196" t="s">
        <v>363</v>
      </c>
      <c r="E316" s="246">
        <f t="shared" ref="E316:Q316" si="19">E264*E293</f>
        <v>0</v>
      </c>
      <c r="F316" s="246">
        <f t="shared" si="19"/>
        <v>0</v>
      </c>
      <c r="G316" s="246">
        <f t="shared" si="19"/>
        <v>0</v>
      </c>
      <c r="H316" s="246">
        <f t="shared" si="19"/>
        <v>0</v>
      </c>
      <c r="I316" s="246">
        <f t="shared" si="19"/>
        <v>0</v>
      </c>
      <c r="J316" s="246">
        <f t="shared" si="19"/>
        <v>0</v>
      </c>
      <c r="K316" s="246">
        <f t="shared" si="19"/>
        <v>0</v>
      </c>
      <c r="L316" s="246">
        <f t="shared" si="19"/>
        <v>0</v>
      </c>
      <c r="M316" s="246">
        <f t="shared" si="19"/>
        <v>0</v>
      </c>
      <c r="N316" s="246">
        <f t="shared" si="19"/>
        <v>0</v>
      </c>
      <c r="O316" s="246">
        <f t="shared" si="19"/>
        <v>0</v>
      </c>
      <c r="P316" s="246">
        <f t="shared" si="19"/>
        <v>0</v>
      </c>
      <c r="Q316" s="246">
        <f t="shared" si="19"/>
        <v>0</v>
      </c>
      <c r="R316" s="246">
        <f t="shared" ref="R316:AF316" si="20">R264*R293</f>
        <v>0</v>
      </c>
      <c r="S316" s="246">
        <f t="shared" si="20"/>
        <v>0</v>
      </c>
      <c r="T316" s="246">
        <f t="shared" si="20"/>
        <v>0</v>
      </c>
      <c r="U316" s="246">
        <f t="shared" si="20"/>
        <v>0</v>
      </c>
      <c r="V316" s="246">
        <f t="shared" si="20"/>
        <v>0</v>
      </c>
      <c r="W316" s="246">
        <f t="shared" si="20"/>
        <v>0</v>
      </c>
      <c r="X316" s="246">
        <f t="shared" si="20"/>
        <v>0</v>
      </c>
      <c r="Y316" s="246">
        <f t="shared" si="20"/>
        <v>0</v>
      </c>
      <c r="Z316" s="246">
        <f t="shared" si="20"/>
        <v>0</v>
      </c>
      <c r="AA316" s="246">
        <f t="shared" si="20"/>
        <v>0</v>
      </c>
      <c r="AB316" s="246">
        <f t="shared" si="20"/>
        <v>0</v>
      </c>
      <c r="AC316" s="246">
        <f t="shared" si="20"/>
        <v>0</v>
      </c>
      <c r="AD316" s="246">
        <f t="shared" si="20"/>
        <v>0</v>
      </c>
      <c r="AE316" s="246">
        <f t="shared" si="20"/>
        <v>0</v>
      </c>
      <c r="AF316" s="247">
        <f t="shared" si="20"/>
        <v>0</v>
      </c>
    </row>
    <row r="317" spans="1:32" hidden="1" x14ac:dyDescent="0.25">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c r="AA317" s="167"/>
      <c r="AB317" s="167"/>
      <c r="AC317" s="167"/>
      <c r="AD317" s="167"/>
      <c r="AE317" s="167"/>
      <c r="AF317" s="167"/>
    </row>
    <row r="318" spans="1:32" hidden="1" x14ac:dyDescent="0.25">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c r="AA318" s="167"/>
      <c r="AB318" s="167"/>
      <c r="AC318" s="167"/>
      <c r="AD318" s="167"/>
      <c r="AE318" s="167"/>
      <c r="AF318" s="167"/>
    </row>
    <row r="319" spans="1:32" x14ac:dyDescent="0.25">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c r="AD319" s="167"/>
      <c r="AE319" s="167"/>
      <c r="AF319" s="167"/>
    </row>
    <row r="320" spans="1:32" x14ac:dyDescent="0.25">
      <c r="A320" s="200"/>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0"/>
      <c r="X320" s="200"/>
      <c r="Y320" s="200"/>
      <c r="Z320" s="200"/>
      <c r="AA320" s="200"/>
      <c r="AB320" s="200"/>
      <c r="AC320" s="200"/>
      <c r="AD320" s="200"/>
      <c r="AE320" s="200"/>
      <c r="AF320" s="200"/>
    </row>
    <row r="321" spans="1:32" x14ac:dyDescent="0.25">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c r="AA321" s="167"/>
      <c r="AB321" s="167"/>
      <c r="AC321" s="167"/>
      <c r="AD321" s="167"/>
      <c r="AE321" s="167"/>
      <c r="AF321" s="167"/>
    </row>
    <row r="322" spans="1:32" ht="17.25" x14ac:dyDescent="0.3">
      <c r="A322" s="201" t="s">
        <v>420</v>
      </c>
      <c r="B322" s="120"/>
      <c r="C322" s="120"/>
      <c r="D322" s="120"/>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c r="AA322" s="167"/>
      <c r="AB322" s="167"/>
      <c r="AC322" s="167"/>
      <c r="AD322" s="167"/>
      <c r="AE322" s="167"/>
      <c r="AF322" s="167"/>
    </row>
    <row r="323" spans="1:32" ht="15.75" x14ac:dyDescent="0.25">
      <c r="A323" s="228" t="s">
        <v>421</v>
      </c>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c r="AA323" s="167"/>
      <c r="AB323" s="167"/>
      <c r="AC323" s="167"/>
      <c r="AD323" s="167"/>
      <c r="AE323" s="167"/>
      <c r="AF323" s="167"/>
    </row>
    <row r="324" spans="1:32" x14ac:dyDescent="0.25">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c r="AA324" s="167"/>
      <c r="AB324" s="167"/>
      <c r="AC324" s="167"/>
      <c r="AD324" s="167"/>
      <c r="AE324" s="167"/>
      <c r="AF324" s="167"/>
    </row>
    <row r="325" spans="1:32" x14ac:dyDescent="0.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c r="AA325" s="167"/>
      <c r="AB325" s="167"/>
      <c r="AC325" s="167"/>
      <c r="AD325" s="167"/>
      <c r="AE325" s="167"/>
      <c r="AF325" s="167"/>
    </row>
    <row r="326" spans="1:32" ht="15.75" x14ac:dyDescent="0.25">
      <c r="A326" s="248" t="s">
        <v>422</v>
      </c>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c r="AA326" s="167"/>
      <c r="AB326" s="167"/>
      <c r="AC326" s="167"/>
      <c r="AD326" s="167"/>
      <c r="AE326" s="167"/>
      <c r="AF326" s="167"/>
    </row>
    <row r="327" spans="1:32" x14ac:dyDescent="0.25">
      <c r="A327" s="168"/>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c r="AA327" s="167"/>
      <c r="AB327" s="167"/>
      <c r="AC327" s="167"/>
      <c r="AD327" s="167"/>
      <c r="AE327" s="167"/>
      <c r="AF327" s="167"/>
    </row>
    <row r="328" spans="1:32" ht="15.75" x14ac:dyDescent="0.25">
      <c r="A328" s="467" t="s">
        <v>358</v>
      </c>
      <c r="B328" s="467" t="s">
        <v>359</v>
      </c>
      <c r="C328" s="467" t="s">
        <v>360</v>
      </c>
      <c r="D328" s="467" t="s">
        <v>342</v>
      </c>
      <c r="E328" s="243" t="s">
        <v>162</v>
      </c>
      <c r="F328" s="243" t="s">
        <v>164</v>
      </c>
      <c r="G328" s="243" t="s">
        <v>166</v>
      </c>
      <c r="H328" s="243" t="s">
        <v>168</v>
      </c>
      <c r="I328" s="243" t="s">
        <v>170</v>
      </c>
      <c r="J328" s="243" t="s">
        <v>173</v>
      </c>
      <c r="K328" s="243" t="s">
        <v>175</v>
      </c>
      <c r="L328" s="243" t="s">
        <v>177</v>
      </c>
      <c r="M328" s="243" t="s">
        <v>179</v>
      </c>
      <c r="N328" s="243" t="s">
        <v>181</v>
      </c>
      <c r="O328" s="243" t="s">
        <v>183</v>
      </c>
      <c r="P328" s="243" t="s">
        <v>185</v>
      </c>
      <c r="Q328" s="243" t="s">
        <v>188</v>
      </c>
      <c r="R328" s="243" t="s">
        <v>190</v>
      </c>
      <c r="S328" s="243" t="s">
        <v>192</v>
      </c>
      <c r="T328" s="243" t="s">
        <v>194</v>
      </c>
      <c r="U328" s="243" t="s">
        <v>196</v>
      </c>
      <c r="V328" s="243" t="s">
        <v>198</v>
      </c>
      <c r="W328" s="243" t="s">
        <v>9</v>
      </c>
      <c r="X328" s="243" t="s">
        <v>201</v>
      </c>
      <c r="Y328" s="243" t="s">
        <v>203</v>
      </c>
      <c r="Z328" s="243" t="s">
        <v>205</v>
      </c>
      <c r="AA328" s="243" t="s">
        <v>207</v>
      </c>
      <c r="AB328" s="243" t="s">
        <v>210</v>
      </c>
      <c r="AC328" s="243" t="s">
        <v>212</v>
      </c>
      <c r="AD328" s="243" t="s">
        <v>214</v>
      </c>
      <c r="AE328" s="243" t="s">
        <v>217</v>
      </c>
      <c r="AF328" s="244" t="s">
        <v>219</v>
      </c>
    </row>
    <row r="329" spans="1:32" x14ac:dyDescent="0.25">
      <c r="A329" s="167" t="s">
        <v>423</v>
      </c>
      <c r="B329" s="167"/>
      <c r="C329" s="167" t="s">
        <v>113</v>
      </c>
      <c r="D329" s="205" t="s">
        <v>363</v>
      </c>
      <c r="E329" s="205">
        <f>IFERROR('Inputs_BY IIS'!E306*1000,0)</f>
        <v>0</v>
      </c>
      <c r="F329" s="205">
        <f>IFERROR('Inputs_BY IIS'!F306*1000,0)</f>
        <v>0</v>
      </c>
      <c r="G329" s="205">
        <f>IFERROR('Inputs_BY IIS'!G306*1000,0)</f>
        <v>0</v>
      </c>
      <c r="H329" s="205">
        <f>IFERROR('Inputs_BY IIS'!H306*1000,0)</f>
        <v>-154.76659566888529</v>
      </c>
      <c r="I329" s="205">
        <f>IFERROR('Inputs_BY IIS'!I306*1000,0)</f>
        <v>0</v>
      </c>
      <c r="J329" s="205">
        <f>IFERROR('Inputs_BY IIS'!J306*1000,0)</f>
        <v>0</v>
      </c>
      <c r="K329" s="205">
        <f>IFERROR('Inputs_BY IIS'!K306*1000,0)</f>
        <v>0</v>
      </c>
      <c r="L329" s="205">
        <f>IFERROR('Inputs_BY IIS'!L306*1000,0)</f>
        <v>0</v>
      </c>
      <c r="M329" s="205">
        <f>IFERROR('Inputs_BY IIS'!M306*1000,0)</f>
        <v>0</v>
      </c>
      <c r="N329" s="205">
        <f>IFERROR('Inputs_BY IIS'!N306*1000,0)</f>
        <v>0</v>
      </c>
      <c r="O329" s="205">
        <f>IFERROR('Inputs_BY IIS'!O306*1000,0)</f>
        <v>0</v>
      </c>
      <c r="P329" s="205">
        <f>IFERROR('Inputs_BY IIS'!P306*1000,0)</f>
        <v>-116240.47823450701</v>
      </c>
      <c r="Q329" s="205">
        <f>IFERROR('Inputs_BY IIS'!Q306*1000,0)</f>
        <v>7.1054273576010019E-12</v>
      </c>
      <c r="R329" s="205">
        <f>IFERROR('Inputs_BY IIS'!R306*1000,0)</f>
        <v>0</v>
      </c>
      <c r="S329" s="205">
        <f>IFERROR('Inputs_BY IIS'!S306*1000,0)</f>
        <v>3.5527136788005009E-12</v>
      </c>
      <c r="T329" s="205">
        <f>IFERROR('Inputs_BY IIS'!T306*1000,0)</f>
        <v>0</v>
      </c>
      <c r="U329" s="205">
        <f>IFERROR('Inputs_BY IIS'!U306*1000,0)</f>
        <v>0</v>
      </c>
      <c r="V329" s="205">
        <f>IFERROR('Inputs_BY IIS'!V306*1000,0)</f>
        <v>0</v>
      </c>
      <c r="W329" s="205">
        <f>IFERROR('Inputs_BY IIS'!W306*1000,0)</f>
        <v>-276321.00954315776</v>
      </c>
      <c r="X329" s="205">
        <f>IFERROR('Inputs_BY IIS'!X306*1000,0)</f>
        <v>0</v>
      </c>
      <c r="Y329" s="205">
        <f>IFERROR('Inputs_BY IIS'!Y306*1000,0)</f>
        <v>0</v>
      </c>
      <c r="Z329" s="205">
        <f>IFERROR('Inputs_BY IIS'!Z306*1000,0)</f>
        <v>0</v>
      </c>
      <c r="AA329" s="205">
        <f>IFERROR('Inputs_BY IIS'!AA306*1000,0)</f>
        <v>0</v>
      </c>
      <c r="AB329" s="205">
        <f>IFERROR('Inputs_BY IIS'!AB306*1000,0)</f>
        <v>0</v>
      </c>
      <c r="AC329" s="205">
        <f>IFERROR('Inputs_BY IIS'!AC306*1000,0)</f>
        <v>0</v>
      </c>
      <c r="AD329" s="205">
        <f>IFERROR('Inputs_BY IIS'!AD306*1000,0)</f>
        <v>0</v>
      </c>
      <c r="AE329" s="205">
        <f>IFERROR('Inputs_BY IIS'!AE306*1000,0)</f>
        <v>0</v>
      </c>
      <c r="AF329" s="205">
        <f>IFERROR('Inputs_BY IIS'!AF306*1000,0)</f>
        <v>0</v>
      </c>
    </row>
    <row r="330" spans="1:32" x14ac:dyDescent="0.25">
      <c r="A330" s="167" t="s">
        <v>423</v>
      </c>
      <c r="B330" s="167"/>
      <c r="C330" s="167" t="s">
        <v>115</v>
      </c>
      <c r="D330" s="205" t="s">
        <v>363</v>
      </c>
      <c r="E330" s="205">
        <f>IFERROR('Inputs_BY IIS'!E307*1000,0)</f>
        <v>0</v>
      </c>
      <c r="F330" s="205">
        <f>IFERROR('Inputs_BY IIS'!F307*1000,0)</f>
        <v>0</v>
      </c>
      <c r="G330" s="205">
        <f>IFERROR('Inputs_BY IIS'!G307*1000,0)</f>
        <v>0</v>
      </c>
      <c r="H330" s="205">
        <f>IFERROR('Inputs_BY IIS'!H307*1000,0)</f>
        <v>0</v>
      </c>
      <c r="I330" s="205">
        <f>IFERROR('Inputs_BY IIS'!I307*1000,0)</f>
        <v>0</v>
      </c>
      <c r="J330" s="205">
        <f>IFERROR('Inputs_BY IIS'!J307*1000,0)</f>
        <v>0</v>
      </c>
      <c r="K330" s="205">
        <f>IFERROR('Inputs_BY IIS'!K307*1000,0)</f>
        <v>0</v>
      </c>
      <c r="L330" s="205">
        <f>IFERROR('Inputs_BY IIS'!L307*1000,0)</f>
        <v>0</v>
      </c>
      <c r="M330" s="205">
        <f>IFERROR('Inputs_BY IIS'!M307*1000,0)</f>
        <v>0</v>
      </c>
      <c r="N330" s="205">
        <f>IFERROR('Inputs_BY IIS'!N307*1000,0)</f>
        <v>0</v>
      </c>
      <c r="O330" s="205">
        <f>IFERROR('Inputs_BY IIS'!O307*1000,0)</f>
        <v>0</v>
      </c>
      <c r="P330" s="205">
        <f>IFERROR('Inputs_BY IIS'!P307*1000,0)</f>
        <v>0</v>
      </c>
      <c r="Q330" s="205">
        <f>IFERROR('Inputs_BY IIS'!Q307*1000,0)</f>
        <v>0</v>
      </c>
      <c r="R330" s="205">
        <f>IFERROR('Inputs_BY IIS'!R307*1000,0)</f>
        <v>0</v>
      </c>
      <c r="S330" s="205">
        <f>IFERROR('Inputs_BY IIS'!S307*1000,0)</f>
        <v>0</v>
      </c>
      <c r="T330" s="205">
        <f>IFERROR('Inputs_BY IIS'!T307*1000,0)</f>
        <v>0</v>
      </c>
      <c r="U330" s="205">
        <f>IFERROR('Inputs_BY IIS'!U307*1000,0)</f>
        <v>0</v>
      </c>
      <c r="V330" s="205">
        <f>IFERROR('Inputs_BY IIS'!V307*1000,0)</f>
        <v>0</v>
      </c>
      <c r="W330" s="205">
        <f>IFERROR('Inputs_BY IIS'!W307*1000,0)</f>
        <v>0</v>
      </c>
      <c r="X330" s="205">
        <f>IFERROR('Inputs_BY IIS'!X307*1000,0)</f>
        <v>0</v>
      </c>
      <c r="Y330" s="205">
        <f>IFERROR('Inputs_BY IIS'!Y307*1000,0)</f>
        <v>0</v>
      </c>
      <c r="Z330" s="205">
        <f>IFERROR('Inputs_BY IIS'!Z307*1000,0)</f>
        <v>0</v>
      </c>
      <c r="AA330" s="205">
        <f>IFERROR('Inputs_BY IIS'!AA307*1000,0)</f>
        <v>0</v>
      </c>
      <c r="AB330" s="205">
        <f>IFERROR('Inputs_BY IIS'!AB307*1000,0)</f>
        <v>0</v>
      </c>
      <c r="AC330" s="205">
        <f>IFERROR('Inputs_BY IIS'!AC307*1000,0)</f>
        <v>0</v>
      </c>
      <c r="AD330" s="205">
        <f>IFERROR('Inputs_BY IIS'!AD307*1000,0)</f>
        <v>0</v>
      </c>
      <c r="AE330" s="205">
        <f>IFERROR('Inputs_BY IIS'!AE307*1000,0)</f>
        <v>0</v>
      </c>
      <c r="AF330" s="205">
        <f>IFERROR('Inputs_BY IIS'!AF307*1000,0)</f>
        <v>0</v>
      </c>
    </row>
    <row r="331" spans="1:32" x14ac:dyDescent="0.25">
      <c r="A331" s="167" t="s">
        <v>423</v>
      </c>
      <c r="B331" s="167"/>
      <c r="C331" s="167" t="s">
        <v>117</v>
      </c>
      <c r="D331" s="205" t="s">
        <v>363</v>
      </c>
      <c r="E331" s="205">
        <f>IFERROR('Inputs_BY IIS'!E308*1000,0)</f>
        <v>0</v>
      </c>
      <c r="F331" s="205">
        <f>IFERROR('Inputs_BY IIS'!F308*1000,0)</f>
        <v>0</v>
      </c>
      <c r="G331" s="205">
        <f>IFERROR('Inputs_BY IIS'!G308*1000,0)</f>
        <v>0</v>
      </c>
      <c r="H331" s="205">
        <f>IFERROR('Inputs_BY IIS'!H308*1000,0)</f>
        <v>0</v>
      </c>
      <c r="I331" s="205">
        <f>IFERROR('Inputs_BY IIS'!I308*1000,0)</f>
        <v>0</v>
      </c>
      <c r="J331" s="205">
        <f>IFERROR('Inputs_BY IIS'!J308*1000,0)</f>
        <v>0</v>
      </c>
      <c r="K331" s="205">
        <f>IFERROR('Inputs_BY IIS'!K308*1000,0)</f>
        <v>0</v>
      </c>
      <c r="L331" s="205">
        <f>IFERROR('Inputs_BY IIS'!L308*1000,0)</f>
        <v>0</v>
      </c>
      <c r="M331" s="205">
        <f>IFERROR('Inputs_BY IIS'!M308*1000,0)</f>
        <v>-151774.81324400139</v>
      </c>
      <c r="N331" s="205">
        <f>IFERROR('Inputs_BY IIS'!N308*1000,0)</f>
        <v>0</v>
      </c>
      <c r="O331" s="205">
        <f>IFERROR('Inputs_BY IIS'!O308*1000,0)</f>
        <v>0</v>
      </c>
      <c r="P331" s="205">
        <f>IFERROR('Inputs_BY IIS'!P308*1000,0)</f>
        <v>-3.5527136788005009E-12</v>
      </c>
      <c r="Q331" s="205">
        <f>IFERROR('Inputs_BY IIS'!Q308*1000,0)</f>
        <v>0</v>
      </c>
      <c r="R331" s="205">
        <f>IFERROR('Inputs_BY IIS'!R308*1000,0)</f>
        <v>0</v>
      </c>
      <c r="S331" s="205">
        <f>IFERROR('Inputs_BY IIS'!S308*1000,0)</f>
        <v>0</v>
      </c>
      <c r="T331" s="205">
        <f>IFERROR('Inputs_BY IIS'!T308*1000,0)</f>
        <v>0</v>
      </c>
      <c r="U331" s="205">
        <f>IFERROR('Inputs_BY IIS'!U308*1000,0)</f>
        <v>0</v>
      </c>
      <c r="V331" s="205">
        <f>IFERROR('Inputs_BY IIS'!V308*1000,0)</f>
        <v>0</v>
      </c>
      <c r="W331" s="205">
        <f>IFERROR('Inputs_BY IIS'!W308*1000,0)</f>
        <v>0</v>
      </c>
      <c r="X331" s="205">
        <f>IFERROR('Inputs_BY IIS'!X308*1000,0)</f>
        <v>0</v>
      </c>
      <c r="Y331" s="205">
        <f>IFERROR('Inputs_BY IIS'!Y308*1000,0)</f>
        <v>0</v>
      </c>
      <c r="Z331" s="205">
        <f>IFERROR('Inputs_BY IIS'!Z308*1000,0)</f>
        <v>0</v>
      </c>
      <c r="AA331" s="205">
        <f>IFERROR('Inputs_BY IIS'!AA308*1000,0)</f>
        <v>0</v>
      </c>
      <c r="AB331" s="205">
        <f>IFERROR('Inputs_BY IIS'!AB308*1000,0)</f>
        <v>0</v>
      </c>
      <c r="AC331" s="205">
        <f>IFERROR('Inputs_BY IIS'!AC308*1000,0)</f>
        <v>0</v>
      </c>
      <c r="AD331" s="205">
        <f>IFERROR('Inputs_BY IIS'!AD308*1000,0)</f>
        <v>0</v>
      </c>
      <c r="AE331" s="205">
        <f>IFERROR('Inputs_BY IIS'!AE308*1000,0)</f>
        <v>0</v>
      </c>
      <c r="AF331" s="205">
        <f>IFERROR('Inputs_BY IIS'!AF308*1000,0)</f>
        <v>0</v>
      </c>
    </row>
    <row r="332" spans="1:32" x14ac:dyDescent="0.25">
      <c r="A332" s="167" t="s">
        <v>423</v>
      </c>
      <c r="B332" s="167"/>
      <c r="C332" s="167" t="s">
        <v>119</v>
      </c>
      <c r="D332" s="205" t="s">
        <v>363</v>
      </c>
      <c r="E332" s="205">
        <f>IFERROR('Inputs_BY IIS'!E309*1000,0)</f>
        <v>0</v>
      </c>
      <c r="F332" s="205">
        <f>IFERROR('Inputs_BY IIS'!F309*1000,0)</f>
        <v>0</v>
      </c>
      <c r="G332" s="205">
        <f>IFERROR('Inputs_BY IIS'!G309*1000,0)</f>
        <v>0</v>
      </c>
      <c r="H332" s="205">
        <f>IFERROR('Inputs_BY IIS'!H309*1000,0)</f>
        <v>0</v>
      </c>
      <c r="I332" s="205">
        <f>IFERROR('Inputs_BY IIS'!I309*1000,0)</f>
        <v>0</v>
      </c>
      <c r="J332" s="205">
        <f>IFERROR('Inputs_BY IIS'!J309*1000,0)</f>
        <v>0</v>
      </c>
      <c r="K332" s="205">
        <f>IFERROR('Inputs_BY IIS'!K309*1000,0)</f>
        <v>0</v>
      </c>
      <c r="L332" s="205">
        <f>IFERROR('Inputs_BY IIS'!L309*1000,0)</f>
        <v>0</v>
      </c>
      <c r="M332" s="205">
        <f>IFERROR('Inputs_BY IIS'!M309*1000,0)</f>
        <v>-26.644222208700594</v>
      </c>
      <c r="N332" s="205">
        <f>IFERROR('Inputs_BY IIS'!N309*1000,0)</f>
        <v>0</v>
      </c>
      <c r="O332" s="205">
        <f>IFERROR('Inputs_BY IIS'!O309*1000,0)</f>
        <v>0</v>
      </c>
      <c r="P332" s="205">
        <f>IFERROR('Inputs_BY IIS'!P309*1000,0)</f>
        <v>0</v>
      </c>
      <c r="Q332" s="205">
        <f>IFERROR('Inputs_BY IIS'!Q309*1000,0)</f>
        <v>0</v>
      </c>
      <c r="R332" s="205">
        <f>IFERROR('Inputs_BY IIS'!R309*1000,0)</f>
        <v>0</v>
      </c>
      <c r="S332" s="205">
        <f>IFERROR('Inputs_BY IIS'!S309*1000,0)</f>
        <v>0</v>
      </c>
      <c r="T332" s="205">
        <f>IFERROR('Inputs_BY IIS'!T309*1000,0)</f>
        <v>-1.7347234759768071E-15</v>
      </c>
      <c r="U332" s="205">
        <f>IFERROR('Inputs_BY IIS'!U309*1000,0)</f>
        <v>0</v>
      </c>
      <c r="V332" s="205">
        <f>IFERROR('Inputs_BY IIS'!V309*1000,0)</f>
        <v>0</v>
      </c>
      <c r="W332" s="205">
        <f>IFERROR('Inputs_BY IIS'!W309*1000,0)</f>
        <v>0</v>
      </c>
      <c r="X332" s="205">
        <f>IFERROR('Inputs_BY IIS'!X309*1000,0)</f>
        <v>0</v>
      </c>
      <c r="Y332" s="205">
        <f>IFERROR('Inputs_BY IIS'!Y309*1000,0)</f>
        <v>0</v>
      </c>
      <c r="Z332" s="205">
        <f>IFERROR('Inputs_BY IIS'!Z309*1000,0)</f>
        <v>0</v>
      </c>
      <c r="AA332" s="205">
        <f>IFERROR('Inputs_BY IIS'!AA309*1000,0)</f>
        <v>0</v>
      </c>
      <c r="AB332" s="205">
        <f>IFERROR('Inputs_BY IIS'!AB309*1000,0)</f>
        <v>0</v>
      </c>
      <c r="AC332" s="205">
        <f>IFERROR('Inputs_BY IIS'!AC309*1000,0)</f>
        <v>0</v>
      </c>
      <c r="AD332" s="205">
        <f>IFERROR('Inputs_BY IIS'!AD309*1000,0)</f>
        <v>0</v>
      </c>
      <c r="AE332" s="205">
        <f>IFERROR('Inputs_BY IIS'!AE309*1000,0)</f>
        <v>0</v>
      </c>
      <c r="AF332" s="205">
        <f>IFERROR('Inputs_BY IIS'!AF309*1000,0)</f>
        <v>0</v>
      </c>
    </row>
    <row r="333" spans="1:32" x14ac:dyDescent="0.25">
      <c r="A333" s="167" t="s">
        <v>423</v>
      </c>
      <c r="B333" s="167"/>
      <c r="C333" s="167" t="s">
        <v>120</v>
      </c>
      <c r="D333" s="205" t="s">
        <v>363</v>
      </c>
      <c r="E333" s="205">
        <f>IFERROR('Inputs_BY IIS'!E310*1000,0)</f>
        <v>0</v>
      </c>
      <c r="F333" s="205">
        <f>IFERROR('Inputs_BY IIS'!F310*1000,0)</f>
        <v>0</v>
      </c>
      <c r="G333" s="205">
        <f>IFERROR('Inputs_BY IIS'!G310*1000,0)</f>
        <v>0</v>
      </c>
      <c r="H333" s="205">
        <f>IFERROR('Inputs_BY IIS'!H310*1000,0)</f>
        <v>-39294.628685240023</v>
      </c>
      <c r="I333" s="205">
        <f>IFERROR('Inputs_BY IIS'!I310*1000,0)</f>
        <v>0</v>
      </c>
      <c r="J333" s="205">
        <f>IFERROR('Inputs_BY IIS'!J310*1000,0)</f>
        <v>0</v>
      </c>
      <c r="K333" s="205">
        <f>IFERROR('Inputs_BY IIS'!K310*1000,0)</f>
        <v>0</v>
      </c>
      <c r="L333" s="205">
        <f>IFERROR('Inputs_BY IIS'!L310*1000,0)</f>
        <v>0</v>
      </c>
      <c r="M333" s="205">
        <f>IFERROR('Inputs_BY IIS'!M310*1000,0)</f>
        <v>0</v>
      </c>
      <c r="N333" s="205">
        <f>IFERROR('Inputs_BY IIS'!N310*1000,0)</f>
        <v>0</v>
      </c>
      <c r="O333" s="205">
        <f>IFERROR('Inputs_BY IIS'!O310*1000,0)</f>
        <v>0</v>
      </c>
      <c r="P333" s="205">
        <f>IFERROR('Inputs_BY IIS'!P310*1000,0)</f>
        <v>0</v>
      </c>
      <c r="Q333" s="205">
        <f>IFERROR('Inputs_BY IIS'!Q310*1000,0)</f>
        <v>0</v>
      </c>
      <c r="R333" s="205">
        <f>IFERROR('Inputs_BY IIS'!R310*1000,0)</f>
        <v>0</v>
      </c>
      <c r="S333" s="205">
        <f>IFERROR('Inputs_BY IIS'!S310*1000,0)</f>
        <v>0</v>
      </c>
      <c r="T333" s="205">
        <f>IFERROR('Inputs_BY IIS'!T310*1000,0)</f>
        <v>0</v>
      </c>
      <c r="U333" s="205">
        <f>IFERROR('Inputs_BY IIS'!U310*1000,0)</f>
        <v>0</v>
      </c>
      <c r="V333" s="205">
        <f>IFERROR('Inputs_BY IIS'!V310*1000,0)</f>
        <v>0</v>
      </c>
      <c r="W333" s="205">
        <f>IFERROR('Inputs_BY IIS'!W310*1000,0)</f>
        <v>-588540.87840853166</v>
      </c>
      <c r="X333" s="205">
        <f>IFERROR('Inputs_BY IIS'!X310*1000,0)</f>
        <v>0</v>
      </c>
      <c r="Y333" s="205">
        <f>IFERROR('Inputs_BY IIS'!Y310*1000,0)</f>
        <v>0</v>
      </c>
      <c r="Z333" s="205">
        <f>IFERROR('Inputs_BY IIS'!Z310*1000,0)</f>
        <v>0</v>
      </c>
      <c r="AA333" s="205">
        <f>IFERROR('Inputs_BY IIS'!AA310*1000,0)</f>
        <v>0</v>
      </c>
      <c r="AB333" s="205">
        <f>IFERROR('Inputs_BY IIS'!AB310*1000,0)</f>
        <v>0</v>
      </c>
      <c r="AC333" s="205">
        <f>IFERROR('Inputs_BY IIS'!AC310*1000,0)</f>
        <v>0</v>
      </c>
      <c r="AD333" s="205">
        <f>IFERROR('Inputs_BY IIS'!AD310*1000,0)</f>
        <v>1.4210854715202004E-11</v>
      </c>
      <c r="AE333" s="205">
        <f>IFERROR('Inputs_BY IIS'!AE310*1000,0)</f>
        <v>0</v>
      </c>
      <c r="AF333" s="205">
        <f>IFERROR('Inputs_BY IIS'!AF310*1000,0)</f>
        <v>0</v>
      </c>
    </row>
    <row r="334" spans="1:32" x14ac:dyDescent="0.25">
      <c r="A334" s="167" t="s">
        <v>423</v>
      </c>
      <c r="B334" s="167"/>
      <c r="C334" s="167" t="s">
        <v>122</v>
      </c>
      <c r="D334" s="205" t="s">
        <v>363</v>
      </c>
      <c r="E334" s="205">
        <f>IFERROR('Inputs_BY IIS'!E311*1000,0)</f>
        <v>0</v>
      </c>
      <c r="F334" s="205">
        <f>IFERROR('Inputs_BY IIS'!F311*1000,0)</f>
        <v>0</v>
      </c>
      <c r="G334" s="205">
        <f>IFERROR('Inputs_BY IIS'!G311*1000,0)</f>
        <v>0</v>
      </c>
      <c r="H334" s="205">
        <f>IFERROR('Inputs_BY IIS'!H311*1000,0)</f>
        <v>-9163.783606492183</v>
      </c>
      <c r="I334" s="205">
        <f>IFERROR('Inputs_BY IIS'!I311*1000,0)</f>
        <v>0</v>
      </c>
      <c r="J334" s="205">
        <f>IFERROR('Inputs_BY IIS'!J311*1000,0)</f>
        <v>0</v>
      </c>
      <c r="K334" s="205">
        <f>IFERROR('Inputs_BY IIS'!K311*1000,0)</f>
        <v>0</v>
      </c>
      <c r="L334" s="205">
        <f>IFERROR('Inputs_BY IIS'!L311*1000,0)</f>
        <v>0</v>
      </c>
      <c r="M334" s="205">
        <f>IFERROR('Inputs_BY IIS'!M311*1000,0)</f>
        <v>0</v>
      </c>
      <c r="N334" s="205">
        <f>IFERROR('Inputs_BY IIS'!N311*1000,0)</f>
        <v>-3.5527136788005009E-12</v>
      </c>
      <c r="O334" s="205">
        <f>IFERROR('Inputs_BY IIS'!O311*1000,0)</f>
        <v>0</v>
      </c>
      <c r="P334" s="205">
        <f>IFERROR('Inputs_BY IIS'!P311*1000,0)</f>
        <v>0</v>
      </c>
      <c r="Q334" s="205">
        <f>IFERROR('Inputs_BY IIS'!Q311*1000,0)</f>
        <v>0</v>
      </c>
      <c r="R334" s="205">
        <f>IFERROR('Inputs_BY IIS'!R311*1000,0)</f>
        <v>0</v>
      </c>
      <c r="S334" s="205">
        <f>IFERROR('Inputs_BY IIS'!S311*1000,0)</f>
        <v>0</v>
      </c>
      <c r="T334" s="205">
        <f>IFERROR('Inputs_BY IIS'!T311*1000,0)</f>
        <v>0</v>
      </c>
      <c r="U334" s="205">
        <f>IFERROR('Inputs_BY IIS'!U311*1000,0)</f>
        <v>0</v>
      </c>
      <c r="V334" s="205">
        <f>IFERROR('Inputs_BY IIS'!V311*1000,0)</f>
        <v>0</v>
      </c>
      <c r="W334" s="205">
        <f>IFERROR('Inputs_BY IIS'!W311*1000,0)</f>
        <v>0</v>
      </c>
      <c r="X334" s="205">
        <f>IFERROR('Inputs_BY IIS'!X311*1000,0)</f>
        <v>0</v>
      </c>
      <c r="Y334" s="205">
        <f>IFERROR('Inputs_BY IIS'!Y311*1000,0)</f>
        <v>0</v>
      </c>
      <c r="Z334" s="205">
        <f>IFERROR('Inputs_BY IIS'!Z311*1000,0)</f>
        <v>0</v>
      </c>
      <c r="AA334" s="205">
        <f>IFERROR('Inputs_BY IIS'!AA311*1000,0)</f>
        <v>0</v>
      </c>
      <c r="AB334" s="205">
        <f>IFERROR('Inputs_BY IIS'!AB311*1000,0)</f>
        <v>0</v>
      </c>
      <c r="AC334" s="205">
        <f>IFERROR('Inputs_BY IIS'!AC311*1000,0)</f>
        <v>0</v>
      </c>
      <c r="AD334" s="205">
        <f>IFERROR('Inputs_BY IIS'!AD311*1000,0)</f>
        <v>0</v>
      </c>
      <c r="AE334" s="205">
        <f>IFERROR('Inputs_BY IIS'!AE311*1000,0)</f>
        <v>0</v>
      </c>
      <c r="AF334" s="205">
        <f>IFERROR('Inputs_BY IIS'!AF311*1000,0)</f>
        <v>0</v>
      </c>
    </row>
    <row r="335" spans="1:32" x14ac:dyDescent="0.25">
      <c r="A335" s="167" t="s">
        <v>423</v>
      </c>
      <c r="B335" s="167"/>
      <c r="C335" s="167" t="s">
        <v>124</v>
      </c>
      <c r="D335" s="205" t="s">
        <v>363</v>
      </c>
      <c r="E335" s="205">
        <f>IFERROR('Inputs_BY IIS'!E312*1000,0)</f>
        <v>0</v>
      </c>
      <c r="F335" s="205">
        <f>IFERROR('Inputs_BY IIS'!F312*1000,0)</f>
        <v>0</v>
      </c>
      <c r="G335" s="205">
        <f>IFERROR('Inputs_BY IIS'!G312*1000,0)</f>
        <v>0</v>
      </c>
      <c r="H335" s="205">
        <f>IFERROR('Inputs_BY IIS'!H312*1000,0)</f>
        <v>0</v>
      </c>
      <c r="I335" s="205">
        <f>IFERROR('Inputs_BY IIS'!I312*1000,0)</f>
        <v>0</v>
      </c>
      <c r="J335" s="205">
        <f>IFERROR('Inputs_BY IIS'!J312*1000,0)</f>
        <v>0</v>
      </c>
      <c r="K335" s="205">
        <f>IFERROR('Inputs_BY IIS'!K312*1000,0)</f>
        <v>-2.7755575615628914E-14</v>
      </c>
      <c r="L335" s="205">
        <f>IFERROR('Inputs_BY IIS'!L312*1000,0)</f>
        <v>0</v>
      </c>
      <c r="M335" s="205">
        <f>IFERROR('Inputs_BY IIS'!M312*1000,0)</f>
        <v>-18900.162753422421</v>
      </c>
      <c r="N335" s="205">
        <f>IFERROR('Inputs_BY IIS'!N312*1000,0)</f>
        <v>0</v>
      </c>
      <c r="O335" s="205">
        <f>IFERROR('Inputs_BY IIS'!O312*1000,0)</f>
        <v>0</v>
      </c>
      <c r="P335" s="205">
        <f>IFERROR('Inputs_BY IIS'!P312*1000,0)</f>
        <v>0</v>
      </c>
      <c r="Q335" s="205">
        <f>IFERROR('Inputs_BY IIS'!Q312*1000,0)</f>
        <v>-7.1054273576010019E-12</v>
      </c>
      <c r="R335" s="205">
        <f>IFERROR('Inputs_BY IIS'!R312*1000,0)</f>
        <v>1.7763568394002505E-12</v>
      </c>
      <c r="S335" s="205">
        <f>IFERROR('Inputs_BY IIS'!S312*1000,0)</f>
        <v>0</v>
      </c>
      <c r="T335" s="205">
        <f>IFERROR('Inputs_BY IIS'!T312*1000,0)</f>
        <v>0</v>
      </c>
      <c r="U335" s="205">
        <f>IFERROR('Inputs_BY IIS'!U312*1000,0)</f>
        <v>0</v>
      </c>
      <c r="V335" s="205">
        <f>IFERROR('Inputs_BY IIS'!V312*1000,0)</f>
        <v>-27838.157869711751</v>
      </c>
      <c r="W335" s="205">
        <f>IFERROR('Inputs_BY IIS'!W312*1000,0)</f>
        <v>0</v>
      </c>
      <c r="X335" s="205">
        <f>IFERROR('Inputs_BY IIS'!X312*1000,0)</f>
        <v>0</v>
      </c>
      <c r="Y335" s="205">
        <f>IFERROR('Inputs_BY IIS'!Y312*1000,0)</f>
        <v>0</v>
      </c>
      <c r="Z335" s="205">
        <f>IFERROR('Inputs_BY IIS'!Z312*1000,0)</f>
        <v>0</v>
      </c>
      <c r="AA335" s="205">
        <f>IFERROR('Inputs_BY IIS'!AA312*1000,0)</f>
        <v>0</v>
      </c>
      <c r="AB335" s="205">
        <f>IFERROR('Inputs_BY IIS'!AB312*1000,0)</f>
        <v>0</v>
      </c>
      <c r="AC335" s="205">
        <f>IFERROR('Inputs_BY IIS'!AC312*1000,0)</f>
        <v>0</v>
      </c>
      <c r="AD335" s="205">
        <f>IFERROR('Inputs_BY IIS'!AD312*1000,0)</f>
        <v>0</v>
      </c>
      <c r="AE335" s="205">
        <f>IFERROR('Inputs_BY IIS'!AE312*1000,0)</f>
        <v>0</v>
      </c>
      <c r="AF335" s="205">
        <f>IFERROR('Inputs_BY IIS'!AF312*1000,0)</f>
        <v>0</v>
      </c>
    </row>
    <row r="336" spans="1:32" x14ac:dyDescent="0.25">
      <c r="A336" s="167" t="s">
        <v>423</v>
      </c>
      <c r="B336" s="167"/>
      <c r="C336" s="167" t="s">
        <v>126</v>
      </c>
      <c r="D336" s="205" t="s">
        <v>363</v>
      </c>
      <c r="E336" s="205">
        <f>IFERROR('Inputs_BY IIS'!E313*1000,0)</f>
        <v>-5794.3597695549124</v>
      </c>
      <c r="F336" s="205">
        <f>IFERROR('Inputs_BY IIS'!F313*1000,0)</f>
        <v>4905.6338757906751</v>
      </c>
      <c r="G336" s="205">
        <f>IFERROR('Inputs_BY IIS'!G313*1000,0)</f>
        <v>-868.79574651040321</v>
      </c>
      <c r="H336" s="205">
        <f>IFERROR('Inputs_BY IIS'!H313*1000,0)</f>
        <v>-1.4210854715202004E-11</v>
      </c>
      <c r="I336" s="205">
        <f>IFERROR('Inputs_BY IIS'!I313*1000,0)</f>
        <v>0</v>
      </c>
      <c r="J336" s="205">
        <f>IFERROR('Inputs_BY IIS'!J313*1000,0)</f>
        <v>-33135.763352966846</v>
      </c>
      <c r="K336" s="205">
        <f>IFERROR('Inputs_BY IIS'!K313*1000,0)</f>
        <v>-9473.2570949968631</v>
      </c>
      <c r="L336" s="205">
        <f>IFERROR('Inputs_BY IIS'!L313*1000,0)</f>
        <v>7153.3799980671647</v>
      </c>
      <c r="M336" s="205">
        <f>IFERROR('Inputs_BY IIS'!M313*1000,0)</f>
        <v>0</v>
      </c>
      <c r="N336" s="205">
        <f>IFERROR('Inputs_BY IIS'!N313*1000,0)</f>
        <v>0</v>
      </c>
      <c r="O336" s="205">
        <f>IFERROR('Inputs_BY IIS'!O313*1000,0)</f>
        <v>0</v>
      </c>
      <c r="P336" s="205">
        <f>IFERROR('Inputs_BY IIS'!P313*1000,0)</f>
        <v>4.5474735088646412E-10</v>
      </c>
      <c r="Q336" s="205">
        <f>IFERROR('Inputs_BY IIS'!Q313*1000,0)</f>
        <v>0</v>
      </c>
      <c r="R336" s="205">
        <f>IFERROR('Inputs_BY IIS'!R313*1000,0)</f>
        <v>-7.1054273576010019E-12</v>
      </c>
      <c r="S336" s="205">
        <f>IFERROR('Inputs_BY IIS'!S313*1000,0)</f>
        <v>0</v>
      </c>
      <c r="T336" s="205">
        <f>IFERROR('Inputs_BY IIS'!T313*1000,0)</f>
        <v>0</v>
      </c>
      <c r="U336" s="205">
        <f>IFERROR('Inputs_BY IIS'!U313*1000,0)</f>
        <v>2.8421709430404007E-11</v>
      </c>
      <c r="V336" s="205">
        <f>IFERROR('Inputs_BY IIS'!V313*1000,0)</f>
        <v>0</v>
      </c>
      <c r="W336" s="205">
        <f>IFERROR('Inputs_BY IIS'!W313*1000,0)</f>
        <v>124895.74095788816</v>
      </c>
      <c r="X336" s="205">
        <f>IFERROR('Inputs_BY IIS'!X313*1000,0)</f>
        <v>0</v>
      </c>
      <c r="Y336" s="205">
        <f>IFERROR('Inputs_BY IIS'!Y313*1000,0)</f>
        <v>802.77784713817903</v>
      </c>
      <c r="Z336" s="205">
        <f>IFERROR('Inputs_BY IIS'!Z313*1000,0)</f>
        <v>0</v>
      </c>
      <c r="AA336" s="205">
        <f>IFERROR('Inputs_BY IIS'!AA313*1000,0)</f>
        <v>12495.112930704394</v>
      </c>
      <c r="AB336" s="205">
        <f>IFERROR('Inputs_BY IIS'!AB313*1000,0)</f>
        <v>7912.9075246432985</v>
      </c>
      <c r="AC336" s="205">
        <f>IFERROR('Inputs_BY IIS'!AC313*1000,0)</f>
        <v>231.2804608901759</v>
      </c>
      <c r="AD336" s="205">
        <f>IFERROR('Inputs_BY IIS'!AD313*1000,0)</f>
        <v>0</v>
      </c>
      <c r="AE336" s="205">
        <f>IFERROR('Inputs_BY IIS'!AE313*1000,0)</f>
        <v>2.8421709430404007E-11</v>
      </c>
      <c r="AF336" s="205">
        <f>IFERROR('Inputs_BY IIS'!AF313*1000,0)</f>
        <v>0</v>
      </c>
    </row>
    <row r="337" spans="1:32" x14ac:dyDescent="0.25">
      <c r="A337" s="167" t="s">
        <v>423</v>
      </c>
      <c r="B337" s="167"/>
      <c r="C337" s="167" t="s">
        <v>128</v>
      </c>
      <c r="D337" s="205" t="s">
        <v>363</v>
      </c>
      <c r="E337" s="205">
        <f>IFERROR('Inputs_BY IIS'!E314*1000,0)</f>
        <v>82.758268049922265</v>
      </c>
      <c r="F337" s="205">
        <f>IFERROR('Inputs_BY IIS'!F314*1000,0)</f>
        <v>-64385.194336618129</v>
      </c>
      <c r="G337" s="205">
        <f>IFERROR('Inputs_BY IIS'!G314*1000,0)</f>
        <v>91.034094854914329</v>
      </c>
      <c r="H337" s="205">
        <f>IFERROR('Inputs_BY IIS'!H314*1000,0)</f>
        <v>0</v>
      </c>
      <c r="I337" s="205">
        <f>IFERROR('Inputs_BY IIS'!I314*1000,0)</f>
        <v>0</v>
      </c>
      <c r="J337" s="205">
        <f>IFERROR('Inputs_BY IIS'!J314*1000,0)</f>
        <v>0</v>
      </c>
      <c r="K337" s="205">
        <f>IFERROR('Inputs_BY IIS'!K314*1000,0)</f>
        <v>0</v>
      </c>
      <c r="L337" s="205">
        <f>IFERROR('Inputs_BY IIS'!L314*1000,0)</f>
        <v>4390.9593047345079</v>
      </c>
      <c r="M337" s="205">
        <f>IFERROR('Inputs_BY IIS'!M314*1000,0)</f>
        <v>0</v>
      </c>
      <c r="N337" s="205">
        <f>IFERROR('Inputs_BY IIS'!N314*1000,0)</f>
        <v>0</v>
      </c>
      <c r="O337" s="205">
        <f>IFERROR('Inputs_BY IIS'!O314*1000,0)</f>
        <v>0</v>
      </c>
      <c r="P337" s="205">
        <f>IFERROR('Inputs_BY IIS'!P314*1000,0)</f>
        <v>-5.6843418860808015E-11</v>
      </c>
      <c r="Q337" s="205">
        <f>IFERROR('Inputs_BY IIS'!Q314*1000,0)</f>
        <v>0</v>
      </c>
      <c r="R337" s="205">
        <f>IFERROR('Inputs_BY IIS'!R314*1000,0)</f>
        <v>0</v>
      </c>
      <c r="S337" s="205">
        <f>IFERROR('Inputs_BY IIS'!S314*1000,0)</f>
        <v>0</v>
      </c>
      <c r="T337" s="205">
        <f>IFERROR('Inputs_BY IIS'!T314*1000,0)</f>
        <v>0</v>
      </c>
      <c r="U337" s="205">
        <f>IFERROR('Inputs_BY IIS'!U314*1000,0)</f>
        <v>2.8421709430404007E-11</v>
      </c>
      <c r="V337" s="205">
        <f>IFERROR('Inputs_BY IIS'!V314*1000,0)</f>
        <v>-1.4210854715202004E-11</v>
      </c>
      <c r="W337" s="205">
        <f>IFERROR('Inputs_BY IIS'!W314*1000,0)</f>
        <v>1602.3873244756574</v>
      </c>
      <c r="X337" s="205">
        <f>IFERROR('Inputs_BY IIS'!X314*1000,0)</f>
        <v>0</v>
      </c>
      <c r="Y337" s="205">
        <f>IFERROR('Inputs_BY IIS'!Y314*1000,0)</f>
        <v>0</v>
      </c>
      <c r="Z337" s="205">
        <f>IFERROR('Inputs_BY IIS'!Z314*1000,0)</f>
        <v>1.4210854715202004E-11</v>
      </c>
      <c r="AA337" s="205">
        <f>IFERROR('Inputs_BY IIS'!AA314*1000,0)</f>
        <v>87465.423136740021</v>
      </c>
      <c r="AB337" s="205">
        <f>IFERROR('Inputs_BY IIS'!AB314*1000,0)</f>
        <v>-85703.52387605932</v>
      </c>
      <c r="AC337" s="205">
        <f>IFERROR('Inputs_BY IIS'!AC314*1000,0)</f>
        <v>-10496.483463900156</v>
      </c>
      <c r="AD337" s="205">
        <f>IFERROR('Inputs_BY IIS'!AD314*1000,0)</f>
        <v>0</v>
      </c>
      <c r="AE337" s="205">
        <f>IFERROR('Inputs_BY IIS'!AE314*1000,0)</f>
        <v>0</v>
      </c>
      <c r="AF337" s="205">
        <f>IFERROR('Inputs_BY IIS'!AF314*1000,0)</f>
        <v>-5856.8309519230861</v>
      </c>
    </row>
    <row r="338" spans="1:32" x14ac:dyDescent="0.25">
      <c r="A338" s="167" t="s">
        <v>423</v>
      </c>
      <c r="B338" s="167"/>
      <c r="C338" s="167" t="s">
        <v>130</v>
      </c>
      <c r="D338" s="205" t="s">
        <v>363</v>
      </c>
      <c r="E338" s="205">
        <f>IFERROR('Inputs_BY IIS'!E315*1000,0)</f>
        <v>0</v>
      </c>
      <c r="F338" s="205">
        <f>IFERROR('Inputs_BY IIS'!F315*1000,0)</f>
        <v>0</v>
      </c>
      <c r="G338" s="205">
        <f>IFERROR('Inputs_BY IIS'!G315*1000,0)</f>
        <v>0</v>
      </c>
      <c r="H338" s="205">
        <f>IFERROR('Inputs_BY IIS'!H315*1000,0)</f>
        <v>0</v>
      </c>
      <c r="I338" s="205">
        <f>IFERROR('Inputs_BY IIS'!I315*1000,0)</f>
        <v>0</v>
      </c>
      <c r="J338" s="205">
        <f>IFERROR('Inputs_BY IIS'!J315*1000,0)</f>
        <v>-18820.580808470568</v>
      </c>
      <c r="K338" s="205">
        <f>IFERROR('Inputs_BY IIS'!K315*1000,0)</f>
        <v>0</v>
      </c>
      <c r="L338" s="205">
        <f>IFERROR('Inputs_BY IIS'!L315*1000,0)</f>
        <v>0</v>
      </c>
      <c r="M338" s="205">
        <f>IFERROR('Inputs_BY IIS'!M315*1000,0)</f>
        <v>0</v>
      </c>
      <c r="N338" s="205">
        <f>IFERROR('Inputs_BY IIS'!N315*1000,0)</f>
        <v>0</v>
      </c>
      <c r="O338" s="205">
        <f>IFERROR('Inputs_BY IIS'!O315*1000,0)</f>
        <v>0</v>
      </c>
      <c r="P338" s="205">
        <f>IFERROR('Inputs_BY IIS'!P315*1000,0)</f>
        <v>0</v>
      </c>
      <c r="Q338" s="205">
        <f>IFERROR('Inputs_BY IIS'!Q315*1000,0)</f>
        <v>7.1054273576010019E-12</v>
      </c>
      <c r="R338" s="205">
        <f>IFERROR('Inputs_BY IIS'!R315*1000,0)</f>
        <v>-8.6736173798840355E-16</v>
      </c>
      <c r="S338" s="205">
        <f>IFERROR('Inputs_BY IIS'!S315*1000,0)</f>
        <v>0</v>
      </c>
      <c r="T338" s="205">
        <f>IFERROR('Inputs_BY IIS'!T315*1000,0)</f>
        <v>0</v>
      </c>
      <c r="U338" s="205">
        <f>IFERROR('Inputs_BY IIS'!U315*1000,0)</f>
        <v>0</v>
      </c>
      <c r="V338" s="205">
        <f>IFERROR('Inputs_BY IIS'!V315*1000,0)</f>
        <v>0</v>
      </c>
      <c r="W338" s="205">
        <f>IFERROR('Inputs_BY IIS'!W315*1000,0)</f>
        <v>0</v>
      </c>
      <c r="X338" s="205">
        <f>IFERROR('Inputs_BY IIS'!X315*1000,0)</f>
        <v>0</v>
      </c>
      <c r="Y338" s="205">
        <f>IFERROR('Inputs_BY IIS'!Y315*1000,0)</f>
        <v>0</v>
      </c>
      <c r="Z338" s="205">
        <f>IFERROR('Inputs_BY IIS'!Z315*1000,0)</f>
        <v>0</v>
      </c>
      <c r="AA338" s="205">
        <f>IFERROR('Inputs_BY IIS'!AA315*1000,0)</f>
        <v>0</v>
      </c>
      <c r="AB338" s="205">
        <f>IFERROR('Inputs_BY IIS'!AB315*1000,0)</f>
        <v>0</v>
      </c>
      <c r="AC338" s="205">
        <f>IFERROR('Inputs_BY IIS'!AC315*1000,0)</f>
        <v>0</v>
      </c>
      <c r="AD338" s="205">
        <f>IFERROR('Inputs_BY IIS'!AD315*1000,0)</f>
        <v>2.8421709430404007E-11</v>
      </c>
      <c r="AE338" s="205">
        <f>IFERROR('Inputs_BY IIS'!AE315*1000,0)</f>
        <v>0</v>
      </c>
      <c r="AF338" s="205">
        <f>IFERROR('Inputs_BY IIS'!AF315*1000,0)</f>
        <v>0</v>
      </c>
    </row>
    <row r="339" spans="1:32" x14ac:dyDescent="0.25">
      <c r="A339" s="167" t="s">
        <v>423</v>
      </c>
      <c r="B339" s="167"/>
      <c r="C339" s="167" t="s">
        <v>132</v>
      </c>
      <c r="D339" s="205" t="s">
        <v>363</v>
      </c>
      <c r="E339" s="205">
        <f>IFERROR('Inputs_BY IIS'!E316*1000,0)</f>
        <v>0</v>
      </c>
      <c r="F339" s="205">
        <f>IFERROR('Inputs_BY IIS'!F316*1000,0)</f>
        <v>0</v>
      </c>
      <c r="G339" s="205">
        <f>IFERROR('Inputs_BY IIS'!G316*1000,0)</f>
        <v>0</v>
      </c>
      <c r="H339" s="205">
        <f>IFERROR('Inputs_BY IIS'!H316*1000,0)</f>
        <v>0</v>
      </c>
      <c r="I339" s="205">
        <f>IFERROR('Inputs_BY IIS'!I316*1000,0)</f>
        <v>0</v>
      </c>
      <c r="J339" s="205">
        <f>IFERROR('Inputs_BY IIS'!J316*1000,0)</f>
        <v>-2563.2284490371608</v>
      </c>
      <c r="K339" s="205">
        <f>IFERROR('Inputs_BY IIS'!K316*1000,0)</f>
        <v>-4389.3335225638593</v>
      </c>
      <c r="L339" s="205">
        <f>IFERROR('Inputs_BY IIS'!L316*1000,0)</f>
        <v>0</v>
      </c>
      <c r="M339" s="205">
        <f>IFERROR('Inputs_BY IIS'!M316*1000,0)</f>
        <v>0</v>
      </c>
      <c r="N339" s="205">
        <f>IFERROR('Inputs_BY IIS'!N316*1000,0)</f>
        <v>0</v>
      </c>
      <c r="O339" s="205">
        <f>IFERROR('Inputs_BY IIS'!O316*1000,0)</f>
        <v>1.3877787807814457E-14</v>
      </c>
      <c r="P339" s="205">
        <f>IFERROR('Inputs_BY IIS'!P316*1000,0)</f>
        <v>0</v>
      </c>
      <c r="Q339" s="205">
        <f>IFERROR('Inputs_BY IIS'!Q316*1000,0)</f>
        <v>0</v>
      </c>
      <c r="R339" s="205">
        <f>IFERROR('Inputs_BY IIS'!R316*1000,0)</f>
        <v>0</v>
      </c>
      <c r="S339" s="205">
        <f>IFERROR('Inputs_BY IIS'!S316*1000,0)</f>
        <v>0</v>
      </c>
      <c r="T339" s="205">
        <f>IFERROR('Inputs_BY IIS'!T316*1000,0)</f>
        <v>0</v>
      </c>
      <c r="U339" s="205">
        <f>IFERROR('Inputs_BY IIS'!U316*1000,0)</f>
        <v>0</v>
      </c>
      <c r="V339" s="205">
        <f>IFERROR('Inputs_BY IIS'!V316*1000,0)</f>
        <v>0</v>
      </c>
      <c r="W339" s="205">
        <f>IFERROR('Inputs_BY IIS'!W316*1000,0)</f>
        <v>0</v>
      </c>
      <c r="X339" s="205">
        <f>IFERROR('Inputs_BY IIS'!X316*1000,0)</f>
        <v>-1.7763568394002505E-12</v>
      </c>
      <c r="Y339" s="205">
        <f>IFERROR('Inputs_BY IIS'!Y316*1000,0)</f>
        <v>0</v>
      </c>
      <c r="Z339" s="205">
        <f>IFERROR('Inputs_BY IIS'!Z316*1000,0)</f>
        <v>0</v>
      </c>
      <c r="AA339" s="205">
        <f>IFERROR('Inputs_BY IIS'!AA316*1000,0)</f>
        <v>0</v>
      </c>
      <c r="AB339" s="205">
        <f>IFERROR('Inputs_BY IIS'!AB316*1000,0)</f>
        <v>0</v>
      </c>
      <c r="AC339" s="205">
        <f>IFERROR('Inputs_BY IIS'!AC316*1000,0)</f>
        <v>0</v>
      </c>
      <c r="AD339" s="205">
        <f>IFERROR('Inputs_BY IIS'!AD316*1000,0)</f>
        <v>0</v>
      </c>
      <c r="AE339" s="205">
        <f>IFERROR('Inputs_BY IIS'!AE316*1000,0)</f>
        <v>0</v>
      </c>
      <c r="AF339" s="205">
        <f>IFERROR('Inputs_BY IIS'!AF316*1000,0)</f>
        <v>0</v>
      </c>
    </row>
    <row r="340" spans="1:32" x14ac:dyDescent="0.25">
      <c r="A340" s="167" t="s">
        <v>423</v>
      </c>
      <c r="B340" s="167"/>
      <c r="C340" s="167" t="s">
        <v>134</v>
      </c>
      <c r="D340" s="205" t="s">
        <v>363</v>
      </c>
      <c r="E340" s="205">
        <f>IFERROR('Inputs_BY IIS'!E317*1000,0)</f>
        <v>0</v>
      </c>
      <c r="F340" s="205">
        <f>IFERROR('Inputs_BY IIS'!F317*1000,0)</f>
        <v>-269.69230160415236</v>
      </c>
      <c r="G340" s="205">
        <f>IFERROR('Inputs_BY IIS'!G317*1000,0)</f>
        <v>0</v>
      </c>
      <c r="H340" s="205">
        <f>IFERROR('Inputs_BY IIS'!H317*1000,0)</f>
        <v>0</v>
      </c>
      <c r="I340" s="205">
        <f>IFERROR('Inputs_BY IIS'!I317*1000,0)</f>
        <v>0</v>
      </c>
      <c r="J340" s="205">
        <f>IFERROR('Inputs_BY IIS'!J317*1000,0)</f>
        <v>-9755.1139122903242</v>
      </c>
      <c r="K340" s="205">
        <f>IFERROR('Inputs_BY IIS'!K317*1000,0)</f>
        <v>-9663.8007402578169</v>
      </c>
      <c r="L340" s="205">
        <f>IFERROR('Inputs_BY IIS'!L317*1000,0)</f>
        <v>0</v>
      </c>
      <c r="M340" s="205">
        <f>IFERROR('Inputs_BY IIS'!M317*1000,0)</f>
        <v>0</v>
      </c>
      <c r="N340" s="205">
        <f>IFERROR('Inputs_BY IIS'!N317*1000,0)</f>
        <v>0</v>
      </c>
      <c r="O340" s="205">
        <f>IFERROR('Inputs_BY IIS'!O317*1000,0)</f>
        <v>0</v>
      </c>
      <c r="P340" s="205">
        <f>IFERROR('Inputs_BY IIS'!P317*1000,0)</f>
        <v>0</v>
      </c>
      <c r="Q340" s="205">
        <f>IFERROR('Inputs_BY IIS'!Q317*1000,0)</f>
        <v>0</v>
      </c>
      <c r="R340" s="205">
        <f>IFERROR('Inputs_BY IIS'!R317*1000,0)</f>
        <v>1.1102230246251565E-13</v>
      </c>
      <c r="S340" s="205">
        <f>IFERROR('Inputs_BY IIS'!S317*1000,0)</f>
        <v>0</v>
      </c>
      <c r="T340" s="205">
        <f>IFERROR('Inputs_BY IIS'!T317*1000,0)</f>
        <v>0</v>
      </c>
      <c r="U340" s="205">
        <f>IFERROR('Inputs_BY IIS'!U317*1000,0)</f>
        <v>-4.4408920985006262E-13</v>
      </c>
      <c r="V340" s="205">
        <f>IFERROR('Inputs_BY IIS'!V317*1000,0)</f>
        <v>0</v>
      </c>
      <c r="W340" s="205">
        <f>IFERROR('Inputs_BY IIS'!W317*1000,0)</f>
        <v>0</v>
      </c>
      <c r="X340" s="205">
        <f>IFERROR('Inputs_BY IIS'!X317*1000,0)</f>
        <v>0</v>
      </c>
      <c r="Y340" s="205">
        <f>IFERROR('Inputs_BY IIS'!Y317*1000,0)</f>
        <v>0</v>
      </c>
      <c r="Z340" s="205">
        <f>IFERROR('Inputs_BY IIS'!Z317*1000,0)</f>
        <v>0</v>
      </c>
      <c r="AA340" s="205">
        <f>IFERROR('Inputs_BY IIS'!AA317*1000,0)</f>
        <v>0</v>
      </c>
      <c r="AB340" s="205">
        <f>IFERROR('Inputs_BY IIS'!AB317*1000,0)</f>
        <v>4.4408920985006262E-13</v>
      </c>
      <c r="AC340" s="205">
        <f>IFERROR('Inputs_BY IIS'!AC317*1000,0)</f>
        <v>0</v>
      </c>
      <c r="AD340" s="205">
        <f>IFERROR('Inputs_BY IIS'!AD317*1000,0)</f>
        <v>0</v>
      </c>
      <c r="AE340" s="205">
        <f>IFERROR('Inputs_BY IIS'!AE317*1000,0)</f>
        <v>0</v>
      </c>
      <c r="AF340" s="205">
        <f>IFERROR('Inputs_BY IIS'!AF317*1000,0)</f>
        <v>0</v>
      </c>
    </row>
    <row r="341" spans="1:32" x14ac:dyDescent="0.25">
      <c r="A341" s="167" t="s">
        <v>423</v>
      </c>
      <c r="B341" s="167"/>
      <c r="C341" s="167" t="s">
        <v>1701</v>
      </c>
      <c r="D341" s="205" t="s">
        <v>363</v>
      </c>
      <c r="E341" s="205">
        <f>IFERROR('Inputs_BY IIS'!E318*1000,0)</f>
        <v>0</v>
      </c>
      <c r="F341" s="205">
        <f>IFERROR('Inputs_BY IIS'!F318*1000,0)</f>
        <v>0</v>
      </c>
      <c r="G341" s="205">
        <f>IFERROR('Inputs_BY IIS'!G318*1000,0)</f>
        <v>0</v>
      </c>
      <c r="H341" s="205">
        <f>IFERROR('Inputs_BY IIS'!H318*1000,0)</f>
        <v>0</v>
      </c>
      <c r="I341" s="205">
        <f>IFERROR('Inputs_BY IIS'!I318*1000,0)</f>
        <v>0</v>
      </c>
      <c r="J341" s="205">
        <f>IFERROR('Inputs_BY IIS'!J318*1000,0)</f>
        <v>0</v>
      </c>
      <c r="K341" s="205">
        <f>IFERROR('Inputs_BY IIS'!K318*1000,0)</f>
        <v>0</v>
      </c>
      <c r="L341" s="205">
        <f>IFERROR('Inputs_BY IIS'!L318*1000,0)</f>
        <v>0</v>
      </c>
      <c r="M341" s="205">
        <f>IFERROR('Inputs_BY IIS'!M318*1000,0)</f>
        <v>0</v>
      </c>
      <c r="N341" s="205">
        <f>IFERROR('Inputs_BY IIS'!N318*1000,0)</f>
        <v>0</v>
      </c>
      <c r="O341" s="205">
        <f>IFERROR('Inputs_BY IIS'!O318*1000,0)</f>
        <v>0</v>
      </c>
      <c r="P341" s="205">
        <f>IFERROR('Inputs_BY IIS'!P318*1000,0)</f>
        <v>0</v>
      </c>
      <c r="Q341" s="205">
        <f>IFERROR('Inputs_BY IIS'!Q318*1000,0)</f>
        <v>0</v>
      </c>
      <c r="R341" s="205">
        <f>IFERROR('Inputs_BY IIS'!R318*1000,0)</f>
        <v>0</v>
      </c>
      <c r="S341" s="205">
        <f>IFERROR('Inputs_BY IIS'!S318*1000,0)</f>
        <v>0</v>
      </c>
      <c r="T341" s="205">
        <f>IFERROR('Inputs_BY IIS'!T318*1000,0)</f>
        <v>0</v>
      </c>
      <c r="U341" s="205">
        <f>IFERROR('Inputs_BY IIS'!U318*1000,0)</f>
        <v>0</v>
      </c>
      <c r="V341" s="205">
        <f>IFERROR('Inputs_BY IIS'!V318*1000,0)</f>
        <v>0</v>
      </c>
      <c r="W341" s="205">
        <f>IFERROR('Inputs_BY IIS'!W318*1000,0)</f>
        <v>0</v>
      </c>
      <c r="X341" s="205">
        <f>IFERROR('Inputs_BY IIS'!X318*1000,0)</f>
        <v>0</v>
      </c>
      <c r="Y341" s="205">
        <f>IFERROR('Inputs_BY IIS'!Y318*1000,0)</f>
        <v>0</v>
      </c>
      <c r="Z341" s="205">
        <f>IFERROR('Inputs_BY IIS'!Z318*1000,0)</f>
        <v>0</v>
      </c>
      <c r="AA341" s="205">
        <f>IFERROR('Inputs_BY IIS'!AA318*1000,0)</f>
        <v>0</v>
      </c>
      <c r="AB341" s="205">
        <f>IFERROR('Inputs_BY IIS'!AB318*1000,0)</f>
        <v>0</v>
      </c>
      <c r="AC341" s="205">
        <f>IFERROR('Inputs_BY IIS'!AC318*1000,0)</f>
        <v>0</v>
      </c>
      <c r="AD341" s="205">
        <f>IFERROR('Inputs_BY IIS'!AD318*1000,0)</f>
        <v>0</v>
      </c>
      <c r="AE341" s="205">
        <f>IFERROR('Inputs_BY IIS'!AE318*1000,0)</f>
        <v>0</v>
      </c>
      <c r="AF341" s="205">
        <f>IFERROR('Inputs_BY IIS'!AF318*1000,0)</f>
        <v>0</v>
      </c>
    </row>
    <row r="342" spans="1:32" x14ac:dyDescent="0.25">
      <c r="A342" s="167" t="s">
        <v>423</v>
      </c>
      <c r="B342" s="167"/>
      <c r="C342" s="167" t="s">
        <v>137</v>
      </c>
      <c r="D342" s="205" t="s">
        <v>363</v>
      </c>
      <c r="E342" s="205">
        <f>IFERROR('Inputs_BY IIS'!E319*1000,0)</f>
        <v>0</v>
      </c>
      <c r="F342" s="205">
        <f>IFERROR('Inputs_BY IIS'!F319*1000,0)</f>
        <v>0</v>
      </c>
      <c r="G342" s="205">
        <f>IFERROR('Inputs_BY IIS'!G319*1000,0)</f>
        <v>0</v>
      </c>
      <c r="H342" s="205">
        <f>IFERROR('Inputs_BY IIS'!H319*1000,0)</f>
        <v>0</v>
      </c>
      <c r="I342" s="205">
        <f>IFERROR('Inputs_BY IIS'!I319*1000,0)</f>
        <v>0</v>
      </c>
      <c r="J342" s="205">
        <f>IFERROR('Inputs_BY IIS'!J319*1000,0)</f>
        <v>0</v>
      </c>
      <c r="K342" s="205">
        <f>IFERROR('Inputs_BY IIS'!K319*1000,0)</f>
        <v>0</v>
      </c>
      <c r="L342" s="205">
        <f>IFERROR('Inputs_BY IIS'!L319*1000,0)</f>
        <v>0</v>
      </c>
      <c r="M342" s="205">
        <f>IFERROR('Inputs_BY IIS'!M319*1000,0)</f>
        <v>0</v>
      </c>
      <c r="N342" s="205">
        <f>IFERROR('Inputs_BY IIS'!N319*1000,0)</f>
        <v>0</v>
      </c>
      <c r="O342" s="205">
        <f>IFERROR('Inputs_BY IIS'!O319*1000,0)</f>
        <v>0</v>
      </c>
      <c r="P342" s="205">
        <f>IFERROR('Inputs_BY IIS'!P319*1000,0)</f>
        <v>0</v>
      </c>
      <c r="Q342" s="205">
        <f>IFERROR('Inputs_BY IIS'!Q319*1000,0)</f>
        <v>0</v>
      </c>
      <c r="R342" s="205">
        <f>IFERROR('Inputs_BY IIS'!R319*1000,0)</f>
        <v>0</v>
      </c>
      <c r="S342" s="205">
        <f>IFERROR('Inputs_BY IIS'!S319*1000,0)</f>
        <v>0</v>
      </c>
      <c r="T342" s="205">
        <f>IFERROR('Inputs_BY IIS'!T319*1000,0)</f>
        <v>0</v>
      </c>
      <c r="U342" s="205">
        <f>IFERROR('Inputs_BY IIS'!U319*1000,0)</f>
        <v>0</v>
      </c>
      <c r="V342" s="205">
        <f>IFERROR('Inputs_BY IIS'!V319*1000,0)</f>
        <v>0</v>
      </c>
      <c r="W342" s="205">
        <f>IFERROR('Inputs_BY IIS'!W319*1000,0)</f>
        <v>0</v>
      </c>
      <c r="X342" s="205">
        <f>IFERROR('Inputs_BY IIS'!X319*1000,0)</f>
        <v>0</v>
      </c>
      <c r="Y342" s="205">
        <f>IFERROR('Inputs_BY IIS'!Y319*1000,0)</f>
        <v>0</v>
      </c>
      <c r="Z342" s="205">
        <f>IFERROR('Inputs_BY IIS'!Z319*1000,0)</f>
        <v>0</v>
      </c>
      <c r="AA342" s="205">
        <f>IFERROR('Inputs_BY IIS'!AA319*1000,0)</f>
        <v>0</v>
      </c>
      <c r="AB342" s="205">
        <f>IFERROR('Inputs_BY IIS'!AB319*1000,0)</f>
        <v>0</v>
      </c>
      <c r="AC342" s="205">
        <f>IFERROR('Inputs_BY IIS'!AC319*1000,0)</f>
        <v>0</v>
      </c>
      <c r="AD342" s="205">
        <f>IFERROR('Inputs_BY IIS'!AD319*1000,0)</f>
        <v>0</v>
      </c>
      <c r="AE342" s="205">
        <f>IFERROR('Inputs_BY IIS'!AE319*1000,0)</f>
        <v>0</v>
      </c>
      <c r="AF342" s="205">
        <f>IFERROR('Inputs_BY IIS'!AF319*1000,0)</f>
        <v>0</v>
      </c>
    </row>
    <row r="343" spans="1:32" x14ac:dyDescent="0.25">
      <c r="A343" s="167" t="s">
        <v>423</v>
      </c>
      <c r="B343" s="167"/>
      <c r="C343" s="167" t="s">
        <v>139</v>
      </c>
      <c r="D343" s="205" t="s">
        <v>363</v>
      </c>
      <c r="E343" s="205">
        <f>IFERROR('Inputs_BY IIS'!E320*1000,0)</f>
        <v>0</v>
      </c>
      <c r="F343" s="205">
        <f>IFERROR('Inputs_BY IIS'!F320*1000,0)</f>
        <v>0</v>
      </c>
      <c r="G343" s="205">
        <f>IFERROR('Inputs_BY IIS'!G320*1000,0)</f>
        <v>0</v>
      </c>
      <c r="H343" s="205">
        <f>IFERROR('Inputs_BY IIS'!H320*1000,0)</f>
        <v>0</v>
      </c>
      <c r="I343" s="205">
        <f>IFERROR('Inputs_BY IIS'!I320*1000,0)</f>
        <v>0</v>
      </c>
      <c r="J343" s="205">
        <f>IFERROR('Inputs_BY IIS'!J320*1000,0)</f>
        <v>0</v>
      </c>
      <c r="K343" s="205">
        <f>IFERROR('Inputs_BY IIS'!K320*1000,0)</f>
        <v>0</v>
      </c>
      <c r="L343" s="205">
        <f>IFERROR('Inputs_BY IIS'!L320*1000,0)</f>
        <v>0</v>
      </c>
      <c r="M343" s="205">
        <f>IFERROR('Inputs_BY IIS'!M320*1000,0)</f>
        <v>0</v>
      </c>
      <c r="N343" s="205">
        <f>IFERROR('Inputs_BY IIS'!N320*1000,0)</f>
        <v>0</v>
      </c>
      <c r="O343" s="205">
        <f>IFERROR('Inputs_BY IIS'!O320*1000,0)</f>
        <v>0</v>
      </c>
      <c r="P343" s="205">
        <f>IFERROR('Inputs_BY IIS'!P320*1000,0)</f>
        <v>0</v>
      </c>
      <c r="Q343" s="205">
        <f>IFERROR('Inputs_BY IIS'!Q320*1000,0)</f>
        <v>0</v>
      </c>
      <c r="R343" s="205">
        <f>IFERROR('Inputs_BY IIS'!R320*1000,0)</f>
        <v>-59</v>
      </c>
      <c r="S343" s="205">
        <f>IFERROR('Inputs_BY IIS'!S320*1000,0)</f>
        <v>-26</v>
      </c>
      <c r="T343" s="205">
        <f>IFERROR('Inputs_BY IIS'!T320*1000,0)</f>
        <v>0</v>
      </c>
      <c r="U343" s="205">
        <f>IFERROR('Inputs_BY IIS'!U320*1000,0)</f>
        <v>-64</v>
      </c>
      <c r="V343" s="205">
        <f>IFERROR('Inputs_BY IIS'!V320*1000,0)</f>
        <v>0</v>
      </c>
      <c r="W343" s="205">
        <f>IFERROR('Inputs_BY IIS'!W320*1000,0)</f>
        <v>0</v>
      </c>
      <c r="X343" s="205">
        <f>IFERROR('Inputs_BY IIS'!X320*1000,0)</f>
        <v>-1444</v>
      </c>
      <c r="Y343" s="205">
        <f>IFERROR('Inputs_BY IIS'!Y320*1000,0)</f>
        <v>0</v>
      </c>
      <c r="Z343" s="205">
        <f>IFERROR('Inputs_BY IIS'!Z320*1000,0)</f>
        <v>-126</v>
      </c>
      <c r="AA343" s="205">
        <f>IFERROR('Inputs_BY IIS'!AA320*1000,0)</f>
        <v>0</v>
      </c>
      <c r="AB343" s="205">
        <f>IFERROR('Inputs_BY IIS'!AB320*1000,0)</f>
        <v>0</v>
      </c>
      <c r="AC343" s="205">
        <f>IFERROR('Inputs_BY IIS'!AC320*1000,0)</f>
        <v>0</v>
      </c>
      <c r="AD343" s="205">
        <f>IFERROR('Inputs_BY IIS'!AD320*1000,0)</f>
        <v>0</v>
      </c>
      <c r="AE343" s="205">
        <f>IFERROR('Inputs_BY IIS'!AE320*1000,0)</f>
        <v>-359</v>
      </c>
      <c r="AF343" s="205">
        <f>IFERROR('Inputs_BY IIS'!AF320*1000,0)</f>
        <v>0</v>
      </c>
    </row>
    <row r="344" spans="1:32" ht="13.5" customHeight="1" x14ac:dyDescent="0.25">
      <c r="A344" s="167" t="s">
        <v>423</v>
      </c>
      <c r="B344" s="167"/>
      <c r="C344" s="167" t="s">
        <v>389</v>
      </c>
      <c r="D344" s="205" t="s">
        <v>363</v>
      </c>
      <c r="E344" s="593">
        <f>IFERROR('Inputs_BY IIS'!E335*1000,0)</f>
        <v>0</v>
      </c>
      <c r="F344" s="593">
        <f>IFERROR('Inputs_BY IIS'!F335*1000,0)</f>
        <v>0</v>
      </c>
      <c r="G344" s="593">
        <f>IFERROR('Inputs_BY IIS'!G335*1000,0)</f>
        <v>0</v>
      </c>
      <c r="H344" s="593">
        <f>IFERROR('Inputs_BY IIS'!H335*1000,0)</f>
        <v>0</v>
      </c>
      <c r="I344" s="593">
        <f>IFERROR('Inputs_BY IIS'!I335*1000,0)</f>
        <v>0</v>
      </c>
      <c r="J344" s="593">
        <f>IFERROR('Inputs_BY IIS'!J335*1000,0)</f>
        <v>0</v>
      </c>
      <c r="K344" s="593">
        <f>IFERROR('Inputs_BY IIS'!K335*1000,0)</f>
        <v>0</v>
      </c>
      <c r="L344" s="593">
        <f>IFERROR('Inputs_BY IIS'!L335*1000,0)</f>
        <v>0</v>
      </c>
      <c r="M344" s="593">
        <f>IFERROR('Inputs_BY IIS'!M335*1000,0)</f>
        <v>0</v>
      </c>
      <c r="N344" s="593">
        <f>IFERROR('Inputs_BY IIS'!N335*1000,0)</f>
        <v>0</v>
      </c>
      <c r="O344" s="593">
        <f>IFERROR('Inputs_BY IIS'!O335*1000,0)</f>
        <v>0</v>
      </c>
      <c r="P344" s="593">
        <f>IFERROR('Inputs_BY IIS'!P335*1000,0)</f>
        <v>0</v>
      </c>
      <c r="Q344" s="593">
        <f>IFERROR('Inputs_BY IIS'!Q335*1000,0)</f>
        <v>0</v>
      </c>
      <c r="R344" s="593">
        <f>IFERROR('Inputs_BY IIS'!R335*1000,0)</f>
        <v>0</v>
      </c>
      <c r="S344" s="593">
        <f>IFERROR('Inputs_BY IIS'!S335*1000,0)</f>
        <v>0</v>
      </c>
      <c r="T344" s="593">
        <f>IFERROR('Inputs_BY IIS'!T335*1000,0)</f>
        <v>0</v>
      </c>
      <c r="U344" s="593">
        <f>IFERROR('Inputs_BY IIS'!U335*1000,0)</f>
        <v>0</v>
      </c>
      <c r="V344" s="593">
        <f>IFERROR('Inputs_BY IIS'!V335*1000,0)</f>
        <v>0</v>
      </c>
      <c r="W344" s="593">
        <f>IFERROR('Inputs_BY IIS'!W335*1000,0)</f>
        <v>0</v>
      </c>
      <c r="X344" s="593">
        <f>IFERROR('Inputs_BY IIS'!X335*1000,0)</f>
        <v>0</v>
      </c>
      <c r="Y344" s="593">
        <f>IFERROR('Inputs_BY IIS'!Y335*1000,0)</f>
        <v>0</v>
      </c>
      <c r="Z344" s="593">
        <f>IFERROR('Inputs_BY IIS'!Z335*1000,0)</f>
        <v>0</v>
      </c>
      <c r="AA344" s="593">
        <f>IFERROR('Inputs_BY IIS'!AA335*1000,0)</f>
        <v>0</v>
      </c>
      <c r="AB344" s="593">
        <f>IFERROR('Inputs_BY IIS'!AB335*1000,0)</f>
        <v>0</v>
      </c>
      <c r="AC344" s="593">
        <f>IFERROR('Inputs_BY IIS'!AC335*1000,0)</f>
        <v>0</v>
      </c>
      <c r="AD344" s="593">
        <f>IFERROR('Inputs_BY IIS'!AD335*1000,0)</f>
        <v>0</v>
      </c>
      <c r="AE344" s="593">
        <f>IFERROR('Inputs_BY IIS'!AE335*1000,0)</f>
        <v>0</v>
      </c>
      <c r="AF344" s="593">
        <f>IFERROR('Inputs_BY IIS'!AF335*1000,0)</f>
        <v>0</v>
      </c>
    </row>
    <row r="345" spans="1:32" x14ac:dyDescent="0.25">
      <c r="A345" s="167" t="s">
        <v>423</v>
      </c>
      <c r="B345" s="167"/>
      <c r="C345" s="167" t="s">
        <v>390</v>
      </c>
      <c r="D345" s="205" t="s">
        <v>363</v>
      </c>
      <c r="E345" s="593">
        <f>IFERROR('Inputs_BY IIS'!E336*1000,0)</f>
        <v>0</v>
      </c>
      <c r="F345" s="593">
        <f>IFERROR('Inputs_BY IIS'!F336*1000,0)</f>
        <v>0</v>
      </c>
      <c r="G345" s="593">
        <f>IFERROR('Inputs_BY IIS'!G336*1000,0)</f>
        <v>0</v>
      </c>
      <c r="H345" s="593">
        <f>IFERROR('Inputs_BY IIS'!H336*1000,0)</f>
        <v>0</v>
      </c>
      <c r="I345" s="593">
        <f>IFERROR('Inputs_BY IIS'!I336*1000,0)</f>
        <v>0</v>
      </c>
      <c r="J345" s="593">
        <f>IFERROR('Inputs_BY IIS'!J336*1000,0)</f>
        <v>0</v>
      </c>
      <c r="K345" s="593">
        <f>IFERROR('Inputs_BY IIS'!K336*1000,0)</f>
        <v>0</v>
      </c>
      <c r="L345" s="593">
        <f>IFERROR('Inputs_BY IIS'!L336*1000,0)</f>
        <v>0</v>
      </c>
      <c r="M345" s="593">
        <f>IFERROR('Inputs_BY IIS'!M336*1000,0)</f>
        <v>0</v>
      </c>
      <c r="N345" s="593">
        <f>IFERROR('Inputs_BY IIS'!N336*1000,0)</f>
        <v>0</v>
      </c>
      <c r="O345" s="593">
        <f>IFERROR('Inputs_BY IIS'!O336*1000,0)</f>
        <v>0</v>
      </c>
      <c r="P345" s="593">
        <f>IFERROR('Inputs_BY IIS'!P336*1000,0)</f>
        <v>0</v>
      </c>
      <c r="Q345" s="593">
        <f>IFERROR('Inputs_BY IIS'!Q336*1000,0)</f>
        <v>0</v>
      </c>
      <c r="R345" s="593">
        <f>IFERROR('Inputs_BY IIS'!R336*1000,0)</f>
        <v>-3.5527136788005009E-12</v>
      </c>
      <c r="S345" s="593">
        <f>IFERROR('Inputs_BY IIS'!S336*1000,0)</f>
        <v>0</v>
      </c>
      <c r="T345" s="593">
        <f>IFERROR('Inputs_BY IIS'!T336*1000,0)</f>
        <v>-9738.9108653707699</v>
      </c>
      <c r="U345" s="593">
        <f>IFERROR('Inputs_BY IIS'!U336*1000,0)</f>
        <v>-2765.9548404676002</v>
      </c>
      <c r="V345" s="593">
        <f>IFERROR('Inputs_BY IIS'!V336*1000,0)</f>
        <v>8.8817841970012523E-13</v>
      </c>
      <c r="W345" s="593">
        <f>IFERROR('Inputs_BY IIS'!W336*1000,0)</f>
        <v>0</v>
      </c>
      <c r="X345" s="593">
        <f>IFERROR('Inputs_BY IIS'!X336*1000,0)</f>
        <v>0</v>
      </c>
      <c r="Y345" s="593">
        <f>IFERROR('Inputs_BY IIS'!Y336*1000,0)</f>
        <v>0</v>
      </c>
      <c r="Z345" s="593">
        <f>IFERROR('Inputs_BY IIS'!Z336*1000,0)</f>
        <v>0</v>
      </c>
      <c r="AA345" s="593">
        <f>IFERROR('Inputs_BY IIS'!AA336*1000,0)</f>
        <v>0</v>
      </c>
      <c r="AB345" s="593">
        <f>IFERROR('Inputs_BY IIS'!AB336*1000,0)</f>
        <v>0</v>
      </c>
      <c r="AC345" s="593">
        <f>IFERROR('Inputs_BY IIS'!AC336*1000,0)</f>
        <v>0</v>
      </c>
      <c r="AD345" s="593">
        <f>IFERROR('Inputs_BY IIS'!AD336*1000,0)</f>
        <v>0</v>
      </c>
      <c r="AE345" s="593">
        <f>IFERROR('Inputs_BY IIS'!AE336*1000,0)</f>
        <v>-2.8421709430404007E-11</v>
      </c>
      <c r="AF345" s="593">
        <f>IFERROR('Inputs_BY IIS'!AF336*1000,0)</f>
        <v>0</v>
      </c>
    </row>
    <row r="346" spans="1:32" x14ac:dyDescent="0.25">
      <c r="A346" s="167" t="s">
        <v>423</v>
      </c>
      <c r="B346" s="167"/>
      <c r="C346" s="167" t="s">
        <v>391</v>
      </c>
      <c r="D346" s="205" t="s">
        <v>363</v>
      </c>
      <c r="E346" s="593">
        <f>IFERROR('Inputs_BY IIS'!E337*1000,0)</f>
        <v>0</v>
      </c>
      <c r="F346" s="593">
        <f>IFERROR('Inputs_BY IIS'!F337*1000,0)</f>
        <v>-1143.6906887372747</v>
      </c>
      <c r="G346" s="593">
        <f>IFERROR('Inputs_BY IIS'!G337*1000,0)</f>
        <v>0</v>
      </c>
      <c r="H346" s="593">
        <f>IFERROR('Inputs_BY IIS'!H337*1000,0)</f>
        <v>0</v>
      </c>
      <c r="I346" s="593">
        <f>IFERROR('Inputs_BY IIS'!I337*1000,0)</f>
        <v>0</v>
      </c>
      <c r="J346" s="593">
        <f>IFERROR('Inputs_BY IIS'!J337*1000,0)</f>
        <v>-2796.7161779978583</v>
      </c>
      <c r="K346" s="593">
        <f>IFERROR('Inputs_BY IIS'!K337*1000,0)</f>
        <v>0</v>
      </c>
      <c r="L346" s="593">
        <f>IFERROR('Inputs_BY IIS'!L337*1000,0)</f>
        <v>0</v>
      </c>
      <c r="M346" s="593">
        <f>IFERROR('Inputs_BY IIS'!M337*1000,0)</f>
        <v>0</v>
      </c>
      <c r="N346" s="593">
        <f>IFERROR('Inputs_BY IIS'!N337*1000,0)</f>
        <v>0</v>
      </c>
      <c r="O346" s="593">
        <f>IFERROR('Inputs_BY IIS'!O337*1000,0)</f>
        <v>0</v>
      </c>
      <c r="P346" s="593">
        <f>IFERROR('Inputs_BY IIS'!P337*1000,0)</f>
        <v>0</v>
      </c>
      <c r="Q346" s="593">
        <f>IFERROR('Inputs_BY IIS'!Q337*1000,0)</f>
        <v>0</v>
      </c>
      <c r="R346" s="593">
        <f>IFERROR('Inputs_BY IIS'!R337*1000,0)</f>
        <v>0</v>
      </c>
      <c r="S346" s="593">
        <f>IFERROR('Inputs_BY IIS'!S337*1000,0)</f>
        <v>0</v>
      </c>
      <c r="T346" s="593">
        <f>IFERROR('Inputs_BY IIS'!T337*1000,0)</f>
        <v>0</v>
      </c>
      <c r="U346" s="593">
        <f>IFERROR('Inputs_BY IIS'!U337*1000,0)</f>
        <v>5.6843418860808015E-11</v>
      </c>
      <c r="V346" s="593">
        <f>IFERROR('Inputs_BY IIS'!V337*1000,0)</f>
        <v>0</v>
      </c>
      <c r="W346" s="593">
        <f>IFERROR('Inputs_BY IIS'!W337*1000,0)</f>
        <v>-322271.84734201978</v>
      </c>
      <c r="X346" s="593">
        <f>IFERROR('Inputs_BY IIS'!X337*1000,0)</f>
        <v>1.1368683772161603E-10</v>
      </c>
      <c r="Y346" s="593">
        <f>IFERROR('Inputs_BY IIS'!Y337*1000,0)</f>
        <v>0</v>
      </c>
      <c r="Z346" s="593">
        <f>IFERROR('Inputs_BY IIS'!Z337*1000,0)</f>
        <v>0</v>
      </c>
      <c r="AA346" s="593">
        <f>IFERROR('Inputs_BY IIS'!AA337*1000,0)</f>
        <v>0</v>
      </c>
      <c r="AB346" s="593">
        <f>IFERROR('Inputs_BY IIS'!AB337*1000,0)</f>
        <v>0</v>
      </c>
      <c r="AC346" s="593">
        <f>IFERROR('Inputs_BY IIS'!AC337*1000,0)</f>
        <v>0</v>
      </c>
      <c r="AD346" s="593">
        <f>IFERROR('Inputs_BY IIS'!AD337*1000,0)</f>
        <v>0</v>
      </c>
      <c r="AE346" s="593">
        <f>IFERROR('Inputs_BY IIS'!AE337*1000,0)</f>
        <v>0</v>
      </c>
      <c r="AF346" s="593">
        <f>IFERROR('Inputs_BY IIS'!AF337*1000,0)</f>
        <v>0</v>
      </c>
    </row>
    <row r="347" spans="1:32" x14ac:dyDescent="0.25">
      <c r="A347" s="167" t="s">
        <v>423</v>
      </c>
      <c r="B347" s="167"/>
      <c r="C347" s="167" t="s">
        <v>392</v>
      </c>
      <c r="D347" s="205" t="s">
        <v>363</v>
      </c>
      <c r="E347" s="593">
        <f>IFERROR('Inputs_BY IIS'!E338*1000,0)</f>
        <v>0</v>
      </c>
      <c r="F347" s="593">
        <f>IFERROR('Inputs_BY IIS'!F338*1000,0)</f>
        <v>0</v>
      </c>
      <c r="G347" s="593">
        <f>IFERROR('Inputs_BY IIS'!G338*1000,0)</f>
        <v>0</v>
      </c>
      <c r="H347" s="593">
        <f>IFERROR('Inputs_BY IIS'!H338*1000,0)</f>
        <v>0</v>
      </c>
      <c r="I347" s="593">
        <f>IFERROR('Inputs_BY IIS'!I338*1000,0)</f>
        <v>0</v>
      </c>
      <c r="J347" s="593">
        <f>IFERROR('Inputs_BY IIS'!J338*1000,0)</f>
        <v>0</v>
      </c>
      <c r="K347" s="593">
        <f>IFERROR('Inputs_BY IIS'!K338*1000,0)</f>
        <v>0</v>
      </c>
      <c r="L347" s="593">
        <f>IFERROR('Inputs_BY IIS'!L338*1000,0)</f>
        <v>0</v>
      </c>
      <c r="M347" s="593">
        <f>IFERROR('Inputs_BY IIS'!M338*1000,0)</f>
        <v>0</v>
      </c>
      <c r="N347" s="593">
        <f>IFERROR('Inputs_BY IIS'!N338*1000,0)</f>
        <v>0</v>
      </c>
      <c r="O347" s="593">
        <f>IFERROR('Inputs_BY IIS'!O338*1000,0)</f>
        <v>0</v>
      </c>
      <c r="P347" s="593">
        <f>IFERROR('Inputs_BY IIS'!P338*1000,0)</f>
        <v>0</v>
      </c>
      <c r="Q347" s="593">
        <f>IFERROR('Inputs_BY IIS'!Q338*1000,0)</f>
        <v>0</v>
      </c>
      <c r="R347" s="593">
        <f>IFERROR('Inputs_BY IIS'!R338*1000,0)</f>
        <v>0</v>
      </c>
      <c r="S347" s="593">
        <f>IFERROR('Inputs_BY IIS'!S338*1000,0)</f>
        <v>0</v>
      </c>
      <c r="T347" s="593">
        <f>IFERROR('Inputs_BY IIS'!T338*1000,0)</f>
        <v>0</v>
      </c>
      <c r="U347" s="593">
        <f>IFERROR('Inputs_BY IIS'!U338*1000,0)</f>
        <v>0</v>
      </c>
      <c r="V347" s="593">
        <f>IFERROR('Inputs_BY IIS'!V338*1000,0)</f>
        <v>0</v>
      </c>
      <c r="W347" s="593">
        <f>IFERROR('Inputs_BY IIS'!W338*1000,0)</f>
        <v>0</v>
      </c>
      <c r="X347" s="593">
        <f>IFERROR('Inputs_BY IIS'!X338*1000,0)</f>
        <v>0</v>
      </c>
      <c r="Y347" s="593">
        <f>IFERROR('Inputs_BY IIS'!Y338*1000,0)</f>
        <v>0</v>
      </c>
      <c r="Z347" s="593">
        <f>IFERROR('Inputs_BY IIS'!Z338*1000,0)</f>
        <v>0</v>
      </c>
      <c r="AA347" s="593">
        <f>IFERROR('Inputs_BY IIS'!AA338*1000,0)</f>
        <v>0</v>
      </c>
      <c r="AB347" s="593">
        <f>IFERROR('Inputs_BY IIS'!AB338*1000,0)</f>
        <v>0</v>
      </c>
      <c r="AC347" s="593">
        <f>IFERROR('Inputs_BY IIS'!AC338*1000,0)</f>
        <v>0</v>
      </c>
      <c r="AD347" s="593">
        <f>IFERROR('Inputs_BY IIS'!AD338*1000,0)</f>
        <v>0</v>
      </c>
      <c r="AE347" s="593">
        <f>IFERROR('Inputs_BY IIS'!AE338*1000,0)</f>
        <v>0</v>
      </c>
      <c r="AF347" s="593">
        <f>IFERROR('Inputs_BY IIS'!AF338*1000,0)</f>
        <v>0</v>
      </c>
    </row>
    <row r="348" spans="1:32" x14ac:dyDescent="0.25">
      <c r="A348" s="167" t="s">
        <v>423</v>
      </c>
      <c r="B348" s="167"/>
      <c r="C348" s="167" t="s">
        <v>393</v>
      </c>
      <c r="D348" s="205" t="s">
        <v>363</v>
      </c>
      <c r="E348" s="593">
        <f>IFERROR('Inputs_BY IIS'!E339*1000,0)</f>
        <v>0</v>
      </c>
      <c r="F348" s="593">
        <f>IFERROR('Inputs_BY IIS'!F339*1000,0)</f>
        <v>0</v>
      </c>
      <c r="G348" s="593">
        <f>IFERROR('Inputs_BY IIS'!G339*1000,0)</f>
        <v>0</v>
      </c>
      <c r="H348" s="593">
        <f>IFERROR('Inputs_BY IIS'!H339*1000,0)</f>
        <v>0</v>
      </c>
      <c r="I348" s="593">
        <f>IFERROR('Inputs_BY IIS'!I339*1000,0)</f>
        <v>0</v>
      </c>
      <c r="J348" s="593">
        <f>IFERROR('Inputs_BY IIS'!J339*1000,0)</f>
        <v>-497.70919917621723</v>
      </c>
      <c r="K348" s="593">
        <f>IFERROR('Inputs_BY IIS'!K339*1000,0)</f>
        <v>0</v>
      </c>
      <c r="L348" s="593">
        <f>IFERROR('Inputs_BY IIS'!L339*1000,0)</f>
        <v>0</v>
      </c>
      <c r="M348" s="593">
        <f>IFERROR('Inputs_BY IIS'!M339*1000,0)</f>
        <v>0</v>
      </c>
      <c r="N348" s="593">
        <f>IFERROR('Inputs_BY IIS'!N339*1000,0)</f>
        <v>0</v>
      </c>
      <c r="O348" s="593">
        <f>IFERROR('Inputs_BY IIS'!O339*1000,0)</f>
        <v>0</v>
      </c>
      <c r="P348" s="593">
        <f>IFERROR('Inputs_BY IIS'!P339*1000,0)</f>
        <v>0</v>
      </c>
      <c r="Q348" s="593">
        <f>IFERROR('Inputs_BY IIS'!Q339*1000,0)</f>
        <v>0</v>
      </c>
      <c r="R348" s="593">
        <f>IFERROR('Inputs_BY IIS'!R339*1000,0)</f>
        <v>0</v>
      </c>
      <c r="S348" s="593">
        <f>IFERROR('Inputs_BY IIS'!S339*1000,0)</f>
        <v>0</v>
      </c>
      <c r="T348" s="593">
        <f>IFERROR('Inputs_BY IIS'!T339*1000,0)</f>
        <v>0</v>
      </c>
      <c r="U348" s="593">
        <f>IFERROR('Inputs_BY IIS'!U339*1000,0)</f>
        <v>0</v>
      </c>
      <c r="V348" s="593">
        <f>IFERROR('Inputs_BY IIS'!V339*1000,0)</f>
        <v>0</v>
      </c>
      <c r="W348" s="593">
        <f>IFERROR('Inputs_BY IIS'!W339*1000,0)</f>
        <v>0</v>
      </c>
      <c r="X348" s="593">
        <f>IFERROR('Inputs_BY IIS'!X339*1000,0)</f>
        <v>0</v>
      </c>
      <c r="Y348" s="593">
        <f>IFERROR('Inputs_BY IIS'!Y339*1000,0)</f>
        <v>0</v>
      </c>
      <c r="Z348" s="593">
        <f>IFERROR('Inputs_BY IIS'!Z339*1000,0)</f>
        <v>0</v>
      </c>
      <c r="AA348" s="593">
        <f>IFERROR('Inputs_BY IIS'!AA339*1000,0)</f>
        <v>0</v>
      </c>
      <c r="AB348" s="593">
        <f>IFERROR('Inputs_BY IIS'!AB339*1000,0)</f>
        <v>0</v>
      </c>
      <c r="AC348" s="593">
        <f>IFERROR('Inputs_BY IIS'!AC339*1000,0)</f>
        <v>0</v>
      </c>
      <c r="AD348" s="593">
        <f>IFERROR('Inputs_BY IIS'!AD339*1000,0)</f>
        <v>0</v>
      </c>
      <c r="AE348" s="593">
        <f>IFERROR('Inputs_BY IIS'!AE339*1000,0)</f>
        <v>0</v>
      </c>
      <c r="AF348" s="593">
        <f>IFERROR('Inputs_BY IIS'!AF339*1000,0)</f>
        <v>0</v>
      </c>
    </row>
    <row r="349" spans="1:32" x14ac:dyDescent="0.25">
      <c r="A349" s="167" t="s">
        <v>423</v>
      </c>
      <c r="B349" s="167"/>
      <c r="C349" s="167" t="s">
        <v>394</v>
      </c>
      <c r="D349" s="205" t="s">
        <v>363</v>
      </c>
      <c r="E349" s="593">
        <f>IFERROR('Inputs_BY IIS'!E340*1000,0)</f>
        <v>0</v>
      </c>
      <c r="F349" s="593">
        <f>IFERROR('Inputs_BY IIS'!F340*1000,0)</f>
        <v>0</v>
      </c>
      <c r="G349" s="593">
        <f>IFERROR('Inputs_BY IIS'!G340*1000,0)</f>
        <v>0</v>
      </c>
      <c r="H349" s="593">
        <f>IFERROR('Inputs_BY IIS'!H340*1000,0)</f>
        <v>0</v>
      </c>
      <c r="I349" s="593">
        <f>IFERROR('Inputs_BY IIS'!I340*1000,0)</f>
        <v>0</v>
      </c>
      <c r="J349" s="593">
        <f>IFERROR('Inputs_BY IIS'!J340*1000,0)</f>
        <v>0</v>
      </c>
      <c r="K349" s="593">
        <f>IFERROR('Inputs_BY IIS'!K340*1000,0)</f>
        <v>0</v>
      </c>
      <c r="L349" s="593">
        <f>IFERROR('Inputs_BY IIS'!L340*1000,0)</f>
        <v>0</v>
      </c>
      <c r="M349" s="593">
        <f>IFERROR('Inputs_BY IIS'!M340*1000,0)</f>
        <v>0</v>
      </c>
      <c r="N349" s="593">
        <f>IFERROR('Inputs_BY IIS'!N340*1000,0)</f>
        <v>0</v>
      </c>
      <c r="O349" s="593">
        <f>IFERROR('Inputs_BY IIS'!O340*1000,0)</f>
        <v>0</v>
      </c>
      <c r="P349" s="593">
        <f>IFERROR('Inputs_BY IIS'!P340*1000,0)</f>
        <v>0</v>
      </c>
      <c r="Q349" s="593">
        <f>IFERROR('Inputs_BY IIS'!Q340*1000,0)</f>
        <v>0</v>
      </c>
      <c r="R349" s="593">
        <f>IFERROR('Inputs_BY IIS'!R340*1000,0)</f>
        <v>0</v>
      </c>
      <c r="S349" s="593">
        <f>IFERROR('Inputs_BY IIS'!S340*1000,0)</f>
        <v>0</v>
      </c>
      <c r="T349" s="593">
        <f>IFERROR('Inputs_BY IIS'!T340*1000,0)</f>
        <v>0</v>
      </c>
      <c r="U349" s="593">
        <f>IFERROR('Inputs_BY IIS'!U340*1000,0)</f>
        <v>0</v>
      </c>
      <c r="V349" s="593">
        <f>IFERROR('Inputs_BY IIS'!V340*1000,0)</f>
        <v>0</v>
      </c>
      <c r="W349" s="593">
        <f>IFERROR('Inputs_BY IIS'!W340*1000,0)</f>
        <v>0</v>
      </c>
      <c r="X349" s="593">
        <f>IFERROR('Inputs_BY IIS'!X340*1000,0)</f>
        <v>0</v>
      </c>
      <c r="Y349" s="593">
        <f>IFERROR('Inputs_BY IIS'!Y340*1000,0)</f>
        <v>0</v>
      </c>
      <c r="Z349" s="593">
        <f>IFERROR('Inputs_BY IIS'!Z340*1000,0)</f>
        <v>0</v>
      </c>
      <c r="AA349" s="593">
        <f>IFERROR('Inputs_BY IIS'!AA340*1000,0)</f>
        <v>0</v>
      </c>
      <c r="AB349" s="593">
        <f>IFERROR('Inputs_BY IIS'!AB340*1000,0)</f>
        <v>0</v>
      </c>
      <c r="AC349" s="593">
        <f>IFERROR('Inputs_BY IIS'!AC340*1000,0)</f>
        <v>0</v>
      </c>
      <c r="AD349" s="593">
        <f>IFERROR('Inputs_BY IIS'!AD340*1000,0)</f>
        <v>0</v>
      </c>
      <c r="AE349" s="593">
        <f>IFERROR('Inputs_BY IIS'!AE340*1000,0)</f>
        <v>0</v>
      </c>
      <c r="AF349" s="593">
        <f>IFERROR('Inputs_BY IIS'!AF340*1000,0)</f>
        <v>0</v>
      </c>
    </row>
    <row r="350" spans="1:32" x14ac:dyDescent="0.25">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c r="AC350" s="167"/>
      <c r="AD350" s="167"/>
      <c r="AE350" s="167"/>
      <c r="AF350" s="167"/>
    </row>
    <row r="351" spans="1:32" x14ac:dyDescent="0.25">
      <c r="A351" s="167"/>
      <c r="B351" s="167"/>
      <c r="C351" s="167"/>
      <c r="D351" s="167"/>
      <c r="E351" s="205"/>
      <c r="F351" s="205"/>
      <c r="G351" s="205"/>
      <c r="H351" s="205"/>
      <c r="I351" s="205"/>
      <c r="J351" s="205"/>
      <c r="K351" s="205"/>
      <c r="L351" s="205"/>
      <c r="M351" s="205"/>
      <c r="N351" s="205"/>
      <c r="O351" s="205"/>
      <c r="P351" s="205"/>
      <c r="Q351" s="205"/>
      <c r="R351" s="205"/>
      <c r="S351" s="205"/>
      <c r="T351" s="205"/>
      <c r="U351" s="205"/>
      <c r="V351" s="205"/>
      <c r="W351" s="205"/>
      <c r="X351" s="205"/>
      <c r="Y351" s="205"/>
      <c r="Z351" s="205"/>
      <c r="AA351" s="205"/>
      <c r="AB351" s="205"/>
      <c r="AC351" s="205"/>
      <c r="AD351" s="205"/>
      <c r="AE351" s="205"/>
      <c r="AF351" s="205"/>
    </row>
    <row r="352" spans="1:32" x14ac:dyDescent="0.25">
      <c r="A352" s="167" t="s">
        <v>424</v>
      </c>
      <c r="B352" s="167"/>
      <c r="C352" s="167" t="s">
        <v>113</v>
      </c>
      <c r="D352" s="167" t="s">
        <v>363</v>
      </c>
      <c r="E352" s="205">
        <f>'Inputs_BY INM'!E308</f>
        <v>0</v>
      </c>
      <c r="F352" s="205">
        <f>'Inputs_BY INM'!F308</f>
        <v>0</v>
      </c>
      <c r="G352" s="205">
        <f>'Inputs_BY INM'!G308</f>
        <v>0</v>
      </c>
      <c r="H352" s="205">
        <f>'Inputs_BY INM'!H308</f>
        <v>0</v>
      </c>
      <c r="I352" s="205">
        <f>'Inputs_BY INM'!I308</f>
        <v>0</v>
      </c>
      <c r="J352" s="205">
        <f>'Inputs_BY INM'!J308</f>
        <v>0</v>
      </c>
      <c r="K352" s="205">
        <f>'Inputs_BY INM'!K308</f>
        <v>0</v>
      </c>
      <c r="L352" s="205">
        <f>'Inputs_BY INM'!L308</f>
        <v>0</v>
      </c>
      <c r="M352" s="205">
        <f>'Inputs_BY INM'!M308</f>
        <v>0</v>
      </c>
      <c r="N352" s="205">
        <f>'Inputs_BY INM'!N308</f>
        <v>0</v>
      </c>
      <c r="O352" s="205">
        <f>'Inputs_BY INM'!O308</f>
        <v>0</v>
      </c>
      <c r="P352" s="205">
        <f>'Inputs_BY INM'!P308</f>
        <v>0</v>
      </c>
      <c r="Q352" s="205">
        <f>'Inputs_BY INM'!Q308</f>
        <v>0</v>
      </c>
      <c r="R352" s="205">
        <f>'Inputs_BY INM'!R308</f>
        <v>0</v>
      </c>
      <c r="S352" s="205">
        <f>'Inputs_BY INM'!S308</f>
        <v>0</v>
      </c>
      <c r="T352" s="205">
        <f>'Inputs_BY INM'!T308</f>
        <v>0</v>
      </c>
      <c r="U352" s="205">
        <f>'Inputs_BY INM'!U308</f>
        <v>0</v>
      </c>
      <c r="V352" s="205">
        <f>'Inputs_BY INM'!V308</f>
        <v>0</v>
      </c>
      <c r="W352" s="205">
        <f>'Inputs_BY INM'!W308</f>
        <v>0</v>
      </c>
      <c r="X352" s="205">
        <f>'Inputs_BY INM'!X308</f>
        <v>0</v>
      </c>
      <c r="Y352" s="205">
        <f>'Inputs_BY INM'!Y308</f>
        <v>0</v>
      </c>
      <c r="Z352" s="205">
        <f>'Inputs_BY INM'!Z308</f>
        <v>0</v>
      </c>
      <c r="AA352" s="205">
        <f>'Inputs_BY INM'!AA308</f>
        <v>0</v>
      </c>
      <c r="AB352" s="205">
        <f>'Inputs_BY INM'!AB308</f>
        <v>0</v>
      </c>
      <c r="AC352" s="205">
        <f>'Inputs_BY INM'!AC308</f>
        <v>0</v>
      </c>
      <c r="AD352" s="205">
        <f>'Inputs_BY INM'!AD308</f>
        <v>0</v>
      </c>
      <c r="AE352" s="205">
        <f>'Inputs_BY INM'!AE308</f>
        <v>0</v>
      </c>
      <c r="AF352" s="205">
        <f>'Inputs_BY INM'!AF308</f>
        <v>0</v>
      </c>
    </row>
    <row r="353" spans="1:32" x14ac:dyDescent="0.25">
      <c r="A353" s="167" t="s">
        <v>424</v>
      </c>
      <c r="B353" s="167"/>
      <c r="C353" s="167" t="s">
        <v>115</v>
      </c>
      <c r="D353" s="167" t="s">
        <v>363</v>
      </c>
      <c r="E353" s="205">
        <f>'Inputs_BY INM'!E309</f>
        <v>0</v>
      </c>
      <c r="F353" s="205">
        <f>'Inputs_BY INM'!F309</f>
        <v>0</v>
      </c>
      <c r="G353" s="205">
        <f>'Inputs_BY INM'!G309</f>
        <v>0</v>
      </c>
      <c r="H353" s="205">
        <f>'Inputs_BY INM'!H309</f>
        <v>0</v>
      </c>
      <c r="I353" s="205">
        <f>'Inputs_BY INM'!I309</f>
        <v>0</v>
      </c>
      <c r="J353" s="205">
        <f>'Inputs_BY INM'!J309</f>
        <v>0</v>
      </c>
      <c r="K353" s="205">
        <f>'Inputs_BY INM'!K309</f>
        <v>0</v>
      </c>
      <c r="L353" s="205">
        <f>'Inputs_BY INM'!L309</f>
        <v>0</v>
      </c>
      <c r="M353" s="205">
        <f>'Inputs_BY INM'!M309</f>
        <v>0</v>
      </c>
      <c r="N353" s="205">
        <f>'Inputs_BY INM'!N309</f>
        <v>0</v>
      </c>
      <c r="O353" s="205">
        <f>'Inputs_BY INM'!O309</f>
        <v>0</v>
      </c>
      <c r="P353" s="205">
        <f>'Inputs_BY INM'!P309</f>
        <v>0</v>
      </c>
      <c r="Q353" s="205">
        <f>'Inputs_BY INM'!Q309</f>
        <v>0</v>
      </c>
      <c r="R353" s="205">
        <f>'Inputs_BY INM'!R309</f>
        <v>0</v>
      </c>
      <c r="S353" s="205">
        <f>'Inputs_BY INM'!S309</f>
        <v>0</v>
      </c>
      <c r="T353" s="205">
        <f>'Inputs_BY INM'!T309</f>
        <v>0</v>
      </c>
      <c r="U353" s="205">
        <f>'Inputs_BY INM'!U309</f>
        <v>0</v>
      </c>
      <c r="V353" s="205">
        <f>'Inputs_BY INM'!V309</f>
        <v>0</v>
      </c>
      <c r="W353" s="205">
        <f>'Inputs_BY INM'!W309</f>
        <v>0</v>
      </c>
      <c r="X353" s="205">
        <f>'Inputs_BY INM'!X309</f>
        <v>0</v>
      </c>
      <c r="Y353" s="205">
        <f>'Inputs_BY INM'!Y309</f>
        <v>0</v>
      </c>
      <c r="Z353" s="205">
        <f>'Inputs_BY INM'!Z309</f>
        <v>0</v>
      </c>
      <c r="AA353" s="205">
        <f>'Inputs_BY INM'!AA309</f>
        <v>0</v>
      </c>
      <c r="AB353" s="205">
        <f>'Inputs_BY INM'!AB309</f>
        <v>0</v>
      </c>
      <c r="AC353" s="205">
        <f>'Inputs_BY INM'!AC309</f>
        <v>0</v>
      </c>
      <c r="AD353" s="205">
        <f>'Inputs_BY INM'!AD309</f>
        <v>0</v>
      </c>
      <c r="AE353" s="205">
        <f>'Inputs_BY INM'!AE309</f>
        <v>0</v>
      </c>
      <c r="AF353" s="205">
        <f>'Inputs_BY INM'!AF309</f>
        <v>0</v>
      </c>
    </row>
    <row r="354" spans="1:32" x14ac:dyDescent="0.25">
      <c r="A354" s="167" t="s">
        <v>424</v>
      </c>
      <c r="B354" s="167"/>
      <c r="C354" s="167" t="s">
        <v>117</v>
      </c>
      <c r="D354" s="167" t="s">
        <v>363</v>
      </c>
      <c r="E354" s="205">
        <f>'Inputs_BY INM'!E310</f>
        <v>0</v>
      </c>
      <c r="F354" s="205">
        <f>'Inputs_BY INM'!F310</f>
        <v>1096.225537916489</v>
      </c>
      <c r="G354" s="205">
        <f>'Inputs_BY INM'!G310</f>
        <v>725.36973880786854</v>
      </c>
      <c r="H354" s="205">
        <f>'Inputs_BY INM'!H310</f>
        <v>60.957149892803955</v>
      </c>
      <c r="I354" s="205">
        <f>'Inputs_BY INM'!I310</f>
        <v>0</v>
      </c>
      <c r="J354" s="205">
        <f>'Inputs_BY INM'!J310</f>
        <v>0</v>
      </c>
      <c r="K354" s="205">
        <f>'Inputs_BY INM'!K310</f>
        <v>0</v>
      </c>
      <c r="L354" s="205">
        <f>'Inputs_BY INM'!L310</f>
        <v>0</v>
      </c>
      <c r="M354" s="205">
        <f>'Inputs_BY INM'!M310</f>
        <v>0</v>
      </c>
      <c r="N354" s="205">
        <f>'Inputs_BY INM'!N310</f>
        <v>0</v>
      </c>
      <c r="O354" s="205">
        <f>'Inputs_BY INM'!O310</f>
        <v>0</v>
      </c>
      <c r="P354" s="205">
        <f>'Inputs_BY INM'!P310</f>
        <v>0</v>
      </c>
      <c r="Q354" s="205">
        <f>'Inputs_BY INM'!Q310</f>
        <v>0</v>
      </c>
      <c r="R354" s="205">
        <f>'Inputs_BY INM'!R310</f>
        <v>0</v>
      </c>
      <c r="S354" s="205">
        <f>'Inputs_BY INM'!S310</f>
        <v>0</v>
      </c>
      <c r="T354" s="205">
        <f>'Inputs_BY INM'!T310</f>
        <v>0</v>
      </c>
      <c r="U354" s="205">
        <f>'Inputs_BY INM'!U310</f>
        <v>0</v>
      </c>
      <c r="V354" s="205">
        <f>'Inputs_BY INM'!V310</f>
        <v>0</v>
      </c>
      <c r="W354" s="205">
        <f>'Inputs_BY INM'!W310</f>
        <v>42445.03588204363</v>
      </c>
      <c r="X354" s="205">
        <f>'Inputs_BY INM'!X310</f>
        <v>0</v>
      </c>
      <c r="Y354" s="205">
        <f>'Inputs_BY INM'!Y310</f>
        <v>678.84176166605653</v>
      </c>
      <c r="Z354" s="205">
        <f>'Inputs_BY INM'!Z310</f>
        <v>0</v>
      </c>
      <c r="AA354" s="205">
        <f>'Inputs_BY INM'!AA310</f>
        <v>0</v>
      </c>
      <c r="AB354" s="205">
        <f>'Inputs_BY INM'!AB310</f>
        <v>0</v>
      </c>
      <c r="AC354" s="205">
        <f>'Inputs_BY INM'!AC310</f>
        <v>0</v>
      </c>
      <c r="AD354" s="205">
        <f>'Inputs_BY INM'!AD310</f>
        <v>0</v>
      </c>
      <c r="AE354" s="205">
        <f>'Inputs_BY INM'!AE310</f>
        <v>0</v>
      </c>
      <c r="AF354" s="205">
        <f>'Inputs_BY INM'!AF310</f>
        <v>0</v>
      </c>
    </row>
    <row r="355" spans="1:32" x14ac:dyDescent="0.25">
      <c r="A355" s="167" t="s">
        <v>424</v>
      </c>
      <c r="B355" s="167"/>
      <c r="C355" s="167" t="s">
        <v>119</v>
      </c>
      <c r="D355" s="167" t="s">
        <v>363</v>
      </c>
      <c r="E355" s="205">
        <f>'Inputs_BY INM'!E311</f>
        <v>0</v>
      </c>
      <c r="F355" s="205">
        <f>'Inputs_BY INM'!F311</f>
        <v>0</v>
      </c>
      <c r="G355" s="205">
        <f>'Inputs_BY INM'!G311</f>
        <v>0</v>
      </c>
      <c r="H355" s="205">
        <f>'Inputs_BY INM'!H311</f>
        <v>0</v>
      </c>
      <c r="I355" s="205">
        <f>'Inputs_BY INM'!I311</f>
        <v>0</v>
      </c>
      <c r="J355" s="205">
        <f>'Inputs_BY INM'!J311</f>
        <v>0</v>
      </c>
      <c r="K355" s="205">
        <f>'Inputs_BY INM'!K311</f>
        <v>0</v>
      </c>
      <c r="L355" s="205">
        <f>'Inputs_BY INM'!L311</f>
        <v>0</v>
      </c>
      <c r="M355" s="205">
        <f>'Inputs_BY INM'!M311</f>
        <v>0</v>
      </c>
      <c r="N355" s="205">
        <f>'Inputs_BY INM'!N311</f>
        <v>0</v>
      </c>
      <c r="O355" s="205">
        <f>'Inputs_BY INM'!O311</f>
        <v>0</v>
      </c>
      <c r="P355" s="205">
        <f>'Inputs_BY INM'!P311</f>
        <v>0</v>
      </c>
      <c r="Q355" s="205">
        <f>'Inputs_BY INM'!Q311</f>
        <v>0</v>
      </c>
      <c r="R355" s="205">
        <f>'Inputs_BY INM'!R311</f>
        <v>0</v>
      </c>
      <c r="S355" s="205">
        <f>'Inputs_BY INM'!S311</f>
        <v>0</v>
      </c>
      <c r="T355" s="205">
        <f>'Inputs_BY INM'!T311</f>
        <v>0</v>
      </c>
      <c r="U355" s="205">
        <f>'Inputs_BY INM'!U311</f>
        <v>0</v>
      </c>
      <c r="V355" s="205">
        <f>'Inputs_BY INM'!V311</f>
        <v>306.04942129880482</v>
      </c>
      <c r="W355" s="205">
        <f>'Inputs_BY INM'!W311</f>
        <v>0</v>
      </c>
      <c r="X355" s="205">
        <f>'Inputs_BY INM'!X311</f>
        <v>0</v>
      </c>
      <c r="Y355" s="205">
        <f>'Inputs_BY INM'!Y311</f>
        <v>0</v>
      </c>
      <c r="Z355" s="205">
        <f>'Inputs_BY INM'!Z311</f>
        <v>0</v>
      </c>
      <c r="AA355" s="205">
        <f>'Inputs_BY INM'!AA311</f>
        <v>0</v>
      </c>
      <c r="AB355" s="205">
        <f>'Inputs_BY INM'!AB311</f>
        <v>0</v>
      </c>
      <c r="AC355" s="205">
        <f>'Inputs_BY INM'!AC311</f>
        <v>0</v>
      </c>
      <c r="AD355" s="205">
        <f>'Inputs_BY INM'!AD311</f>
        <v>0</v>
      </c>
      <c r="AE355" s="205">
        <f>'Inputs_BY INM'!AE311</f>
        <v>0</v>
      </c>
      <c r="AF355" s="205">
        <f>'Inputs_BY INM'!AF311</f>
        <v>0</v>
      </c>
    </row>
    <row r="356" spans="1:32" x14ac:dyDescent="0.25">
      <c r="A356" s="167" t="s">
        <v>424</v>
      </c>
      <c r="B356" s="167"/>
      <c r="C356" s="167" t="s">
        <v>120</v>
      </c>
      <c r="D356" s="167" t="s">
        <v>363</v>
      </c>
      <c r="E356" s="205">
        <f>'Inputs_BY INM'!E312</f>
        <v>19414</v>
      </c>
      <c r="F356" s="205">
        <f>'Inputs_BY INM'!F312</f>
        <v>0</v>
      </c>
      <c r="G356" s="205">
        <f>'Inputs_BY INM'!G312</f>
        <v>169.33927007541206</v>
      </c>
      <c r="H356" s="205">
        <f>'Inputs_BY INM'!H312</f>
        <v>1946.4510479789387</v>
      </c>
      <c r="I356" s="205">
        <f>'Inputs_BY INM'!I312</f>
        <v>0</v>
      </c>
      <c r="J356" s="205">
        <f>'Inputs_BY INM'!J312</f>
        <v>0</v>
      </c>
      <c r="K356" s="205">
        <f>'Inputs_BY INM'!K312</f>
        <v>0</v>
      </c>
      <c r="L356" s="205">
        <f>'Inputs_BY INM'!L312</f>
        <v>0</v>
      </c>
      <c r="M356" s="205">
        <f>'Inputs_BY INM'!M312</f>
        <v>0</v>
      </c>
      <c r="N356" s="205">
        <f>'Inputs_BY INM'!N312</f>
        <v>0</v>
      </c>
      <c r="O356" s="205">
        <f>'Inputs_BY INM'!O312</f>
        <v>0</v>
      </c>
      <c r="P356" s="205">
        <f>'Inputs_BY INM'!P312</f>
        <v>4942826.0295491498</v>
      </c>
      <c r="Q356" s="205">
        <f>'Inputs_BY INM'!Q312</f>
        <v>0</v>
      </c>
      <c r="R356" s="205">
        <f>'Inputs_BY INM'!R312</f>
        <v>0</v>
      </c>
      <c r="S356" s="205">
        <f>'Inputs_BY INM'!S312</f>
        <v>0</v>
      </c>
      <c r="T356" s="205">
        <f>'Inputs_BY INM'!T312</f>
        <v>0</v>
      </c>
      <c r="U356" s="205">
        <f>'Inputs_BY INM'!U312</f>
        <v>0</v>
      </c>
      <c r="V356" s="205">
        <f>'Inputs_BY INM'!V312</f>
        <v>444187.01366931538</v>
      </c>
      <c r="W356" s="205">
        <f>'Inputs_BY INM'!W312</f>
        <v>721565.60999474162</v>
      </c>
      <c r="X356" s="205">
        <f>'Inputs_BY INM'!X312</f>
        <v>0</v>
      </c>
      <c r="Y356" s="205">
        <f>'Inputs_BY INM'!Y312</f>
        <v>15494.224280255592</v>
      </c>
      <c r="Z356" s="205">
        <f>'Inputs_BY INM'!Z312</f>
        <v>0</v>
      </c>
      <c r="AA356" s="205">
        <f>'Inputs_BY INM'!AA312</f>
        <v>61654</v>
      </c>
      <c r="AB356" s="205">
        <f>'Inputs_BY INM'!AB312</f>
        <v>0</v>
      </c>
      <c r="AC356" s="205">
        <f>'Inputs_BY INM'!AC312</f>
        <v>0</v>
      </c>
      <c r="AD356" s="205">
        <f>'Inputs_BY INM'!AD312</f>
        <v>0</v>
      </c>
      <c r="AE356" s="205">
        <f>'Inputs_BY INM'!AE312</f>
        <v>0</v>
      </c>
      <c r="AF356" s="205">
        <f>'Inputs_BY INM'!AF312</f>
        <v>0</v>
      </c>
    </row>
    <row r="357" spans="1:32" x14ac:dyDescent="0.25">
      <c r="A357" s="167" t="s">
        <v>424</v>
      </c>
      <c r="B357" s="167"/>
      <c r="C357" s="167" t="s">
        <v>122</v>
      </c>
      <c r="D357" s="167" t="s">
        <v>363</v>
      </c>
      <c r="E357" s="205">
        <f>'Inputs_BY INM'!E313</f>
        <v>0</v>
      </c>
      <c r="F357" s="205">
        <f>'Inputs_BY INM'!F313</f>
        <v>0</v>
      </c>
      <c r="G357" s="205">
        <f>'Inputs_BY INM'!G313</f>
        <v>0</v>
      </c>
      <c r="H357" s="205">
        <f>'Inputs_BY INM'!H313</f>
        <v>0</v>
      </c>
      <c r="I357" s="205">
        <f>'Inputs_BY INM'!I313</f>
        <v>0</v>
      </c>
      <c r="J357" s="205">
        <f>'Inputs_BY INM'!J313</f>
        <v>0</v>
      </c>
      <c r="K357" s="205">
        <f>'Inputs_BY INM'!K313</f>
        <v>0</v>
      </c>
      <c r="L357" s="205">
        <f>'Inputs_BY INM'!L313</f>
        <v>0</v>
      </c>
      <c r="M357" s="205">
        <f>'Inputs_BY INM'!M313</f>
        <v>0</v>
      </c>
      <c r="N357" s="205">
        <f>'Inputs_BY INM'!N313</f>
        <v>0</v>
      </c>
      <c r="O357" s="205">
        <f>'Inputs_BY INM'!O313</f>
        <v>0</v>
      </c>
      <c r="P357" s="205">
        <f>'Inputs_BY INM'!P313</f>
        <v>0</v>
      </c>
      <c r="Q357" s="205">
        <f>'Inputs_BY INM'!Q313</f>
        <v>0</v>
      </c>
      <c r="R357" s="205">
        <f>'Inputs_BY INM'!R313</f>
        <v>0</v>
      </c>
      <c r="S357" s="205">
        <f>'Inputs_BY INM'!S313</f>
        <v>0</v>
      </c>
      <c r="T357" s="205">
        <f>'Inputs_BY INM'!T313</f>
        <v>0</v>
      </c>
      <c r="U357" s="205">
        <f>'Inputs_BY INM'!U313</f>
        <v>0</v>
      </c>
      <c r="V357" s="205">
        <f>'Inputs_BY INM'!V313</f>
        <v>0</v>
      </c>
      <c r="W357" s="205">
        <f>'Inputs_BY INM'!W313</f>
        <v>0</v>
      </c>
      <c r="X357" s="205">
        <f>'Inputs_BY INM'!X313</f>
        <v>0</v>
      </c>
      <c r="Y357" s="205">
        <f>'Inputs_BY INM'!Y313</f>
        <v>0</v>
      </c>
      <c r="Z357" s="205">
        <f>'Inputs_BY INM'!Z313</f>
        <v>0</v>
      </c>
      <c r="AA357" s="205">
        <f>'Inputs_BY INM'!AA313</f>
        <v>0</v>
      </c>
      <c r="AB357" s="205">
        <f>'Inputs_BY INM'!AB313</f>
        <v>0</v>
      </c>
      <c r="AC357" s="205">
        <f>'Inputs_BY INM'!AC313</f>
        <v>0</v>
      </c>
      <c r="AD357" s="205">
        <f>'Inputs_BY INM'!AD313</f>
        <v>0</v>
      </c>
      <c r="AE357" s="205">
        <f>'Inputs_BY INM'!AE313</f>
        <v>0</v>
      </c>
      <c r="AF357" s="205">
        <f>'Inputs_BY INM'!AF313</f>
        <v>0</v>
      </c>
    </row>
    <row r="358" spans="1:32" x14ac:dyDescent="0.25">
      <c r="A358" s="167" t="s">
        <v>424</v>
      </c>
      <c r="B358" s="167"/>
      <c r="C358" s="167" t="s">
        <v>124</v>
      </c>
      <c r="D358" s="167" t="s">
        <v>363</v>
      </c>
      <c r="E358" s="205">
        <f>'Inputs_BY INM'!E314</f>
        <v>0</v>
      </c>
      <c r="F358" s="205">
        <f>'Inputs_BY INM'!F314</f>
        <v>0</v>
      </c>
      <c r="G358" s="205">
        <f>'Inputs_BY INM'!G314</f>
        <v>0</v>
      </c>
      <c r="H358" s="205">
        <f>'Inputs_BY INM'!H314</f>
        <v>0</v>
      </c>
      <c r="I358" s="205">
        <f>'Inputs_BY INM'!I314</f>
        <v>0</v>
      </c>
      <c r="J358" s="205">
        <f>'Inputs_BY INM'!J314</f>
        <v>0</v>
      </c>
      <c r="K358" s="205">
        <f>'Inputs_BY INM'!K314</f>
        <v>0</v>
      </c>
      <c r="L358" s="205">
        <f>'Inputs_BY INM'!L314</f>
        <v>0</v>
      </c>
      <c r="M358" s="205">
        <f>'Inputs_BY INM'!M314</f>
        <v>0</v>
      </c>
      <c r="N358" s="205">
        <f>'Inputs_BY INM'!N314</f>
        <v>0</v>
      </c>
      <c r="O358" s="205">
        <f>'Inputs_BY INM'!O314</f>
        <v>0</v>
      </c>
      <c r="P358" s="205">
        <f>'Inputs_BY INM'!P314</f>
        <v>0</v>
      </c>
      <c r="Q358" s="205">
        <f>'Inputs_BY INM'!Q314</f>
        <v>0</v>
      </c>
      <c r="R358" s="205">
        <f>'Inputs_BY INM'!R314</f>
        <v>0</v>
      </c>
      <c r="S358" s="205">
        <f>'Inputs_BY INM'!S314</f>
        <v>0</v>
      </c>
      <c r="T358" s="205">
        <f>'Inputs_BY INM'!T314</f>
        <v>0</v>
      </c>
      <c r="U358" s="205">
        <f>'Inputs_BY INM'!U314</f>
        <v>0</v>
      </c>
      <c r="V358" s="205">
        <f>'Inputs_BY INM'!V314</f>
        <v>0</v>
      </c>
      <c r="W358" s="205">
        <f>'Inputs_BY INM'!W314</f>
        <v>0</v>
      </c>
      <c r="X358" s="205">
        <f>'Inputs_BY INM'!X314</f>
        <v>0</v>
      </c>
      <c r="Y358" s="205">
        <f>'Inputs_BY INM'!Y314</f>
        <v>1</v>
      </c>
      <c r="Z358" s="205">
        <f>'Inputs_BY INM'!Z314</f>
        <v>0</v>
      </c>
      <c r="AA358" s="205">
        <f>'Inputs_BY INM'!AA314</f>
        <v>0</v>
      </c>
      <c r="AB358" s="205">
        <f>'Inputs_BY INM'!AB314</f>
        <v>0</v>
      </c>
      <c r="AC358" s="205">
        <f>'Inputs_BY INM'!AC314</f>
        <v>0</v>
      </c>
      <c r="AD358" s="205">
        <f>'Inputs_BY INM'!AD314</f>
        <v>0</v>
      </c>
      <c r="AE358" s="205">
        <f>'Inputs_BY INM'!AE314</f>
        <v>0</v>
      </c>
      <c r="AF358" s="205">
        <f>'Inputs_BY INM'!AF314</f>
        <v>0</v>
      </c>
    </row>
    <row r="359" spans="1:32" x14ac:dyDescent="0.25">
      <c r="A359" s="167" t="s">
        <v>424</v>
      </c>
      <c r="B359" s="167"/>
      <c r="C359" s="167" t="s">
        <v>126</v>
      </c>
      <c r="D359" s="167" t="s">
        <v>363</v>
      </c>
      <c r="E359" s="205">
        <f>'Inputs_BY INM'!E315</f>
        <v>10792.689922484182</v>
      </c>
      <c r="F359" s="205">
        <f>'Inputs_BY INM'!F315</f>
        <v>11029.519291903714</v>
      </c>
      <c r="G359" s="205">
        <f>'Inputs_BY INM'!G315</f>
        <v>8792.5161937411303</v>
      </c>
      <c r="H359" s="205">
        <f>'Inputs_BY INM'!H315</f>
        <v>423.06931045411147</v>
      </c>
      <c r="I359" s="205">
        <f>'Inputs_BY INM'!I315</f>
        <v>0</v>
      </c>
      <c r="J359" s="205">
        <f>'Inputs_BY INM'!J315</f>
        <v>1165.4375765434052</v>
      </c>
      <c r="K359" s="205">
        <f>'Inputs_BY INM'!K315</f>
        <v>3293.2183845197578</v>
      </c>
      <c r="L359" s="205">
        <f>'Inputs_BY INM'!L315</f>
        <v>36498.913514248954</v>
      </c>
      <c r="M359" s="205">
        <f>'Inputs_BY INM'!M315</f>
        <v>2048.8602026406152</v>
      </c>
      <c r="N359" s="205">
        <f>'Inputs_BY INM'!N315</f>
        <v>0</v>
      </c>
      <c r="O359" s="205">
        <f>'Inputs_BY INM'!O315</f>
        <v>0</v>
      </c>
      <c r="P359" s="205">
        <f>'Inputs_BY INM'!P315</f>
        <v>969959.05376968172</v>
      </c>
      <c r="Q359" s="205">
        <f>'Inputs_BY INM'!Q315</f>
        <v>0</v>
      </c>
      <c r="R359" s="205">
        <f>'Inputs_BY INM'!R315</f>
        <v>0</v>
      </c>
      <c r="S359" s="205">
        <f>'Inputs_BY INM'!S315</f>
        <v>0</v>
      </c>
      <c r="T359" s="205">
        <f>'Inputs_BY INM'!T315</f>
        <v>0</v>
      </c>
      <c r="U359" s="205">
        <f>'Inputs_BY INM'!U315</f>
        <v>0</v>
      </c>
      <c r="V359" s="205">
        <f>'Inputs_BY INM'!V315</f>
        <v>64736.805736910668</v>
      </c>
      <c r="W359" s="205">
        <f>'Inputs_BY INM'!W315</f>
        <v>125251.57593029141</v>
      </c>
      <c r="X359" s="205">
        <f>'Inputs_BY INM'!X315</f>
        <v>0</v>
      </c>
      <c r="Y359" s="205">
        <f>'Inputs_BY INM'!Y315</f>
        <v>7572.6802054207001</v>
      </c>
      <c r="Z359" s="205">
        <f>'Inputs_BY INM'!Z315</f>
        <v>0</v>
      </c>
      <c r="AA359" s="205">
        <f>'Inputs_BY INM'!AA315</f>
        <v>64782.627556349456</v>
      </c>
      <c r="AB359" s="205">
        <f>'Inputs_BY INM'!AB315</f>
        <v>0</v>
      </c>
      <c r="AC359" s="205">
        <f>'Inputs_BY INM'!AC315</f>
        <v>9464.3120083397316</v>
      </c>
      <c r="AD359" s="205">
        <f>'Inputs_BY INM'!AD315</f>
        <v>0</v>
      </c>
      <c r="AE359" s="205">
        <f>'Inputs_BY INM'!AE315</f>
        <v>0</v>
      </c>
      <c r="AF359" s="205">
        <f>'Inputs_BY INM'!AF315</f>
        <v>0</v>
      </c>
    </row>
    <row r="360" spans="1:32" x14ac:dyDescent="0.25">
      <c r="A360" s="167" t="s">
        <v>424</v>
      </c>
      <c r="B360" s="167"/>
      <c r="C360" s="167" t="s">
        <v>128</v>
      </c>
      <c r="D360" s="167" t="s">
        <v>363</v>
      </c>
      <c r="E360" s="205">
        <f>'Inputs_BY INM'!E316</f>
        <v>1542.8510550913829</v>
      </c>
      <c r="F360" s="205">
        <f>'Inputs_BY INM'!F316</f>
        <v>44532.649620599463</v>
      </c>
      <c r="G360" s="205">
        <f>'Inputs_BY INM'!G316</f>
        <v>0</v>
      </c>
      <c r="H360" s="205">
        <f>'Inputs_BY INM'!H316</f>
        <v>747.29477917650001</v>
      </c>
      <c r="I360" s="205">
        <f>'Inputs_BY INM'!I316</f>
        <v>0</v>
      </c>
      <c r="J360" s="205">
        <f>'Inputs_BY INM'!J316</f>
        <v>0</v>
      </c>
      <c r="K360" s="205">
        <f>'Inputs_BY INM'!K316</f>
        <v>0</v>
      </c>
      <c r="L360" s="205">
        <f>'Inputs_BY INM'!L316</f>
        <v>0</v>
      </c>
      <c r="M360" s="205">
        <f>'Inputs_BY INM'!M316</f>
        <v>0</v>
      </c>
      <c r="N360" s="205">
        <f>'Inputs_BY INM'!N316</f>
        <v>0</v>
      </c>
      <c r="O360" s="205">
        <f>'Inputs_BY INM'!O316</f>
        <v>0</v>
      </c>
      <c r="P360" s="205">
        <f>'Inputs_BY INM'!P316</f>
        <v>0</v>
      </c>
      <c r="Q360" s="205">
        <f>'Inputs_BY INM'!Q316</f>
        <v>0</v>
      </c>
      <c r="R360" s="205">
        <f>'Inputs_BY INM'!R316</f>
        <v>0</v>
      </c>
      <c r="S360" s="205">
        <f>'Inputs_BY INM'!S316</f>
        <v>0</v>
      </c>
      <c r="T360" s="205">
        <f>'Inputs_BY INM'!T316</f>
        <v>0</v>
      </c>
      <c r="U360" s="205">
        <f>'Inputs_BY INM'!U316</f>
        <v>0</v>
      </c>
      <c r="V360" s="205">
        <f>'Inputs_BY INM'!V316</f>
        <v>52174.139440462917</v>
      </c>
      <c r="W360" s="205">
        <f>'Inputs_BY INM'!W316</f>
        <v>0</v>
      </c>
      <c r="X360" s="205">
        <f>'Inputs_BY INM'!X316</f>
        <v>0</v>
      </c>
      <c r="Y360" s="205">
        <f>'Inputs_BY INM'!Y316</f>
        <v>34993.451938456594</v>
      </c>
      <c r="Z360" s="205">
        <f>'Inputs_BY INM'!Z316</f>
        <v>0</v>
      </c>
      <c r="AA360" s="205">
        <f>'Inputs_BY INM'!AA316</f>
        <v>390627.09430436027</v>
      </c>
      <c r="AB360" s="205">
        <f>'Inputs_BY INM'!AB316</f>
        <v>0</v>
      </c>
      <c r="AC360" s="205">
        <f>'Inputs_BY INM'!AC316</f>
        <v>40629.551615588149</v>
      </c>
      <c r="AD360" s="205">
        <f>'Inputs_BY INM'!AD316</f>
        <v>0</v>
      </c>
      <c r="AE360" s="205">
        <f>'Inputs_BY INM'!AE316</f>
        <v>0</v>
      </c>
      <c r="AF360" s="205">
        <f>'Inputs_BY INM'!AF316</f>
        <v>0</v>
      </c>
    </row>
    <row r="361" spans="1:32" x14ac:dyDescent="0.25">
      <c r="A361" s="167" t="s">
        <v>424</v>
      </c>
      <c r="B361" s="167"/>
      <c r="C361" s="167" t="s">
        <v>130</v>
      </c>
      <c r="D361" s="167" t="s">
        <v>363</v>
      </c>
      <c r="E361" s="205">
        <f>'Inputs_BY INM'!E317</f>
        <v>0</v>
      </c>
      <c r="F361" s="205">
        <f>'Inputs_BY INM'!F317</f>
        <v>0</v>
      </c>
      <c r="G361" s="205">
        <f>'Inputs_BY INM'!G317</f>
        <v>0</v>
      </c>
      <c r="H361" s="205">
        <f>'Inputs_BY INM'!H317</f>
        <v>0</v>
      </c>
      <c r="I361" s="205">
        <f>'Inputs_BY INM'!I317</f>
        <v>0</v>
      </c>
      <c r="J361" s="205">
        <f>'Inputs_BY INM'!J317</f>
        <v>0</v>
      </c>
      <c r="K361" s="205">
        <f>'Inputs_BY INM'!K317</f>
        <v>0</v>
      </c>
      <c r="L361" s="205">
        <f>'Inputs_BY INM'!L317</f>
        <v>0</v>
      </c>
      <c r="M361" s="205">
        <f>'Inputs_BY INM'!M317</f>
        <v>0</v>
      </c>
      <c r="N361" s="205">
        <f>'Inputs_BY INM'!N317</f>
        <v>0</v>
      </c>
      <c r="O361" s="205">
        <f>'Inputs_BY INM'!O317</f>
        <v>0</v>
      </c>
      <c r="P361" s="205">
        <f>'Inputs_BY INM'!P317</f>
        <v>0</v>
      </c>
      <c r="Q361" s="205">
        <f>'Inputs_BY INM'!Q317</f>
        <v>0</v>
      </c>
      <c r="R361" s="205">
        <f>'Inputs_BY INM'!R317</f>
        <v>0</v>
      </c>
      <c r="S361" s="205">
        <f>'Inputs_BY INM'!S317</f>
        <v>0</v>
      </c>
      <c r="T361" s="205">
        <f>'Inputs_BY INM'!T317</f>
        <v>0</v>
      </c>
      <c r="U361" s="205">
        <f>'Inputs_BY INM'!U317</f>
        <v>0</v>
      </c>
      <c r="V361" s="205">
        <f>'Inputs_BY INM'!V317</f>
        <v>0</v>
      </c>
      <c r="W361" s="205">
        <f>'Inputs_BY INM'!W317</f>
        <v>0</v>
      </c>
      <c r="X361" s="205">
        <f>'Inputs_BY INM'!X317</f>
        <v>0</v>
      </c>
      <c r="Y361" s="205">
        <f>'Inputs_BY INM'!Y317</f>
        <v>0</v>
      </c>
      <c r="Z361" s="205">
        <f>'Inputs_BY INM'!Z317</f>
        <v>0</v>
      </c>
      <c r="AA361" s="205">
        <f>'Inputs_BY INM'!AA317</f>
        <v>0</v>
      </c>
      <c r="AB361" s="205">
        <f>'Inputs_BY INM'!AB317</f>
        <v>0</v>
      </c>
      <c r="AC361" s="205">
        <f>'Inputs_BY INM'!AC317</f>
        <v>0</v>
      </c>
      <c r="AD361" s="205">
        <f>'Inputs_BY INM'!AD317</f>
        <v>0</v>
      </c>
      <c r="AE361" s="205">
        <f>'Inputs_BY INM'!AE317</f>
        <v>0</v>
      </c>
      <c r="AF361" s="205">
        <f>'Inputs_BY INM'!AF317</f>
        <v>0</v>
      </c>
    </row>
    <row r="362" spans="1:32" x14ac:dyDescent="0.25">
      <c r="A362" s="167" t="s">
        <v>424</v>
      </c>
      <c r="B362" s="167"/>
      <c r="C362" s="167" t="s">
        <v>132</v>
      </c>
      <c r="D362" s="167" t="s">
        <v>363</v>
      </c>
      <c r="E362" s="205">
        <f>'Inputs_BY INM'!E318</f>
        <v>0</v>
      </c>
      <c r="F362" s="205">
        <f>'Inputs_BY INM'!F318</f>
        <v>1091.4577453460925</v>
      </c>
      <c r="G362" s="205">
        <f>'Inputs_BY INM'!G318</f>
        <v>0</v>
      </c>
      <c r="H362" s="205">
        <f>'Inputs_BY INM'!H318</f>
        <v>0</v>
      </c>
      <c r="I362" s="205">
        <f>'Inputs_BY INM'!I318</f>
        <v>0</v>
      </c>
      <c r="J362" s="205">
        <f>'Inputs_BY INM'!J318</f>
        <v>0</v>
      </c>
      <c r="K362" s="205">
        <f>'Inputs_BY INM'!K318</f>
        <v>0</v>
      </c>
      <c r="L362" s="205">
        <f>'Inputs_BY INM'!L318</f>
        <v>0</v>
      </c>
      <c r="M362" s="205">
        <f>'Inputs_BY INM'!M318</f>
        <v>0</v>
      </c>
      <c r="N362" s="205">
        <f>'Inputs_BY INM'!N318</f>
        <v>0</v>
      </c>
      <c r="O362" s="205">
        <f>'Inputs_BY INM'!O318</f>
        <v>0</v>
      </c>
      <c r="P362" s="205">
        <f>'Inputs_BY INM'!P318</f>
        <v>0</v>
      </c>
      <c r="Q362" s="205">
        <f>'Inputs_BY INM'!Q318</f>
        <v>0</v>
      </c>
      <c r="R362" s="205">
        <f>'Inputs_BY INM'!R318</f>
        <v>0</v>
      </c>
      <c r="S362" s="205">
        <f>'Inputs_BY INM'!S318</f>
        <v>0</v>
      </c>
      <c r="T362" s="205">
        <f>'Inputs_BY INM'!T318</f>
        <v>0</v>
      </c>
      <c r="U362" s="205">
        <f>'Inputs_BY INM'!U318</f>
        <v>0</v>
      </c>
      <c r="V362" s="205">
        <f>'Inputs_BY INM'!V318</f>
        <v>21394.311926983119</v>
      </c>
      <c r="W362" s="205">
        <f>'Inputs_BY INM'!W318</f>
        <v>0</v>
      </c>
      <c r="X362" s="205">
        <f>'Inputs_BY INM'!X318</f>
        <v>0</v>
      </c>
      <c r="Y362" s="205">
        <f>'Inputs_BY INM'!Y318</f>
        <v>609.86853454490642</v>
      </c>
      <c r="Z362" s="205">
        <f>'Inputs_BY INM'!Z318</f>
        <v>0</v>
      </c>
      <c r="AA362" s="205">
        <f>'Inputs_BY INM'!AA318</f>
        <v>0</v>
      </c>
      <c r="AB362" s="205">
        <f>'Inputs_BY INM'!AB318</f>
        <v>0</v>
      </c>
      <c r="AC362" s="205">
        <f>'Inputs_BY INM'!AC318</f>
        <v>0</v>
      </c>
      <c r="AD362" s="205">
        <f>'Inputs_BY INM'!AD318</f>
        <v>0</v>
      </c>
      <c r="AE362" s="205">
        <f>'Inputs_BY INM'!AE318</f>
        <v>0</v>
      </c>
      <c r="AF362" s="205">
        <f>'Inputs_BY INM'!AF318</f>
        <v>0</v>
      </c>
    </row>
    <row r="363" spans="1:32" x14ac:dyDescent="0.25">
      <c r="A363" s="167" t="s">
        <v>424</v>
      </c>
      <c r="B363" s="167"/>
      <c r="C363" s="167" t="s">
        <v>134</v>
      </c>
      <c r="D363" s="167" t="s">
        <v>363</v>
      </c>
      <c r="E363" s="205">
        <f>'Inputs_BY INM'!E319</f>
        <v>18447.108058521109</v>
      </c>
      <c r="F363" s="205">
        <f>'Inputs_BY INM'!F319</f>
        <v>25727.008709858099</v>
      </c>
      <c r="G363" s="205">
        <f>'Inputs_BY INM'!G319</f>
        <v>32757.556738731204</v>
      </c>
      <c r="H363" s="205">
        <f>'Inputs_BY INM'!H319</f>
        <v>90.296338859901198</v>
      </c>
      <c r="I363" s="205">
        <f>'Inputs_BY INM'!I319</f>
        <v>0</v>
      </c>
      <c r="J363" s="205">
        <f>'Inputs_BY INM'!J319</f>
        <v>0</v>
      </c>
      <c r="K363" s="205">
        <f>'Inputs_BY INM'!K319</f>
        <v>0</v>
      </c>
      <c r="L363" s="205">
        <f>'Inputs_BY INM'!L319</f>
        <v>0</v>
      </c>
      <c r="M363" s="205">
        <f>'Inputs_BY INM'!M319</f>
        <v>0</v>
      </c>
      <c r="N363" s="205">
        <f>'Inputs_BY INM'!N319</f>
        <v>0</v>
      </c>
      <c r="O363" s="205">
        <f>'Inputs_BY INM'!O319</f>
        <v>0</v>
      </c>
      <c r="P363" s="205">
        <f>'Inputs_BY INM'!P319</f>
        <v>0</v>
      </c>
      <c r="Q363" s="205">
        <f>'Inputs_BY INM'!Q319</f>
        <v>0</v>
      </c>
      <c r="R363" s="205">
        <f>'Inputs_BY INM'!R319</f>
        <v>0</v>
      </c>
      <c r="S363" s="205">
        <f>'Inputs_BY INM'!S319</f>
        <v>0</v>
      </c>
      <c r="T363" s="205">
        <f>'Inputs_BY INM'!T319</f>
        <v>0</v>
      </c>
      <c r="U363" s="205">
        <f>'Inputs_BY INM'!U319</f>
        <v>0</v>
      </c>
      <c r="V363" s="205">
        <f>'Inputs_BY INM'!V319</f>
        <v>45987.568995637077</v>
      </c>
      <c r="W363" s="205">
        <f>'Inputs_BY INM'!W319</f>
        <v>84890.071764087261</v>
      </c>
      <c r="X363" s="205">
        <f>'Inputs_BY INM'!X319</f>
        <v>0</v>
      </c>
      <c r="Y363" s="205">
        <f>'Inputs_BY INM'!Y319</f>
        <v>25204.269258007647</v>
      </c>
      <c r="Z363" s="205">
        <f>'Inputs_BY INM'!Z319</f>
        <v>0</v>
      </c>
      <c r="AA363" s="205">
        <f>'Inputs_BY INM'!AA319</f>
        <v>0</v>
      </c>
      <c r="AB363" s="205">
        <f>'Inputs_BY INM'!AB319</f>
        <v>0</v>
      </c>
      <c r="AC363" s="205">
        <f>'Inputs_BY INM'!AC319</f>
        <v>17412.664978109209</v>
      </c>
      <c r="AD363" s="205">
        <f>'Inputs_BY INM'!AD319</f>
        <v>0</v>
      </c>
      <c r="AE363" s="205">
        <f>'Inputs_BY INM'!AE319</f>
        <v>0</v>
      </c>
      <c r="AF363" s="205">
        <f>'Inputs_BY INM'!AF319</f>
        <v>0</v>
      </c>
    </row>
    <row r="364" spans="1:32" x14ac:dyDescent="0.25">
      <c r="A364" s="167" t="s">
        <v>424</v>
      </c>
      <c r="B364" s="167"/>
      <c r="C364" s="167" t="s">
        <v>1701</v>
      </c>
      <c r="D364" s="167" t="s">
        <v>363</v>
      </c>
      <c r="E364" s="205">
        <f>'Inputs_BY INM'!E320</f>
        <v>0</v>
      </c>
      <c r="F364" s="205">
        <f>'Inputs_BY INM'!F320</f>
        <v>0</v>
      </c>
      <c r="G364" s="205">
        <f>'Inputs_BY INM'!G320</f>
        <v>0</v>
      </c>
      <c r="H364" s="205">
        <f>'Inputs_BY INM'!H320</f>
        <v>0</v>
      </c>
      <c r="I364" s="205">
        <f>'Inputs_BY INM'!I320</f>
        <v>0</v>
      </c>
      <c r="J364" s="205">
        <f>'Inputs_BY INM'!J320</f>
        <v>0</v>
      </c>
      <c r="K364" s="205">
        <f>'Inputs_BY INM'!K320</f>
        <v>0</v>
      </c>
      <c r="L364" s="205">
        <f>'Inputs_BY INM'!L320</f>
        <v>0</v>
      </c>
      <c r="M364" s="205">
        <f>'Inputs_BY INM'!M320</f>
        <v>0</v>
      </c>
      <c r="N364" s="205">
        <f>'Inputs_BY INM'!N320</f>
        <v>0</v>
      </c>
      <c r="O364" s="205">
        <f>'Inputs_BY INM'!O320</f>
        <v>0</v>
      </c>
      <c r="P364" s="205">
        <f>'Inputs_BY INM'!P320</f>
        <v>0</v>
      </c>
      <c r="Q364" s="205">
        <f>'Inputs_BY INM'!Q320</f>
        <v>0</v>
      </c>
      <c r="R364" s="205">
        <f>'Inputs_BY INM'!R320</f>
        <v>0</v>
      </c>
      <c r="S364" s="205">
        <f>'Inputs_BY INM'!S320</f>
        <v>-10</v>
      </c>
      <c r="T364" s="205">
        <f>'Inputs_BY INM'!T320</f>
        <v>0</v>
      </c>
      <c r="U364" s="205">
        <f>'Inputs_BY INM'!U320</f>
        <v>0</v>
      </c>
      <c r="V364" s="205">
        <f>'Inputs_BY INM'!V320</f>
        <v>0</v>
      </c>
      <c r="W364" s="205">
        <f>'Inputs_BY INM'!W320</f>
        <v>0</v>
      </c>
      <c r="X364" s="205">
        <f>'Inputs_BY INM'!X320</f>
        <v>0</v>
      </c>
      <c r="Y364" s="205">
        <f>'Inputs_BY INM'!Y320</f>
        <v>0</v>
      </c>
      <c r="Z364" s="205">
        <f>'Inputs_BY INM'!Z320</f>
        <v>0</v>
      </c>
      <c r="AA364" s="205">
        <f>'Inputs_BY INM'!AA320</f>
        <v>0</v>
      </c>
      <c r="AB364" s="205">
        <f>'Inputs_BY INM'!AB320</f>
        <v>0</v>
      </c>
      <c r="AC364" s="205">
        <f>'Inputs_BY INM'!AC320</f>
        <v>0</v>
      </c>
      <c r="AD364" s="205">
        <f>'Inputs_BY INM'!AD320</f>
        <v>0</v>
      </c>
      <c r="AE364" s="205">
        <f>'Inputs_BY INM'!AE320</f>
        <v>0</v>
      </c>
      <c r="AF364" s="205">
        <f>'Inputs_BY INM'!AF320</f>
        <v>0</v>
      </c>
    </row>
    <row r="365" spans="1:32" x14ac:dyDescent="0.25">
      <c r="A365" s="167" t="s">
        <v>424</v>
      </c>
      <c r="B365" s="167"/>
      <c r="C365" s="167" t="s">
        <v>137</v>
      </c>
      <c r="D365" s="167" t="s">
        <v>363</v>
      </c>
      <c r="E365" s="205">
        <f>'Inputs_BY INM'!E321</f>
        <v>0</v>
      </c>
      <c r="F365" s="205">
        <f>'Inputs_BY INM'!F321</f>
        <v>0</v>
      </c>
      <c r="G365" s="205">
        <f>'Inputs_BY INM'!G321</f>
        <v>0</v>
      </c>
      <c r="H365" s="205">
        <f>'Inputs_BY INM'!H321</f>
        <v>0</v>
      </c>
      <c r="I365" s="205">
        <f>'Inputs_BY INM'!I321</f>
        <v>0</v>
      </c>
      <c r="J365" s="205">
        <f>'Inputs_BY INM'!J321</f>
        <v>0</v>
      </c>
      <c r="K365" s="205">
        <f>'Inputs_BY INM'!K321</f>
        <v>0</v>
      </c>
      <c r="L365" s="205">
        <f>'Inputs_BY INM'!L321</f>
        <v>0</v>
      </c>
      <c r="M365" s="205">
        <f>'Inputs_BY INM'!M321</f>
        <v>0</v>
      </c>
      <c r="N365" s="205">
        <f>'Inputs_BY INM'!N321</f>
        <v>0</v>
      </c>
      <c r="O365" s="205">
        <f>'Inputs_BY INM'!O321</f>
        <v>0</v>
      </c>
      <c r="P365" s="205">
        <f>'Inputs_BY INM'!P321</f>
        <v>0</v>
      </c>
      <c r="Q365" s="205">
        <f>'Inputs_BY INM'!Q321</f>
        <v>0</v>
      </c>
      <c r="R365" s="205">
        <f>'Inputs_BY INM'!R321</f>
        <v>0</v>
      </c>
      <c r="S365" s="205">
        <f>'Inputs_BY INM'!S321</f>
        <v>0</v>
      </c>
      <c r="T365" s="205">
        <f>'Inputs_BY INM'!T321</f>
        <v>0</v>
      </c>
      <c r="U365" s="205">
        <f>'Inputs_BY INM'!U321</f>
        <v>0</v>
      </c>
      <c r="V365" s="205">
        <f>'Inputs_BY INM'!V321</f>
        <v>0</v>
      </c>
      <c r="W365" s="205">
        <f>'Inputs_BY INM'!W321</f>
        <v>0</v>
      </c>
      <c r="X365" s="205">
        <f>'Inputs_BY INM'!X321</f>
        <v>0</v>
      </c>
      <c r="Y365" s="205">
        <f>'Inputs_BY INM'!Y321</f>
        <v>0</v>
      </c>
      <c r="Z365" s="205">
        <f>'Inputs_BY INM'!Z321</f>
        <v>0</v>
      </c>
      <c r="AA365" s="205">
        <f>'Inputs_BY INM'!AA321</f>
        <v>0</v>
      </c>
      <c r="AB365" s="205">
        <f>'Inputs_BY INM'!AB321</f>
        <v>0</v>
      </c>
      <c r="AC365" s="205">
        <f>'Inputs_BY INM'!AC321</f>
        <v>0</v>
      </c>
      <c r="AD365" s="205">
        <f>'Inputs_BY INM'!AD321</f>
        <v>0</v>
      </c>
      <c r="AE365" s="205">
        <f>'Inputs_BY INM'!AE321</f>
        <v>0</v>
      </c>
      <c r="AF365" s="205">
        <f>'Inputs_BY INM'!AF321</f>
        <v>0</v>
      </c>
    </row>
    <row r="366" spans="1:32" x14ac:dyDescent="0.25">
      <c r="A366" s="167" t="s">
        <v>424</v>
      </c>
      <c r="B366" s="167"/>
      <c r="C366" s="167" t="s">
        <v>139</v>
      </c>
      <c r="D366" s="167" t="s">
        <v>363</v>
      </c>
      <c r="E366" s="205">
        <f>'Inputs_BY INM'!E322</f>
        <v>0</v>
      </c>
      <c r="F366" s="205">
        <f>'Inputs_BY INM'!F322</f>
        <v>0</v>
      </c>
      <c r="G366" s="205">
        <f>'Inputs_BY INM'!G322</f>
        <v>0</v>
      </c>
      <c r="H366" s="205">
        <f>'Inputs_BY INM'!H322</f>
        <v>0</v>
      </c>
      <c r="I366" s="205">
        <f>'Inputs_BY INM'!I322</f>
        <v>0</v>
      </c>
      <c r="J366" s="205">
        <f>'Inputs_BY INM'!J322</f>
        <v>0</v>
      </c>
      <c r="K366" s="205">
        <f>'Inputs_BY INM'!K322</f>
        <v>0</v>
      </c>
      <c r="L366" s="205">
        <f>'Inputs_BY INM'!L322</f>
        <v>0</v>
      </c>
      <c r="M366" s="205">
        <f>'Inputs_BY INM'!M322</f>
        <v>0</v>
      </c>
      <c r="N366" s="205">
        <f>'Inputs_BY INM'!N322</f>
        <v>0</v>
      </c>
      <c r="O366" s="205">
        <f>'Inputs_BY INM'!O322</f>
        <v>0</v>
      </c>
      <c r="P366" s="205">
        <f>'Inputs_BY INM'!P322</f>
        <v>0</v>
      </c>
      <c r="Q366" s="205">
        <f>'Inputs_BY INM'!Q322</f>
        <v>0</v>
      </c>
      <c r="R366" s="205">
        <f>'Inputs_BY INM'!R322</f>
        <v>0</v>
      </c>
      <c r="S366" s="205">
        <f>'Inputs_BY INM'!S322</f>
        <v>0</v>
      </c>
      <c r="T366" s="205">
        <f>'Inputs_BY INM'!T322</f>
        <v>0</v>
      </c>
      <c r="U366" s="205">
        <f>'Inputs_BY INM'!U322</f>
        <v>0</v>
      </c>
      <c r="V366" s="205">
        <f>'Inputs_BY INM'!V322</f>
        <v>0</v>
      </c>
      <c r="W366" s="205">
        <f>'Inputs_BY INM'!W322</f>
        <v>0</v>
      </c>
      <c r="X366" s="205">
        <f>'Inputs_BY INM'!X322</f>
        <v>0</v>
      </c>
      <c r="Y366" s="205">
        <f>'Inputs_BY INM'!Y322</f>
        <v>28.31532481815637</v>
      </c>
      <c r="Z366" s="205">
        <f>'Inputs_BY INM'!Z322</f>
        <v>0</v>
      </c>
      <c r="AA366" s="205">
        <f>'Inputs_BY INM'!AA322</f>
        <v>0</v>
      </c>
      <c r="AB366" s="205">
        <f>'Inputs_BY INM'!AB322</f>
        <v>0</v>
      </c>
      <c r="AC366" s="205">
        <f>'Inputs_BY INM'!AC322</f>
        <v>0</v>
      </c>
      <c r="AD366" s="205">
        <f>'Inputs_BY INM'!AD322</f>
        <v>0</v>
      </c>
      <c r="AE366" s="205">
        <f>'Inputs_BY INM'!AE322</f>
        <v>0</v>
      </c>
      <c r="AF366" s="205">
        <f>'Inputs_BY INM'!AF322</f>
        <v>0</v>
      </c>
    </row>
    <row r="367" spans="1:32" x14ac:dyDescent="0.25">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c r="AD367" s="167"/>
      <c r="AE367" s="167"/>
      <c r="AF367" s="167"/>
    </row>
    <row r="368" spans="1:32" x14ac:dyDescent="0.25">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c r="AD368" s="167"/>
      <c r="AE368" s="167"/>
      <c r="AF368" s="167"/>
    </row>
    <row r="369" spans="1:32" x14ac:dyDescent="0.25">
      <c r="A369" s="167" t="s">
        <v>425</v>
      </c>
      <c r="B369" s="167"/>
      <c r="C369" s="167" t="s">
        <v>113</v>
      </c>
      <c r="D369" s="167" t="s">
        <v>363</v>
      </c>
      <c r="E369" s="205">
        <f>INF_BY!BW5*1000*-1</f>
        <v>0</v>
      </c>
      <c r="F369" s="205">
        <f>INF_BY!BX5*1000*-1</f>
        <v>0</v>
      </c>
      <c r="G369" s="205">
        <f>INF_BY!BY5*1000*-1</f>
        <v>0</v>
      </c>
      <c r="H369" s="205">
        <f>INF_BY!BZ5*1000*-1</f>
        <v>0</v>
      </c>
      <c r="I369" s="205">
        <f>INF_BY!CA5*1000*-1</f>
        <v>0</v>
      </c>
      <c r="J369" s="205">
        <f>INF_BY!CB5*1000*-1</f>
        <v>0</v>
      </c>
      <c r="K369" s="205">
        <f>INF_BY!CC5*1000*-1</f>
        <v>0</v>
      </c>
      <c r="L369" s="205">
        <f>INF_BY!CD5*1000*-1</f>
        <v>0</v>
      </c>
      <c r="M369" s="205">
        <f>INF_BY!CE5*1000*-1</f>
        <v>0</v>
      </c>
      <c r="N369" s="205">
        <f>INF_BY!CF5*1000*-1</f>
        <v>0</v>
      </c>
      <c r="O369" s="205">
        <f>INF_BY!CG5*1000*-1</f>
        <v>0</v>
      </c>
      <c r="P369" s="205">
        <f>INF_BY!CH5*1000*-1</f>
        <v>0</v>
      </c>
      <c r="Q369" s="205">
        <f>INF_BY!CI5*1000*-1</f>
        <v>0</v>
      </c>
      <c r="R369" s="205">
        <f>INF_BY!CJ5*1000*-1</f>
        <v>0</v>
      </c>
      <c r="S369" s="205">
        <f>INF_BY!CK5*1000*-1</f>
        <v>0</v>
      </c>
      <c r="T369" s="205">
        <f>INF_BY!CL5*1000*-1</f>
        <v>0</v>
      </c>
      <c r="U369" s="205">
        <f>INF_BY!CM5*1000*-1</f>
        <v>0</v>
      </c>
      <c r="V369" s="205">
        <f>INF_BY!CN5*1000*-1</f>
        <v>0</v>
      </c>
      <c r="W369" s="205">
        <f>INF_BY!CO5*1000*-1</f>
        <v>0</v>
      </c>
      <c r="X369" s="205">
        <f>INF_BY!CP5*1000*-1</f>
        <v>0</v>
      </c>
      <c r="Y369" s="205">
        <f>INF_BY!CQ5*1000*-1</f>
        <v>0</v>
      </c>
      <c r="Z369" s="205">
        <f>INF_BY!CR5*1000*-1</f>
        <v>0</v>
      </c>
      <c r="AA369" s="205">
        <f>INF_BY!CS5*1000*-1</f>
        <v>0</v>
      </c>
      <c r="AB369" s="205">
        <f>INF_BY!CT5*1000*-1</f>
        <v>0</v>
      </c>
      <c r="AC369" s="205">
        <f>INF_BY!CU5*1000*-1</f>
        <v>0</v>
      </c>
      <c r="AD369" s="205">
        <f>INF_BY!CV5*1000*-1</f>
        <v>0</v>
      </c>
      <c r="AE369" s="205">
        <f>INF_BY!CW5*1000*-1</f>
        <v>0</v>
      </c>
      <c r="AF369" s="205">
        <f>INF_BY!CX5*1000*-1</f>
        <v>0</v>
      </c>
    </row>
    <row r="370" spans="1:32" x14ac:dyDescent="0.25">
      <c r="A370" s="167" t="s">
        <v>425</v>
      </c>
      <c r="B370" s="167"/>
      <c r="C370" s="167" t="s">
        <v>115</v>
      </c>
      <c r="D370" s="167" t="s">
        <v>363</v>
      </c>
      <c r="E370" s="205">
        <f>INF_BY!BW6*1000*-1</f>
        <v>0</v>
      </c>
      <c r="F370" s="205">
        <f>INF_BY!BX6*1000*-1</f>
        <v>0</v>
      </c>
      <c r="G370" s="205">
        <f>INF_BY!BY6*1000*-1</f>
        <v>0</v>
      </c>
      <c r="H370" s="205">
        <f>INF_BY!BZ6*1000*-1</f>
        <v>0</v>
      </c>
      <c r="I370" s="205">
        <f>INF_BY!CA6*1000*-1</f>
        <v>0</v>
      </c>
      <c r="J370" s="205">
        <f>INF_BY!CB6*1000*-1</f>
        <v>0</v>
      </c>
      <c r="K370" s="205">
        <f>INF_BY!CC6*1000*-1</f>
        <v>0</v>
      </c>
      <c r="L370" s="205">
        <f>INF_BY!CD6*1000*-1</f>
        <v>0</v>
      </c>
      <c r="M370" s="205">
        <f>INF_BY!CE6*1000*-1</f>
        <v>0</v>
      </c>
      <c r="N370" s="205">
        <f>INF_BY!CF6*1000*-1</f>
        <v>0</v>
      </c>
      <c r="O370" s="205">
        <f>INF_BY!CG6*1000*-1</f>
        <v>0</v>
      </c>
      <c r="P370" s="205">
        <f>INF_BY!CH6*1000*-1</f>
        <v>0</v>
      </c>
      <c r="Q370" s="205">
        <f>INF_BY!CI6*1000*-1</f>
        <v>0</v>
      </c>
      <c r="R370" s="205">
        <f>INF_BY!CJ6*1000*-1</f>
        <v>0</v>
      </c>
      <c r="S370" s="205">
        <f>INF_BY!CK6*1000*-1</f>
        <v>0</v>
      </c>
      <c r="T370" s="205">
        <f>INF_BY!CL6*1000*-1</f>
        <v>0</v>
      </c>
      <c r="U370" s="205">
        <f>INF_BY!CM6*1000*-1</f>
        <v>0</v>
      </c>
      <c r="V370" s="205">
        <f>INF_BY!CN6*1000*-1</f>
        <v>0</v>
      </c>
      <c r="W370" s="205">
        <f>INF_BY!CO6*1000*-1</f>
        <v>0</v>
      </c>
      <c r="X370" s="205">
        <f>INF_BY!CP6*1000*-1</f>
        <v>0</v>
      </c>
      <c r="Y370" s="205">
        <f>INF_BY!CQ6*1000*-1</f>
        <v>0</v>
      </c>
      <c r="Z370" s="205">
        <f>INF_BY!CR6*1000*-1</f>
        <v>0</v>
      </c>
      <c r="AA370" s="205">
        <f>INF_BY!CS6*1000*-1</f>
        <v>0</v>
      </c>
      <c r="AB370" s="205">
        <f>INF_BY!CT6*1000*-1</f>
        <v>0</v>
      </c>
      <c r="AC370" s="205">
        <f>INF_BY!CU6*1000*-1</f>
        <v>0</v>
      </c>
      <c r="AD370" s="205">
        <f>INF_BY!CV6*1000*-1</f>
        <v>0</v>
      </c>
      <c r="AE370" s="205">
        <f>INF_BY!CW6*1000*-1</f>
        <v>0</v>
      </c>
      <c r="AF370" s="205">
        <f>INF_BY!CX6*1000*-1</f>
        <v>0</v>
      </c>
    </row>
    <row r="371" spans="1:32" x14ac:dyDescent="0.25">
      <c r="A371" s="167" t="s">
        <v>425</v>
      </c>
      <c r="B371" s="167"/>
      <c r="C371" s="167" t="s">
        <v>117</v>
      </c>
      <c r="D371" s="167" t="s">
        <v>363</v>
      </c>
      <c r="E371" s="205">
        <f>INF_BY!BW7*1000*-1</f>
        <v>0</v>
      </c>
      <c r="F371" s="205">
        <f>INF_BY!BX7*1000*-1</f>
        <v>0</v>
      </c>
      <c r="G371" s="205">
        <f>INF_BY!BY7*1000*-1</f>
        <v>0</v>
      </c>
      <c r="H371" s="205">
        <f>INF_BY!BZ7*1000*-1</f>
        <v>0</v>
      </c>
      <c r="I371" s="205">
        <f>INF_BY!CA7*1000*-1</f>
        <v>0</v>
      </c>
      <c r="J371" s="205">
        <f>INF_BY!CB7*1000*-1</f>
        <v>0</v>
      </c>
      <c r="K371" s="205">
        <f>INF_BY!CC7*1000*-1</f>
        <v>0</v>
      </c>
      <c r="L371" s="205">
        <f>INF_BY!CD7*1000*-1</f>
        <v>0</v>
      </c>
      <c r="M371" s="205">
        <f>INF_BY!CE7*1000*-1</f>
        <v>0</v>
      </c>
      <c r="N371" s="205">
        <f>INF_BY!CF7*1000*-1</f>
        <v>0</v>
      </c>
      <c r="O371" s="205">
        <f>INF_BY!CG7*1000*-1</f>
        <v>0</v>
      </c>
      <c r="P371" s="205">
        <f>INF_BY!CH7*1000*-1</f>
        <v>0</v>
      </c>
      <c r="Q371" s="205">
        <f>INF_BY!CI7*1000*-1</f>
        <v>0</v>
      </c>
      <c r="R371" s="205">
        <f>INF_BY!CJ7*1000*-1</f>
        <v>0</v>
      </c>
      <c r="S371" s="205">
        <f>INF_BY!CK7*1000*-1</f>
        <v>0</v>
      </c>
      <c r="T371" s="205">
        <f>INF_BY!CL7*1000*-1</f>
        <v>0</v>
      </c>
      <c r="U371" s="205">
        <f>INF_BY!CM7*1000*-1</f>
        <v>0</v>
      </c>
      <c r="V371" s="205">
        <f>INF_BY!CN7*1000*-1</f>
        <v>0</v>
      </c>
      <c r="W371" s="205">
        <f>INF_BY!CO7*1000*-1</f>
        <v>0</v>
      </c>
      <c r="X371" s="205">
        <f>INF_BY!CP7*1000*-1</f>
        <v>0</v>
      </c>
      <c r="Y371" s="205">
        <f>INF_BY!CQ7*1000*-1</f>
        <v>0</v>
      </c>
      <c r="Z371" s="205">
        <f>INF_BY!CR7*1000*-1</f>
        <v>0</v>
      </c>
      <c r="AA371" s="205">
        <f>INF_BY!CS7*1000*-1</f>
        <v>0</v>
      </c>
      <c r="AB371" s="205">
        <f>INF_BY!CT7*1000*-1</f>
        <v>0</v>
      </c>
      <c r="AC371" s="205">
        <f>INF_BY!CU7*1000*-1</f>
        <v>0</v>
      </c>
      <c r="AD371" s="205">
        <f>INF_BY!CV7*1000*-1</f>
        <v>0</v>
      </c>
      <c r="AE371" s="205">
        <f>INF_BY!CW7*1000*-1</f>
        <v>0</v>
      </c>
      <c r="AF371" s="205">
        <f>INF_BY!CX7*1000*-1</f>
        <v>0</v>
      </c>
    </row>
    <row r="372" spans="1:32" x14ac:dyDescent="0.25">
      <c r="A372" s="167" t="s">
        <v>425</v>
      </c>
      <c r="B372" s="167"/>
      <c r="C372" s="167" t="s">
        <v>119</v>
      </c>
      <c r="D372" s="167" t="s">
        <v>363</v>
      </c>
      <c r="E372" s="205">
        <f>INF_BY!BW8*1000*-1</f>
        <v>0</v>
      </c>
      <c r="F372" s="205">
        <f>INF_BY!BX8*1000*-1</f>
        <v>0</v>
      </c>
      <c r="G372" s="205">
        <f>INF_BY!BY8*1000*-1</f>
        <v>0</v>
      </c>
      <c r="H372" s="205">
        <f>INF_BY!BZ8*1000*-1</f>
        <v>0</v>
      </c>
      <c r="I372" s="205">
        <f>INF_BY!CA8*1000*-1</f>
        <v>0</v>
      </c>
      <c r="J372" s="205">
        <f>INF_BY!CB8*1000*-1</f>
        <v>0</v>
      </c>
      <c r="K372" s="205">
        <f>INF_BY!CC8*1000*-1</f>
        <v>0</v>
      </c>
      <c r="L372" s="205">
        <f>INF_BY!CD8*1000*-1</f>
        <v>0</v>
      </c>
      <c r="M372" s="205">
        <f>INF_BY!CE8*1000*-1</f>
        <v>0</v>
      </c>
      <c r="N372" s="205">
        <f>INF_BY!CF8*1000*-1</f>
        <v>0</v>
      </c>
      <c r="O372" s="205">
        <f>INF_BY!CG8*1000*-1</f>
        <v>0</v>
      </c>
      <c r="P372" s="205">
        <f>INF_BY!CH8*1000*-1</f>
        <v>0</v>
      </c>
      <c r="Q372" s="205">
        <f>INF_BY!CI8*1000*-1</f>
        <v>0</v>
      </c>
      <c r="R372" s="205">
        <f>INF_BY!CJ8*1000*-1</f>
        <v>0</v>
      </c>
      <c r="S372" s="205">
        <f>INF_BY!CK8*1000*-1</f>
        <v>0</v>
      </c>
      <c r="T372" s="205">
        <f>INF_BY!CL8*1000*-1</f>
        <v>0</v>
      </c>
      <c r="U372" s="205">
        <f>INF_BY!CM8*1000*-1</f>
        <v>0</v>
      </c>
      <c r="V372" s="205">
        <f>INF_BY!CN8*1000*-1</f>
        <v>0</v>
      </c>
      <c r="W372" s="205">
        <f>INF_BY!CO8*1000*-1</f>
        <v>0</v>
      </c>
      <c r="X372" s="205">
        <f>INF_BY!CP8*1000*-1</f>
        <v>0</v>
      </c>
      <c r="Y372" s="205">
        <f>INF_BY!CQ8*1000*-1</f>
        <v>0</v>
      </c>
      <c r="Z372" s="205">
        <f>INF_BY!CR8*1000*-1</f>
        <v>0</v>
      </c>
      <c r="AA372" s="205">
        <f>INF_BY!CS8*1000*-1</f>
        <v>0</v>
      </c>
      <c r="AB372" s="205">
        <f>INF_BY!CT8*1000*-1</f>
        <v>0</v>
      </c>
      <c r="AC372" s="205">
        <f>INF_BY!CU8*1000*-1</f>
        <v>0</v>
      </c>
      <c r="AD372" s="205">
        <f>INF_BY!CV8*1000*-1</f>
        <v>0</v>
      </c>
      <c r="AE372" s="205">
        <f>INF_BY!CW8*1000*-1</f>
        <v>0</v>
      </c>
      <c r="AF372" s="205">
        <f>INF_BY!CX8*1000*-1</f>
        <v>0</v>
      </c>
    </row>
    <row r="373" spans="1:32" x14ac:dyDescent="0.25">
      <c r="A373" s="167" t="s">
        <v>425</v>
      </c>
      <c r="B373" s="167"/>
      <c r="C373" s="167" t="s">
        <v>120</v>
      </c>
      <c r="D373" s="167" t="s">
        <v>363</v>
      </c>
      <c r="E373" s="205">
        <f>INF_BY!BW9*1000*-1</f>
        <v>0</v>
      </c>
      <c r="F373" s="205">
        <f>INF_BY!BX9*1000*-1</f>
        <v>0</v>
      </c>
      <c r="G373" s="205">
        <f>INF_BY!BY9*1000*-1</f>
        <v>1378.6607299245879</v>
      </c>
      <c r="H373" s="205">
        <f>INF_BY!BZ9*1000*-1</f>
        <v>0</v>
      </c>
      <c r="I373" s="205">
        <f>INF_BY!CA9*1000*-1</f>
        <v>0</v>
      </c>
      <c r="J373" s="205">
        <f>INF_BY!CB9*1000*-1</f>
        <v>0</v>
      </c>
      <c r="K373" s="205">
        <f>INF_BY!CC9*1000*-1</f>
        <v>9194.9946519322075</v>
      </c>
      <c r="L373" s="205">
        <f>INF_BY!CD9*1000*-1</f>
        <v>0</v>
      </c>
      <c r="M373" s="205">
        <f>INF_BY!CE9*1000*-1</f>
        <v>0</v>
      </c>
      <c r="N373" s="205">
        <f>INF_BY!CF9*1000*-1</f>
        <v>0</v>
      </c>
      <c r="O373" s="205">
        <f>INF_BY!CG9*1000*-1</f>
        <v>0</v>
      </c>
      <c r="P373" s="205">
        <f>INF_BY!CH9*1000*-1</f>
        <v>594712.83341535169</v>
      </c>
      <c r="Q373" s="205">
        <f>INF_BY!CI9*1000*-1</f>
        <v>0</v>
      </c>
      <c r="R373" s="205">
        <f>INF_BY!CJ9*1000*-1</f>
        <v>0</v>
      </c>
      <c r="S373" s="205">
        <f>INF_BY!CK9*1000*-1</f>
        <v>0</v>
      </c>
      <c r="T373" s="205">
        <f>INF_BY!CL9*1000*-1</f>
        <v>0</v>
      </c>
      <c r="U373" s="205">
        <f>INF_BY!CM9*1000*-1</f>
        <v>0</v>
      </c>
      <c r="V373" s="205">
        <f>INF_BY!CN9*1000*-1</f>
        <v>3178.4193637680651</v>
      </c>
      <c r="W373" s="205">
        <f>INF_BY!CO9*1000*-1</f>
        <v>48206.02701714899</v>
      </c>
      <c r="X373" s="205">
        <f>INF_BY!CP9*1000*-1</f>
        <v>0</v>
      </c>
      <c r="Y373" s="205">
        <f>INF_BY!CQ9*1000*-1</f>
        <v>2085.7757197444062</v>
      </c>
      <c r="Z373" s="205">
        <f>INF_BY!CR9*1000*-1</f>
        <v>0</v>
      </c>
      <c r="AA373" s="205">
        <f>INF_BY!CS9*1000*-1</f>
        <v>0</v>
      </c>
      <c r="AB373" s="205">
        <f>INF_BY!CT9*1000*-1</f>
        <v>0</v>
      </c>
      <c r="AC373" s="205">
        <f>INF_BY!CU9*1000*-1</f>
        <v>0</v>
      </c>
      <c r="AD373" s="205">
        <f>INF_BY!CV9*1000*-1</f>
        <v>0</v>
      </c>
      <c r="AE373" s="205">
        <f>INF_BY!CW9*1000*-1</f>
        <v>0</v>
      </c>
      <c r="AF373" s="205">
        <f>INF_BY!CX9*1000*-1</f>
        <v>0</v>
      </c>
    </row>
    <row r="374" spans="1:32" x14ac:dyDescent="0.25">
      <c r="A374" s="167" t="s">
        <v>425</v>
      </c>
      <c r="B374" s="167"/>
      <c r="C374" s="167" t="s">
        <v>122</v>
      </c>
      <c r="D374" s="167" t="s">
        <v>363</v>
      </c>
      <c r="E374" s="205">
        <f>INF_BY!BW10*1000*-1</f>
        <v>0</v>
      </c>
      <c r="F374" s="205">
        <f>INF_BY!BX10*1000*-1</f>
        <v>0</v>
      </c>
      <c r="G374" s="205">
        <f>INF_BY!BY10*1000*-1</f>
        <v>0</v>
      </c>
      <c r="H374" s="205">
        <f>INF_BY!BZ10*1000*-1</f>
        <v>0</v>
      </c>
      <c r="I374" s="205">
        <f>INF_BY!CA10*1000*-1</f>
        <v>0</v>
      </c>
      <c r="J374" s="205">
        <f>INF_BY!CB10*1000*-1</f>
        <v>0</v>
      </c>
      <c r="K374" s="205">
        <f>INF_BY!CC10*1000*-1</f>
        <v>0</v>
      </c>
      <c r="L374" s="205">
        <f>INF_BY!CD10*1000*-1</f>
        <v>0</v>
      </c>
      <c r="M374" s="205">
        <f>INF_BY!CE10*1000*-1</f>
        <v>0</v>
      </c>
      <c r="N374" s="205">
        <f>INF_BY!CF10*1000*-1</f>
        <v>0</v>
      </c>
      <c r="O374" s="205">
        <f>INF_BY!CG10*1000*-1</f>
        <v>0</v>
      </c>
      <c r="P374" s="205">
        <f>INF_BY!CH10*1000*-1</f>
        <v>0</v>
      </c>
      <c r="Q374" s="205">
        <f>INF_BY!CI10*1000*-1</f>
        <v>0</v>
      </c>
      <c r="R374" s="205">
        <f>INF_BY!CJ10*1000*-1</f>
        <v>0</v>
      </c>
      <c r="S374" s="205">
        <f>INF_BY!CK10*1000*-1</f>
        <v>0</v>
      </c>
      <c r="T374" s="205">
        <f>INF_BY!CL10*1000*-1</f>
        <v>0</v>
      </c>
      <c r="U374" s="205">
        <f>INF_BY!CM10*1000*-1</f>
        <v>0</v>
      </c>
      <c r="V374" s="205">
        <f>INF_BY!CN10*1000*-1</f>
        <v>0</v>
      </c>
      <c r="W374" s="205">
        <f>INF_BY!CO10*1000*-1</f>
        <v>0</v>
      </c>
      <c r="X374" s="205">
        <f>INF_BY!CP10*1000*-1</f>
        <v>0</v>
      </c>
      <c r="Y374" s="205">
        <f>INF_BY!CQ10*1000*-1</f>
        <v>0</v>
      </c>
      <c r="Z374" s="205">
        <f>INF_BY!CR10*1000*-1</f>
        <v>0</v>
      </c>
      <c r="AA374" s="205">
        <f>INF_BY!CS10*1000*-1</f>
        <v>0</v>
      </c>
      <c r="AB374" s="205">
        <f>INF_BY!CT10*1000*-1</f>
        <v>0</v>
      </c>
      <c r="AC374" s="205">
        <f>INF_BY!CU10*1000*-1</f>
        <v>0</v>
      </c>
      <c r="AD374" s="205">
        <f>INF_BY!CV10*1000*-1</f>
        <v>0</v>
      </c>
      <c r="AE374" s="205">
        <f>INF_BY!CW10*1000*-1</f>
        <v>0</v>
      </c>
      <c r="AF374" s="205">
        <f>INF_BY!CX10*1000*-1</f>
        <v>0</v>
      </c>
    </row>
    <row r="375" spans="1:32" x14ac:dyDescent="0.25">
      <c r="A375" s="167" t="s">
        <v>425</v>
      </c>
      <c r="B375" s="167"/>
      <c r="C375" s="167" t="s">
        <v>124</v>
      </c>
      <c r="D375" s="167" t="s">
        <v>363</v>
      </c>
      <c r="E375" s="205">
        <f>INF_BY!BW11*1000*-1</f>
        <v>0</v>
      </c>
      <c r="F375" s="205">
        <f>INF_BY!BX11*1000*-1</f>
        <v>0</v>
      </c>
      <c r="G375" s="205">
        <f>INF_BY!BY11*1000*-1</f>
        <v>0</v>
      </c>
      <c r="H375" s="205">
        <f>INF_BY!BZ11*1000*-1</f>
        <v>0</v>
      </c>
      <c r="I375" s="205">
        <f>INF_BY!CA11*1000*-1</f>
        <v>0</v>
      </c>
      <c r="J375" s="205">
        <f>INF_BY!CB11*1000*-1</f>
        <v>0</v>
      </c>
      <c r="K375" s="205">
        <f>INF_BY!CC11*1000*-1</f>
        <v>0</v>
      </c>
      <c r="L375" s="205">
        <f>INF_BY!CD11*1000*-1</f>
        <v>0</v>
      </c>
      <c r="M375" s="205">
        <f>INF_BY!CE11*1000*-1</f>
        <v>0</v>
      </c>
      <c r="N375" s="205">
        <f>INF_BY!CF11*1000*-1</f>
        <v>0</v>
      </c>
      <c r="O375" s="205">
        <f>INF_BY!CG11*1000*-1</f>
        <v>0</v>
      </c>
      <c r="P375" s="205">
        <f>INF_BY!CH11*1000*-1</f>
        <v>0</v>
      </c>
      <c r="Q375" s="205">
        <f>INF_BY!CI11*1000*-1</f>
        <v>0</v>
      </c>
      <c r="R375" s="205">
        <f>INF_BY!CJ11*1000*-1</f>
        <v>0</v>
      </c>
      <c r="S375" s="205">
        <f>INF_BY!CK11*1000*-1</f>
        <v>0</v>
      </c>
      <c r="T375" s="205">
        <f>INF_BY!CL11*1000*-1</f>
        <v>0</v>
      </c>
      <c r="U375" s="205">
        <f>INF_BY!CM11*1000*-1</f>
        <v>0</v>
      </c>
      <c r="V375" s="205">
        <f>INF_BY!CN11*1000*-1</f>
        <v>0</v>
      </c>
      <c r="W375" s="205">
        <f>INF_BY!CO11*1000*-1</f>
        <v>0</v>
      </c>
      <c r="X375" s="205">
        <f>INF_BY!CP11*1000*-1</f>
        <v>0</v>
      </c>
      <c r="Y375" s="205">
        <f>INF_BY!CQ11*1000*-1</f>
        <v>0</v>
      </c>
      <c r="Z375" s="205">
        <f>INF_BY!CR11*1000*-1</f>
        <v>0</v>
      </c>
      <c r="AA375" s="205">
        <f>INF_BY!CS11*1000*-1</f>
        <v>0</v>
      </c>
      <c r="AB375" s="205">
        <f>INF_BY!CT11*1000*-1</f>
        <v>0</v>
      </c>
      <c r="AC375" s="205">
        <f>INF_BY!CU11*1000*-1</f>
        <v>0</v>
      </c>
      <c r="AD375" s="205">
        <f>INF_BY!CV11*1000*-1</f>
        <v>0</v>
      </c>
      <c r="AE375" s="205">
        <f>INF_BY!CW11*1000*-1</f>
        <v>0</v>
      </c>
      <c r="AF375" s="205">
        <f>INF_BY!CX11*1000*-1</f>
        <v>0</v>
      </c>
    </row>
    <row r="376" spans="1:32" x14ac:dyDescent="0.25">
      <c r="A376" s="167" t="s">
        <v>425</v>
      </c>
      <c r="B376" s="167"/>
      <c r="C376" s="167" t="s">
        <v>126</v>
      </c>
      <c r="D376" s="167" t="s">
        <v>363</v>
      </c>
      <c r="E376" s="205">
        <f>INF_BY!BW12*1000*-1</f>
        <v>0</v>
      </c>
      <c r="F376" s="205">
        <f>INF_BY!BX12*1000*-1</f>
        <v>12171.627972300801</v>
      </c>
      <c r="G376" s="205">
        <f>INF_BY!BY12*1000*-1</f>
        <v>372.73390721990387</v>
      </c>
      <c r="H376" s="205">
        <f>INF_BY!BZ12*1000*-1</f>
        <v>0</v>
      </c>
      <c r="I376" s="205">
        <f>INF_BY!CA12*1000*-1</f>
        <v>0</v>
      </c>
      <c r="J376" s="205">
        <f>INF_BY!CB12*1000*-1</f>
        <v>0</v>
      </c>
      <c r="K376" s="205">
        <f>INF_BY!CC12*1000*-1</f>
        <v>34654.772472377874</v>
      </c>
      <c r="L376" s="205">
        <f>INF_BY!CD12*1000*-1</f>
        <v>0</v>
      </c>
      <c r="M376" s="205">
        <f>INF_BY!CE12*1000*-1</f>
        <v>0</v>
      </c>
      <c r="N376" s="205">
        <f>INF_BY!CF12*1000*-1</f>
        <v>0</v>
      </c>
      <c r="O376" s="205">
        <f>INF_BY!CG12*1000*-1</f>
        <v>0</v>
      </c>
      <c r="P376" s="205">
        <f>INF_BY!CH12*1000*-1</f>
        <v>1793641.9831276194</v>
      </c>
      <c r="Q376" s="205">
        <f>INF_BY!CI12*1000*-1</f>
        <v>0</v>
      </c>
      <c r="R376" s="205">
        <f>INF_BY!CJ12*1000*-1</f>
        <v>0</v>
      </c>
      <c r="S376" s="205">
        <f>INF_BY!CK12*1000*-1</f>
        <v>0</v>
      </c>
      <c r="T376" s="205">
        <f>INF_BY!CL12*1000*-1</f>
        <v>0</v>
      </c>
      <c r="U376" s="205">
        <f>INF_BY!CM12*1000*-1</f>
        <v>0</v>
      </c>
      <c r="V376" s="205">
        <f>INF_BY!CN12*1000*-1</f>
        <v>13734.791432813316</v>
      </c>
      <c r="W376" s="205">
        <f>INF_BY!CO12*1000*-1</f>
        <v>208681.56611379562</v>
      </c>
      <c r="X376" s="205">
        <f>INF_BY!CP12*1000*-1</f>
        <v>0</v>
      </c>
      <c r="Y376" s="205">
        <f>INF_BY!CQ12*1000*-1</f>
        <v>2922.4345862560313</v>
      </c>
      <c r="Z376" s="205">
        <f>INF_BY!CR12*1000*-1</f>
        <v>0</v>
      </c>
      <c r="AA376" s="205">
        <f>INF_BY!CS12*1000*-1</f>
        <v>309072.15620502812</v>
      </c>
      <c r="AB376" s="205">
        <f>INF_BY!CT12*1000*-1</f>
        <v>0</v>
      </c>
      <c r="AC376" s="205">
        <f>INF_BY!CU12*1000*-1</f>
        <v>0</v>
      </c>
      <c r="AD376" s="205">
        <f>INF_BY!CV12*1000*-1</f>
        <v>0</v>
      </c>
      <c r="AE376" s="205">
        <f>INF_BY!CW12*1000*-1</f>
        <v>0</v>
      </c>
      <c r="AF376" s="205">
        <f>INF_BY!CX12*1000*-1</f>
        <v>0</v>
      </c>
    </row>
    <row r="377" spans="1:32" x14ac:dyDescent="0.25">
      <c r="A377" s="167" t="s">
        <v>425</v>
      </c>
      <c r="B377" s="167"/>
      <c r="C377" s="167" t="s">
        <v>128</v>
      </c>
      <c r="D377" s="167" t="s">
        <v>363</v>
      </c>
      <c r="E377" s="205">
        <f>INF_BY!BW13*1000*-1</f>
        <v>0</v>
      </c>
      <c r="F377" s="205">
        <f>INF_BY!BX13*1000*-1</f>
        <v>5890.8540211963318</v>
      </c>
      <c r="G377" s="205">
        <f>INF_BY!BY13*1000*-1</f>
        <v>884.06761551737725</v>
      </c>
      <c r="H377" s="205">
        <f>INF_BY!BZ13*1000*-1</f>
        <v>8379.180067251189</v>
      </c>
      <c r="I377" s="205">
        <f>INF_BY!CA13*1000*-1</f>
        <v>0</v>
      </c>
      <c r="J377" s="205">
        <f>INF_BY!CB13*1000*-1</f>
        <v>0</v>
      </c>
      <c r="K377" s="205">
        <f>INF_BY!CC13*1000*-1</f>
        <v>741.81295190191759</v>
      </c>
      <c r="L377" s="205">
        <f>INF_BY!CD13*1000*-1</f>
        <v>0</v>
      </c>
      <c r="M377" s="205">
        <f>INF_BY!CE13*1000*-1</f>
        <v>0</v>
      </c>
      <c r="N377" s="205">
        <f>INF_BY!CF13*1000*-1</f>
        <v>0</v>
      </c>
      <c r="O377" s="205">
        <f>INF_BY!CG13*1000*-1</f>
        <v>0</v>
      </c>
      <c r="P377" s="205">
        <f>INF_BY!CH13*1000*-1</f>
        <v>111179.97764439849</v>
      </c>
      <c r="Q377" s="205">
        <f>INF_BY!CI13*1000*-1</f>
        <v>0</v>
      </c>
      <c r="R377" s="205">
        <f>INF_BY!CJ13*1000*-1</f>
        <v>28965.953353194807</v>
      </c>
      <c r="S377" s="205">
        <f>INF_BY!CK13*1000*-1</f>
        <v>0</v>
      </c>
      <c r="T377" s="205">
        <f>INF_BY!CL13*1000*-1</f>
        <v>0</v>
      </c>
      <c r="U377" s="205">
        <f>INF_BY!CM13*1000*-1</f>
        <v>0</v>
      </c>
      <c r="V377" s="205">
        <f>INF_BY!CN13*1000*-1</f>
        <v>113.07764853819553</v>
      </c>
      <c r="W377" s="205">
        <f>INF_BY!CO13*1000*-1</f>
        <v>3929.4482867022944</v>
      </c>
      <c r="X377" s="205">
        <f>INF_BY!CP13*1000*-1</f>
        <v>0</v>
      </c>
      <c r="Y377" s="205">
        <f>INF_BY!CQ13*1000*-1</f>
        <v>0</v>
      </c>
      <c r="Z377" s="205">
        <f>INF_BY!CR13*1000*-1</f>
        <v>0</v>
      </c>
      <c r="AA377" s="205">
        <f>INF_BY!CS13*1000*-1</f>
        <v>119445.67068203165</v>
      </c>
      <c r="AB377" s="205">
        <f>INF_BY!CT13*1000*-1</f>
        <v>28.269412134548883</v>
      </c>
      <c r="AC377" s="205">
        <f>INF_BY!CU13*1000*-1</f>
        <v>0</v>
      </c>
      <c r="AD377" s="205">
        <f>INF_BY!CV13*1000*-1</f>
        <v>32221.412513234129</v>
      </c>
      <c r="AE377" s="205">
        <f>INF_BY!CW13*1000*-1</f>
        <v>0</v>
      </c>
      <c r="AF377" s="205">
        <f>INF_BY!CX13*1000*-1</f>
        <v>0</v>
      </c>
    </row>
    <row r="378" spans="1:32" x14ac:dyDescent="0.25">
      <c r="A378" s="167" t="s">
        <v>425</v>
      </c>
      <c r="B378" s="167"/>
      <c r="C378" s="167" t="s">
        <v>130</v>
      </c>
      <c r="D378" s="167" t="s">
        <v>363</v>
      </c>
      <c r="E378" s="205">
        <f>INF_BY!BW14*1000*-1</f>
        <v>0</v>
      </c>
      <c r="F378" s="205">
        <f>INF_BY!BX14*1000*-1</f>
        <v>0</v>
      </c>
      <c r="G378" s="205">
        <f>INF_BY!BY14*1000*-1</f>
        <v>0</v>
      </c>
      <c r="H378" s="205">
        <f>INF_BY!BZ14*1000*-1</f>
        <v>0</v>
      </c>
      <c r="I378" s="205">
        <f>INF_BY!CA14*1000*-1</f>
        <v>0</v>
      </c>
      <c r="J378" s="205">
        <f>INF_BY!CB14*1000*-1</f>
        <v>0</v>
      </c>
      <c r="K378" s="205">
        <f>INF_BY!CC14*1000*-1</f>
        <v>0</v>
      </c>
      <c r="L378" s="205">
        <f>INF_BY!CD14*1000*-1</f>
        <v>0</v>
      </c>
      <c r="M378" s="205">
        <f>INF_BY!CE14*1000*-1</f>
        <v>0</v>
      </c>
      <c r="N378" s="205">
        <f>INF_BY!CF14*1000*-1</f>
        <v>0</v>
      </c>
      <c r="O378" s="205">
        <f>INF_BY!CG14*1000*-1</f>
        <v>0</v>
      </c>
      <c r="P378" s="205">
        <f>INF_BY!CH14*1000*-1</f>
        <v>0</v>
      </c>
      <c r="Q378" s="205">
        <f>INF_BY!CI14*1000*-1</f>
        <v>0</v>
      </c>
      <c r="R378" s="205">
        <f>INF_BY!CJ14*1000*-1</f>
        <v>0</v>
      </c>
      <c r="S378" s="205">
        <f>INF_BY!CK14*1000*-1</f>
        <v>0</v>
      </c>
      <c r="T378" s="205">
        <f>INF_BY!CL14*1000*-1</f>
        <v>0</v>
      </c>
      <c r="U378" s="205">
        <f>INF_BY!CM14*1000*-1</f>
        <v>0</v>
      </c>
      <c r="V378" s="205">
        <f>INF_BY!CN14*1000*-1</f>
        <v>0</v>
      </c>
      <c r="W378" s="205">
        <f>INF_BY!CO14*1000*-1</f>
        <v>0</v>
      </c>
      <c r="X378" s="205">
        <f>INF_BY!CP14*1000*-1</f>
        <v>0</v>
      </c>
      <c r="Y378" s="205">
        <f>INF_BY!CQ14*1000*-1</f>
        <v>0</v>
      </c>
      <c r="Z378" s="205">
        <f>INF_BY!CR14*1000*-1</f>
        <v>0</v>
      </c>
      <c r="AA378" s="205">
        <f>INF_BY!CS14*1000*-1</f>
        <v>0</v>
      </c>
      <c r="AB378" s="205">
        <f>INF_BY!CT14*1000*-1</f>
        <v>0</v>
      </c>
      <c r="AC378" s="205">
        <f>INF_BY!CU14*1000*-1</f>
        <v>0</v>
      </c>
      <c r="AD378" s="205">
        <f>INF_BY!CV14*1000*-1</f>
        <v>0</v>
      </c>
      <c r="AE378" s="205">
        <f>INF_BY!CW14*1000*-1</f>
        <v>0</v>
      </c>
      <c r="AF378" s="205">
        <f>INF_BY!CX14*1000*-1</f>
        <v>0</v>
      </c>
    </row>
    <row r="379" spans="1:32" x14ac:dyDescent="0.25">
      <c r="A379" s="167" t="s">
        <v>425</v>
      </c>
      <c r="B379" s="167"/>
      <c r="C379" s="167" t="s">
        <v>132</v>
      </c>
      <c r="D379" s="167" t="s">
        <v>363</v>
      </c>
      <c r="E379" s="205">
        <f>INF_BY!BW15*1000*-1</f>
        <v>0</v>
      </c>
      <c r="F379" s="205">
        <f>INF_BY!BX15*1000*-1</f>
        <v>0</v>
      </c>
      <c r="G379" s="205">
        <f>INF_BY!BY15*1000*-1</f>
        <v>0</v>
      </c>
      <c r="H379" s="205">
        <f>INF_BY!BZ15*1000*-1</f>
        <v>0</v>
      </c>
      <c r="I379" s="205">
        <f>INF_BY!CA15*1000*-1</f>
        <v>0</v>
      </c>
      <c r="J379" s="205">
        <f>INF_BY!CB15*1000*-1</f>
        <v>0</v>
      </c>
      <c r="K379" s="205">
        <f>INF_BY!CC15*1000*-1</f>
        <v>0</v>
      </c>
      <c r="L379" s="205">
        <f>INF_BY!CD15*1000*-1</f>
        <v>0</v>
      </c>
      <c r="M379" s="205">
        <f>INF_BY!CE15*1000*-1</f>
        <v>0</v>
      </c>
      <c r="N379" s="205">
        <f>INF_BY!CF15*1000*-1</f>
        <v>0</v>
      </c>
      <c r="O379" s="205">
        <f>INF_BY!CG15*1000*-1</f>
        <v>0</v>
      </c>
      <c r="P379" s="205">
        <f>INF_BY!CH15*1000*-1</f>
        <v>0</v>
      </c>
      <c r="Q379" s="205">
        <f>INF_BY!CI15*1000*-1</f>
        <v>0</v>
      </c>
      <c r="R379" s="205">
        <f>INF_BY!CJ15*1000*-1</f>
        <v>0</v>
      </c>
      <c r="S379" s="205">
        <f>INF_BY!CK15*1000*-1</f>
        <v>0</v>
      </c>
      <c r="T379" s="205">
        <f>INF_BY!CL15*1000*-1</f>
        <v>0</v>
      </c>
      <c r="U379" s="205">
        <f>INF_BY!CM15*1000*-1</f>
        <v>0</v>
      </c>
      <c r="V379" s="205">
        <f>INF_BY!CN15*1000*-1</f>
        <v>0</v>
      </c>
      <c r="W379" s="205">
        <f>INF_BY!CO15*1000*-1</f>
        <v>0</v>
      </c>
      <c r="X379" s="205">
        <f>INF_BY!CP15*1000*-1</f>
        <v>0</v>
      </c>
      <c r="Y379" s="205">
        <f>INF_BY!CQ15*1000*-1</f>
        <v>0</v>
      </c>
      <c r="Z379" s="205">
        <f>INF_BY!CR15*1000*-1</f>
        <v>0</v>
      </c>
      <c r="AA379" s="205">
        <f>INF_BY!CS15*1000*-1</f>
        <v>0</v>
      </c>
      <c r="AB379" s="205">
        <f>INF_BY!CT15*1000*-1</f>
        <v>0</v>
      </c>
      <c r="AC379" s="205">
        <f>INF_BY!CU15*1000*-1</f>
        <v>0</v>
      </c>
      <c r="AD379" s="205">
        <f>INF_BY!CV15*1000*-1</f>
        <v>0</v>
      </c>
      <c r="AE379" s="205">
        <f>INF_BY!CW15*1000*-1</f>
        <v>0</v>
      </c>
      <c r="AF379" s="205">
        <f>INF_BY!CX15*1000*-1</f>
        <v>0</v>
      </c>
    </row>
    <row r="380" spans="1:32" x14ac:dyDescent="0.25">
      <c r="A380" s="167" t="s">
        <v>425</v>
      </c>
      <c r="B380" s="167"/>
      <c r="C380" s="167" t="s">
        <v>134</v>
      </c>
      <c r="D380" s="167" t="s">
        <v>363</v>
      </c>
      <c r="E380" s="205">
        <f>INF_BY!BW16*1000*-1</f>
        <v>0</v>
      </c>
      <c r="F380" s="205">
        <f>INF_BY!BX16*1000*-1</f>
        <v>0</v>
      </c>
      <c r="G380" s="205">
        <f>INF_BY!BY16*1000*-1</f>
        <v>0</v>
      </c>
      <c r="H380" s="205">
        <f>INF_BY!BZ16*1000*-1</f>
        <v>821.56106150454548</v>
      </c>
      <c r="I380" s="205">
        <f>INF_BY!CA16*1000*-1</f>
        <v>0</v>
      </c>
      <c r="J380" s="205">
        <f>INF_BY!CB16*1000*-1</f>
        <v>0</v>
      </c>
      <c r="K380" s="205">
        <f>INF_BY!CC16*1000*-1</f>
        <v>1483.2255391069507</v>
      </c>
      <c r="L380" s="205">
        <f>INF_BY!CD16*1000*-1</f>
        <v>0</v>
      </c>
      <c r="M380" s="205">
        <f>INF_BY!CE16*1000*-1</f>
        <v>0</v>
      </c>
      <c r="N380" s="205">
        <f>INF_BY!CF16*1000*-1</f>
        <v>0</v>
      </c>
      <c r="O380" s="205">
        <f>INF_BY!CG16*1000*-1</f>
        <v>0</v>
      </c>
      <c r="P380" s="205">
        <f>INF_BY!CH16*1000*-1</f>
        <v>0</v>
      </c>
      <c r="Q380" s="205">
        <f>INF_BY!CI16*1000*-1</f>
        <v>0</v>
      </c>
      <c r="R380" s="205">
        <f>INF_BY!CJ16*1000*-1</f>
        <v>0</v>
      </c>
      <c r="S380" s="205">
        <f>INF_BY!CK16*1000*-1</f>
        <v>0</v>
      </c>
      <c r="T380" s="205">
        <f>INF_BY!CL16*1000*-1</f>
        <v>0</v>
      </c>
      <c r="U380" s="205">
        <f>INF_BY!CM16*1000*-1</f>
        <v>0</v>
      </c>
      <c r="V380" s="205">
        <f>INF_BY!CN16*1000*-1</f>
        <v>1199.4396439285106</v>
      </c>
      <c r="W380" s="205">
        <f>INF_BY!CO16*1000*-1</f>
        <v>3721.5012662490794</v>
      </c>
      <c r="X380" s="205">
        <f>INF_BY!CP16*1000*-1</f>
        <v>0</v>
      </c>
      <c r="Y380" s="205">
        <f>INF_BY!CQ16*1000*-1</f>
        <v>3941.1341627653005</v>
      </c>
      <c r="Z380" s="205">
        <f>INF_BY!CR16*1000*-1</f>
        <v>140.81321464283687</v>
      </c>
      <c r="AA380" s="205">
        <f>INF_BY!CS16*1000*-1</f>
        <v>0</v>
      </c>
      <c r="AB380" s="205">
        <f>INF_BY!CT16*1000*-1</f>
        <v>0</v>
      </c>
      <c r="AC380" s="205">
        <f>INF_BY!CU16*1000*-1</f>
        <v>0</v>
      </c>
      <c r="AD380" s="205">
        <f>INF_BY!CV16*1000*-1</f>
        <v>0</v>
      </c>
      <c r="AE380" s="205">
        <f>INF_BY!CW16*1000*-1</f>
        <v>0</v>
      </c>
      <c r="AF380" s="205">
        <f>INF_BY!CX16*1000*-1</f>
        <v>0</v>
      </c>
    </row>
    <row r="381" spans="1:32" x14ac:dyDescent="0.25">
      <c r="A381" s="167" t="s">
        <v>425</v>
      </c>
      <c r="B381" s="167"/>
      <c r="C381" s="167" t="s">
        <v>1701</v>
      </c>
      <c r="D381" s="167" t="s">
        <v>363</v>
      </c>
      <c r="E381" s="205">
        <f>INF_BY!BW17*1000*-1</f>
        <v>0</v>
      </c>
      <c r="F381" s="205">
        <f>INF_BY!BX17*1000*-1</f>
        <v>0</v>
      </c>
      <c r="G381" s="205">
        <f>INF_BY!BY17*1000*-1</f>
        <v>0</v>
      </c>
      <c r="H381" s="205">
        <f>INF_BY!BZ17*1000*-1</f>
        <v>0</v>
      </c>
      <c r="I381" s="205">
        <f>INF_BY!CA17*1000*-1</f>
        <v>0</v>
      </c>
      <c r="J381" s="205">
        <f>INF_BY!CB17*1000*-1</f>
        <v>0</v>
      </c>
      <c r="K381" s="205">
        <f>INF_BY!CC17*1000*-1</f>
        <v>0</v>
      </c>
      <c r="L381" s="205">
        <f>INF_BY!CD17*1000*-1</f>
        <v>0</v>
      </c>
      <c r="M381" s="205">
        <f>INF_BY!CE17*1000*-1</f>
        <v>0</v>
      </c>
      <c r="N381" s="205">
        <f>INF_BY!CF17*1000*-1</f>
        <v>0</v>
      </c>
      <c r="O381" s="205">
        <f>INF_BY!CG17*1000*-1</f>
        <v>0</v>
      </c>
      <c r="P381" s="205">
        <f>INF_BY!CH17*1000*-1</f>
        <v>0</v>
      </c>
      <c r="Q381" s="205">
        <f>INF_BY!CI17*1000*-1</f>
        <v>0</v>
      </c>
      <c r="R381" s="205">
        <f>INF_BY!CJ17*1000*-1</f>
        <v>0</v>
      </c>
      <c r="S381" s="205">
        <f>INF_BY!CK17*1000*-1</f>
        <v>0</v>
      </c>
      <c r="T381" s="205">
        <f>INF_BY!CL17*1000*-1</f>
        <v>0</v>
      </c>
      <c r="U381" s="205">
        <f>INF_BY!CM17*1000*-1</f>
        <v>0</v>
      </c>
      <c r="V381" s="205">
        <f>INF_BY!CN17*1000*-1</f>
        <v>0</v>
      </c>
      <c r="W381" s="205">
        <f>INF_BY!CO17*1000*-1</f>
        <v>0</v>
      </c>
      <c r="X381" s="205">
        <f>INF_BY!CP17*1000*-1</f>
        <v>0</v>
      </c>
      <c r="Y381" s="205">
        <f>INF_BY!CQ17*1000*-1</f>
        <v>0</v>
      </c>
      <c r="Z381" s="205">
        <f>INF_BY!CR17*1000*-1</f>
        <v>0</v>
      </c>
      <c r="AA381" s="205">
        <f>INF_BY!CS17*1000*-1</f>
        <v>0</v>
      </c>
      <c r="AB381" s="205">
        <f>INF_BY!CT17*1000*-1</f>
        <v>0</v>
      </c>
      <c r="AC381" s="205">
        <f>INF_BY!CU17*1000*-1</f>
        <v>0</v>
      </c>
      <c r="AD381" s="205">
        <f>INF_BY!CV17*1000*-1</f>
        <v>0</v>
      </c>
      <c r="AE381" s="205">
        <f>INF_BY!CW17*1000*-1</f>
        <v>0</v>
      </c>
      <c r="AF381" s="205">
        <f>INF_BY!CX17*1000*-1</f>
        <v>0</v>
      </c>
    </row>
    <row r="382" spans="1:32" x14ac:dyDescent="0.25">
      <c r="A382" s="167" t="s">
        <v>425</v>
      </c>
      <c r="B382" s="167"/>
      <c r="C382" s="167" t="s">
        <v>137</v>
      </c>
      <c r="D382" s="167" t="s">
        <v>363</v>
      </c>
      <c r="E382" s="205">
        <f>INF_BY!BW18*1000*-1</f>
        <v>0</v>
      </c>
      <c r="F382" s="205">
        <f>INF_BY!BX18*1000*-1</f>
        <v>0</v>
      </c>
      <c r="G382" s="205">
        <f>INF_BY!BY18*1000*-1</f>
        <v>0</v>
      </c>
      <c r="H382" s="205">
        <f>INF_BY!BZ18*1000*-1</f>
        <v>0</v>
      </c>
      <c r="I382" s="205">
        <f>INF_BY!CA18*1000*-1</f>
        <v>0</v>
      </c>
      <c r="J382" s="205">
        <f>INF_BY!CB18*1000*-1</f>
        <v>0</v>
      </c>
      <c r="K382" s="205">
        <f>INF_BY!CC18*1000*-1</f>
        <v>0</v>
      </c>
      <c r="L382" s="205">
        <f>INF_BY!CD18*1000*-1</f>
        <v>0</v>
      </c>
      <c r="M382" s="205">
        <f>INF_BY!CE18*1000*-1</f>
        <v>0</v>
      </c>
      <c r="N382" s="205">
        <f>INF_BY!CF18*1000*-1</f>
        <v>0</v>
      </c>
      <c r="O382" s="205">
        <f>INF_BY!CG18*1000*-1</f>
        <v>0</v>
      </c>
      <c r="P382" s="205">
        <f>INF_BY!CH18*1000*-1</f>
        <v>0</v>
      </c>
      <c r="Q382" s="205">
        <f>INF_BY!CI18*1000*-1</f>
        <v>0</v>
      </c>
      <c r="R382" s="205">
        <f>INF_BY!CJ18*1000*-1</f>
        <v>0</v>
      </c>
      <c r="S382" s="205">
        <f>INF_BY!CK18*1000*-1</f>
        <v>0</v>
      </c>
      <c r="T382" s="205">
        <f>INF_BY!CL18*1000*-1</f>
        <v>0</v>
      </c>
      <c r="U382" s="205">
        <f>INF_BY!CM18*1000*-1</f>
        <v>0</v>
      </c>
      <c r="V382" s="205">
        <f>INF_BY!CN18*1000*-1</f>
        <v>0</v>
      </c>
      <c r="W382" s="205">
        <f>INF_BY!CO18*1000*-1</f>
        <v>0</v>
      </c>
      <c r="X382" s="205">
        <f>INF_BY!CP18*1000*-1</f>
        <v>0</v>
      </c>
      <c r="Y382" s="205">
        <f>INF_BY!CQ18*1000*-1</f>
        <v>0</v>
      </c>
      <c r="Z382" s="205">
        <f>INF_BY!CR18*1000*-1</f>
        <v>0</v>
      </c>
      <c r="AA382" s="205">
        <f>INF_BY!CS18*1000*-1</f>
        <v>0</v>
      </c>
      <c r="AB382" s="205">
        <f>INF_BY!CT18*1000*-1</f>
        <v>0</v>
      </c>
      <c r="AC382" s="205">
        <f>INF_BY!CU18*1000*-1</f>
        <v>0</v>
      </c>
      <c r="AD382" s="205">
        <f>INF_BY!CV18*1000*-1</f>
        <v>0</v>
      </c>
      <c r="AE382" s="205">
        <f>INF_BY!CW18*1000*-1</f>
        <v>0</v>
      </c>
      <c r="AF382" s="205">
        <f>INF_BY!CX18*1000*-1</f>
        <v>0</v>
      </c>
    </row>
    <row r="383" spans="1:32" x14ac:dyDescent="0.25">
      <c r="A383" s="167" t="s">
        <v>425</v>
      </c>
      <c r="B383" s="167"/>
      <c r="C383" s="167" t="s">
        <v>139</v>
      </c>
      <c r="D383" s="167" t="s">
        <v>363</v>
      </c>
      <c r="E383" s="205">
        <f>INF_BY!BW19*1000*-1</f>
        <v>0</v>
      </c>
      <c r="F383" s="205">
        <f>INF_BY!BX19*1000*-1</f>
        <v>0</v>
      </c>
      <c r="G383" s="205">
        <f>INF_BY!BY19*1000*-1</f>
        <v>0</v>
      </c>
      <c r="H383" s="205">
        <f>INF_BY!BZ19*1000*-1</f>
        <v>0</v>
      </c>
      <c r="I383" s="205">
        <f>INF_BY!CA19*1000*-1</f>
        <v>0</v>
      </c>
      <c r="J383" s="205">
        <f>INF_BY!CB19*1000*-1</f>
        <v>0</v>
      </c>
      <c r="K383" s="205">
        <f>INF_BY!CC19*1000*-1</f>
        <v>0</v>
      </c>
      <c r="L383" s="205">
        <f>INF_BY!CD19*1000*-1</f>
        <v>0</v>
      </c>
      <c r="M383" s="205">
        <f>INF_BY!CE19*1000*-1</f>
        <v>0</v>
      </c>
      <c r="N383" s="205">
        <f>INF_BY!CF19*1000*-1</f>
        <v>0</v>
      </c>
      <c r="O383" s="205">
        <f>INF_BY!CG19*1000*-1</f>
        <v>0</v>
      </c>
      <c r="P383" s="205">
        <f>INF_BY!CH19*1000*-1</f>
        <v>0</v>
      </c>
      <c r="Q383" s="205">
        <f>INF_BY!CI19*1000*-1</f>
        <v>0</v>
      </c>
      <c r="R383" s="205">
        <f>INF_BY!CJ19*1000*-1</f>
        <v>0</v>
      </c>
      <c r="S383" s="205">
        <f>INF_BY!CK19*1000*-1</f>
        <v>0</v>
      </c>
      <c r="T383" s="205">
        <f>INF_BY!CL19*1000*-1</f>
        <v>0</v>
      </c>
      <c r="U383" s="205">
        <f>INF_BY!CM19*1000*-1</f>
        <v>0</v>
      </c>
      <c r="V383" s="205">
        <f>INF_BY!CN19*1000*-1</f>
        <v>0</v>
      </c>
      <c r="W383" s="205">
        <f>INF_BY!CO19*1000*-1</f>
        <v>0</v>
      </c>
      <c r="X383" s="205">
        <f>INF_BY!CP19*1000*-1</f>
        <v>0</v>
      </c>
      <c r="Y383" s="205">
        <f>INF_BY!CQ19*1000*-1</f>
        <v>0</v>
      </c>
      <c r="Z383" s="205">
        <f>INF_BY!CR19*1000*-1</f>
        <v>0</v>
      </c>
      <c r="AA383" s="205">
        <f>INF_BY!CS19*1000*-1</f>
        <v>0</v>
      </c>
      <c r="AB383" s="205">
        <f>INF_BY!CT19*1000*-1</f>
        <v>0</v>
      </c>
      <c r="AC383" s="205">
        <f>INF_BY!CU19*1000*-1</f>
        <v>0</v>
      </c>
      <c r="AD383" s="205">
        <f>INF_BY!CV19*1000*-1</f>
        <v>0</v>
      </c>
      <c r="AE383" s="205">
        <f>INF_BY!CW19*1000*-1</f>
        <v>0</v>
      </c>
      <c r="AF383" s="205">
        <f>INF_BY!CX19*1000*-1</f>
        <v>0</v>
      </c>
    </row>
    <row r="384" spans="1:32" x14ac:dyDescent="0.25">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c r="AD384" s="167"/>
      <c r="AE384" s="167"/>
      <c r="AF384" s="167"/>
    </row>
    <row r="385" spans="1:32" x14ac:dyDescent="0.2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c r="AC385" s="167"/>
      <c r="AD385" s="167"/>
      <c r="AE385" s="167"/>
      <c r="AF385" s="167"/>
    </row>
    <row r="386" spans="1:32" x14ac:dyDescent="0.25">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c r="AA386" s="167"/>
      <c r="AB386" s="167"/>
      <c r="AC386" s="167"/>
      <c r="AD386" s="167"/>
      <c r="AE386" s="167"/>
      <c r="AF386" s="167"/>
    </row>
    <row r="387" spans="1:32" x14ac:dyDescent="0.25">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c r="AA387" s="167"/>
      <c r="AB387" s="167"/>
      <c r="AC387" s="167"/>
      <c r="AD387" s="167"/>
      <c r="AE387" s="167"/>
      <c r="AF387" s="167"/>
    </row>
    <row r="388" spans="1:32" x14ac:dyDescent="0.25">
      <c r="A388" s="226" t="s">
        <v>426</v>
      </c>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c r="AA388" s="167"/>
      <c r="AB388" s="167"/>
      <c r="AC388" s="167"/>
      <c r="AD388" s="167"/>
      <c r="AE388" s="167"/>
      <c r="AF388" s="167"/>
    </row>
    <row r="389" spans="1:32" x14ac:dyDescent="0.25">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c r="AD389" s="167"/>
      <c r="AE389" s="167"/>
      <c r="AF389" s="167"/>
    </row>
    <row r="390" spans="1:32" ht="15.75" x14ac:dyDescent="0.25">
      <c r="A390" s="241" t="s">
        <v>358</v>
      </c>
      <c r="B390" s="242" t="s">
        <v>359</v>
      </c>
      <c r="C390" s="241" t="s">
        <v>360</v>
      </c>
      <c r="D390" s="241" t="s">
        <v>342</v>
      </c>
      <c r="E390" s="243" t="s">
        <v>162</v>
      </c>
      <c r="F390" s="243" t="s">
        <v>164</v>
      </c>
      <c r="G390" s="243" t="s">
        <v>166</v>
      </c>
      <c r="H390" s="243" t="s">
        <v>168</v>
      </c>
      <c r="I390" s="243" t="s">
        <v>170</v>
      </c>
      <c r="J390" s="243" t="s">
        <v>173</v>
      </c>
      <c r="K390" s="243" t="s">
        <v>175</v>
      </c>
      <c r="L390" s="243" t="s">
        <v>177</v>
      </c>
      <c r="M390" s="243" t="s">
        <v>179</v>
      </c>
      <c r="N390" s="243" t="s">
        <v>181</v>
      </c>
      <c r="O390" s="243" t="s">
        <v>183</v>
      </c>
      <c r="P390" s="243" t="s">
        <v>185</v>
      </c>
      <c r="Q390" s="243" t="s">
        <v>188</v>
      </c>
      <c r="R390" s="243" t="s">
        <v>190</v>
      </c>
      <c r="S390" s="243" t="s">
        <v>192</v>
      </c>
      <c r="T390" s="243" t="s">
        <v>194</v>
      </c>
      <c r="U390" s="243" t="s">
        <v>196</v>
      </c>
      <c r="V390" s="243" t="s">
        <v>198</v>
      </c>
      <c r="W390" s="243" t="s">
        <v>9</v>
      </c>
      <c r="X390" s="243" t="s">
        <v>201</v>
      </c>
      <c r="Y390" s="243" t="s">
        <v>203</v>
      </c>
      <c r="Z390" s="243" t="s">
        <v>205</v>
      </c>
      <c r="AA390" s="243" t="s">
        <v>207</v>
      </c>
      <c r="AB390" s="243" t="s">
        <v>210</v>
      </c>
      <c r="AC390" s="243" t="s">
        <v>212</v>
      </c>
      <c r="AD390" s="243" t="s">
        <v>214</v>
      </c>
      <c r="AE390" s="243" t="s">
        <v>217</v>
      </c>
      <c r="AF390" s="244" t="s">
        <v>219</v>
      </c>
    </row>
    <row r="391" spans="1:32" x14ac:dyDescent="0.25">
      <c r="A391" s="178" t="s">
        <v>384</v>
      </c>
      <c r="B391" s="178" t="str">
        <f t="shared" ref="B391:C405" si="21">B201</f>
        <v>Not elsewhere specified (industry)</v>
      </c>
      <c r="C391" s="178" t="str">
        <f t="shared" si="21"/>
        <v>INDBFG</v>
      </c>
      <c r="D391" s="179" t="s">
        <v>363</v>
      </c>
      <c r="E391" s="245">
        <f t="shared" ref="E391:AF391" si="22">E201</f>
        <v>0</v>
      </c>
      <c r="F391" s="245">
        <f t="shared" si="22"/>
        <v>0</v>
      </c>
      <c r="G391" s="245">
        <f t="shared" si="22"/>
        <v>0</v>
      </c>
      <c r="H391" s="245">
        <f t="shared" si="22"/>
        <v>0</v>
      </c>
      <c r="I391" s="245">
        <f t="shared" si="22"/>
        <v>0</v>
      </c>
      <c r="J391" s="245">
        <f t="shared" si="22"/>
        <v>0</v>
      </c>
      <c r="K391" s="245">
        <f t="shared" si="22"/>
        <v>0</v>
      </c>
      <c r="L391" s="245">
        <f t="shared" si="22"/>
        <v>0</v>
      </c>
      <c r="M391" s="245">
        <f t="shared" si="22"/>
        <v>0</v>
      </c>
      <c r="N391" s="245">
        <f t="shared" si="22"/>
        <v>0</v>
      </c>
      <c r="O391" s="245">
        <f t="shared" si="22"/>
        <v>0</v>
      </c>
      <c r="P391" s="245">
        <f t="shared" si="22"/>
        <v>16225</v>
      </c>
      <c r="Q391" s="245">
        <f t="shared" si="22"/>
        <v>0</v>
      </c>
      <c r="R391" s="245">
        <f t="shared" si="22"/>
        <v>0</v>
      </c>
      <c r="S391" s="245">
        <f t="shared" si="22"/>
        <v>0</v>
      </c>
      <c r="T391" s="245">
        <f t="shared" si="22"/>
        <v>0</v>
      </c>
      <c r="U391" s="245">
        <f t="shared" si="22"/>
        <v>0</v>
      </c>
      <c r="V391" s="245">
        <f t="shared" si="22"/>
        <v>0</v>
      </c>
      <c r="W391" s="245">
        <f t="shared" si="22"/>
        <v>0</v>
      </c>
      <c r="X391" s="245">
        <f t="shared" si="22"/>
        <v>0</v>
      </c>
      <c r="Y391" s="245">
        <f t="shared" si="22"/>
        <v>0</v>
      </c>
      <c r="Z391" s="245">
        <f t="shared" si="22"/>
        <v>0</v>
      </c>
      <c r="AA391" s="245">
        <f t="shared" si="22"/>
        <v>0</v>
      </c>
      <c r="AB391" s="245">
        <f t="shared" si="22"/>
        <v>0</v>
      </c>
      <c r="AC391" s="245">
        <f t="shared" si="22"/>
        <v>0</v>
      </c>
      <c r="AD391" s="245">
        <f t="shared" si="22"/>
        <v>0</v>
      </c>
      <c r="AE391" s="245">
        <f t="shared" si="22"/>
        <v>0</v>
      </c>
      <c r="AF391" s="206">
        <f t="shared" si="22"/>
        <v>0</v>
      </c>
    </row>
    <row r="392" spans="1:32" x14ac:dyDescent="0.25">
      <c r="A392" s="178" t="s">
        <v>384</v>
      </c>
      <c r="B392" s="178" t="str">
        <f t="shared" si="21"/>
        <v>Not elsewhere specified (industry)</v>
      </c>
      <c r="C392" s="178" t="str">
        <f t="shared" si="21"/>
        <v>INDBGS</v>
      </c>
      <c r="D392" s="179" t="s">
        <v>363</v>
      </c>
      <c r="E392" s="245">
        <f t="shared" ref="E392:AF392" si="23">E202</f>
        <v>0</v>
      </c>
      <c r="F392" s="245">
        <f t="shared" si="23"/>
        <v>0</v>
      </c>
      <c r="G392" s="245">
        <f t="shared" si="23"/>
        <v>0</v>
      </c>
      <c r="H392" s="245">
        <f t="shared" si="23"/>
        <v>0</v>
      </c>
      <c r="I392" s="245">
        <f t="shared" si="23"/>
        <v>29</v>
      </c>
      <c r="J392" s="245">
        <f t="shared" si="23"/>
        <v>0</v>
      </c>
      <c r="K392" s="245">
        <f t="shared" si="23"/>
        <v>0</v>
      </c>
      <c r="L392" s="245">
        <f t="shared" si="23"/>
        <v>0</v>
      </c>
      <c r="M392" s="245">
        <f t="shared" si="23"/>
        <v>0</v>
      </c>
      <c r="N392" s="245">
        <f t="shared" si="23"/>
        <v>0</v>
      </c>
      <c r="O392" s="245">
        <f t="shared" si="23"/>
        <v>27</v>
      </c>
      <c r="P392" s="245">
        <f t="shared" si="23"/>
        <v>0</v>
      </c>
      <c r="Q392" s="245">
        <f t="shared" si="23"/>
        <v>0</v>
      </c>
      <c r="R392" s="245">
        <f t="shared" si="23"/>
        <v>4945</v>
      </c>
      <c r="S392" s="245">
        <f t="shared" si="23"/>
        <v>36</v>
      </c>
      <c r="T392" s="245">
        <f t="shared" si="23"/>
        <v>29</v>
      </c>
      <c r="U392" s="245">
        <f t="shared" si="23"/>
        <v>323</v>
      </c>
      <c r="V392" s="245">
        <f t="shared" si="23"/>
        <v>0</v>
      </c>
      <c r="W392" s="245">
        <f t="shared" si="23"/>
        <v>0</v>
      </c>
      <c r="X392" s="245">
        <f t="shared" si="23"/>
        <v>0</v>
      </c>
      <c r="Y392" s="245">
        <f t="shared" si="23"/>
        <v>0</v>
      </c>
      <c r="Z392" s="245">
        <f t="shared" si="23"/>
        <v>0</v>
      </c>
      <c r="AA392" s="245">
        <f t="shared" si="23"/>
        <v>0</v>
      </c>
      <c r="AB392" s="245">
        <f t="shared" si="23"/>
        <v>0</v>
      </c>
      <c r="AC392" s="245">
        <f t="shared" si="23"/>
        <v>0</v>
      </c>
      <c r="AD392" s="245">
        <f t="shared" si="23"/>
        <v>0</v>
      </c>
      <c r="AE392" s="245">
        <f t="shared" si="23"/>
        <v>125</v>
      </c>
      <c r="AF392" s="206">
        <f t="shared" si="23"/>
        <v>121</v>
      </c>
    </row>
    <row r="393" spans="1:32" x14ac:dyDescent="0.25">
      <c r="A393" s="178" t="s">
        <v>384</v>
      </c>
      <c r="B393" s="178" t="str">
        <f t="shared" si="21"/>
        <v>Not elsewhere specified (industry)</v>
      </c>
      <c r="C393" s="178" t="str">
        <f t="shared" si="21"/>
        <v>INDBIO</v>
      </c>
      <c r="D393" s="179" t="s">
        <v>363</v>
      </c>
      <c r="E393" s="245">
        <f t="shared" ref="E393:AF393" si="24">E203</f>
        <v>227418</v>
      </c>
      <c r="F393" s="245">
        <f t="shared" si="24"/>
        <v>18597</v>
      </c>
      <c r="G393" s="245">
        <f t="shared" si="24"/>
        <v>50571</v>
      </c>
      <c r="H393" s="245">
        <f t="shared" si="24"/>
        <v>100657</v>
      </c>
      <c r="I393" s="245">
        <f t="shared" si="24"/>
        <v>21262</v>
      </c>
      <c r="J393" s="245">
        <f t="shared" si="24"/>
        <v>2</v>
      </c>
      <c r="K393" s="245">
        <f t="shared" si="24"/>
        <v>105658</v>
      </c>
      <c r="L393" s="245">
        <f t="shared" si="24"/>
        <v>218987</v>
      </c>
      <c r="M393" s="245">
        <f t="shared" si="24"/>
        <v>0</v>
      </c>
      <c r="N393" s="245">
        <f t="shared" si="24"/>
        <v>50659</v>
      </c>
      <c r="O393" s="245">
        <f t="shared" si="24"/>
        <v>83150</v>
      </c>
      <c r="P393" s="245">
        <f t="shared" si="24"/>
        <v>11823</v>
      </c>
      <c r="Q393" s="245">
        <f t="shared" si="24"/>
        <v>3077</v>
      </c>
      <c r="R393" s="245">
        <f t="shared" si="24"/>
        <v>20705</v>
      </c>
      <c r="S393" s="245">
        <f t="shared" si="24"/>
        <v>11716</v>
      </c>
      <c r="T393" s="245">
        <f t="shared" si="24"/>
        <v>12347</v>
      </c>
      <c r="U393" s="245">
        <f t="shared" si="24"/>
        <v>294524</v>
      </c>
      <c r="V393" s="245">
        <f t="shared" si="24"/>
        <v>967279</v>
      </c>
      <c r="W393" s="245">
        <f t="shared" si="24"/>
        <v>1930183</v>
      </c>
      <c r="X393" s="245">
        <f t="shared" si="24"/>
        <v>56</v>
      </c>
      <c r="Y393" s="245">
        <f t="shared" si="24"/>
        <v>166209</v>
      </c>
      <c r="Z393" s="245">
        <f t="shared" si="24"/>
        <v>402</v>
      </c>
      <c r="AA393" s="245">
        <f t="shared" si="24"/>
        <v>0</v>
      </c>
      <c r="AB393" s="245">
        <f t="shared" si="24"/>
        <v>6003</v>
      </c>
      <c r="AC393" s="245">
        <f t="shared" si="24"/>
        <v>173976</v>
      </c>
      <c r="AD393" s="245">
        <f t="shared" si="24"/>
        <v>292</v>
      </c>
      <c r="AE393" s="245">
        <f t="shared" si="24"/>
        <v>7549</v>
      </c>
      <c r="AF393" s="206">
        <f t="shared" si="24"/>
        <v>20650</v>
      </c>
    </row>
    <row r="394" spans="1:32" x14ac:dyDescent="0.25">
      <c r="A394" s="178" t="s">
        <v>384</v>
      </c>
      <c r="B394" s="178" t="str">
        <f t="shared" si="21"/>
        <v>Not elsewhere specified (industry)</v>
      </c>
      <c r="C394" s="178" t="str">
        <f t="shared" si="21"/>
        <v>INDBLQ</v>
      </c>
      <c r="D394" s="179" t="s">
        <v>363</v>
      </c>
      <c r="E394" s="245">
        <f t="shared" ref="E394:AF394" si="25">E204</f>
        <v>0</v>
      </c>
      <c r="F394" s="245">
        <f t="shared" si="25"/>
        <v>0</v>
      </c>
      <c r="G394" s="245">
        <f t="shared" si="25"/>
        <v>0</v>
      </c>
      <c r="H394" s="245">
        <f t="shared" si="25"/>
        <v>0</v>
      </c>
      <c r="I394" s="245">
        <f t="shared" si="25"/>
        <v>0</v>
      </c>
      <c r="J394" s="245">
        <f t="shared" si="25"/>
        <v>0</v>
      </c>
      <c r="K394" s="245">
        <f t="shared" si="25"/>
        <v>0</v>
      </c>
      <c r="L394" s="245">
        <f t="shared" si="25"/>
        <v>0</v>
      </c>
      <c r="M394" s="245">
        <f t="shared" si="25"/>
        <v>353</v>
      </c>
      <c r="N394" s="245">
        <f t="shared" si="25"/>
        <v>0</v>
      </c>
      <c r="O394" s="245">
        <f t="shared" si="25"/>
        <v>0</v>
      </c>
      <c r="P394" s="245">
        <f t="shared" si="25"/>
        <v>0</v>
      </c>
      <c r="Q394" s="245">
        <f t="shared" si="25"/>
        <v>0</v>
      </c>
      <c r="R394" s="245">
        <f t="shared" si="25"/>
        <v>27</v>
      </c>
      <c r="S394" s="245">
        <f t="shared" si="25"/>
        <v>0</v>
      </c>
      <c r="T394" s="245">
        <f t="shared" si="25"/>
        <v>16</v>
      </c>
      <c r="U394" s="245">
        <f t="shared" si="25"/>
        <v>238</v>
      </c>
      <c r="V394" s="245">
        <f t="shared" si="25"/>
        <v>9403</v>
      </c>
      <c r="W394" s="245">
        <f t="shared" si="25"/>
        <v>0</v>
      </c>
      <c r="X394" s="245">
        <f t="shared" si="25"/>
        <v>0</v>
      </c>
      <c r="Y394" s="245">
        <f t="shared" si="25"/>
        <v>357</v>
      </c>
      <c r="Z394" s="245">
        <f t="shared" si="25"/>
        <v>0</v>
      </c>
      <c r="AA394" s="245">
        <f t="shared" si="25"/>
        <v>0</v>
      </c>
      <c r="AB394" s="245">
        <f t="shared" si="25"/>
        <v>0</v>
      </c>
      <c r="AC394" s="245">
        <f t="shared" si="25"/>
        <v>0</v>
      </c>
      <c r="AD394" s="245">
        <f t="shared" si="25"/>
        <v>0</v>
      </c>
      <c r="AE394" s="245">
        <f t="shared" si="25"/>
        <v>0</v>
      </c>
      <c r="AF394" s="206">
        <f t="shared" si="25"/>
        <v>303</v>
      </c>
    </row>
    <row r="395" spans="1:32" x14ac:dyDescent="0.25">
      <c r="A395" s="178" t="s">
        <v>384</v>
      </c>
      <c r="B395" s="178" t="str">
        <f t="shared" si="21"/>
        <v>Not elsewhere specified (industry)</v>
      </c>
      <c r="C395" s="178" t="str">
        <f t="shared" si="21"/>
        <v>INDCOA</v>
      </c>
      <c r="D395" s="179" t="s">
        <v>363</v>
      </c>
      <c r="E395" s="245">
        <f t="shared" ref="E395:AF395" si="26">E205</f>
        <v>19414</v>
      </c>
      <c r="F395" s="245">
        <f t="shared" si="26"/>
        <v>0</v>
      </c>
      <c r="G395" s="245">
        <f t="shared" si="26"/>
        <v>1548</v>
      </c>
      <c r="H395" s="245">
        <f t="shared" si="26"/>
        <v>136209</v>
      </c>
      <c r="I395" s="245">
        <f t="shared" si="26"/>
        <v>2613</v>
      </c>
      <c r="J395" s="245">
        <f t="shared" si="26"/>
        <v>19002</v>
      </c>
      <c r="K395" s="245">
        <f t="shared" si="26"/>
        <v>371475</v>
      </c>
      <c r="L395" s="245">
        <f t="shared" si="26"/>
        <v>443833</v>
      </c>
      <c r="M395" s="245">
        <f t="shared" si="26"/>
        <v>3152</v>
      </c>
      <c r="N395" s="245">
        <f t="shared" si="26"/>
        <v>7694</v>
      </c>
      <c r="O395" s="245">
        <f t="shared" si="26"/>
        <v>2060</v>
      </c>
      <c r="P395" s="245">
        <f t="shared" si="26"/>
        <v>7058930</v>
      </c>
      <c r="Q395" s="245">
        <f t="shared" si="26"/>
        <v>69</v>
      </c>
      <c r="R395" s="245">
        <f t="shared" si="26"/>
        <v>12899</v>
      </c>
      <c r="S395" s="245">
        <f t="shared" si="26"/>
        <v>2042</v>
      </c>
      <c r="T395" s="245">
        <f t="shared" si="26"/>
        <v>2</v>
      </c>
      <c r="U395" s="245">
        <f t="shared" si="26"/>
        <v>2565</v>
      </c>
      <c r="V395" s="245">
        <f t="shared" si="26"/>
        <v>1566007</v>
      </c>
      <c r="W395" s="245">
        <f t="shared" si="26"/>
        <v>4254381</v>
      </c>
      <c r="X395" s="245">
        <f t="shared" si="26"/>
        <v>297</v>
      </c>
      <c r="Y395" s="245">
        <f t="shared" si="26"/>
        <v>17580</v>
      </c>
      <c r="Z395" s="245">
        <f t="shared" si="26"/>
        <v>8695</v>
      </c>
      <c r="AA395" s="245">
        <f t="shared" si="26"/>
        <v>61654</v>
      </c>
      <c r="AB395" s="245">
        <f t="shared" si="26"/>
        <v>67054</v>
      </c>
      <c r="AC395" s="245">
        <f t="shared" si="26"/>
        <v>0</v>
      </c>
      <c r="AD395" s="245">
        <f t="shared" si="26"/>
        <v>139</v>
      </c>
      <c r="AE395" s="245">
        <f t="shared" si="26"/>
        <v>8661</v>
      </c>
      <c r="AF395" s="206">
        <f t="shared" si="26"/>
        <v>28385</v>
      </c>
    </row>
    <row r="396" spans="1:32" x14ac:dyDescent="0.25">
      <c r="A396" s="178" t="s">
        <v>384</v>
      </c>
      <c r="B396" s="178" t="str">
        <f t="shared" si="21"/>
        <v>Not elsewhere specified (industry)</v>
      </c>
      <c r="C396" s="178" t="str">
        <f t="shared" si="21"/>
        <v>INDCOG</v>
      </c>
      <c r="D396" s="179" t="s">
        <v>363</v>
      </c>
      <c r="E396" s="245">
        <f t="shared" ref="E396:AF396" si="27">E206</f>
        <v>0</v>
      </c>
      <c r="F396" s="245">
        <f t="shared" si="27"/>
        <v>0</v>
      </c>
      <c r="G396" s="245">
        <f t="shared" si="27"/>
        <v>0</v>
      </c>
      <c r="H396" s="245">
        <f t="shared" si="27"/>
        <v>0</v>
      </c>
      <c r="I396" s="245">
        <f t="shared" si="27"/>
        <v>0</v>
      </c>
      <c r="J396" s="245">
        <f t="shared" si="27"/>
        <v>0</v>
      </c>
      <c r="K396" s="245">
        <f t="shared" si="27"/>
        <v>0</v>
      </c>
      <c r="L396" s="245">
        <f t="shared" si="27"/>
        <v>0</v>
      </c>
      <c r="M396" s="245">
        <f t="shared" si="27"/>
        <v>0</v>
      </c>
      <c r="N396" s="245">
        <f t="shared" si="27"/>
        <v>0</v>
      </c>
      <c r="O396" s="245">
        <f t="shared" si="27"/>
        <v>0</v>
      </c>
      <c r="P396" s="245">
        <f t="shared" si="27"/>
        <v>60150</v>
      </c>
      <c r="Q396" s="245">
        <f t="shared" si="27"/>
        <v>0</v>
      </c>
      <c r="R396" s="245">
        <f t="shared" si="27"/>
        <v>0</v>
      </c>
      <c r="S396" s="245">
        <f t="shared" si="27"/>
        <v>0</v>
      </c>
      <c r="T396" s="245">
        <f t="shared" si="27"/>
        <v>0</v>
      </c>
      <c r="U396" s="245">
        <f t="shared" si="27"/>
        <v>46</v>
      </c>
      <c r="V396" s="245">
        <f t="shared" si="27"/>
        <v>0</v>
      </c>
      <c r="W396" s="245">
        <f t="shared" si="27"/>
        <v>0</v>
      </c>
      <c r="X396" s="245">
        <f t="shared" si="27"/>
        <v>0</v>
      </c>
      <c r="Y396" s="245">
        <f t="shared" si="27"/>
        <v>0</v>
      </c>
      <c r="Z396" s="245">
        <f t="shared" si="27"/>
        <v>0</v>
      </c>
      <c r="AA396" s="245">
        <f t="shared" si="27"/>
        <v>0</v>
      </c>
      <c r="AB396" s="245">
        <f t="shared" si="27"/>
        <v>0</v>
      </c>
      <c r="AC396" s="245">
        <f t="shared" si="27"/>
        <v>0</v>
      </c>
      <c r="AD396" s="245">
        <f t="shared" si="27"/>
        <v>0</v>
      </c>
      <c r="AE396" s="245">
        <f t="shared" si="27"/>
        <v>0</v>
      </c>
      <c r="AF396" s="206">
        <f t="shared" si="27"/>
        <v>29806</v>
      </c>
    </row>
    <row r="397" spans="1:32" x14ac:dyDescent="0.25">
      <c r="A397" s="178" t="s">
        <v>384</v>
      </c>
      <c r="B397" s="178" t="str">
        <f t="shared" si="21"/>
        <v>Not elsewhere specified (industry)</v>
      </c>
      <c r="C397" s="178" t="str">
        <f t="shared" si="21"/>
        <v>INDCOK</v>
      </c>
      <c r="D397" s="179" t="s">
        <v>363</v>
      </c>
      <c r="E397" s="245">
        <f t="shared" ref="E397:AF397" si="28">E207</f>
        <v>0</v>
      </c>
      <c r="F397" s="245">
        <f t="shared" si="28"/>
        <v>0</v>
      </c>
      <c r="G397" s="245">
        <f t="shared" si="28"/>
        <v>0</v>
      </c>
      <c r="H397" s="245">
        <f t="shared" si="28"/>
        <v>2209</v>
      </c>
      <c r="I397" s="245">
        <f t="shared" si="28"/>
        <v>0</v>
      </c>
      <c r="J397" s="245">
        <f t="shared" si="28"/>
        <v>0</v>
      </c>
      <c r="K397" s="245">
        <f t="shared" si="28"/>
        <v>0</v>
      </c>
      <c r="L397" s="245">
        <f t="shared" si="28"/>
        <v>0</v>
      </c>
      <c r="M397" s="245">
        <f t="shared" si="28"/>
        <v>0</v>
      </c>
      <c r="N397" s="245">
        <f t="shared" si="28"/>
        <v>0</v>
      </c>
      <c r="O397" s="245">
        <f t="shared" si="28"/>
        <v>28</v>
      </c>
      <c r="P397" s="245">
        <f t="shared" si="28"/>
        <v>867768</v>
      </c>
      <c r="Q397" s="245">
        <f t="shared" si="28"/>
        <v>0</v>
      </c>
      <c r="R397" s="245">
        <f t="shared" si="28"/>
        <v>0</v>
      </c>
      <c r="S397" s="245">
        <f t="shared" si="28"/>
        <v>3</v>
      </c>
      <c r="T397" s="245">
        <f t="shared" si="28"/>
        <v>3</v>
      </c>
      <c r="U397" s="245">
        <f t="shared" si="28"/>
        <v>0</v>
      </c>
      <c r="V397" s="245">
        <f t="shared" si="28"/>
        <v>5002</v>
      </c>
      <c r="W397" s="245">
        <f t="shared" si="28"/>
        <v>0</v>
      </c>
      <c r="X397" s="245">
        <f t="shared" si="28"/>
        <v>0</v>
      </c>
      <c r="Y397" s="245">
        <f t="shared" si="28"/>
        <v>1</v>
      </c>
      <c r="Z397" s="245">
        <f t="shared" si="28"/>
        <v>0</v>
      </c>
      <c r="AA397" s="245">
        <f t="shared" si="28"/>
        <v>4307</v>
      </c>
      <c r="AB397" s="245">
        <f t="shared" si="28"/>
        <v>0</v>
      </c>
      <c r="AC397" s="245">
        <f t="shared" si="28"/>
        <v>0</v>
      </c>
      <c r="AD397" s="245">
        <f t="shared" si="28"/>
        <v>35</v>
      </c>
      <c r="AE397" s="245">
        <f t="shared" si="28"/>
        <v>8883</v>
      </c>
      <c r="AF397" s="206">
        <f t="shared" si="28"/>
        <v>0</v>
      </c>
    </row>
    <row r="398" spans="1:32" x14ac:dyDescent="0.25">
      <c r="A398" s="178" t="s">
        <v>384</v>
      </c>
      <c r="B398" s="178" t="str">
        <f t="shared" si="21"/>
        <v>Not elsewhere specified (industry)</v>
      </c>
      <c r="C398" s="178" t="str">
        <f t="shared" si="21"/>
        <v>INDELC</v>
      </c>
      <c r="D398" s="179" t="s">
        <v>363</v>
      </c>
      <c r="E398" s="245">
        <f t="shared" ref="E398:AF398" si="29">E208</f>
        <v>51694</v>
      </c>
      <c r="F398" s="245">
        <f t="shared" si="29"/>
        <v>209134</v>
      </c>
      <c r="G398" s="245">
        <f t="shared" si="29"/>
        <v>35379</v>
      </c>
      <c r="H398" s="245">
        <f t="shared" si="29"/>
        <v>134956</v>
      </c>
      <c r="I398" s="245">
        <f t="shared" si="29"/>
        <v>2489</v>
      </c>
      <c r="J398" s="245">
        <f t="shared" si="29"/>
        <v>40581</v>
      </c>
      <c r="K398" s="245">
        <f t="shared" si="29"/>
        <v>458739</v>
      </c>
      <c r="L398" s="245">
        <f t="shared" si="29"/>
        <v>266728</v>
      </c>
      <c r="M398" s="245">
        <f t="shared" si="29"/>
        <v>188045</v>
      </c>
      <c r="N398" s="245">
        <f t="shared" si="29"/>
        <v>29323</v>
      </c>
      <c r="O398" s="245">
        <f t="shared" si="29"/>
        <v>37134</v>
      </c>
      <c r="P398" s="245">
        <f t="shared" si="29"/>
        <v>9912236</v>
      </c>
      <c r="Q398" s="245">
        <f t="shared" si="29"/>
        <v>18798</v>
      </c>
      <c r="R398" s="245">
        <f t="shared" si="29"/>
        <v>93309</v>
      </c>
      <c r="S398" s="245">
        <f t="shared" si="29"/>
        <v>60634</v>
      </c>
      <c r="T398" s="245">
        <f t="shared" si="29"/>
        <v>122487</v>
      </c>
      <c r="U398" s="245">
        <f t="shared" si="29"/>
        <v>110201</v>
      </c>
      <c r="V398" s="245">
        <f t="shared" si="29"/>
        <v>697609</v>
      </c>
      <c r="W398" s="245">
        <f t="shared" si="29"/>
        <v>1984903</v>
      </c>
      <c r="X398" s="245">
        <f t="shared" si="29"/>
        <v>93389</v>
      </c>
      <c r="Y398" s="245">
        <f t="shared" si="29"/>
        <v>403249</v>
      </c>
      <c r="Z398" s="245">
        <f t="shared" si="29"/>
        <v>141843</v>
      </c>
      <c r="AA398" s="245">
        <f t="shared" si="29"/>
        <v>606332</v>
      </c>
      <c r="AB398" s="245">
        <f t="shared" si="29"/>
        <v>404480</v>
      </c>
      <c r="AC398" s="245">
        <f t="shared" si="29"/>
        <v>14136</v>
      </c>
      <c r="AD398" s="245">
        <f t="shared" si="29"/>
        <v>26751</v>
      </c>
      <c r="AE398" s="245">
        <f t="shared" si="29"/>
        <v>18349</v>
      </c>
      <c r="AF398" s="206">
        <f t="shared" si="29"/>
        <v>360598</v>
      </c>
    </row>
    <row r="399" spans="1:32" x14ac:dyDescent="0.25">
      <c r="A399" s="178" t="s">
        <v>384</v>
      </c>
      <c r="B399" s="178" t="str">
        <f t="shared" si="21"/>
        <v>Not elsewhere specified (industry)</v>
      </c>
      <c r="C399" s="178" t="str">
        <f t="shared" si="21"/>
        <v>INDGAS</v>
      </c>
      <c r="D399" s="179" t="s">
        <v>363</v>
      </c>
      <c r="E399" s="245">
        <f t="shared" ref="E399:AF399" si="30">E209</f>
        <v>4700</v>
      </c>
      <c r="F399" s="245">
        <f t="shared" si="30"/>
        <v>213300</v>
      </c>
      <c r="G399" s="245">
        <f t="shared" si="30"/>
        <v>54586</v>
      </c>
      <c r="H399" s="245">
        <f t="shared" si="30"/>
        <v>17651</v>
      </c>
      <c r="I399" s="245">
        <f t="shared" si="30"/>
        <v>280</v>
      </c>
      <c r="J399" s="245">
        <f t="shared" si="30"/>
        <v>35210</v>
      </c>
      <c r="K399" s="245">
        <f t="shared" si="30"/>
        <v>414567</v>
      </c>
      <c r="L399" s="245">
        <f t="shared" si="30"/>
        <v>425450</v>
      </c>
      <c r="M399" s="245">
        <f t="shared" si="30"/>
        <v>45851</v>
      </c>
      <c r="N399" s="245">
        <f t="shared" si="30"/>
        <v>115165</v>
      </c>
      <c r="O399" s="245">
        <f t="shared" si="30"/>
        <v>15902</v>
      </c>
      <c r="P399" s="245">
        <f t="shared" si="30"/>
        <v>2425311</v>
      </c>
      <c r="Q399" s="245">
        <f t="shared" si="30"/>
        <v>1360</v>
      </c>
      <c r="R399" s="245">
        <f t="shared" si="30"/>
        <v>29567</v>
      </c>
      <c r="S399" s="245">
        <f t="shared" si="30"/>
        <v>21605</v>
      </c>
      <c r="T399" s="245">
        <f t="shared" si="30"/>
        <v>24708</v>
      </c>
      <c r="U399" s="245">
        <f t="shared" si="30"/>
        <v>46684</v>
      </c>
      <c r="V399" s="245">
        <f t="shared" si="30"/>
        <v>308481</v>
      </c>
      <c r="W399" s="245">
        <f t="shared" si="30"/>
        <v>260973</v>
      </c>
      <c r="X399" s="245">
        <f t="shared" si="30"/>
        <v>24682</v>
      </c>
      <c r="Y399" s="245">
        <f t="shared" si="30"/>
        <v>398073</v>
      </c>
      <c r="Z399" s="245">
        <f t="shared" si="30"/>
        <v>126658</v>
      </c>
      <c r="AA399" s="245">
        <f t="shared" si="30"/>
        <v>3335154</v>
      </c>
      <c r="AB399" s="245">
        <f t="shared" si="30"/>
        <v>84334</v>
      </c>
      <c r="AC399" s="245">
        <f t="shared" si="30"/>
        <v>73821</v>
      </c>
      <c r="AD399" s="245">
        <f t="shared" si="30"/>
        <v>32355</v>
      </c>
      <c r="AE399" s="245">
        <f t="shared" si="30"/>
        <v>65284</v>
      </c>
      <c r="AF399" s="206">
        <f t="shared" si="30"/>
        <v>593308</v>
      </c>
    </row>
    <row r="400" spans="1:32" x14ac:dyDescent="0.25">
      <c r="A400" s="178" t="s">
        <v>384</v>
      </c>
      <c r="B400" s="178" t="str">
        <f t="shared" si="21"/>
        <v>Not elsewhere specified (industry)</v>
      </c>
      <c r="C400" s="178" t="str">
        <f t="shared" si="21"/>
        <v>INDHET</v>
      </c>
      <c r="D400" s="179" t="s">
        <v>363</v>
      </c>
      <c r="E400" s="245">
        <f t="shared" ref="E400:AF400" si="31">E210</f>
        <v>0</v>
      </c>
      <c r="F400" s="245">
        <f t="shared" si="31"/>
        <v>0</v>
      </c>
      <c r="G400" s="245">
        <f t="shared" si="31"/>
        <v>0</v>
      </c>
      <c r="H400" s="245">
        <f t="shared" si="31"/>
        <v>0</v>
      </c>
      <c r="I400" s="245">
        <f t="shared" si="31"/>
        <v>0</v>
      </c>
      <c r="J400" s="245">
        <f t="shared" si="31"/>
        <v>31129</v>
      </c>
      <c r="K400" s="245">
        <f t="shared" si="31"/>
        <v>0</v>
      </c>
      <c r="L400" s="245">
        <f t="shared" si="31"/>
        <v>0</v>
      </c>
      <c r="M400" s="245">
        <f t="shared" si="31"/>
        <v>0</v>
      </c>
      <c r="N400" s="245">
        <f t="shared" si="31"/>
        <v>6321</v>
      </c>
      <c r="O400" s="245">
        <f t="shared" si="31"/>
        <v>0</v>
      </c>
      <c r="P400" s="245">
        <f t="shared" si="31"/>
        <v>1436239</v>
      </c>
      <c r="Q400" s="245">
        <f t="shared" si="31"/>
        <v>4960</v>
      </c>
      <c r="R400" s="245">
        <f t="shared" si="31"/>
        <v>20720</v>
      </c>
      <c r="S400" s="245">
        <f t="shared" si="31"/>
        <v>5026</v>
      </c>
      <c r="T400" s="245">
        <f t="shared" si="31"/>
        <v>18941</v>
      </c>
      <c r="U400" s="245">
        <f t="shared" si="31"/>
        <v>33544</v>
      </c>
      <c r="V400" s="245">
        <f t="shared" si="31"/>
        <v>0</v>
      </c>
      <c r="W400" s="245">
        <f t="shared" si="31"/>
        <v>0</v>
      </c>
      <c r="X400" s="245">
        <f t="shared" si="31"/>
        <v>0</v>
      </c>
      <c r="Y400" s="245">
        <f t="shared" si="31"/>
        <v>0</v>
      </c>
      <c r="Z400" s="245">
        <f t="shared" si="31"/>
        <v>42990</v>
      </c>
      <c r="AA400" s="245">
        <f t="shared" si="31"/>
        <v>0</v>
      </c>
      <c r="AB400" s="245">
        <f t="shared" si="31"/>
        <v>0</v>
      </c>
      <c r="AC400" s="245">
        <f t="shared" si="31"/>
        <v>0</v>
      </c>
      <c r="AD400" s="245">
        <f t="shared" si="31"/>
        <v>0</v>
      </c>
      <c r="AE400" s="245">
        <f t="shared" si="31"/>
        <v>10529</v>
      </c>
      <c r="AF400" s="206">
        <f t="shared" si="31"/>
        <v>935</v>
      </c>
    </row>
    <row r="401" spans="1:32" x14ac:dyDescent="0.25">
      <c r="A401" s="178" t="s">
        <v>384</v>
      </c>
      <c r="B401" s="178" t="str">
        <f t="shared" si="21"/>
        <v>Not elsewhere specified (industry)</v>
      </c>
      <c r="C401" s="178" t="str">
        <f t="shared" si="21"/>
        <v>INDLPG</v>
      </c>
      <c r="D401" s="179" t="s">
        <v>363</v>
      </c>
      <c r="E401" s="245">
        <f t="shared" ref="E401:AF401" si="32">E211</f>
        <v>2615</v>
      </c>
      <c r="F401" s="245">
        <f t="shared" si="32"/>
        <v>5237</v>
      </c>
      <c r="G401" s="245">
        <f t="shared" si="32"/>
        <v>3870</v>
      </c>
      <c r="H401" s="245">
        <f t="shared" si="32"/>
        <v>202</v>
      </c>
      <c r="I401" s="245">
        <f t="shared" si="32"/>
        <v>3526</v>
      </c>
      <c r="J401" s="245">
        <f t="shared" si="32"/>
        <v>112</v>
      </c>
      <c r="K401" s="245">
        <f t="shared" si="32"/>
        <v>16943</v>
      </c>
      <c r="L401" s="245">
        <f t="shared" si="32"/>
        <v>3518</v>
      </c>
      <c r="M401" s="245">
        <f t="shared" si="32"/>
        <v>7380</v>
      </c>
      <c r="N401" s="245">
        <f t="shared" si="32"/>
        <v>0</v>
      </c>
      <c r="O401" s="245">
        <f t="shared" si="32"/>
        <v>7030</v>
      </c>
      <c r="P401" s="245">
        <f t="shared" si="32"/>
        <v>6149</v>
      </c>
      <c r="Q401" s="245">
        <f t="shared" si="32"/>
        <v>360</v>
      </c>
      <c r="R401" s="245">
        <f t="shared" si="32"/>
        <v>7426</v>
      </c>
      <c r="S401" s="245">
        <f t="shared" si="32"/>
        <v>927</v>
      </c>
      <c r="T401" s="245">
        <f t="shared" si="32"/>
        <v>2460</v>
      </c>
      <c r="U401" s="245">
        <f t="shared" si="32"/>
        <v>4932</v>
      </c>
      <c r="V401" s="245">
        <f t="shared" si="32"/>
        <v>23388</v>
      </c>
      <c r="W401" s="245">
        <f t="shared" si="32"/>
        <v>192119</v>
      </c>
      <c r="X401" s="245">
        <f t="shared" si="32"/>
        <v>2406</v>
      </c>
      <c r="Y401" s="245">
        <f t="shared" si="32"/>
        <v>55769</v>
      </c>
      <c r="Z401" s="245">
        <f t="shared" si="32"/>
        <v>13446</v>
      </c>
      <c r="AA401" s="245">
        <f t="shared" si="32"/>
        <v>8</v>
      </c>
      <c r="AB401" s="245">
        <f t="shared" si="32"/>
        <v>20434</v>
      </c>
      <c r="AC401" s="245">
        <f t="shared" si="32"/>
        <v>134</v>
      </c>
      <c r="AD401" s="245">
        <f t="shared" si="32"/>
        <v>77</v>
      </c>
      <c r="AE401" s="245">
        <f t="shared" si="32"/>
        <v>33234</v>
      </c>
      <c r="AF401" s="206">
        <f t="shared" si="32"/>
        <v>1863</v>
      </c>
    </row>
    <row r="402" spans="1:32" x14ac:dyDescent="0.25">
      <c r="A402" s="178" t="s">
        <v>384</v>
      </c>
      <c r="B402" s="178" t="str">
        <f t="shared" si="21"/>
        <v>Not elsewhere specified (industry)</v>
      </c>
      <c r="C402" s="178" t="str">
        <f t="shared" si="21"/>
        <v>INDOIL</v>
      </c>
      <c r="D402" s="179" t="s">
        <v>363</v>
      </c>
      <c r="E402" s="245">
        <f t="shared" ref="E402:AF402" si="33">E212</f>
        <v>78036</v>
      </c>
      <c r="F402" s="245">
        <f t="shared" si="33"/>
        <v>206400</v>
      </c>
      <c r="G402" s="245">
        <f t="shared" si="33"/>
        <v>69330</v>
      </c>
      <c r="H402" s="245">
        <f t="shared" si="33"/>
        <v>18126</v>
      </c>
      <c r="I402" s="245">
        <f t="shared" si="33"/>
        <v>7859</v>
      </c>
      <c r="J402" s="245">
        <f t="shared" si="33"/>
        <v>478</v>
      </c>
      <c r="K402" s="245">
        <f t="shared" si="33"/>
        <v>233566</v>
      </c>
      <c r="L402" s="245">
        <f t="shared" si="33"/>
        <v>56962</v>
      </c>
      <c r="M402" s="245">
        <f t="shared" si="33"/>
        <v>29987</v>
      </c>
      <c r="N402" s="245">
        <f t="shared" si="33"/>
        <v>76618</v>
      </c>
      <c r="O402" s="245">
        <f t="shared" si="33"/>
        <v>31453</v>
      </c>
      <c r="P402" s="245">
        <f t="shared" si="33"/>
        <v>90807</v>
      </c>
      <c r="Q402" s="245">
        <f t="shared" si="33"/>
        <v>4336</v>
      </c>
      <c r="R402" s="245">
        <f t="shared" si="33"/>
        <v>45225</v>
      </c>
      <c r="S402" s="245">
        <f t="shared" si="33"/>
        <v>1084</v>
      </c>
      <c r="T402" s="245">
        <f t="shared" si="33"/>
        <v>3974</v>
      </c>
      <c r="U402" s="245">
        <f t="shared" si="33"/>
        <v>16808</v>
      </c>
      <c r="V402" s="245">
        <f t="shared" si="33"/>
        <v>435633</v>
      </c>
      <c r="W402" s="245">
        <f t="shared" si="33"/>
        <v>150372</v>
      </c>
      <c r="X402" s="245">
        <f t="shared" si="33"/>
        <v>9761</v>
      </c>
      <c r="Y402" s="245">
        <f t="shared" si="33"/>
        <v>268039</v>
      </c>
      <c r="Z402" s="245">
        <f t="shared" si="33"/>
        <v>54919</v>
      </c>
      <c r="AA402" s="245">
        <f t="shared" si="33"/>
        <v>999222</v>
      </c>
      <c r="AB402" s="245">
        <f t="shared" si="33"/>
        <v>24908</v>
      </c>
      <c r="AC402" s="245">
        <f t="shared" si="33"/>
        <v>19058</v>
      </c>
      <c r="AD402" s="245">
        <f t="shared" si="33"/>
        <v>73084</v>
      </c>
      <c r="AE402" s="245">
        <f t="shared" si="33"/>
        <v>14969</v>
      </c>
      <c r="AF402" s="206">
        <f t="shared" si="33"/>
        <v>46634</v>
      </c>
    </row>
    <row r="403" spans="1:32" x14ac:dyDescent="0.25">
      <c r="A403" s="178" t="s">
        <v>384</v>
      </c>
      <c r="B403" s="178" t="str">
        <f t="shared" si="21"/>
        <v>Not elsewhere specified (industry)</v>
      </c>
      <c r="C403" s="178" t="str">
        <f t="shared" si="21"/>
        <v>INDGEO</v>
      </c>
      <c r="D403" s="179" t="s">
        <v>363</v>
      </c>
      <c r="E403" s="245">
        <f t="shared" ref="E403:AF403" si="34">E213</f>
        <v>0</v>
      </c>
      <c r="F403" s="245">
        <f t="shared" si="34"/>
        <v>0</v>
      </c>
      <c r="G403" s="245">
        <f t="shared" si="34"/>
        <v>0</v>
      </c>
      <c r="H403" s="245">
        <f t="shared" si="34"/>
        <v>0</v>
      </c>
      <c r="I403" s="245">
        <f t="shared" si="34"/>
        <v>4908</v>
      </c>
      <c r="J403" s="245">
        <f t="shared" si="34"/>
        <v>0</v>
      </c>
      <c r="K403" s="245">
        <f t="shared" si="34"/>
        <v>0</v>
      </c>
      <c r="L403" s="245">
        <f t="shared" si="34"/>
        <v>0</v>
      </c>
      <c r="M403" s="245">
        <f t="shared" si="34"/>
        <v>0</v>
      </c>
      <c r="N403" s="245">
        <f t="shared" si="34"/>
        <v>0</v>
      </c>
      <c r="O403" s="245">
        <f t="shared" si="34"/>
        <v>0</v>
      </c>
      <c r="P403" s="245">
        <f t="shared" si="34"/>
        <v>0</v>
      </c>
      <c r="Q403" s="245">
        <f t="shared" si="34"/>
        <v>0</v>
      </c>
      <c r="R403" s="245">
        <f t="shared" si="34"/>
        <v>483</v>
      </c>
      <c r="S403" s="245">
        <f t="shared" si="34"/>
        <v>14</v>
      </c>
      <c r="T403" s="245">
        <f t="shared" si="34"/>
        <v>67</v>
      </c>
      <c r="U403" s="245">
        <f t="shared" si="34"/>
        <v>0</v>
      </c>
      <c r="V403" s="245">
        <f t="shared" si="34"/>
        <v>0</v>
      </c>
      <c r="W403" s="245">
        <f t="shared" si="34"/>
        <v>0</v>
      </c>
      <c r="X403" s="245">
        <f t="shared" si="34"/>
        <v>23</v>
      </c>
      <c r="Y403" s="245">
        <f t="shared" si="34"/>
        <v>0</v>
      </c>
      <c r="Z403" s="245">
        <f t="shared" si="34"/>
        <v>0</v>
      </c>
      <c r="AA403" s="245">
        <f t="shared" si="34"/>
        <v>0</v>
      </c>
      <c r="AB403" s="245">
        <f t="shared" si="34"/>
        <v>0</v>
      </c>
      <c r="AC403" s="245">
        <f t="shared" si="34"/>
        <v>0</v>
      </c>
      <c r="AD403" s="245">
        <f t="shared" si="34"/>
        <v>0</v>
      </c>
      <c r="AE403" s="245">
        <f t="shared" si="34"/>
        <v>189</v>
      </c>
      <c r="AF403" s="206">
        <f t="shared" si="34"/>
        <v>0</v>
      </c>
    </row>
    <row r="404" spans="1:32" x14ac:dyDescent="0.25">
      <c r="A404" s="178" t="s">
        <v>384</v>
      </c>
      <c r="B404" s="178" t="str">
        <f t="shared" si="21"/>
        <v>Not elsewhere specified (industry)</v>
      </c>
      <c r="C404" s="178" t="str">
        <f t="shared" si="21"/>
        <v>INDCSP</v>
      </c>
      <c r="D404" s="179" t="s">
        <v>363</v>
      </c>
      <c r="E404" s="245">
        <f t="shared" ref="E404:AF404" si="35">E214</f>
        <v>0</v>
      </c>
      <c r="F404" s="245">
        <f t="shared" si="35"/>
        <v>0</v>
      </c>
      <c r="G404" s="245">
        <f t="shared" si="35"/>
        <v>0</v>
      </c>
      <c r="H404" s="245">
        <f t="shared" si="35"/>
        <v>0</v>
      </c>
      <c r="I404" s="245">
        <f t="shared" si="35"/>
        <v>0</v>
      </c>
      <c r="J404" s="245">
        <f t="shared" si="35"/>
        <v>0</v>
      </c>
      <c r="K404" s="245">
        <f t="shared" si="35"/>
        <v>0</v>
      </c>
      <c r="L404" s="245">
        <f t="shared" si="35"/>
        <v>0</v>
      </c>
      <c r="M404" s="245">
        <f t="shared" si="35"/>
        <v>0</v>
      </c>
      <c r="N404" s="245">
        <f t="shared" si="35"/>
        <v>0</v>
      </c>
      <c r="O404" s="245">
        <f t="shared" si="35"/>
        <v>0</v>
      </c>
      <c r="P404" s="245">
        <f t="shared" si="35"/>
        <v>0</v>
      </c>
      <c r="Q404" s="245">
        <f t="shared" si="35"/>
        <v>0</v>
      </c>
      <c r="R404" s="245">
        <f t="shared" si="35"/>
        <v>81</v>
      </c>
      <c r="S404" s="245">
        <f t="shared" si="35"/>
        <v>0</v>
      </c>
      <c r="T404" s="245">
        <f t="shared" si="35"/>
        <v>616</v>
      </c>
      <c r="U404" s="245">
        <f t="shared" si="35"/>
        <v>4</v>
      </c>
      <c r="V404" s="245">
        <f t="shared" si="35"/>
        <v>0</v>
      </c>
      <c r="W404" s="245">
        <f t="shared" si="35"/>
        <v>0</v>
      </c>
      <c r="X404" s="245">
        <f t="shared" si="35"/>
        <v>0</v>
      </c>
      <c r="Y404" s="245">
        <f t="shared" si="35"/>
        <v>2</v>
      </c>
      <c r="Z404" s="245">
        <f t="shared" si="35"/>
        <v>12150</v>
      </c>
      <c r="AA404" s="245">
        <f t="shared" si="35"/>
        <v>0</v>
      </c>
      <c r="AB404" s="245">
        <f t="shared" si="35"/>
        <v>736</v>
      </c>
      <c r="AC404" s="245">
        <f t="shared" si="35"/>
        <v>0</v>
      </c>
      <c r="AD404" s="245">
        <f t="shared" si="35"/>
        <v>0</v>
      </c>
      <c r="AE404" s="245">
        <f t="shared" si="35"/>
        <v>75</v>
      </c>
      <c r="AF404" s="206">
        <f t="shared" si="35"/>
        <v>0</v>
      </c>
    </row>
    <row r="405" spans="1:32" x14ac:dyDescent="0.25">
      <c r="A405" s="195" t="s">
        <v>384</v>
      </c>
      <c r="B405" s="195" t="str">
        <f t="shared" si="21"/>
        <v>Not elsewhere specified (industry)</v>
      </c>
      <c r="C405" s="195" t="str">
        <f t="shared" si="21"/>
        <v>INDWAS</v>
      </c>
      <c r="D405" s="196" t="s">
        <v>363</v>
      </c>
      <c r="E405" s="246">
        <f t="shared" ref="E405:AF405" si="36">E215</f>
        <v>0</v>
      </c>
      <c r="F405" s="246">
        <f t="shared" si="36"/>
        <v>0</v>
      </c>
      <c r="G405" s="246">
        <f t="shared" si="36"/>
        <v>28</v>
      </c>
      <c r="H405" s="246">
        <f t="shared" si="36"/>
        <v>0</v>
      </c>
      <c r="I405" s="246">
        <f t="shared" si="36"/>
        <v>0</v>
      </c>
      <c r="J405" s="246">
        <f t="shared" si="36"/>
        <v>0</v>
      </c>
      <c r="K405" s="246">
        <f t="shared" si="36"/>
        <v>2536</v>
      </c>
      <c r="L405" s="246">
        <f t="shared" si="36"/>
        <v>0</v>
      </c>
      <c r="M405" s="246">
        <f t="shared" si="36"/>
        <v>0</v>
      </c>
      <c r="N405" s="246">
        <f t="shared" si="36"/>
        <v>0</v>
      </c>
      <c r="O405" s="246">
        <f t="shared" si="36"/>
        <v>0</v>
      </c>
      <c r="P405" s="246">
        <f t="shared" si="36"/>
        <v>0</v>
      </c>
      <c r="Q405" s="246">
        <f t="shared" si="36"/>
        <v>0</v>
      </c>
      <c r="R405" s="246">
        <f t="shared" si="36"/>
        <v>506</v>
      </c>
      <c r="S405" s="246">
        <f t="shared" si="36"/>
        <v>13</v>
      </c>
      <c r="T405" s="246">
        <f t="shared" si="36"/>
        <v>1198</v>
      </c>
      <c r="U405" s="246">
        <f t="shared" si="36"/>
        <v>135</v>
      </c>
      <c r="V405" s="246">
        <f t="shared" si="36"/>
        <v>0</v>
      </c>
      <c r="W405" s="246">
        <f t="shared" si="36"/>
        <v>0</v>
      </c>
      <c r="X405" s="246">
        <f t="shared" si="36"/>
        <v>0</v>
      </c>
      <c r="Y405" s="246">
        <f t="shared" si="36"/>
        <v>241</v>
      </c>
      <c r="Z405" s="246">
        <f t="shared" si="36"/>
        <v>5662</v>
      </c>
      <c r="AA405" s="246">
        <f t="shared" si="36"/>
        <v>0</v>
      </c>
      <c r="AB405" s="246">
        <f t="shared" si="36"/>
        <v>0</v>
      </c>
      <c r="AC405" s="246">
        <f t="shared" si="36"/>
        <v>0</v>
      </c>
      <c r="AD405" s="246">
        <f t="shared" si="36"/>
        <v>146</v>
      </c>
      <c r="AE405" s="246">
        <f t="shared" si="36"/>
        <v>5012</v>
      </c>
      <c r="AF405" s="247">
        <f t="shared" si="36"/>
        <v>2524</v>
      </c>
    </row>
    <row r="407" spans="1:32" x14ac:dyDescent="0.25">
      <c r="A407" s="226" t="s">
        <v>427</v>
      </c>
    </row>
    <row r="408" spans="1:32" x14ac:dyDescent="0.25">
      <c r="A408" s="226" t="s">
        <v>428</v>
      </c>
    </row>
    <row r="410" spans="1:32" ht="15.75" x14ac:dyDescent="0.25">
      <c r="A410" s="600" t="s">
        <v>358</v>
      </c>
      <c r="B410" s="601" t="s">
        <v>359</v>
      </c>
      <c r="C410" s="600" t="s">
        <v>360</v>
      </c>
      <c r="D410" s="600" t="s">
        <v>342</v>
      </c>
      <c r="E410" s="602" t="s">
        <v>162</v>
      </c>
      <c r="F410" s="602" t="s">
        <v>164</v>
      </c>
      <c r="G410" s="602" t="s">
        <v>166</v>
      </c>
      <c r="H410" s="602" t="s">
        <v>168</v>
      </c>
      <c r="I410" s="602" t="s">
        <v>170</v>
      </c>
      <c r="J410" s="602" t="s">
        <v>173</v>
      </c>
      <c r="K410" s="602" t="s">
        <v>175</v>
      </c>
      <c r="L410" s="602" t="s">
        <v>177</v>
      </c>
      <c r="M410" s="602" t="s">
        <v>179</v>
      </c>
      <c r="N410" s="602" t="s">
        <v>181</v>
      </c>
      <c r="O410" s="602" t="s">
        <v>183</v>
      </c>
      <c r="P410" s="602" t="s">
        <v>185</v>
      </c>
      <c r="Q410" s="602" t="s">
        <v>188</v>
      </c>
      <c r="R410" s="602" t="s">
        <v>190</v>
      </c>
      <c r="S410" s="602" t="s">
        <v>192</v>
      </c>
      <c r="T410" s="602" t="s">
        <v>194</v>
      </c>
      <c r="U410" s="602" t="s">
        <v>196</v>
      </c>
      <c r="V410" s="602" t="s">
        <v>198</v>
      </c>
      <c r="W410" s="602" t="s">
        <v>9</v>
      </c>
      <c r="X410" s="602" t="s">
        <v>201</v>
      </c>
      <c r="Y410" s="602" t="s">
        <v>203</v>
      </c>
      <c r="Z410" s="602" t="s">
        <v>205</v>
      </c>
      <c r="AA410" s="602" t="s">
        <v>207</v>
      </c>
      <c r="AB410" s="602" t="s">
        <v>210</v>
      </c>
      <c r="AC410" s="602" t="s">
        <v>212</v>
      </c>
      <c r="AD410" s="602" t="s">
        <v>214</v>
      </c>
      <c r="AE410" s="602" t="s">
        <v>217</v>
      </c>
      <c r="AF410" s="603" t="s">
        <v>219</v>
      </c>
    </row>
    <row r="411" spans="1:32" x14ac:dyDescent="0.25">
      <c r="A411" s="604" t="str">
        <f t="shared" ref="A411:D425" si="37">A391</f>
        <v>INS</v>
      </c>
      <c r="B411" s="604" t="str">
        <f t="shared" si="37"/>
        <v>Not elsewhere specified (industry)</v>
      </c>
      <c r="C411" s="604" t="str">
        <f t="shared" si="37"/>
        <v>INDBFG</v>
      </c>
      <c r="D411" s="604" t="str">
        <f t="shared" si="37"/>
        <v>TJ</v>
      </c>
      <c r="E411" s="605">
        <f t="shared" ref="E411:AF411" si="38">E391-E329-E352-E369</f>
        <v>0</v>
      </c>
      <c r="F411" s="605">
        <f t="shared" si="38"/>
        <v>0</v>
      </c>
      <c r="G411" s="605">
        <f t="shared" si="38"/>
        <v>0</v>
      </c>
      <c r="H411" s="605">
        <f t="shared" si="38"/>
        <v>154.76659566888529</v>
      </c>
      <c r="I411" s="605">
        <f t="shared" si="38"/>
        <v>0</v>
      </c>
      <c r="J411" s="605">
        <f t="shared" si="38"/>
        <v>0</v>
      </c>
      <c r="K411" s="605">
        <f t="shared" si="38"/>
        <v>0</v>
      </c>
      <c r="L411" s="605">
        <f t="shared" si="38"/>
        <v>0</v>
      </c>
      <c r="M411" s="605">
        <f t="shared" si="38"/>
        <v>0</v>
      </c>
      <c r="N411" s="605">
        <f t="shared" si="38"/>
        <v>0</v>
      </c>
      <c r="O411" s="605">
        <f t="shared" si="38"/>
        <v>0</v>
      </c>
      <c r="P411" s="605">
        <f t="shared" si="38"/>
        <v>132465.47823450703</v>
      </c>
      <c r="Q411" s="605">
        <f t="shared" si="38"/>
        <v>-7.1054273576010019E-12</v>
      </c>
      <c r="R411" s="605">
        <f t="shared" si="38"/>
        <v>0</v>
      </c>
      <c r="S411" s="605">
        <f t="shared" si="38"/>
        <v>-3.5527136788005009E-12</v>
      </c>
      <c r="T411" s="605">
        <f t="shared" si="38"/>
        <v>0</v>
      </c>
      <c r="U411" s="605">
        <f t="shared" si="38"/>
        <v>0</v>
      </c>
      <c r="V411" s="605">
        <f t="shared" si="38"/>
        <v>0</v>
      </c>
      <c r="W411" s="605">
        <f t="shared" si="38"/>
        <v>276321.00954315776</v>
      </c>
      <c r="X411" s="605">
        <f t="shared" si="38"/>
        <v>0</v>
      </c>
      <c r="Y411" s="605">
        <f t="shared" si="38"/>
        <v>0</v>
      </c>
      <c r="Z411" s="605">
        <f t="shared" si="38"/>
        <v>0</v>
      </c>
      <c r="AA411" s="605">
        <f t="shared" si="38"/>
        <v>0</v>
      </c>
      <c r="AB411" s="605">
        <f t="shared" si="38"/>
        <v>0</v>
      </c>
      <c r="AC411" s="605">
        <f t="shared" si="38"/>
        <v>0</v>
      </c>
      <c r="AD411" s="605">
        <f t="shared" si="38"/>
        <v>0</v>
      </c>
      <c r="AE411" s="605">
        <f t="shared" si="38"/>
        <v>0</v>
      </c>
      <c r="AF411" s="606">
        <f t="shared" si="38"/>
        <v>0</v>
      </c>
    </row>
    <row r="412" spans="1:32" x14ac:dyDescent="0.25">
      <c r="A412" s="604" t="str">
        <f t="shared" si="37"/>
        <v>INS</v>
      </c>
      <c r="B412" s="604" t="str">
        <f t="shared" si="37"/>
        <v>Not elsewhere specified (industry)</v>
      </c>
      <c r="C412" s="604" t="str">
        <f t="shared" si="37"/>
        <v>INDBGS</v>
      </c>
      <c r="D412" s="604" t="str">
        <f t="shared" si="37"/>
        <v>TJ</v>
      </c>
      <c r="E412" s="605">
        <f t="shared" ref="E412:AF412" si="39">E392-E330-E353-E370</f>
        <v>0</v>
      </c>
      <c r="F412" s="605">
        <f t="shared" si="39"/>
        <v>0</v>
      </c>
      <c r="G412" s="605">
        <f t="shared" si="39"/>
        <v>0</v>
      </c>
      <c r="H412" s="605">
        <f t="shared" si="39"/>
        <v>0</v>
      </c>
      <c r="I412" s="605">
        <f t="shared" si="39"/>
        <v>29</v>
      </c>
      <c r="J412" s="605">
        <f t="shared" si="39"/>
        <v>0</v>
      </c>
      <c r="K412" s="605">
        <f t="shared" si="39"/>
        <v>0</v>
      </c>
      <c r="L412" s="605">
        <f t="shared" si="39"/>
        <v>0</v>
      </c>
      <c r="M412" s="605">
        <f t="shared" si="39"/>
        <v>0</v>
      </c>
      <c r="N412" s="605">
        <f t="shared" si="39"/>
        <v>0</v>
      </c>
      <c r="O412" s="605">
        <f t="shared" si="39"/>
        <v>27</v>
      </c>
      <c r="P412" s="605">
        <f t="shared" si="39"/>
        <v>0</v>
      </c>
      <c r="Q412" s="605">
        <f t="shared" si="39"/>
        <v>0</v>
      </c>
      <c r="R412" s="605">
        <f t="shared" si="39"/>
        <v>4945</v>
      </c>
      <c r="S412" s="605">
        <f t="shared" si="39"/>
        <v>36</v>
      </c>
      <c r="T412" s="605">
        <f t="shared" si="39"/>
        <v>29</v>
      </c>
      <c r="U412" s="605">
        <f t="shared" si="39"/>
        <v>323</v>
      </c>
      <c r="V412" s="605">
        <f t="shared" si="39"/>
        <v>0</v>
      </c>
      <c r="W412" s="605">
        <f t="shared" si="39"/>
        <v>0</v>
      </c>
      <c r="X412" s="605">
        <f t="shared" si="39"/>
        <v>0</v>
      </c>
      <c r="Y412" s="605">
        <f t="shared" si="39"/>
        <v>0</v>
      </c>
      <c r="Z412" s="605">
        <f t="shared" si="39"/>
        <v>0</v>
      </c>
      <c r="AA412" s="605">
        <f t="shared" si="39"/>
        <v>0</v>
      </c>
      <c r="AB412" s="605">
        <f t="shared" si="39"/>
        <v>0</v>
      </c>
      <c r="AC412" s="605">
        <f t="shared" si="39"/>
        <v>0</v>
      </c>
      <c r="AD412" s="605">
        <f t="shared" si="39"/>
        <v>0</v>
      </c>
      <c r="AE412" s="605">
        <f t="shared" si="39"/>
        <v>125</v>
      </c>
      <c r="AF412" s="606">
        <f t="shared" si="39"/>
        <v>121</v>
      </c>
    </row>
    <row r="413" spans="1:32" x14ac:dyDescent="0.25">
      <c r="A413" s="604" t="str">
        <f t="shared" si="37"/>
        <v>INS</v>
      </c>
      <c r="B413" s="604" t="str">
        <f t="shared" si="37"/>
        <v>Not elsewhere specified (industry)</v>
      </c>
      <c r="C413" s="604" t="str">
        <f t="shared" si="37"/>
        <v>INDBIO</v>
      </c>
      <c r="D413" s="604" t="str">
        <f t="shared" si="37"/>
        <v>TJ</v>
      </c>
      <c r="E413" s="605">
        <f>E393-E331-E354-E371</f>
        <v>227418</v>
      </c>
      <c r="F413" s="605">
        <f t="shared" ref="F413:AF413" si="40">F393-F331-F354-F371</f>
        <v>17500.774462083511</v>
      </c>
      <c r="G413" s="605">
        <f t="shared" si="40"/>
        <v>49845.630261192135</v>
      </c>
      <c r="H413" s="605">
        <f t="shared" si="40"/>
        <v>100596.0428501072</v>
      </c>
      <c r="I413" s="605">
        <f t="shared" si="40"/>
        <v>21262</v>
      </c>
      <c r="J413" s="605">
        <f t="shared" si="40"/>
        <v>2</v>
      </c>
      <c r="K413" s="605">
        <f t="shared" si="40"/>
        <v>105658</v>
      </c>
      <c r="L413" s="605">
        <f t="shared" si="40"/>
        <v>218987</v>
      </c>
      <c r="M413" s="605">
        <f t="shared" si="40"/>
        <v>151774.81324400139</v>
      </c>
      <c r="N413" s="605">
        <f t="shared" si="40"/>
        <v>50659</v>
      </c>
      <c r="O413" s="605">
        <f t="shared" si="40"/>
        <v>83150</v>
      </c>
      <c r="P413" s="605">
        <f t="shared" si="40"/>
        <v>11823.000000000004</v>
      </c>
      <c r="Q413" s="605">
        <f t="shared" si="40"/>
        <v>3077</v>
      </c>
      <c r="R413" s="605">
        <f t="shared" si="40"/>
        <v>20705</v>
      </c>
      <c r="S413" s="605">
        <f t="shared" si="40"/>
        <v>11716</v>
      </c>
      <c r="T413" s="605">
        <f t="shared" si="40"/>
        <v>12347</v>
      </c>
      <c r="U413" s="605">
        <f t="shared" si="40"/>
        <v>294524</v>
      </c>
      <c r="V413" s="605">
        <f t="shared" si="40"/>
        <v>967279</v>
      </c>
      <c r="W413" s="605">
        <f t="shared" si="40"/>
        <v>1887737.9641179563</v>
      </c>
      <c r="X413" s="605">
        <f t="shared" si="40"/>
        <v>56</v>
      </c>
      <c r="Y413" s="605">
        <f t="shared" si="40"/>
        <v>165530.15823833394</v>
      </c>
      <c r="Z413" s="605">
        <f t="shared" si="40"/>
        <v>402</v>
      </c>
      <c r="AA413" s="605">
        <f t="shared" si="40"/>
        <v>0</v>
      </c>
      <c r="AB413" s="605">
        <f t="shared" si="40"/>
        <v>6003</v>
      </c>
      <c r="AC413" s="605">
        <f t="shared" si="40"/>
        <v>173976</v>
      </c>
      <c r="AD413" s="605">
        <f t="shared" si="40"/>
        <v>292</v>
      </c>
      <c r="AE413" s="605">
        <f t="shared" si="40"/>
        <v>7549</v>
      </c>
      <c r="AF413" s="606">
        <f t="shared" si="40"/>
        <v>20650</v>
      </c>
    </row>
    <row r="414" spans="1:32" x14ac:dyDescent="0.25">
      <c r="A414" s="604" t="str">
        <f t="shared" si="37"/>
        <v>INS</v>
      </c>
      <c r="B414" s="604" t="str">
        <f t="shared" si="37"/>
        <v>Not elsewhere specified (industry)</v>
      </c>
      <c r="C414" s="604" t="str">
        <f t="shared" si="37"/>
        <v>INDBLQ</v>
      </c>
      <c r="D414" s="604" t="str">
        <f t="shared" si="37"/>
        <v>TJ</v>
      </c>
      <c r="E414" s="605">
        <f t="shared" ref="E414:AF414" si="41">E394-E332-E355-E372</f>
        <v>0</v>
      </c>
      <c r="F414" s="605">
        <f t="shared" si="41"/>
        <v>0</v>
      </c>
      <c r="G414" s="605">
        <f t="shared" si="41"/>
        <v>0</v>
      </c>
      <c r="H414" s="605">
        <f t="shared" si="41"/>
        <v>0</v>
      </c>
      <c r="I414" s="605">
        <f t="shared" si="41"/>
        <v>0</v>
      </c>
      <c r="J414" s="605">
        <f t="shared" si="41"/>
        <v>0</v>
      </c>
      <c r="K414" s="605">
        <f t="shared" si="41"/>
        <v>0</v>
      </c>
      <c r="L414" s="605">
        <f t="shared" si="41"/>
        <v>0</v>
      </c>
      <c r="M414" s="605">
        <f t="shared" si="41"/>
        <v>379.64422220870057</v>
      </c>
      <c r="N414" s="605">
        <f t="shared" si="41"/>
        <v>0</v>
      </c>
      <c r="O414" s="605">
        <f t="shared" si="41"/>
        <v>0</v>
      </c>
      <c r="P414" s="605">
        <f t="shared" si="41"/>
        <v>0</v>
      </c>
      <c r="Q414" s="605">
        <f t="shared" si="41"/>
        <v>0</v>
      </c>
      <c r="R414" s="605">
        <f t="shared" si="41"/>
        <v>27</v>
      </c>
      <c r="S414" s="605">
        <f t="shared" si="41"/>
        <v>0</v>
      </c>
      <c r="T414" s="605">
        <f t="shared" si="41"/>
        <v>16</v>
      </c>
      <c r="U414" s="605">
        <f t="shared" si="41"/>
        <v>238</v>
      </c>
      <c r="V414" s="605">
        <f t="shared" si="41"/>
        <v>9096.9505787011949</v>
      </c>
      <c r="W414" s="605">
        <f t="shared" si="41"/>
        <v>0</v>
      </c>
      <c r="X414" s="605">
        <f t="shared" si="41"/>
        <v>0</v>
      </c>
      <c r="Y414" s="605">
        <f t="shared" si="41"/>
        <v>357</v>
      </c>
      <c r="Z414" s="605">
        <f t="shared" si="41"/>
        <v>0</v>
      </c>
      <c r="AA414" s="605">
        <f t="shared" si="41"/>
        <v>0</v>
      </c>
      <c r="AB414" s="605">
        <f t="shared" si="41"/>
        <v>0</v>
      </c>
      <c r="AC414" s="605">
        <f t="shared" si="41"/>
        <v>0</v>
      </c>
      <c r="AD414" s="605">
        <f t="shared" si="41"/>
        <v>0</v>
      </c>
      <c r="AE414" s="605">
        <f t="shared" si="41"/>
        <v>0</v>
      </c>
      <c r="AF414" s="606">
        <f t="shared" si="41"/>
        <v>303</v>
      </c>
    </row>
    <row r="415" spans="1:32" x14ac:dyDescent="0.25">
      <c r="A415" s="604" t="str">
        <f t="shared" si="37"/>
        <v>INS</v>
      </c>
      <c r="B415" s="604" t="str">
        <f t="shared" si="37"/>
        <v>Not elsewhere specified (industry)</v>
      </c>
      <c r="C415" s="604" t="str">
        <f t="shared" si="37"/>
        <v>INDCOA</v>
      </c>
      <c r="D415" s="604" t="str">
        <f t="shared" si="37"/>
        <v>TJ</v>
      </c>
      <c r="E415" s="605">
        <f t="shared" ref="E415:AF415" si="42">E395-E333-E356-E373</f>
        <v>0</v>
      </c>
      <c r="F415" s="605">
        <f t="shared" si="42"/>
        <v>0</v>
      </c>
      <c r="G415" s="605">
        <f t="shared" si="42"/>
        <v>0</v>
      </c>
      <c r="H415" s="605">
        <f t="shared" si="42"/>
        <v>173557.17763726108</v>
      </c>
      <c r="I415" s="605">
        <f t="shared" si="42"/>
        <v>2613</v>
      </c>
      <c r="J415" s="605">
        <f t="shared" si="42"/>
        <v>19002</v>
      </c>
      <c r="K415" s="605">
        <f t="shared" si="42"/>
        <v>362280.00534806779</v>
      </c>
      <c r="L415" s="605">
        <f t="shared" si="42"/>
        <v>443833</v>
      </c>
      <c r="M415" s="605">
        <f t="shared" si="42"/>
        <v>3152</v>
      </c>
      <c r="N415" s="605">
        <f t="shared" si="42"/>
        <v>7694</v>
      </c>
      <c r="O415" s="605">
        <f t="shared" si="42"/>
        <v>2060</v>
      </c>
      <c r="P415" s="605">
        <f t="shared" si="42"/>
        <v>1521391.1370354984</v>
      </c>
      <c r="Q415" s="605">
        <f t="shared" si="42"/>
        <v>69</v>
      </c>
      <c r="R415" s="605">
        <f t="shared" si="42"/>
        <v>12899</v>
      </c>
      <c r="S415" s="605">
        <f t="shared" si="42"/>
        <v>2042</v>
      </c>
      <c r="T415" s="605">
        <f t="shared" si="42"/>
        <v>2</v>
      </c>
      <c r="U415" s="605">
        <f t="shared" si="42"/>
        <v>2565</v>
      </c>
      <c r="V415" s="605">
        <f t="shared" si="42"/>
        <v>1118641.5669669167</v>
      </c>
      <c r="W415" s="605">
        <f t="shared" si="42"/>
        <v>4073150.2413966409</v>
      </c>
      <c r="X415" s="605">
        <f t="shared" si="42"/>
        <v>297</v>
      </c>
      <c r="Y415" s="605">
        <f t="shared" si="42"/>
        <v>0</v>
      </c>
      <c r="Z415" s="605">
        <f t="shared" si="42"/>
        <v>8695</v>
      </c>
      <c r="AA415" s="605">
        <f t="shared" si="42"/>
        <v>0</v>
      </c>
      <c r="AB415" s="605">
        <f t="shared" si="42"/>
        <v>67054</v>
      </c>
      <c r="AC415" s="605">
        <f t="shared" si="42"/>
        <v>0</v>
      </c>
      <c r="AD415" s="605">
        <f t="shared" si="42"/>
        <v>138.99999999998579</v>
      </c>
      <c r="AE415" s="605">
        <f t="shared" si="42"/>
        <v>8661</v>
      </c>
      <c r="AF415" s="606">
        <f t="shared" si="42"/>
        <v>28385</v>
      </c>
    </row>
    <row r="416" spans="1:32" x14ac:dyDescent="0.25">
      <c r="A416" s="604" t="str">
        <f t="shared" si="37"/>
        <v>INS</v>
      </c>
      <c r="B416" s="604" t="str">
        <f t="shared" si="37"/>
        <v>Not elsewhere specified (industry)</v>
      </c>
      <c r="C416" s="604" t="str">
        <f t="shared" si="37"/>
        <v>INDCOG</v>
      </c>
      <c r="D416" s="604" t="str">
        <f t="shared" si="37"/>
        <v>TJ</v>
      </c>
      <c r="E416" s="605">
        <f t="shared" ref="E416:AF416" si="43">E396-E334-E357-E374</f>
        <v>0</v>
      </c>
      <c r="F416" s="605">
        <f t="shared" si="43"/>
        <v>0</v>
      </c>
      <c r="G416" s="605">
        <f t="shared" si="43"/>
        <v>0</v>
      </c>
      <c r="H416" s="605">
        <f t="shared" si="43"/>
        <v>9163.783606492183</v>
      </c>
      <c r="I416" s="605">
        <f t="shared" si="43"/>
        <v>0</v>
      </c>
      <c r="J416" s="605">
        <f t="shared" si="43"/>
        <v>0</v>
      </c>
      <c r="K416" s="605">
        <f t="shared" si="43"/>
        <v>0</v>
      </c>
      <c r="L416" s="605">
        <f t="shared" si="43"/>
        <v>0</v>
      </c>
      <c r="M416" s="605">
        <f t="shared" si="43"/>
        <v>0</v>
      </c>
      <c r="N416" s="605">
        <f t="shared" si="43"/>
        <v>3.5527136788005009E-12</v>
      </c>
      <c r="O416" s="605">
        <f t="shared" si="43"/>
        <v>0</v>
      </c>
      <c r="P416" s="605">
        <f t="shared" si="43"/>
        <v>60150</v>
      </c>
      <c r="Q416" s="605">
        <f t="shared" si="43"/>
        <v>0</v>
      </c>
      <c r="R416" s="605">
        <f t="shared" si="43"/>
        <v>0</v>
      </c>
      <c r="S416" s="605">
        <f t="shared" si="43"/>
        <v>0</v>
      </c>
      <c r="T416" s="605">
        <f t="shared" si="43"/>
        <v>0</v>
      </c>
      <c r="U416" s="605">
        <f t="shared" si="43"/>
        <v>46</v>
      </c>
      <c r="V416" s="605">
        <f t="shared" si="43"/>
        <v>0</v>
      </c>
      <c r="W416" s="605">
        <f t="shared" si="43"/>
        <v>0</v>
      </c>
      <c r="X416" s="605">
        <f t="shared" si="43"/>
        <v>0</v>
      </c>
      <c r="Y416" s="605">
        <f t="shared" si="43"/>
        <v>0</v>
      </c>
      <c r="Z416" s="605">
        <f t="shared" si="43"/>
        <v>0</v>
      </c>
      <c r="AA416" s="605">
        <f t="shared" si="43"/>
        <v>0</v>
      </c>
      <c r="AB416" s="605">
        <f t="shared" si="43"/>
        <v>0</v>
      </c>
      <c r="AC416" s="605">
        <f t="shared" si="43"/>
        <v>0</v>
      </c>
      <c r="AD416" s="605">
        <f t="shared" si="43"/>
        <v>0</v>
      </c>
      <c r="AE416" s="605">
        <f t="shared" si="43"/>
        <v>0</v>
      </c>
      <c r="AF416" s="606">
        <f t="shared" si="43"/>
        <v>29806</v>
      </c>
    </row>
    <row r="417" spans="1:32" x14ac:dyDescent="0.25">
      <c r="A417" s="604" t="str">
        <f t="shared" si="37"/>
        <v>INS</v>
      </c>
      <c r="B417" s="604" t="str">
        <f t="shared" si="37"/>
        <v>Not elsewhere specified (industry)</v>
      </c>
      <c r="C417" s="604" t="str">
        <f t="shared" si="37"/>
        <v>INDCOK</v>
      </c>
      <c r="D417" s="604" t="str">
        <f t="shared" si="37"/>
        <v>TJ</v>
      </c>
      <c r="E417" s="605">
        <f>E397-E335-E358-E375</f>
        <v>0</v>
      </c>
      <c r="F417" s="605">
        <f t="shared" ref="F417:AF417" si="44">F397-F335-F358-F375</f>
        <v>0</v>
      </c>
      <c r="G417" s="605">
        <f t="shared" si="44"/>
        <v>0</v>
      </c>
      <c r="H417" s="605">
        <f t="shared" si="44"/>
        <v>2209</v>
      </c>
      <c r="I417" s="605">
        <f t="shared" si="44"/>
        <v>0</v>
      </c>
      <c r="J417" s="605">
        <f t="shared" si="44"/>
        <v>0</v>
      </c>
      <c r="K417" s="605">
        <f t="shared" si="44"/>
        <v>2.7755575615628914E-14</v>
      </c>
      <c r="L417" s="605">
        <f t="shared" si="44"/>
        <v>0</v>
      </c>
      <c r="M417" s="605">
        <f t="shared" si="44"/>
        <v>18900.162753422421</v>
      </c>
      <c r="N417" s="605">
        <f t="shared" si="44"/>
        <v>0</v>
      </c>
      <c r="O417" s="605">
        <f t="shared" si="44"/>
        <v>28</v>
      </c>
      <c r="P417" s="605">
        <f t="shared" si="44"/>
        <v>867768</v>
      </c>
      <c r="Q417" s="605">
        <f t="shared" si="44"/>
        <v>7.1054273576010019E-12</v>
      </c>
      <c r="R417" s="605">
        <f t="shared" si="44"/>
        <v>-1.7763568394002505E-12</v>
      </c>
      <c r="S417" s="605">
        <f t="shared" si="44"/>
        <v>3</v>
      </c>
      <c r="T417" s="605">
        <f t="shared" si="44"/>
        <v>3</v>
      </c>
      <c r="U417" s="605">
        <f t="shared" si="44"/>
        <v>0</v>
      </c>
      <c r="V417" s="605">
        <f t="shared" si="44"/>
        <v>32840.157869711751</v>
      </c>
      <c r="W417" s="605">
        <f t="shared" si="44"/>
        <v>0</v>
      </c>
      <c r="X417" s="605">
        <f t="shared" si="44"/>
        <v>0</v>
      </c>
      <c r="Y417" s="605">
        <f t="shared" si="44"/>
        <v>0</v>
      </c>
      <c r="Z417" s="605">
        <f t="shared" si="44"/>
        <v>0</v>
      </c>
      <c r="AA417" s="605">
        <f t="shared" si="44"/>
        <v>4307</v>
      </c>
      <c r="AB417" s="605">
        <f t="shared" si="44"/>
        <v>0</v>
      </c>
      <c r="AC417" s="605">
        <f t="shared" si="44"/>
        <v>0</v>
      </c>
      <c r="AD417" s="605">
        <f t="shared" si="44"/>
        <v>35</v>
      </c>
      <c r="AE417" s="605">
        <f t="shared" si="44"/>
        <v>8883</v>
      </c>
      <c r="AF417" s="606">
        <f t="shared" si="44"/>
        <v>0</v>
      </c>
    </row>
    <row r="418" spans="1:32" x14ac:dyDescent="0.25">
      <c r="A418" s="604" t="str">
        <f t="shared" si="37"/>
        <v>INS</v>
      </c>
      <c r="B418" s="604" t="str">
        <f t="shared" si="37"/>
        <v>Not elsewhere specified (industry)</v>
      </c>
      <c r="C418" s="604" t="str">
        <f t="shared" si="37"/>
        <v>INDELC</v>
      </c>
      <c r="D418" s="604" t="str">
        <f t="shared" si="37"/>
        <v>TJ</v>
      </c>
      <c r="E418" s="605">
        <f t="shared" ref="E418:AF418" si="45">E398-E336-E359-E376</f>
        <v>46695.669847070727</v>
      </c>
      <c r="F418" s="605">
        <f t="shared" si="45"/>
        <v>181027.21886000482</v>
      </c>
      <c r="G418" s="605">
        <f t="shared" si="45"/>
        <v>27082.54564554937</v>
      </c>
      <c r="H418" s="605">
        <f t="shared" si="45"/>
        <v>134532.9306895459</v>
      </c>
      <c r="I418" s="605">
        <f t="shared" si="45"/>
        <v>2489</v>
      </c>
      <c r="J418" s="605">
        <f t="shared" si="45"/>
        <v>72551.325776423429</v>
      </c>
      <c r="K418" s="605">
        <f t="shared" si="45"/>
        <v>430264.26623809926</v>
      </c>
      <c r="L418" s="605">
        <f t="shared" si="45"/>
        <v>223075.70648768387</v>
      </c>
      <c r="M418" s="605">
        <f t="shared" si="45"/>
        <v>185996.13979735938</v>
      </c>
      <c r="N418" s="605">
        <f t="shared" si="45"/>
        <v>29323</v>
      </c>
      <c r="O418" s="605">
        <f t="shared" si="45"/>
        <v>37134</v>
      </c>
      <c r="P418" s="605">
        <f t="shared" si="45"/>
        <v>7148634.9631026993</v>
      </c>
      <c r="Q418" s="605">
        <f t="shared" si="45"/>
        <v>18798</v>
      </c>
      <c r="R418" s="605">
        <f t="shared" si="45"/>
        <v>93309</v>
      </c>
      <c r="S418" s="605">
        <f t="shared" si="45"/>
        <v>60634</v>
      </c>
      <c r="T418" s="605">
        <f t="shared" si="45"/>
        <v>122487</v>
      </c>
      <c r="U418" s="605">
        <f t="shared" si="45"/>
        <v>110200.99999999997</v>
      </c>
      <c r="V418" s="605">
        <f t="shared" si="45"/>
        <v>619137.40283027606</v>
      </c>
      <c r="W418" s="605">
        <f t="shared" si="45"/>
        <v>1526074.116998025</v>
      </c>
      <c r="X418" s="605">
        <f t="shared" si="45"/>
        <v>93389</v>
      </c>
      <c r="Y418" s="605">
        <f t="shared" si="45"/>
        <v>391951.10736118507</v>
      </c>
      <c r="Z418" s="605">
        <f t="shared" si="45"/>
        <v>141843</v>
      </c>
      <c r="AA418" s="605">
        <f t="shared" si="45"/>
        <v>219982.10330791801</v>
      </c>
      <c r="AB418" s="605">
        <f t="shared" si="45"/>
        <v>396567.09247535671</v>
      </c>
      <c r="AC418" s="605">
        <f t="shared" si="45"/>
        <v>4440.4075307700932</v>
      </c>
      <c r="AD418" s="605">
        <f t="shared" si="45"/>
        <v>26751</v>
      </c>
      <c r="AE418" s="605">
        <f t="shared" si="45"/>
        <v>18348.999999999971</v>
      </c>
      <c r="AF418" s="606">
        <f t="shared" si="45"/>
        <v>360598</v>
      </c>
    </row>
    <row r="419" spans="1:32" x14ac:dyDescent="0.25">
      <c r="A419" s="604" t="str">
        <f t="shared" si="37"/>
        <v>INS</v>
      </c>
      <c r="B419" s="604" t="str">
        <f t="shared" si="37"/>
        <v>Not elsewhere specified (industry)</v>
      </c>
      <c r="C419" s="604" t="str">
        <f t="shared" si="37"/>
        <v>INDGAS</v>
      </c>
      <c r="D419" s="604" t="str">
        <f t="shared" si="37"/>
        <v>TJ</v>
      </c>
      <c r="E419" s="605">
        <f t="shared" ref="E419:AF419" si="46">E399-E337-E360-E377</f>
        <v>3074.3906768586944</v>
      </c>
      <c r="F419" s="605">
        <f t="shared" si="46"/>
        <v>227261.69069482232</v>
      </c>
      <c r="G419" s="605">
        <f t="shared" si="46"/>
        <v>53610.898289627708</v>
      </c>
      <c r="H419" s="605">
        <f t="shared" si="46"/>
        <v>8524.525153572311</v>
      </c>
      <c r="I419" s="605">
        <f t="shared" si="46"/>
        <v>280</v>
      </c>
      <c r="J419" s="605">
        <f t="shared" si="46"/>
        <v>35210</v>
      </c>
      <c r="K419" s="605">
        <f t="shared" si="46"/>
        <v>413825.18704809807</v>
      </c>
      <c r="L419" s="605">
        <f t="shared" si="46"/>
        <v>421059.04069526552</v>
      </c>
      <c r="M419" s="605">
        <f t="shared" si="46"/>
        <v>45851</v>
      </c>
      <c r="N419" s="605">
        <f t="shared" si="46"/>
        <v>115165</v>
      </c>
      <c r="O419" s="605">
        <f t="shared" si="46"/>
        <v>15902</v>
      </c>
      <c r="P419" s="605">
        <f t="shared" si="46"/>
        <v>2314131.0223556017</v>
      </c>
      <c r="Q419" s="605">
        <f t="shared" si="46"/>
        <v>1360</v>
      </c>
      <c r="R419" s="605">
        <f t="shared" si="46"/>
        <v>601.04664680519272</v>
      </c>
      <c r="S419" s="605">
        <f t="shared" si="46"/>
        <v>21605</v>
      </c>
      <c r="T419" s="605">
        <f t="shared" si="46"/>
        <v>24708</v>
      </c>
      <c r="U419" s="605">
        <f t="shared" si="46"/>
        <v>46683.999999999971</v>
      </c>
      <c r="V419" s="605">
        <f t="shared" si="46"/>
        <v>256193.78291099888</v>
      </c>
      <c r="W419" s="605">
        <f t="shared" si="46"/>
        <v>255441.16438882204</v>
      </c>
      <c r="X419" s="605">
        <f t="shared" si="46"/>
        <v>24682</v>
      </c>
      <c r="Y419" s="605">
        <f t="shared" si="46"/>
        <v>363079.54806154338</v>
      </c>
      <c r="Z419" s="605">
        <f t="shared" si="46"/>
        <v>126657.99999999999</v>
      </c>
      <c r="AA419" s="605">
        <f t="shared" si="46"/>
        <v>2737615.8118768679</v>
      </c>
      <c r="AB419" s="605">
        <f t="shared" si="46"/>
        <v>170009.25446392479</v>
      </c>
      <c r="AC419" s="605">
        <f t="shared" si="46"/>
        <v>43687.931848312015</v>
      </c>
      <c r="AD419" s="605">
        <f t="shared" si="46"/>
        <v>133.58748676587129</v>
      </c>
      <c r="AE419" s="605">
        <f t="shared" si="46"/>
        <v>65284</v>
      </c>
      <c r="AF419" s="606">
        <f t="shared" si="46"/>
        <v>599164.83095192304</v>
      </c>
    </row>
    <row r="420" spans="1:32" x14ac:dyDescent="0.25">
      <c r="A420" s="604" t="str">
        <f t="shared" si="37"/>
        <v>INS</v>
      </c>
      <c r="B420" s="604" t="str">
        <f t="shared" si="37"/>
        <v>Not elsewhere specified (industry)</v>
      </c>
      <c r="C420" s="604" t="str">
        <f t="shared" si="37"/>
        <v>INDHET</v>
      </c>
      <c r="D420" s="604" t="str">
        <f t="shared" si="37"/>
        <v>TJ</v>
      </c>
      <c r="E420" s="605">
        <f t="shared" ref="E420:AF420" si="47">E400-E338-E361-E378</f>
        <v>0</v>
      </c>
      <c r="F420" s="605">
        <f t="shared" si="47"/>
        <v>0</v>
      </c>
      <c r="G420" s="605">
        <f t="shared" si="47"/>
        <v>0</v>
      </c>
      <c r="H420" s="605">
        <f t="shared" si="47"/>
        <v>0</v>
      </c>
      <c r="I420" s="605">
        <f t="shared" si="47"/>
        <v>0</v>
      </c>
      <c r="J420" s="605">
        <f t="shared" si="47"/>
        <v>49949.580808470564</v>
      </c>
      <c r="K420" s="605">
        <f t="shared" si="47"/>
        <v>0</v>
      </c>
      <c r="L420" s="605">
        <f t="shared" si="47"/>
        <v>0</v>
      </c>
      <c r="M420" s="605">
        <f t="shared" si="47"/>
        <v>0</v>
      </c>
      <c r="N420" s="605">
        <f t="shared" si="47"/>
        <v>6321</v>
      </c>
      <c r="O420" s="605">
        <f t="shared" si="47"/>
        <v>0</v>
      </c>
      <c r="P420" s="605">
        <f t="shared" si="47"/>
        <v>1436239</v>
      </c>
      <c r="Q420" s="605">
        <f t="shared" si="47"/>
        <v>4959.9999999999927</v>
      </c>
      <c r="R420" s="605">
        <f t="shared" si="47"/>
        <v>20720</v>
      </c>
      <c r="S420" s="605">
        <f t="shared" si="47"/>
        <v>5026</v>
      </c>
      <c r="T420" s="605">
        <f t="shared" si="47"/>
        <v>18941</v>
      </c>
      <c r="U420" s="605">
        <f t="shared" si="47"/>
        <v>33544</v>
      </c>
      <c r="V420" s="605">
        <f t="shared" si="47"/>
        <v>0</v>
      </c>
      <c r="W420" s="605">
        <f t="shared" si="47"/>
        <v>0</v>
      </c>
      <c r="X420" s="605">
        <f t="shared" si="47"/>
        <v>0</v>
      </c>
      <c r="Y420" s="605">
        <f t="shared" si="47"/>
        <v>0</v>
      </c>
      <c r="Z420" s="605">
        <f t="shared" si="47"/>
        <v>42990</v>
      </c>
      <c r="AA420" s="605">
        <f t="shared" si="47"/>
        <v>0</v>
      </c>
      <c r="AB420" s="605">
        <f t="shared" si="47"/>
        <v>0</v>
      </c>
      <c r="AC420" s="605">
        <f t="shared" si="47"/>
        <v>0</v>
      </c>
      <c r="AD420" s="605">
        <f t="shared" si="47"/>
        <v>-2.8421709430404007E-11</v>
      </c>
      <c r="AE420" s="605">
        <f t="shared" si="47"/>
        <v>10529</v>
      </c>
      <c r="AF420" s="606">
        <f t="shared" si="47"/>
        <v>935</v>
      </c>
    </row>
    <row r="421" spans="1:32" x14ac:dyDescent="0.25">
      <c r="A421" s="604" t="str">
        <f t="shared" si="37"/>
        <v>INS</v>
      </c>
      <c r="B421" s="604" t="str">
        <f t="shared" si="37"/>
        <v>Not elsewhere specified (industry)</v>
      </c>
      <c r="C421" s="604" t="str">
        <f t="shared" si="37"/>
        <v>INDLPG</v>
      </c>
      <c r="D421" s="604" t="str">
        <f t="shared" si="37"/>
        <v>TJ</v>
      </c>
      <c r="E421" s="605">
        <f t="shared" ref="E421:AF421" si="48">E401-E339-E362-E379</f>
        <v>2615</v>
      </c>
      <c r="F421" s="605">
        <f t="shared" si="48"/>
        <v>4145.5422546539075</v>
      </c>
      <c r="G421" s="605">
        <f t="shared" si="48"/>
        <v>3870</v>
      </c>
      <c r="H421" s="605">
        <f t="shared" si="48"/>
        <v>202</v>
      </c>
      <c r="I421" s="605">
        <f t="shared" si="48"/>
        <v>3526</v>
      </c>
      <c r="J421" s="605">
        <f t="shared" si="48"/>
        <v>2675.2284490371608</v>
      </c>
      <c r="K421" s="605">
        <f t="shared" si="48"/>
        <v>21332.333522563858</v>
      </c>
      <c r="L421" s="605">
        <f t="shared" si="48"/>
        <v>3518</v>
      </c>
      <c r="M421" s="605">
        <f t="shared" si="48"/>
        <v>7380</v>
      </c>
      <c r="N421" s="605">
        <f t="shared" si="48"/>
        <v>0</v>
      </c>
      <c r="O421" s="605">
        <f t="shared" si="48"/>
        <v>7030</v>
      </c>
      <c r="P421" s="605">
        <f t="shared" si="48"/>
        <v>6149</v>
      </c>
      <c r="Q421" s="605">
        <f t="shared" si="48"/>
        <v>360</v>
      </c>
      <c r="R421" s="605">
        <f t="shared" si="48"/>
        <v>7426</v>
      </c>
      <c r="S421" s="605">
        <f t="shared" si="48"/>
        <v>927</v>
      </c>
      <c r="T421" s="605">
        <f t="shared" si="48"/>
        <v>2460</v>
      </c>
      <c r="U421" s="605">
        <f t="shared" si="48"/>
        <v>4932</v>
      </c>
      <c r="V421" s="605">
        <f t="shared" si="48"/>
        <v>1993.6880730168814</v>
      </c>
      <c r="W421" s="605">
        <f t="shared" si="48"/>
        <v>192119</v>
      </c>
      <c r="X421" s="605">
        <f t="shared" si="48"/>
        <v>2406.0000000000018</v>
      </c>
      <c r="Y421" s="605">
        <f t="shared" si="48"/>
        <v>55159.131465455095</v>
      </c>
      <c r="Z421" s="605">
        <f t="shared" si="48"/>
        <v>13446</v>
      </c>
      <c r="AA421" s="605">
        <f t="shared" si="48"/>
        <v>8</v>
      </c>
      <c r="AB421" s="605">
        <f t="shared" si="48"/>
        <v>20434</v>
      </c>
      <c r="AC421" s="605">
        <f t="shared" si="48"/>
        <v>134</v>
      </c>
      <c r="AD421" s="605">
        <f t="shared" si="48"/>
        <v>77</v>
      </c>
      <c r="AE421" s="605">
        <f t="shared" si="48"/>
        <v>33234</v>
      </c>
      <c r="AF421" s="606">
        <f t="shared" si="48"/>
        <v>1863</v>
      </c>
    </row>
    <row r="422" spans="1:32" x14ac:dyDescent="0.25">
      <c r="A422" s="604" t="str">
        <f t="shared" si="37"/>
        <v>INS</v>
      </c>
      <c r="B422" s="604" t="str">
        <f t="shared" si="37"/>
        <v>Not elsewhere specified (industry)</v>
      </c>
      <c r="C422" s="604" t="str">
        <f t="shared" si="37"/>
        <v>INDOIL</v>
      </c>
      <c r="D422" s="604" t="str">
        <f t="shared" si="37"/>
        <v>TJ</v>
      </c>
      <c r="E422" s="605">
        <f t="shared" ref="E422:AF422" si="49">E402-E340-E363-E380</f>
        <v>59588.891941478891</v>
      </c>
      <c r="F422" s="605">
        <f t="shared" si="49"/>
        <v>180942.68359174603</v>
      </c>
      <c r="G422" s="605">
        <f t="shared" si="49"/>
        <v>36572.443261268796</v>
      </c>
      <c r="H422" s="605">
        <f t="shared" si="49"/>
        <v>17214.142599635554</v>
      </c>
      <c r="I422" s="605">
        <f t="shared" si="49"/>
        <v>7859</v>
      </c>
      <c r="J422" s="605">
        <f t="shared" si="49"/>
        <v>10233.113912290324</v>
      </c>
      <c r="K422" s="605">
        <f t="shared" si="49"/>
        <v>241746.57520115084</v>
      </c>
      <c r="L422" s="605">
        <f t="shared" si="49"/>
        <v>56962</v>
      </c>
      <c r="M422" s="605">
        <f t="shared" si="49"/>
        <v>29987</v>
      </c>
      <c r="N422" s="605">
        <f t="shared" si="49"/>
        <v>76618</v>
      </c>
      <c r="O422" s="605">
        <f t="shared" si="49"/>
        <v>31453</v>
      </c>
      <c r="P422" s="605">
        <f t="shared" si="49"/>
        <v>90807</v>
      </c>
      <c r="Q422" s="605">
        <f t="shared" si="49"/>
        <v>4336</v>
      </c>
      <c r="R422" s="605">
        <f t="shared" si="49"/>
        <v>45225</v>
      </c>
      <c r="S422" s="605">
        <f t="shared" si="49"/>
        <v>1084</v>
      </c>
      <c r="T422" s="605">
        <f t="shared" si="49"/>
        <v>3974</v>
      </c>
      <c r="U422" s="605">
        <f t="shared" si="49"/>
        <v>16808</v>
      </c>
      <c r="V422" s="605">
        <f t="shared" si="49"/>
        <v>388445.99136043445</v>
      </c>
      <c r="W422" s="605">
        <f t="shared" si="49"/>
        <v>61760.426969663662</v>
      </c>
      <c r="X422" s="605">
        <f t="shared" si="49"/>
        <v>9761</v>
      </c>
      <c r="Y422" s="605">
        <f t="shared" si="49"/>
        <v>238893.59657922707</v>
      </c>
      <c r="Z422" s="605">
        <f t="shared" si="49"/>
        <v>54778.18678535716</v>
      </c>
      <c r="AA422" s="605">
        <f t="shared" si="49"/>
        <v>999222</v>
      </c>
      <c r="AB422" s="605">
        <f t="shared" si="49"/>
        <v>24908</v>
      </c>
      <c r="AC422" s="605">
        <f t="shared" si="49"/>
        <v>1645.3350218907908</v>
      </c>
      <c r="AD422" s="605">
        <f t="shared" si="49"/>
        <v>73084</v>
      </c>
      <c r="AE422" s="605">
        <f t="shared" si="49"/>
        <v>14969</v>
      </c>
      <c r="AF422" s="606">
        <f t="shared" si="49"/>
        <v>46634</v>
      </c>
    </row>
    <row r="423" spans="1:32" x14ac:dyDescent="0.25">
      <c r="A423" s="604" t="str">
        <f t="shared" si="37"/>
        <v>INS</v>
      </c>
      <c r="B423" s="604" t="str">
        <f t="shared" si="37"/>
        <v>Not elsewhere specified (industry)</v>
      </c>
      <c r="C423" s="604" t="str">
        <f t="shared" si="37"/>
        <v>INDGEO</v>
      </c>
      <c r="D423" s="604" t="str">
        <f t="shared" si="37"/>
        <v>TJ</v>
      </c>
      <c r="E423" s="605">
        <f t="shared" ref="E423:AF423" si="50">E403-E341-E364-E381</f>
        <v>0</v>
      </c>
      <c r="F423" s="605">
        <f t="shared" si="50"/>
        <v>0</v>
      </c>
      <c r="G423" s="605">
        <f t="shared" si="50"/>
        <v>0</v>
      </c>
      <c r="H423" s="605">
        <f t="shared" si="50"/>
        <v>0</v>
      </c>
      <c r="I423" s="605">
        <f t="shared" si="50"/>
        <v>4908</v>
      </c>
      <c r="J423" s="605">
        <f t="shared" si="50"/>
        <v>0</v>
      </c>
      <c r="K423" s="605">
        <f t="shared" si="50"/>
        <v>0</v>
      </c>
      <c r="L423" s="605">
        <f t="shared" si="50"/>
        <v>0</v>
      </c>
      <c r="M423" s="605">
        <f t="shared" si="50"/>
        <v>0</v>
      </c>
      <c r="N423" s="605">
        <f t="shared" si="50"/>
        <v>0</v>
      </c>
      <c r="O423" s="605">
        <f t="shared" si="50"/>
        <v>0</v>
      </c>
      <c r="P423" s="605">
        <f t="shared" si="50"/>
        <v>0</v>
      </c>
      <c r="Q423" s="605">
        <f t="shared" si="50"/>
        <v>0</v>
      </c>
      <c r="R423" s="605">
        <f t="shared" si="50"/>
        <v>483</v>
      </c>
      <c r="S423" s="605">
        <f t="shared" si="50"/>
        <v>24</v>
      </c>
      <c r="T423" s="605">
        <f t="shared" si="50"/>
        <v>67</v>
      </c>
      <c r="U423" s="605">
        <f t="shared" si="50"/>
        <v>0</v>
      </c>
      <c r="V423" s="605">
        <f t="shared" si="50"/>
        <v>0</v>
      </c>
      <c r="W423" s="605">
        <f t="shared" si="50"/>
        <v>0</v>
      </c>
      <c r="X423" s="605">
        <f t="shared" si="50"/>
        <v>23</v>
      </c>
      <c r="Y423" s="605">
        <f t="shared" si="50"/>
        <v>0</v>
      </c>
      <c r="Z423" s="605">
        <f t="shared" si="50"/>
        <v>0</v>
      </c>
      <c r="AA423" s="605">
        <f t="shared" si="50"/>
        <v>0</v>
      </c>
      <c r="AB423" s="605">
        <f t="shared" si="50"/>
        <v>0</v>
      </c>
      <c r="AC423" s="605">
        <f t="shared" si="50"/>
        <v>0</v>
      </c>
      <c r="AD423" s="605">
        <f t="shared" si="50"/>
        <v>0</v>
      </c>
      <c r="AE423" s="605">
        <f t="shared" si="50"/>
        <v>189</v>
      </c>
      <c r="AF423" s="606">
        <f t="shared" si="50"/>
        <v>0</v>
      </c>
    </row>
    <row r="424" spans="1:32" x14ac:dyDescent="0.25">
      <c r="A424" s="604" t="str">
        <f t="shared" si="37"/>
        <v>INS</v>
      </c>
      <c r="B424" s="604" t="str">
        <f t="shared" si="37"/>
        <v>Not elsewhere specified (industry)</v>
      </c>
      <c r="C424" s="604" t="str">
        <f t="shared" si="37"/>
        <v>INDCSP</v>
      </c>
      <c r="D424" s="604" t="str">
        <f t="shared" si="37"/>
        <v>TJ</v>
      </c>
      <c r="E424" s="605">
        <f t="shared" ref="E424:AF424" si="51">E404-E342-E365-E382</f>
        <v>0</v>
      </c>
      <c r="F424" s="605">
        <f t="shared" si="51"/>
        <v>0</v>
      </c>
      <c r="G424" s="605">
        <f t="shared" si="51"/>
        <v>0</v>
      </c>
      <c r="H424" s="605">
        <f t="shared" si="51"/>
        <v>0</v>
      </c>
      <c r="I424" s="605">
        <f t="shared" si="51"/>
        <v>0</v>
      </c>
      <c r="J424" s="605">
        <f t="shared" si="51"/>
        <v>0</v>
      </c>
      <c r="K424" s="605">
        <f t="shared" si="51"/>
        <v>0</v>
      </c>
      <c r="L424" s="605">
        <f t="shared" si="51"/>
        <v>0</v>
      </c>
      <c r="M424" s="605">
        <f t="shared" si="51"/>
        <v>0</v>
      </c>
      <c r="N424" s="605">
        <f t="shared" si="51"/>
        <v>0</v>
      </c>
      <c r="O424" s="605">
        <f t="shared" si="51"/>
        <v>0</v>
      </c>
      <c r="P424" s="605">
        <f t="shared" si="51"/>
        <v>0</v>
      </c>
      <c r="Q424" s="605">
        <f t="shared" si="51"/>
        <v>0</v>
      </c>
      <c r="R424" s="605">
        <f t="shared" si="51"/>
        <v>81</v>
      </c>
      <c r="S424" s="605">
        <f t="shared" si="51"/>
        <v>0</v>
      </c>
      <c r="T424" s="605">
        <f t="shared" si="51"/>
        <v>616</v>
      </c>
      <c r="U424" s="605">
        <f t="shared" si="51"/>
        <v>4</v>
      </c>
      <c r="V424" s="605">
        <f t="shared" si="51"/>
        <v>0</v>
      </c>
      <c r="W424" s="605">
        <f t="shared" si="51"/>
        <v>0</v>
      </c>
      <c r="X424" s="605">
        <f t="shared" si="51"/>
        <v>0</v>
      </c>
      <c r="Y424" s="605">
        <f t="shared" si="51"/>
        <v>2</v>
      </c>
      <c r="Z424" s="605">
        <f t="shared" si="51"/>
        <v>12150</v>
      </c>
      <c r="AA424" s="605">
        <f t="shared" si="51"/>
        <v>0</v>
      </c>
      <c r="AB424" s="605">
        <f t="shared" si="51"/>
        <v>736</v>
      </c>
      <c r="AC424" s="605">
        <f t="shared" si="51"/>
        <v>0</v>
      </c>
      <c r="AD424" s="605">
        <f t="shared" si="51"/>
        <v>0</v>
      </c>
      <c r="AE424" s="605">
        <f t="shared" si="51"/>
        <v>75</v>
      </c>
      <c r="AF424" s="606">
        <f t="shared" si="51"/>
        <v>0</v>
      </c>
    </row>
    <row r="425" spans="1:32" x14ac:dyDescent="0.25">
      <c r="A425" s="607" t="str">
        <f t="shared" si="37"/>
        <v>INS</v>
      </c>
      <c r="B425" s="607" t="str">
        <f t="shared" si="37"/>
        <v>Not elsewhere specified (industry)</v>
      </c>
      <c r="C425" s="607" t="str">
        <f t="shared" si="37"/>
        <v>INDWAS</v>
      </c>
      <c r="D425" s="607" t="str">
        <f t="shared" si="37"/>
        <v>TJ</v>
      </c>
      <c r="E425" s="608">
        <f t="shared" ref="E425:AF425" si="52">E405-E343-E366-E383</f>
        <v>0</v>
      </c>
      <c r="F425" s="609">
        <f t="shared" si="52"/>
        <v>0</v>
      </c>
      <c r="G425" s="609">
        <f t="shared" si="52"/>
        <v>28</v>
      </c>
      <c r="H425" s="609">
        <f t="shared" si="52"/>
        <v>0</v>
      </c>
      <c r="I425" s="609">
        <f t="shared" si="52"/>
        <v>0</v>
      </c>
      <c r="J425" s="609">
        <f t="shared" si="52"/>
        <v>0</v>
      </c>
      <c r="K425" s="609">
        <f t="shared" si="52"/>
        <v>2536</v>
      </c>
      <c r="L425" s="609">
        <f t="shared" si="52"/>
        <v>0</v>
      </c>
      <c r="M425" s="609">
        <f t="shared" si="52"/>
        <v>0</v>
      </c>
      <c r="N425" s="609">
        <f t="shared" si="52"/>
        <v>0</v>
      </c>
      <c r="O425" s="609">
        <f t="shared" si="52"/>
        <v>0</v>
      </c>
      <c r="P425" s="609">
        <f t="shared" si="52"/>
        <v>0</v>
      </c>
      <c r="Q425" s="609">
        <f t="shared" si="52"/>
        <v>0</v>
      </c>
      <c r="R425" s="609">
        <f t="shared" si="52"/>
        <v>565</v>
      </c>
      <c r="S425" s="609">
        <f t="shared" si="52"/>
        <v>39</v>
      </c>
      <c r="T425" s="609">
        <f t="shared" si="52"/>
        <v>1198</v>
      </c>
      <c r="U425" s="609">
        <f t="shared" si="52"/>
        <v>199</v>
      </c>
      <c r="V425" s="609">
        <f t="shared" si="52"/>
        <v>0</v>
      </c>
      <c r="W425" s="609">
        <f t="shared" si="52"/>
        <v>0</v>
      </c>
      <c r="X425" s="609">
        <f t="shared" si="52"/>
        <v>1444</v>
      </c>
      <c r="Y425" s="609">
        <f t="shared" si="52"/>
        <v>212.68467518184363</v>
      </c>
      <c r="Z425" s="609">
        <f t="shared" si="52"/>
        <v>5788</v>
      </c>
      <c r="AA425" s="609">
        <f t="shared" si="52"/>
        <v>0</v>
      </c>
      <c r="AB425" s="609">
        <f t="shared" si="52"/>
        <v>0</v>
      </c>
      <c r="AC425" s="609">
        <f t="shared" si="52"/>
        <v>0</v>
      </c>
      <c r="AD425" s="609">
        <f t="shared" si="52"/>
        <v>146</v>
      </c>
      <c r="AE425" s="609">
        <f t="shared" si="52"/>
        <v>5371</v>
      </c>
      <c r="AF425" s="610">
        <f t="shared" si="52"/>
        <v>2524</v>
      </c>
    </row>
    <row r="428" spans="1:32" ht="15.75" x14ac:dyDescent="0.25">
      <c r="E428" s="584" t="s">
        <v>429</v>
      </c>
    </row>
    <row r="429" spans="1:32" ht="15.75" x14ac:dyDescent="0.25">
      <c r="A429" s="241" t="s">
        <v>358</v>
      </c>
      <c r="B429" s="242" t="s">
        <v>359</v>
      </c>
      <c r="C429" s="241" t="s">
        <v>360</v>
      </c>
      <c r="D429" s="241" t="s">
        <v>342</v>
      </c>
      <c r="E429" s="243" t="s">
        <v>162</v>
      </c>
      <c r="F429" s="243" t="s">
        <v>164</v>
      </c>
      <c r="G429" s="243" t="s">
        <v>166</v>
      </c>
      <c r="H429" s="243" t="s">
        <v>168</v>
      </c>
      <c r="I429" s="243" t="s">
        <v>170</v>
      </c>
      <c r="J429" s="243" t="s">
        <v>173</v>
      </c>
      <c r="K429" s="243" t="s">
        <v>175</v>
      </c>
      <c r="L429" s="243" t="s">
        <v>177</v>
      </c>
      <c r="M429" s="243" t="s">
        <v>179</v>
      </c>
      <c r="N429" s="243" t="s">
        <v>181</v>
      </c>
      <c r="O429" s="243" t="s">
        <v>183</v>
      </c>
      <c r="P429" s="243" t="s">
        <v>185</v>
      </c>
      <c r="Q429" s="243" t="s">
        <v>188</v>
      </c>
      <c r="R429" s="243" t="s">
        <v>190</v>
      </c>
      <c r="S429" s="243" t="s">
        <v>192</v>
      </c>
      <c r="T429" s="243" t="s">
        <v>194</v>
      </c>
      <c r="U429" s="243" t="s">
        <v>196</v>
      </c>
      <c r="V429" s="243" t="s">
        <v>198</v>
      </c>
      <c r="W429" s="243" t="s">
        <v>9</v>
      </c>
      <c r="X429" s="243" t="s">
        <v>201</v>
      </c>
      <c r="Y429" s="243" t="s">
        <v>203</v>
      </c>
      <c r="Z429" s="243" t="s">
        <v>205</v>
      </c>
      <c r="AA429" s="243" t="s">
        <v>207</v>
      </c>
      <c r="AB429" s="243" t="s">
        <v>210</v>
      </c>
      <c r="AC429" s="243" t="s">
        <v>212</v>
      </c>
      <c r="AD429" s="243" t="s">
        <v>214</v>
      </c>
      <c r="AE429" s="243" t="s">
        <v>217</v>
      </c>
      <c r="AF429" s="244" t="s">
        <v>219</v>
      </c>
    </row>
    <row r="430" spans="1:32" x14ac:dyDescent="0.25">
      <c r="A430" s="178" t="s">
        <v>384</v>
      </c>
      <c r="B430" s="178" t="s">
        <v>385</v>
      </c>
      <c r="C430" s="178" t="s">
        <v>113</v>
      </c>
      <c r="D430" s="178" t="s">
        <v>363</v>
      </c>
      <c r="E430" s="245">
        <v>0</v>
      </c>
      <c r="F430" s="245">
        <v>225.25610659342954</v>
      </c>
      <c r="G430" s="245">
        <v>0</v>
      </c>
      <c r="H430" s="245">
        <v>193.35841611802351</v>
      </c>
      <c r="I430" s="245">
        <v>0</v>
      </c>
      <c r="J430" s="245">
        <v>0</v>
      </c>
      <c r="K430" s="245">
        <v>0</v>
      </c>
      <c r="L430" s="245">
        <v>0</v>
      </c>
      <c r="M430" s="245">
        <v>0</v>
      </c>
      <c r="N430" s="245">
        <v>0</v>
      </c>
      <c r="O430" s="245">
        <v>0</v>
      </c>
      <c r="P430" s="245">
        <v>16225</v>
      </c>
      <c r="Q430" s="245">
        <v>0</v>
      </c>
      <c r="R430" s="245">
        <v>0</v>
      </c>
      <c r="S430" s="245">
        <v>0</v>
      </c>
      <c r="T430" s="245">
        <v>0</v>
      </c>
      <c r="U430" s="245">
        <v>0</v>
      </c>
      <c r="V430" s="245">
        <v>0</v>
      </c>
      <c r="W430" s="245">
        <v>238631.66439289204</v>
      </c>
      <c r="X430" s="245">
        <v>0</v>
      </c>
      <c r="Y430" s="245">
        <v>0</v>
      </c>
      <c r="Z430" s="245">
        <v>0</v>
      </c>
      <c r="AA430" s="245">
        <v>0</v>
      </c>
      <c r="AB430" s="245">
        <v>0</v>
      </c>
      <c r="AC430" s="245">
        <v>0</v>
      </c>
      <c r="AD430" s="245">
        <v>0</v>
      </c>
      <c r="AE430" s="245">
        <v>0</v>
      </c>
      <c r="AF430" s="596">
        <v>0</v>
      </c>
    </row>
    <row r="431" spans="1:32" x14ac:dyDescent="0.25">
      <c r="A431" s="178" t="s">
        <v>384</v>
      </c>
      <c r="B431" s="178" t="s">
        <v>385</v>
      </c>
      <c r="C431" s="178" t="s">
        <v>115</v>
      </c>
      <c r="D431" s="178" t="s">
        <v>363</v>
      </c>
      <c r="E431" s="245">
        <v>0</v>
      </c>
      <c r="F431" s="245">
        <v>0</v>
      </c>
      <c r="G431" s="245">
        <v>0</v>
      </c>
      <c r="H431" s="245">
        <v>0</v>
      </c>
      <c r="I431" s="245">
        <v>29</v>
      </c>
      <c r="J431" s="245">
        <v>0</v>
      </c>
      <c r="K431" s="245">
        <v>0</v>
      </c>
      <c r="L431" s="245">
        <v>0</v>
      </c>
      <c r="M431" s="245">
        <v>0</v>
      </c>
      <c r="N431" s="245">
        <v>6.9388939039072284E-15</v>
      </c>
      <c r="O431" s="245">
        <v>27</v>
      </c>
      <c r="P431" s="245">
        <v>0</v>
      </c>
      <c r="Q431" s="245">
        <v>0</v>
      </c>
      <c r="R431" s="245">
        <v>4945</v>
      </c>
      <c r="S431" s="245">
        <v>36</v>
      </c>
      <c r="T431" s="245">
        <v>29</v>
      </c>
      <c r="U431" s="245">
        <v>323</v>
      </c>
      <c r="V431" s="245">
        <v>0</v>
      </c>
      <c r="W431" s="245">
        <v>0</v>
      </c>
      <c r="X431" s="245">
        <v>0</v>
      </c>
      <c r="Y431" s="245">
        <v>0</v>
      </c>
      <c r="Z431" s="245">
        <v>0</v>
      </c>
      <c r="AA431" s="245">
        <v>0</v>
      </c>
      <c r="AB431" s="245">
        <v>0</v>
      </c>
      <c r="AC431" s="245">
        <v>0</v>
      </c>
      <c r="AD431" s="245">
        <v>0</v>
      </c>
      <c r="AE431" s="245">
        <v>125</v>
      </c>
      <c r="AF431" s="206">
        <v>121</v>
      </c>
    </row>
    <row r="432" spans="1:32" x14ac:dyDescent="0.25">
      <c r="A432" s="178" t="s">
        <v>384</v>
      </c>
      <c r="B432" s="178" t="s">
        <v>385</v>
      </c>
      <c r="C432" s="178" t="s">
        <v>117</v>
      </c>
      <c r="D432" s="178" t="s">
        <v>363</v>
      </c>
      <c r="E432" s="245">
        <v>227418</v>
      </c>
      <c r="F432" s="245">
        <v>17500.774462083511</v>
      </c>
      <c r="G432" s="245">
        <v>49845.630261192135</v>
      </c>
      <c r="H432" s="245">
        <v>100596.0428501072</v>
      </c>
      <c r="I432" s="245">
        <v>21262</v>
      </c>
      <c r="J432" s="245">
        <v>2</v>
      </c>
      <c r="K432" s="245">
        <v>105658</v>
      </c>
      <c r="L432" s="245">
        <v>218987</v>
      </c>
      <c r="M432" s="245">
        <v>151538.10382531729</v>
      </c>
      <c r="N432" s="245">
        <v>50659</v>
      </c>
      <c r="O432" s="245">
        <v>83150</v>
      </c>
      <c r="P432" s="245">
        <v>11823</v>
      </c>
      <c r="Q432" s="245">
        <v>3077</v>
      </c>
      <c r="R432" s="245">
        <v>20705</v>
      </c>
      <c r="S432" s="245">
        <v>11716</v>
      </c>
      <c r="T432" s="245">
        <v>12347</v>
      </c>
      <c r="U432" s="245">
        <v>294524</v>
      </c>
      <c r="V432" s="245">
        <v>967279</v>
      </c>
      <c r="W432" s="245">
        <v>1887737.9641179563</v>
      </c>
      <c r="X432" s="245">
        <v>56</v>
      </c>
      <c r="Y432" s="245">
        <v>165530.15823833394</v>
      </c>
      <c r="Z432" s="245">
        <v>402</v>
      </c>
      <c r="AA432" s="245">
        <v>0</v>
      </c>
      <c r="AB432" s="245">
        <v>6003</v>
      </c>
      <c r="AC432" s="245">
        <v>173976</v>
      </c>
      <c r="AD432" s="245">
        <v>292</v>
      </c>
      <c r="AE432" s="245">
        <v>7543.9766971506851</v>
      </c>
      <c r="AF432" s="206">
        <v>20650</v>
      </c>
    </row>
    <row r="433" spans="1:32" x14ac:dyDescent="0.25">
      <c r="A433" s="178" t="s">
        <v>384</v>
      </c>
      <c r="B433" s="178" t="s">
        <v>385</v>
      </c>
      <c r="C433" s="178" t="s">
        <v>119</v>
      </c>
      <c r="D433" s="178" t="s">
        <v>363</v>
      </c>
      <c r="E433" s="245">
        <v>0</v>
      </c>
      <c r="F433" s="245">
        <v>0</v>
      </c>
      <c r="G433" s="245">
        <v>0</v>
      </c>
      <c r="H433" s="245">
        <v>0</v>
      </c>
      <c r="I433" s="245">
        <v>0</v>
      </c>
      <c r="J433" s="245">
        <v>0</v>
      </c>
      <c r="K433" s="245">
        <v>0</v>
      </c>
      <c r="L433" s="245">
        <v>0</v>
      </c>
      <c r="M433" s="245">
        <v>378.81858104984678</v>
      </c>
      <c r="N433" s="245">
        <v>0</v>
      </c>
      <c r="O433" s="245">
        <v>0</v>
      </c>
      <c r="P433" s="245">
        <v>0</v>
      </c>
      <c r="Q433" s="245">
        <v>0</v>
      </c>
      <c r="R433" s="245">
        <v>27</v>
      </c>
      <c r="S433" s="245">
        <v>0</v>
      </c>
      <c r="T433" s="245">
        <v>16</v>
      </c>
      <c r="U433" s="245">
        <v>238</v>
      </c>
      <c r="V433" s="245">
        <v>9096.9505787011949</v>
      </c>
      <c r="W433" s="245">
        <v>0</v>
      </c>
      <c r="X433" s="245">
        <v>0</v>
      </c>
      <c r="Y433" s="245">
        <v>357</v>
      </c>
      <c r="Z433" s="245">
        <v>0</v>
      </c>
      <c r="AA433" s="245">
        <v>0</v>
      </c>
      <c r="AB433" s="245">
        <v>0</v>
      </c>
      <c r="AC433" s="245">
        <v>0</v>
      </c>
      <c r="AD433" s="245">
        <v>0</v>
      </c>
      <c r="AE433" s="245">
        <v>0</v>
      </c>
      <c r="AF433" s="206">
        <v>303</v>
      </c>
    </row>
    <row r="434" spans="1:32" x14ac:dyDescent="0.25">
      <c r="A434" s="178" t="s">
        <v>384</v>
      </c>
      <c r="B434" s="178" t="s">
        <v>385</v>
      </c>
      <c r="C434" s="178" t="s">
        <v>120</v>
      </c>
      <c r="D434" s="178" t="s">
        <v>363</v>
      </c>
      <c r="E434" s="582">
        <v>-9161.968768021623</v>
      </c>
      <c r="F434" s="582">
        <v>-37100.761263175664</v>
      </c>
      <c r="G434" s="582">
        <v>-28177.132095921967</v>
      </c>
      <c r="H434" s="245">
        <v>189210.85024813542</v>
      </c>
      <c r="I434" s="245">
        <v>2613</v>
      </c>
      <c r="J434" s="245">
        <v>19002</v>
      </c>
      <c r="K434" s="245">
        <v>362280.00534806779</v>
      </c>
      <c r="L434" s="245">
        <v>443833</v>
      </c>
      <c r="M434" s="245">
        <v>3152</v>
      </c>
      <c r="N434" s="245">
        <v>7694</v>
      </c>
      <c r="O434" s="245">
        <v>2060</v>
      </c>
      <c r="P434" s="245">
        <v>1558116.1387904687</v>
      </c>
      <c r="Q434" s="245">
        <v>69</v>
      </c>
      <c r="R434" s="245">
        <v>12899</v>
      </c>
      <c r="S434" s="245">
        <v>2042</v>
      </c>
      <c r="T434" s="245">
        <v>2</v>
      </c>
      <c r="U434" s="245">
        <v>2565</v>
      </c>
      <c r="V434" s="245">
        <v>1118641.5669669167</v>
      </c>
      <c r="W434" s="245">
        <v>4569521.1071244003</v>
      </c>
      <c r="X434" s="245">
        <v>297</v>
      </c>
      <c r="Y434" s="582">
        <v>-19635.655377470401</v>
      </c>
      <c r="Z434" s="245">
        <v>8695</v>
      </c>
      <c r="AA434" s="582">
        <v>-20584.653694698529</v>
      </c>
      <c r="AB434" s="245">
        <v>67054</v>
      </c>
      <c r="AC434" s="582">
        <v>-58042.216593697362</v>
      </c>
      <c r="AD434" s="245">
        <v>139</v>
      </c>
      <c r="AE434" s="245">
        <v>1716.062194520011</v>
      </c>
      <c r="AF434" s="206">
        <v>28385</v>
      </c>
    </row>
    <row r="435" spans="1:32" x14ac:dyDescent="0.25">
      <c r="A435" s="178" t="s">
        <v>384</v>
      </c>
      <c r="B435" s="178" t="s">
        <v>385</v>
      </c>
      <c r="C435" s="178" t="s">
        <v>122</v>
      </c>
      <c r="D435" s="178" t="s">
        <v>363</v>
      </c>
      <c r="E435" s="245">
        <v>0</v>
      </c>
      <c r="F435" s="245">
        <v>0</v>
      </c>
      <c r="G435" s="245">
        <v>0</v>
      </c>
      <c r="H435" s="245">
        <v>9430.255728105918</v>
      </c>
      <c r="I435" s="245">
        <v>0</v>
      </c>
      <c r="J435" s="245">
        <v>0</v>
      </c>
      <c r="K435" s="245">
        <v>0</v>
      </c>
      <c r="L435" s="245">
        <v>0</v>
      </c>
      <c r="M435" s="245">
        <v>0</v>
      </c>
      <c r="N435" s="245">
        <v>0</v>
      </c>
      <c r="O435" s="245">
        <v>0</v>
      </c>
      <c r="P435" s="245">
        <v>60150</v>
      </c>
      <c r="Q435" s="245">
        <v>0</v>
      </c>
      <c r="R435" s="245">
        <v>0</v>
      </c>
      <c r="S435" s="245">
        <v>0</v>
      </c>
      <c r="T435" s="245">
        <v>0</v>
      </c>
      <c r="U435" s="245">
        <v>46</v>
      </c>
      <c r="V435" s="245">
        <v>0</v>
      </c>
      <c r="W435" s="245">
        <v>0</v>
      </c>
      <c r="X435" s="245">
        <v>0</v>
      </c>
      <c r="Y435" s="245">
        <v>0</v>
      </c>
      <c r="Z435" s="245">
        <v>0</v>
      </c>
      <c r="AA435" s="245">
        <v>0</v>
      </c>
      <c r="AB435" s="245">
        <v>0</v>
      </c>
      <c r="AC435" s="245">
        <v>0</v>
      </c>
      <c r="AD435" s="245">
        <v>0</v>
      </c>
      <c r="AE435" s="245">
        <v>0</v>
      </c>
      <c r="AF435" s="206">
        <v>29806</v>
      </c>
    </row>
    <row r="436" spans="1:32" x14ac:dyDescent="0.25">
      <c r="A436" s="178" t="s">
        <v>384</v>
      </c>
      <c r="B436" s="178" t="s">
        <v>385</v>
      </c>
      <c r="C436" s="178" t="s">
        <v>124</v>
      </c>
      <c r="D436" s="178" t="s">
        <v>363</v>
      </c>
      <c r="E436" s="245">
        <v>0</v>
      </c>
      <c r="F436" s="245">
        <v>0</v>
      </c>
      <c r="G436" s="245">
        <v>0</v>
      </c>
      <c r="H436" s="245">
        <v>2209</v>
      </c>
      <c r="I436" s="245">
        <v>0</v>
      </c>
      <c r="J436" s="245">
        <v>0</v>
      </c>
      <c r="K436" s="245">
        <v>0</v>
      </c>
      <c r="L436" s="245">
        <v>0</v>
      </c>
      <c r="M436" s="245">
        <v>100537.46374622526</v>
      </c>
      <c r="N436" s="245">
        <v>3.5527136788005009E-12</v>
      </c>
      <c r="O436" s="245">
        <v>28</v>
      </c>
      <c r="P436" s="245">
        <v>867768</v>
      </c>
      <c r="Q436" s="245">
        <v>0</v>
      </c>
      <c r="R436" s="245">
        <v>0</v>
      </c>
      <c r="S436" s="245">
        <v>3</v>
      </c>
      <c r="T436" s="245">
        <v>3</v>
      </c>
      <c r="U436" s="245">
        <v>0</v>
      </c>
      <c r="V436" s="245">
        <v>10247.725398303392</v>
      </c>
      <c r="W436" s="245">
        <v>0</v>
      </c>
      <c r="X436" s="245">
        <v>0</v>
      </c>
      <c r="Y436" s="582">
        <v>-129.68611454533709</v>
      </c>
      <c r="Z436" s="245">
        <v>0</v>
      </c>
      <c r="AA436" s="245">
        <v>4307</v>
      </c>
      <c r="AB436" s="245">
        <v>0</v>
      </c>
      <c r="AC436" s="245">
        <v>0</v>
      </c>
      <c r="AD436" s="245">
        <v>35</v>
      </c>
      <c r="AE436" s="245">
        <v>8883</v>
      </c>
      <c r="AF436" s="206">
        <v>0</v>
      </c>
    </row>
    <row r="437" spans="1:32" x14ac:dyDescent="0.25">
      <c r="A437" s="178" t="s">
        <v>384</v>
      </c>
      <c r="B437" s="178" t="s">
        <v>385</v>
      </c>
      <c r="C437" s="178" t="s">
        <v>126</v>
      </c>
      <c r="D437" s="178" t="s">
        <v>363</v>
      </c>
      <c r="E437" s="245">
        <v>46766.678326972717</v>
      </c>
      <c r="F437" s="245">
        <v>181843.41129649905</v>
      </c>
      <c r="G437" s="245">
        <v>27156.892105924922</v>
      </c>
      <c r="H437" s="245">
        <v>153074.51631227808</v>
      </c>
      <c r="I437" s="245">
        <v>2489</v>
      </c>
      <c r="J437" s="245">
        <v>39415.562423456591</v>
      </c>
      <c r="K437" s="245">
        <v>420695.51397385215</v>
      </c>
      <c r="L437" s="245">
        <v>214496.90561826763</v>
      </c>
      <c r="M437" s="245">
        <v>185996.13979735938</v>
      </c>
      <c r="N437" s="245">
        <v>29323</v>
      </c>
      <c r="O437" s="245">
        <v>37133.988759341533</v>
      </c>
      <c r="P437" s="245">
        <v>7153059.4602821469</v>
      </c>
      <c r="Q437" s="245">
        <v>18798</v>
      </c>
      <c r="R437" s="245">
        <v>93309</v>
      </c>
      <c r="S437" s="245">
        <v>60634</v>
      </c>
      <c r="T437" s="245">
        <v>122487</v>
      </c>
      <c r="U437" s="245">
        <v>110201.00000000003</v>
      </c>
      <c r="V437" s="245">
        <v>619126.43777914974</v>
      </c>
      <c r="W437" s="245">
        <v>1519366.9734476677</v>
      </c>
      <c r="X437" s="245">
        <v>93389</v>
      </c>
      <c r="Y437" s="245">
        <v>391930.99310719105</v>
      </c>
      <c r="Z437" s="245">
        <v>171089.03894809383</v>
      </c>
      <c r="AA437" s="245">
        <v>229845.15739215363</v>
      </c>
      <c r="AB437" s="245">
        <v>394924.81457562849</v>
      </c>
      <c r="AC437" s="245">
        <v>4584.6539333380624</v>
      </c>
      <c r="AD437" s="245">
        <v>26751</v>
      </c>
      <c r="AE437" s="245">
        <v>18348.999999999971</v>
      </c>
      <c r="AF437" s="206">
        <v>360598</v>
      </c>
    </row>
    <row r="438" spans="1:32" x14ac:dyDescent="0.25">
      <c r="A438" s="178" t="s">
        <v>384</v>
      </c>
      <c r="B438" s="178" t="s">
        <v>385</v>
      </c>
      <c r="C438" s="178" t="s">
        <v>128</v>
      </c>
      <c r="D438" s="178" t="s">
        <v>363</v>
      </c>
      <c r="E438" s="245">
        <v>3149.9795789021487</v>
      </c>
      <c r="F438" s="245">
        <v>242627.38900892006</v>
      </c>
      <c r="G438" s="245">
        <v>53671.559647702634</v>
      </c>
      <c r="H438" s="245">
        <v>8529.4103251894776</v>
      </c>
      <c r="I438" s="245">
        <v>280</v>
      </c>
      <c r="J438" s="245">
        <v>35210</v>
      </c>
      <c r="K438" s="245">
        <v>413254.51964413561</v>
      </c>
      <c r="L438" s="245">
        <v>425434.10242762649</v>
      </c>
      <c r="M438" s="245">
        <v>45851</v>
      </c>
      <c r="N438" s="245">
        <v>115165</v>
      </c>
      <c r="O438" s="245">
        <v>15901.93282720543</v>
      </c>
      <c r="P438" s="245">
        <v>2312856.1904287231</v>
      </c>
      <c r="Q438" s="245">
        <v>1360</v>
      </c>
      <c r="R438" s="582">
        <v>-615.03357029855033</v>
      </c>
      <c r="S438" s="245">
        <v>21605</v>
      </c>
      <c r="T438" s="245">
        <v>24708</v>
      </c>
      <c r="U438" s="245">
        <v>46683.999999999971</v>
      </c>
      <c r="V438" s="245">
        <v>256128.25711205328</v>
      </c>
      <c r="W438" s="245">
        <v>257035.59496899601</v>
      </c>
      <c r="X438" s="245">
        <v>24682</v>
      </c>
      <c r="Y438" s="245">
        <v>382715.2034390138</v>
      </c>
      <c r="Z438" s="245">
        <v>126658</v>
      </c>
      <c r="AA438" s="245">
        <v>2848289.590631776</v>
      </c>
      <c r="AB438" s="245">
        <v>106063.03758033758</v>
      </c>
      <c r="AC438" s="245">
        <v>73819.984144153437</v>
      </c>
      <c r="AD438" s="582">
        <v>-70741.23887620063</v>
      </c>
      <c r="AE438" s="245">
        <v>63444.510819841344</v>
      </c>
      <c r="AF438" s="206">
        <v>593308</v>
      </c>
    </row>
    <row r="439" spans="1:32" x14ac:dyDescent="0.25">
      <c r="A439" s="178" t="s">
        <v>384</v>
      </c>
      <c r="B439" s="178" t="s">
        <v>385</v>
      </c>
      <c r="C439" s="178" t="s">
        <v>130</v>
      </c>
      <c r="D439" s="178" t="s">
        <v>363</v>
      </c>
      <c r="E439" s="245">
        <v>0</v>
      </c>
      <c r="F439" s="245">
        <v>0</v>
      </c>
      <c r="G439" s="245">
        <v>0</v>
      </c>
      <c r="H439" s="245">
        <v>0</v>
      </c>
      <c r="I439" s="245">
        <v>0</v>
      </c>
      <c r="J439" s="245">
        <v>31129</v>
      </c>
      <c r="K439" s="245">
        <v>0</v>
      </c>
      <c r="L439" s="245">
        <v>0</v>
      </c>
      <c r="M439" s="245">
        <v>0</v>
      </c>
      <c r="N439" s="245">
        <v>6321</v>
      </c>
      <c r="O439" s="245">
        <v>0</v>
      </c>
      <c r="P439" s="245">
        <v>1436239</v>
      </c>
      <c r="Q439" s="245">
        <v>4960.0000000000073</v>
      </c>
      <c r="R439" s="245">
        <v>20720</v>
      </c>
      <c r="S439" s="245">
        <v>5026</v>
      </c>
      <c r="T439" s="245">
        <v>18941</v>
      </c>
      <c r="U439" s="245">
        <v>33544</v>
      </c>
      <c r="V439" s="245">
        <v>0</v>
      </c>
      <c r="W439" s="245">
        <v>0</v>
      </c>
      <c r="X439" s="245">
        <v>0</v>
      </c>
      <c r="Y439" s="245">
        <v>0</v>
      </c>
      <c r="Z439" s="245">
        <v>42990</v>
      </c>
      <c r="AA439" s="245">
        <v>0</v>
      </c>
      <c r="AB439" s="245">
        <v>0</v>
      </c>
      <c r="AC439" s="245">
        <v>0</v>
      </c>
      <c r="AD439" s="245">
        <v>0</v>
      </c>
      <c r="AE439" s="245">
        <v>10520.209220013699</v>
      </c>
      <c r="AF439" s="206">
        <v>935</v>
      </c>
    </row>
    <row r="440" spans="1:32" x14ac:dyDescent="0.25">
      <c r="A440" s="178" t="s">
        <v>384</v>
      </c>
      <c r="B440" s="178" t="s">
        <v>385</v>
      </c>
      <c r="C440" s="178" t="s">
        <v>132</v>
      </c>
      <c r="D440" s="178" t="s">
        <v>363</v>
      </c>
      <c r="E440" s="245">
        <v>2615</v>
      </c>
      <c r="F440" s="245">
        <v>4145.5422546539075</v>
      </c>
      <c r="G440" s="245">
        <v>3870</v>
      </c>
      <c r="H440" s="245">
        <v>202</v>
      </c>
      <c r="I440" s="245">
        <v>3526</v>
      </c>
      <c r="J440" s="245">
        <v>2359.8836743318757</v>
      </c>
      <c r="K440" s="245">
        <v>21275.345284937212</v>
      </c>
      <c r="L440" s="245">
        <v>3518</v>
      </c>
      <c r="M440" s="245">
        <v>7380</v>
      </c>
      <c r="N440" s="245">
        <v>0</v>
      </c>
      <c r="O440" s="245">
        <v>7030</v>
      </c>
      <c r="P440" s="245">
        <v>6149</v>
      </c>
      <c r="Q440" s="245">
        <v>360</v>
      </c>
      <c r="R440" s="245">
        <v>7426</v>
      </c>
      <c r="S440" s="245">
        <v>927</v>
      </c>
      <c r="T440" s="245">
        <v>2460</v>
      </c>
      <c r="U440" s="245">
        <v>4931.9999999999991</v>
      </c>
      <c r="V440" s="245">
        <v>1993.6880730168814</v>
      </c>
      <c r="W440" s="245">
        <v>192119</v>
      </c>
      <c r="X440" s="245">
        <v>2406</v>
      </c>
      <c r="Y440" s="245">
        <v>55159.131465455095</v>
      </c>
      <c r="Z440" s="245">
        <v>13446</v>
      </c>
      <c r="AA440" s="245">
        <v>8</v>
      </c>
      <c r="AB440" s="245">
        <v>20434</v>
      </c>
      <c r="AC440" s="245">
        <v>134</v>
      </c>
      <c r="AD440" s="245">
        <v>77</v>
      </c>
      <c r="AE440" s="245">
        <v>33186.27862293151</v>
      </c>
      <c r="AF440" s="206">
        <v>1863</v>
      </c>
    </row>
    <row r="441" spans="1:32" x14ac:dyDescent="0.25">
      <c r="A441" s="178" t="s">
        <v>384</v>
      </c>
      <c r="B441" s="178" t="s">
        <v>385</v>
      </c>
      <c r="C441" s="178" t="s">
        <v>134</v>
      </c>
      <c r="D441" s="178" t="s">
        <v>363</v>
      </c>
      <c r="E441" s="245">
        <v>68750.860709500514</v>
      </c>
      <c r="F441" s="245">
        <v>181663.98545435187</v>
      </c>
      <c r="G441" s="245">
        <v>64749.575357190763</v>
      </c>
      <c r="H441" s="245">
        <v>17214.142599635554</v>
      </c>
      <c r="I441" s="245">
        <v>7859</v>
      </c>
      <c r="J441" s="245">
        <v>3332.2152086695137</v>
      </c>
      <c r="K441" s="245">
        <v>240265.64830957403</v>
      </c>
      <c r="L441" s="245">
        <v>56962</v>
      </c>
      <c r="M441" s="245">
        <v>29987</v>
      </c>
      <c r="N441" s="245">
        <v>76618</v>
      </c>
      <c r="O441" s="245">
        <v>31453</v>
      </c>
      <c r="P441" s="245">
        <v>90807</v>
      </c>
      <c r="Q441" s="245">
        <v>4336</v>
      </c>
      <c r="R441" s="245">
        <v>45225</v>
      </c>
      <c r="S441" s="245">
        <v>1084</v>
      </c>
      <c r="T441" s="245">
        <v>3974</v>
      </c>
      <c r="U441" s="245">
        <v>16808</v>
      </c>
      <c r="V441" s="245">
        <v>388445.99136043445</v>
      </c>
      <c r="W441" s="245">
        <v>61760.426969663662</v>
      </c>
      <c r="X441" s="245">
        <v>9761</v>
      </c>
      <c r="Y441" s="245">
        <v>238893.59657922707</v>
      </c>
      <c r="Z441" s="245">
        <v>54778.18678535716</v>
      </c>
      <c r="AA441" s="245">
        <v>999222</v>
      </c>
      <c r="AB441" s="245">
        <v>24908</v>
      </c>
      <c r="AC441" s="245">
        <v>19058</v>
      </c>
      <c r="AD441" s="245">
        <v>73084</v>
      </c>
      <c r="AE441" s="245">
        <v>13268.094880801837</v>
      </c>
      <c r="AF441" s="206">
        <v>46634</v>
      </c>
    </row>
    <row r="442" spans="1:32" x14ac:dyDescent="0.25">
      <c r="A442" s="178" t="s">
        <v>384</v>
      </c>
      <c r="B442" s="178" t="s">
        <v>385</v>
      </c>
      <c r="C442" s="178" t="s">
        <v>1701</v>
      </c>
      <c r="D442" s="178" t="s">
        <v>363</v>
      </c>
      <c r="E442" s="245">
        <v>0</v>
      </c>
      <c r="F442" s="245">
        <v>0</v>
      </c>
      <c r="G442" s="245">
        <v>0</v>
      </c>
      <c r="H442" s="245">
        <v>0</v>
      </c>
      <c r="I442" s="245">
        <v>4908</v>
      </c>
      <c r="J442" s="245">
        <v>0</v>
      </c>
      <c r="K442" s="245">
        <v>0</v>
      </c>
      <c r="L442" s="245">
        <v>0</v>
      </c>
      <c r="M442" s="245">
        <v>0</v>
      </c>
      <c r="N442" s="245">
        <v>0</v>
      </c>
      <c r="O442" s="245">
        <v>0</v>
      </c>
      <c r="P442" s="245">
        <v>0</v>
      </c>
      <c r="Q442" s="245">
        <v>0</v>
      </c>
      <c r="R442" s="245">
        <v>483</v>
      </c>
      <c r="S442" s="245">
        <v>14</v>
      </c>
      <c r="T442" s="245">
        <v>67</v>
      </c>
      <c r="U442" s="245">
        <v>0</v>
      </c>
      <c r="V442" s="245">
        <v>0</v>
      </c>
      <c r="W442" s="245">
        <v>0</v>
      </c>
      <c r="X442" s="245">
        <v>23</v>
      </c>
      <c r="Y442" s="245">
        <v>0</v>
      </c>
      <c r="Z442" s="245">
        <v>0</v>
      </c>
      <c r="AA442" s="245">
        <v>0</v>
      </c>
      <c r="AB442" s="245">
        <v>0</v>
      </c>
      <c r="AC442" s="245">
        <v>0</v>
      </c>
      <c r="AD442" s="245">
        <v>0</v>
      </c>
      <c r="AE442" s="245">
        <v>189</v>
      </c>
      <c r="AF442" s="206">
        <v>0</v>
      </c>
    </row>
    <row r="443" spans="1:32" x14ac:dyDescent="0.25">
      <c r="A443" s="178" t="s">
        <v>384</v>
      </c>
      <c r="B443" s="178" t="s">
        <v>385</v>
      </c>
      <c r="C443" s="178" t="s">
        <v>137</v>
      </c>
      <c r="D443" s="178" t="s">
        <v>363</v>
      </c>
      <c r="E443" s="245">
        <v>0</v>
      </c>
      <c r="F443" s="245">
        <v>0</v>
      </c>
      <c r="G443" s="245">
        <v>0</v>
      </c>
      <c r="H443" s="245">
        <v>0</v>
      </c>
      <c r="I443" s="245">
        <v>0</v>
      </c>
      <c r="J443" s="245">
        <v>0</v>
      </c>
      <c r="K443" s="245">
        <v>0</v>
      </c>
      <c r="L443" s="245">
        <v>0</v>
      </c>
      <c r="M443" s="245">
        <v>0</v>
      </c>
      <c r="N443" s="245">
        <v>0</v>
      </c>
      <c r="O443" s="245">
        <v>0</v>
      </c>
      <c r="P443" s="245">
        <v>0</v>
      </c>
      <c r="Q443" s="245">
        <v>0</v>
      </c>
      <c r="R443" s="245">
        <v>81</v>
      </c>
      <c r="S443" s="245">
        <v>0</v>
      </c>
      <c r="T443" s="245">
        <v>616</v>
      </c>
      <c r="U443" s="245">
        <v>4</v>
      </c>
      <c r="V443" s="245">
        <v>0</v>
      </c>
      <c r="W443" s="245">
        <v>0</v>
      </c>
      <c r="X443" s="245">
        <v>0</v>
      </c>
      <c r="Y443" s="245">
        <v>2</v>
      </c>
      <c r="Z443" s="245">
        <v>12150</v>
      </c>
      <c r="AA443" s="245">
        <v>0</v>
      </c>
      <c r="AB443" s="245">
        <v>736</v>
      </c>
      <c r="AC443" s="245">
        <v>0</v>
      </c>
      <c r="AD443" s="245">
        <v>0</v>
      </c>
      <c r="AE443" s="245">
        <v>75</v>
      </c>
      <c r="AF443" s="206">
        <v>0</v>
      </c>
    </row>
    <row r="444" spans="1:32" x14ac:dyDescent="0.25">
      <c r="A444" s="195" t="s">
        <v>384</v>
      </c>
      <c r="B444" s="195" t="s">
        <v>385</v>
      </c>
      <c r="C444" s="195" t="s">
        <v>139</v>
      </c>
      <c r="D444" s="195" t="s">
        <v>363</v>
      </c>
      <c r="E444" s="246">
        <v>0</v>
      </c>
      <c r="F444" s="583">
        <v>-741.2083680592923</v>
      </c>
      <c r="G444" s="246">
        <v>28</v>
      </c>
      <c r="H444" s="246">
        <v>0</v>
      </c>
      <c r="I444" s="246">
        <v>0</v>
      </c>
      <c r="J444" s="246">
        <v>0</v>
      </c>
      <c r="K444" s="246">
        <v>2536</v>
      </c>
      <c r="L444" s="246">
        <v>0</v>
      </c>
      <c r="M444" s="246">
        <v>0</v>
      </c>
      <c r="N444" s="246">
        <v>0</v>
      </c>
      <c r="O444" s="246">
        <v>0</v>
      </c>
      <c r="P444" s="246">
        <v>0</v>
      </c>
      <c r="Q444" s="246">
        <v>0</v>
      </c>
      <c r="R444" s="246">
        <v>565</v>
      </c>
      <c r="S444" s="246">
        <v>39</v>
      </c>
      <c r="T444" s="246">
        <v>1198</v>
      </c>
      <c r="U444" s="246">
        <v>199</v>
      </c>
      <c r="V444" s="246">
        <v>0</v>
      </c>
      <c r="W444" s="246">
        <v>0</v>
      </c>
      <c r="X444" s="246">
        <v>1444</v>
      </c>
      <c r="Y444" s="246">
        <v>212.68467518184363</v>
      </c>
      <c r="Z444" s="246">
        <v>5788</v>
      </c>
      <c r="AA444" s="246">
        <v>0</v>
      </c>
      <c r="AB444" s="246">
        <v>0</v>
      </c>
      <c r="AC444" s="246">
        <v>0</v>
      </c>
      <c r="AD444" s="246">
        <v>146</v>
      </c>
      <c r="AE444" s="246">
        <v>3169.3897820863058</v>
      </c>
      <c r="AF444" s="247">
        <v>2524</v>
      </c>
    </row>
    <row r="446" spans="1:32" x14ac:dyDescent="0.25">
      <c r="C446" t="s">
        <v>430</v>
      </c>
      <c r="D446" t="s">
        <v>323</v>
      </c>
      <c r="E446" s="160">
        <f t="shared" ref="E446:AF446" si="53">SUM(E8:E22,E24:E36,E38:E52,E54:E68,E70:E84,E86:E100)/1000</f>
        <v>502.85599999999999</v>
      </c>
      <c r="F446" s="160">
        <f t="shared" si="53"/>
        <v>1302.0920000000001</v>
      </c>
      <c r="G446" s="160">
        <f t="shared" si="53"/>
        <v>330.10599999999999</v>
      </c>
      <c r="H446" s="160">
        <f t="shared" si="53"/>
        <v>1179.7619999999999</v>
      </c>
      <c r="I446" s="160">
        <f t="shared" si="53"/>
        <v>1129.9649999999999</v>
      </c>
      <c r="J446" s="160">
        <f t="shared" si="53"/>
        <v>1085.2170000000001</v>
      </c>
      <c r="K446" s="160">
        <f t="shared" si="53"/>
        <v>3143.0650000000001</v>
      </c>
      <c r="L446" s="160">
        <f t="shared" si="53"/>
        <v>1608.2470000000001</v>
      </c>
      <c r="M446" s="160">
        <f t="shared" si="53"/>
        <v>3201.645</v>
      </c>
      <c r="N446" s="160">
        <f t="shared" si="53"/>
        <v>2003.671</v>
      </c>
      <c r="O446" s="160">
        <f t="shared" si="53"/>
        <v>440.87599999999998</v>
      </c>
      <c r="P446" s="160">
        <f t="shared" si="53"/>
        <v>40151.006999999998</v>
      </c>
      <c r="Q446" s="160">
        <f t="shared" si="53"/>
        <v>1044.3230000000001</v>
      </c>
      <c r="R446" s="160">
        <f t="shared" si="53"/>
        <v>1357.787</v>
      </c>
      <c r="S446" s="160">
        <f t="shared" si="53"/>
        <v>1888.7080000000001</v>
      </c>
      <c r="T446" s="160">
        <f t="shared" si="53"/>
        <v>3380.165</v>
      </c>
      <c r="U446" s="160">
        <f t="shared" si="53"/>
        <v>4806.4520000000002</v>
      </c>
      <c r="V446" s="160">
        <f t="shared" si="53"/>
        <v>4762.5379999999996</v>
      </c>
      <c r="W446" s="160">
        <f t="shared" si="53"/>
        <v>13194.648999999999</v>
      </c>
      <c r="X446" s="160">
        <f t="shared" si="53"/>
        <v>3397.6889999999999</v>
      </c>
      <c r="Y446" s="160">
        <f t="shared" si="53"/>
        <v>2143.0259999999998</v>
      </c>
      <c r="Z446" s="160">
        <f t="shared" si="53"/>
        <v>1478.577</v>
      </c>
      <c r="AA446" s="160">
        <f t="shared" si="53"/>
        <v>6012.2619999999997</v>
      </c>
      <c r="AB446" s="160">
        <f t="shared" si="53"/>
        <v>1406.9110000000001</v>
      </c>
      <c r="AC446" s="160">
        <f t="shared" si="53"/>
        <v>311.16800000000001</v>
      </c>
      <c r="AD446" s="160">
        <f t="shared" si="53"/>
        <v>6517.6260000000002</v>
      </c>
      <c r="AE446" s="160">
        <f t="shared" si="53"/>
        <v>1985.0809999999999</v>
      </c>
      <c r="AF446" s="160">
        <f t="shared" si="53"/>
        <v>11229.188</v>
      </c>
    </row>
    <row r="447" spans="1:32" x14ac:dyDescent="0.25">
      <c r="E447" s="581">
        <f>-E434/1000/E446</f>
        <v>1.8219865663374055E-2</v>
      </c>
      <c r="F447" s="581">
        <f>-F434/1000/F446</f>
        <v>2.8493194999412989E-2</v>
      </c>
      <c r="G447" s="581"/>
      <c r="P447" s="581">
        <f>-P441/1000/P446</f>
        <v>-2.2616369248223342E-3</v>
      </c>
      <c r="W447" s="581"/>
      <c r="Y447" s="581">
        <f>-Y434/1000/Y446</f>
        <v>9.1625838312136207E-3</v>
      </c>
      <c r="Z447" s="581"/>
      <c r="AA447" s="581"/>
      <c r="AB447" s="581"/>
      <c r="AC447" s="581"/>
    </row>
    <row r="453" spans="3:32" x14ac:dyDescent="0.25">
      <c r="C453" s="604" t="s">
        <v>113</v>
      </c>
      <c r="E453" s="160">
        <f>SUMIFS(E$411:E$425,$C$411:$C$425,$C453)+SUMIFS(E$107:E$199,$C$107:$C$199,$C453)</f>
        <v>0</v>
      </c>
      <c r="F453" s="160">
        <f>SUMIFS(F$411:F$425,$C$411:$C$425,$C453)+SUMIFS(F$107:F$199,$C$107:$C$199,$C453)</f>
        <v>0</v>
      </c>
      <c r="G453" s="160">
        <f t="shared" ref="G453:AF463" si="54">SUMIFS(G$411:G$425,$C$411:$C$425,$C453)+SUMIFS(G$107:G$199,$C$107:$C$199,$C453)</f>
        <v>0</v>
      </c>
      <c r="H453" s="160">
        <f t="shared" si="54"/>
        <v>154.76659566888529</v>
      </c>
      <c r="I453" s="160">
        <f t="shared" si="54"/>
        <v>0</v>
      </c>
      <c r="J453" s="160">
        <f t="shared" si="54"/>
        <v>0</v>
      </c>
      <c r="K453" s="160">
        <f t="shared" si="54"/>
        <v>0</v>
      </c>
      <c r="L453" s="160">
        <f t="shared" si="54"/>
        <v>0</v>
      </c>
      <c r="M453" s="160">
        <f t="shared" si="54"/>
        <v>0</v>
      </c>
      <c r="N453" s="160">
        <f t="shared" si="54"/>
        <v>0</v>
      </c>
      <c r="O453" s="160">
        <f t="shared" si="54"/>
        <v>0</v>
      </c>
      <c r="P453" s="160">
        <f t="shared" si="54"/>
        <v>132465.47823450703</v>
      </c>
      <c r="Q453" s="160">
        <f t="shared" si="54"/>
        <v>-7.1054273576010019E-12</v>
      </c>
      <c r="R453" s="160">
        <f t="shared" si="54"/>
        <v>0</v>
      </c>
      <c r="S453" s="160">
        <f t="shared" si="54"/>
        <v>-3.5527136788005009E-12</v>
      </c>
      <c r="T453" s="160">
        <f t="shared" si="54"/>
        <v>0</v>
      </c>
      <c r="U453" s="160">
        <f t="shared" si="54"/>
        <v>0</v>
      </c>
      <c r="V453" s="160">
        <f t="shared" si="54"/>
        <v>0</v>
      </c>
      <c r="W453" s="160">
        <f t="shared" si="54"/>
        <v>276321.00954315776</v>
      </c>
      <c r="X453" s="160">
        <f t="shared" si="54"/>
        <v>0</v>
      </c>
      <c r="Y453" s="160">
        <f t="shared" si="54"/>
        <v>0</v>
      </c>
      <c r="Z453" s="160">
        <f t="shared" si="54"/>
        <v>0</v>
      </c>
      <c r="AA453" s="160">
        <f t="shared" si="54"/>
        <v>0</v>
      </c>
      <c r="AB453" s="160">
        <f t="shared" si="54"/>
        <v>0</v>
      </c>
      <c r="AC453" s="160">
        <f t="shared" si="54"/>
        <v>0</v>
      </c>
      <c r="AD453" s="160">
        <f t="shared" si="54"/>
        <v>0</v>
      </c>
      <c r="AE453" s="160">
        <f t="shared" si="54"/>
        <v>0</v>
      </c>
      <c r="AF453" s="160">
        <f t="shared" si="54"/>
        <v>0</v>
      </c>
    </row>
    <row r="454" spans="3:32" x14ac:dyDescent="0.25">
      <c r="C454" s="604" t="s">
        <v>115</v>
      </c>
      <c r="E454" s="160">
        <f t="shared" ref="E454:T467" si="55">SUMIFS(E$411:E$425,$C$411:$C$425,$C454)+SUMIFS(E$107:E$199,$C$107:$C$199,$C454)</f>
        <v>0</v>
      </c>
      <c r="F454" s="160">
        <f t="shared" si="55"/>
        <v>0</v>
      </c>
      <c r="G454" s="160">
        <f t="shared" si="55"/>
        <v>0</v>
      </c>
      <c r="H454" s="160">
        <f t="shared" si="55"/>
        <v>0</v>
      </c>
      <c r="I454" s="160">
        <f t="shared" si="55"/>
        <v>557</v>
      </c>
      <c r="J454" s="160">
        <f t="shared" si="55"/>
        <v>0</v>
      </c>
      <c r="K454" s="160">
        <f t="shared" si="55"/>
        <v>0</v>
      </c>
      <c r="L454" s="160">
        <f t="shared" si="55"/>
        <v>0</v>
      </c>
      <c r="M454" s="160">
        <f t="shared" si="55"/>
        <v>0</v>
      </c>
      <c r="N454" s="160">
        <f t="shared" si="55"/>
        <v>2384</v>
      </c>
      <c r="O454" s="160">
        <f t="shared" si="55"/>
        <v>27</v>
      </c>
      <c r="P454" s="160">
        <f t="shared" si="55"/>
        <v>0</v>
      </c>
      <c r="Q454" s="160">
        <f t="shared" si="55"/>
        <v>87</v>
      </c>
      <c r="R454" s="160">
        <f t="shared" si="55"/>
        <v>5850</v>
      </c>
      <c r="S454" s="160">
        <f t="shared" si="55"/>
        <v>1174</v>
      </c>
      <c r="T454" s="160">
        <f t="shared" si="55"/>
        <v>3809</v>
      </c>
      <c r="U454" s="160">
        <f t="shared" si="54"/>
        <v>12133</v>
      </c>
      <c r="V454" s="160">
        <f t="shared" si="54"/>
        <v>0</v>
      </c>
      <c r="W454" s="160">
        <f t="shared" si="54"/>
        <v>0</v>
      </c>
      <c r="X454" s="160">
        <f t="shared" si="54"/>
        <v>0</v>
      </c>
      <c r="Y454" s="160">
        <f t="shared" si="54"/>
        <v>4</v>
      </c>
      <c r="Z454" s="160">
        <f t="shared" si="54"/>
        <v>0</v>
      </c>
      <c r="AA454" s="160">
        <f t="shared" si="54"/>
        <v>0</v>
      </c>
      <c r="AB454" s="160">
        <f t="shared" si="54"/>
        <v>0</v>
      </c>
      <c r="AC454" s="160">
        <f t="shared" si="54"/>
        <v>0</v>
      </c>
      <c r="AD454" s="160">
        <f t="shared" si="54"/>
        <v>0</v>
      </c>
      <c r="AE454" s="160">
        <f t="shared" si="54"/>
        <v>633</v>
      </c>
      <c r="AF454" s="160">
        <f t="shared" si="54"/>
        <v>377</v>
      </c>
    </row>
    <row r="455" spans="3:32" x14ac:dyDescent="0.25">
      <c r="C455" s="604" t="s">
        <v>117</v>
      </c>
      <c r="E455" s="160">
        <f t="shared" si="55"/>
        <v>278211</v>
      </c>
      <c r="F455" s="160">
        <f t="shared" si="55"/>
        <v>17710.774462083511</v>
      </c>
      <c r="G455" s="160">
        <f t="shared" si="54"/>
        <v>53144.630261192135</v>
      </c>
      <c r="H455" s="160">
        <f t="shared" si="54"/>
        <v>125169.0428501072</v>
      </c>
      <c r="I455" s="160">
        <f t="shared" si="54"/>
        <v>117306</v>
      </c>
      <c r="J455" s="160">
        <f t="shared" si="54"/>
        <v>315</v>
      </c>
      <c r="K455" s="160">
        <f t="shared" si="54"/>
        <v>350634</v>
      </c>
      <c r="L455" s="160">
        <f t="shared" si="54"/>
        <v>232557</v>
      </c>
      <c r="M455" s="160">
        <f t="shared" si="54"/>
        <v>1226371.8132440015</v>
      </c>
      <c r="N455" s="160">
        <f t="shared" si="54"/>
        <v>244811</v>
      </c>
      <c r="O455" s="160">
        <f t="shared" si="54"/>
        <v>83689</v>
      </c>
      <c r="P455" s="160">
        <f t="shared" si="54"/>
        <v>445670</v>
      </c>
      <c r="Q455" s="160">
        <f t="shared" si="54"/>
        <v>18592</v>
      </c>
      <c r="R455" s="160">
        <f t="shared" si="54"/>
        <v>48886</v>
      </c>
      <c r="S455" s="160">
        <f t="shared" si="54"/>
        <v>160315</v>
      </c>
      <c r="T455" s="160">
        <f t="shared" si="54"/>
        <v>166576</v>
      </c>
      <c r="U455" s="160">
        <f t="shared" si="54"/>
        <v>508155</v>
      </c>
      <c r="V455" s="160">
        <f t="shared" si="54"/>
        <v>1013206</v>
      </c>
      <c r="W455" s="160">
        <f t="shared" si="54"/>
        <v>2316536.9641179563</v>
      </c>
      <c r="X455" s="160">
        <f t="shared" si="54"/>
        <v>100490</v>
      </c>
      <c r="Y455" s="160">
        <f t="shared" si="54"/>
        <v>310978.15823833394</v>
      </c>
      <c r="Z455" s="160">
        <f t="shared" si="54"/>
        <v>402</v>
      </c>
      <c r="AA455" s="160">
        <f t="shared" si="54"/>
        <v>0</v>
      </c>
      <c r="AB455" s="160">
        <f t="shared" si="54"/>
        <v>60120</v>
      </c>
      <c r="AC455" s="160">
        <f t="shared" si="54"/>
        <v>174339</v>
      </c>
      <c r="AD455" s="160">
        <f t="shared" si="54"/>
        <v>11660</v>
      </c>
      <c r="AE455" s="160">
        <f t="shared" si="54"/>
        <v>18831</v>
      </c>
      <c r="AF455" s="160">
        <f t="shared" si="54"/>
        <v>1340401</v>
      </c>
    </row>
    <row r="456" spans="3:32" x14ac:dyDescent="0.25">
      <c r="C456" s="604" t="s">
        <v>119</v>
      </c>
      <c r="E456" s="160">
        <f t="shared" si="55"/>
        <v>0</v>
      </c>
      <c r="F456" s="160">
        <f t="shared" si="55"/>
        <v>0</v>
      </c>
      <c r="G456" s="160">
        <f t="shared" si="54"/>
        <v>0</v>
      </c>
      <c r="H456" s="160">
        <f t="shared" si="54"/>
        <v>0</v>
      </c>
      <c r="I456" s="160">
        <f t="shared" si="54"/>
        <v>0</v>
      </c>
      <c r="J456" s="160">
        <f t="shared" si="54"/>
        <v>0</v>
      </c>
      <c r="K456" s="160">
        <f t="shared" si="54"/>
        <v>0</v>
      </c>
      <c r="L456" s="160">
        <f t="shared" si="54"/>
        <v>0</v>
      </c>
      <c r="M456" s="160">
        <f t="shared" si="54"/>
        <v>3116.6442222087007</v>
      </c>
      <c r="N456" s="160">
        <f t="shared" si="54"/>
        <v>0</v>
      </c>
      <c r="O456" s="160">
        <f t="shared" si="54"/>
        <v>0</v>
      </c>
      <c r="P456" s="160">
        <f t="shared" si="54"/>
        <v>0</v>
      </c>
      <c r="Q456" s="160">
        <f t="shared" si="54"/>
        <v>0</v>
      </c>
      <c r="R456" s="160">
        <f t="shared" si="54"/>
        <v>287</v>
      </c>
      <c r="S456" s="160">
        <f t="shared" si="54"/>
        <v>0</v>
      </c>
      <c r="T456" s="160">
        <f t="shared" si="54"/>
        <v>1503</v>
      </c>
      <c r="U456" s="160">
        <f t="shared" si="54"/>
        <v>3514</v>
      </c>
      <c r="V456" s="160">
        <f t="shared" si="54"/>
        <v>9318.9505787011949</v>
      </c>
      <c r="W456" s="160">
        <f t="shared" si="54"/>
        <v>0</v>
      </c>
      <c r="X456" s="160">
        <f t="shared" si="54"/>
        <v>0</v>
      </c>
      <c r="Y456" s="160">
        <f t="shared" si="54"/>
        <v>1032</v>
      </c>
      <c r="Z456" s="160">
        <f t="shared" si="54"/>
        <v>0</v>
      </c>
      <c r="AA456" s="160">
        <f t="shared" si="54"/>
        <v>0</v>
      </c>
      <c r="AB456" s="160">
        <f t="shared" si="54"/>
        <v>0</v>
      </c>
      <c r="AC456" s="160">
        <f t="shared" si="54"/>
        <v>0</v>
      </c>
      <c r="AD456" s="160">
        <f t="shared" si="54"/>
        <v>0</v>
      </c>
      <c r="AE456" s="160">
        <f t="shared" si="54"/>
        <v>0</v>
      </c>
      <c r="AF456" s="160">
        <f t="shared" si="54"/>
        <v>23533</v>
      </c>
    </row>
    <row r="457" spans="3:32" x14ac:dyDescent="0.25">
      <c r="C457" s="604" t="s">
        <v>120</v>
      </c>
      <c r="E457" s="160">
        <f t="shared" si="55"/>
        <v>0</v>
      </c>
      <c r="F457" s="160">
        <f t="shared" si="55"/>
        <v>1825</v>
      </c>
      <c r="G457" s="160">
        <f t="shared" si="54"/>
        <v>0</v>
      </c>
      <c r="H457" s="160">
        <f t="shared" si="54"/>
        <v>187756.17763726108</v>
      </c>
      <c r="I457" s="160">
        <f t="shared" si="54"/>
        <v>36564</v>
      </c>
      <c r="J457" s="160">
        <f t="shared" si="54"/>
        <v>55507</v>
      </c>
      <c r="K457" s="160">
        <f t="shared" si="54"/>
        <v>387770.00534806779</v>
      </c>
      <c r="L457" s="160">
        <f t="shared" si="54"/>
        <v>443833</v>
      </c>
      <c r="M457" s="160">
        <f t="shared" si="54"/>
        <v>20553</v>
      </c>
      <c r="N457" s="160">
        <f t="shared" si="54"/>
        <v>7694</v>
      </c>
      <c r="O457" s="160">
        <f t="shared" si="54"/>
        <v>4927</v>
      </c>
      <c r="P457" s="160">
        <f t="shared" si="54"/>
        <v>1521391.1370354984</v>
      </c>
      <c r="Q457" s="160">
        <f t="shared" si="54"/>
        <v>3116</v>
      </c>
      <c r="R457" s="160">
        <f t="shared" si="54"/>
        <v>19542</v>
      </c>
      <c r="S457" s="160">
        <f t="shared" si="54"/>
        <v>45030</v>
      </c>
      <c r="T457" s="160">
        <f t="shared" si="54"/>
        <v>8381</v>
      </c>
      <c r="U457" s="160">
        <f t="shared" si="54"/>
        <v>40757</v>
      </c>
      <c r="V457" s="160">
        <f t="shared" si="54"/>
        <v>1118641.5669669167</v>
      </c>
      <c r="W457" s="160">
        <f t="shared" si="54"/>
        <v>4099248.2413966409</v>
      </c>
      <c r="X457" s="160">
        <f t="shared" si="54"/>
        <v>68160</v>
      </c>
      <c r="Y457" s="160">
        <f t="shared" si="54"/>
        <v>52894</v>
      </c>
      <c r="Z457" s="160">
        <f t="shared" si="54"/>
        <v>64734</v>
      </c>
      <c r="AA457" s="160">
        <f t="shared" si="54"/>
        <v>0</v>
      </c>
      <c r="AB457" s="160">
        <f t="shared" si="54"/>
        <v>67054</v>
      </c>
      <c r="AC457" s="160">
        <f t="shared" si="54"/>
        <v>0</v>
      </c>
      <c r="AD457" s="160">
        <f t="shared" si="54"/>
        <v>6222.9999999999854</v>
      </c>
      <c r="AE457" s="160">
        <f t="shared" si="54"/>
        <v>12371</v>
      </c>
      <c r="AF457" s="160">
        <f t="shared" si="54"/>
        <v>186682</v>
      </c>
    </row>
    <row r="458" spans="3:32" x14ac:dyDescent="0.25">
      <c r="C458" s="604" t="s">
        <v>122</v>
      </c>
      <c r="E458" s="160">
        <f t="shared" si="55"/>
        <v>0</v>
      </c>
      <c r="F458" s="160">
        <f t="shared" si="55"/>
        <v>0</v>
      </c>
      <c r="G458" s="160">
        <f t="shared" si="54"/>
        <v>0</v>
      </c>
      <c r="H458" s="160">
        <f t="shared" si="54"/>
        <v>9163.783606492183</v>
      </c>
      <c r="I458" s="160">
        <f t="shared" si="54"/>
        <v>0</v>
      </c>
      <c r="J458" s="160">
        <f t="shared" si="54"/>
        <v>0</v>
      </c>
      <c r="K458" s="160">
        <f t="shared" si="54"/>
        <v>0</v>
      </c>
      <c r="L458" s="160">
        <f t="shared" si="54"/>
        <v>0</v>
      </c>
      <c r="M458" s="160">
        <f t="shared" si="54"/>
        <v>0</v>
      </c>
      <c r="N458" s="160">
        <f t="shared" si="54"/>
        <v>3.5527136788005009E-12</v>
      </c>
      <c r="O458" s="160">
        <f t="shared" si="54"/>
        <v>0</v>
      </c>
      <c r="P458" s="160">
        <f t="shared" si="54"/>
        <v>60150</v>
      </c>
      <c r="Q458" s="160">
        <f t="shared" si="54"/>
        <v>0</v>
      </c>
      <c r="R458" s="160">
        <f t="shared" si="54"/>
        <v>0</v>
      </c>
      <c r="S458" s="160">
        <f t="shared" si="54"/>
        <v>1</v>
      </c>
      <c r="T458" s="160">
        <f t="shared" si="54"/>
        <v>0</v>
      </c>
      <c r="U458" s="160">
        <f t="shared" si="54"/>
        <v>1746</v>
      </c>
      <c r="V458" s="160">
        <f t="shared" si="54"/>
        <v>0</v>
      </c>
      <c r="W458" s="160">
        <f t="shared" si="54"/>
        <v>0</v>
      </c>
      <c r="X458" s="160">
        <f t="shared" si="54"/>
        <v>0</v>
      </c>
      <c r="Y458" s="160">
        <f t="shared" si="54"/>
        <v>0</v>
      </c>
      <c r="Z458" s="160">
        <f t="shared" si="54"/>
        <v>0</v>
      </c>
      <c r="AA458" s="160">
        <f t="shared" si="54"/>
        <v>0</v>
      </c>
      <c r="AB458" s="160">
        <f t="shared" si="54"/>
        <v>0</v>
      </c>
      <c r="AC458" s="160">
        <f t="shared" si="54"/>
        <v>0</v>
      </c>
      <c r="AD458" s="160">
        <f t="shared" si="54"/>
        <v>219</v>
      </c>
      <c r="AE458" s="160">
        <f t="shared" si="54"/>
        <v>0</v>
      </c>
      <c r="AF458" s="160">
        <f t="shared" si="54"/>
        <v>29806</v>
      </c>
    </row>
    <row r="459" spans="3:32" x14ac:dyDescent="0.25">
      <c r="C459" s="604" t="s">
        <v>124</v>
      </c>
      <c r="E459" s="160">
        <f t="shared" si="55"/>
        <v>533</v>
      </c>
      <c r="F459" s="160">
        <f t="shared" si="55"/>
        <v>0</v>
      </c>
      <c r="G459" s="160">
        <f t="shared" si="54"/>
        <v>0</v>
      </c>
      <c r="H459" s="160">
        <f t="shared" si="54"/>
        <v>2209</v>
      </c>
      <c r="I459" s="160">
        <f t="shared" si="54"/>
        <v>4154</v>
      </c>
      <c r="J459" s="160">
        <f t="shared" si="54"/>
        <v>6090</v>
      </c>
      <c r="K459" s="160">
        <f t="shared" si="54"/>
        <v>2.7755575615628914E-14</v>
      </c>
      <c r="L459" s="160">
        <f t="shared" si="54"/>
        <v>0</v>
      </c>
      <c r="M459" s="160">
        <f t="shared" si="54"/>
        <v>20402.162753422421</v>
      </c>
      <c r="N459" s="160">
        <f t="shared" si="54"/>
        <v>4907</v>
      </c>
      <c r="O459" s="160">
        <f t="shared" si="54"/>
        <v>312</v>
      </c>
      <c r="P459" s="160">
        <f t="shared" si="54"/>
        <v>867768</v>
      </c>
      <c r="Q459" s="160">
        <f t="shared" si="54"/>
        <v>2996.0000000000073</v>
      </c>
      <c r="R459" s="160">
        <f t="shared" si="54"/>
        <v>8.9999999999982236</v>
      </c>
      <c r="S459" s="160">
        <f t="shared" si="54"/>
        <v>1453</v>
      </c>
      <c r="T459" s="160">
        <f t="shared" si="54"/>
        <v>2869</v>
      </c>
      <c r="U459" s="160">
        <f t="shared" si="54"/>
        <v>9535</v>
      </c>
      <c r="V459" s="160">
        <f t="shared" si="54"/>
        <v>32840.157869711751</v>
      </c>
      <c r="W459" s="160">
        <f t="shared" si="54"/>
        <v>0</v>
      </c>
      <c r="X459" s="160">
        <f t="shared" si="54"/>
        <v>2433</v>
      </c>
      <c r="Y459" s="160">
        <f t="shared" si="54"/>
        <v>659</v>
      </c>
      <c r="Z459" s="160">
        <f t="shared" si="54"/>
        <v>1350</v>
      </c>
      <c r="AA459" s="160">
        <f t="shared" si="54"/>
        <v>4307</v>
      </c>
      <c r="AB459" s="160">
        <f t="shared" si="54"/>
        <v>0</v>
      </c>
      <c r="AC459" s="160">
        <f t="shared" si="54"/>
        <v>0</v>
      </c>
      <c r="AD459" s="160">
        <f t="shared" si="54"/>
        <v>2038</v>
      </c>
      <c r="AE459" s="160">
        <f t="shared" si="54"/>
        <v>8883</v>
      </c>
      <c r="AF459" s="160">
        <f t="shared" si="54"/>
        <v>0</v>
      </c>
    </row>
    <row r="460" spans="3:32" x14ac:dyDescent="0.25">
      <c r="C460" s="604" t="s">
        <v>126</v>
      </c>
      <c r="E460" s="160">
        <f t="shared" si="55"/>
        <v>47214.669847070727</v>
      </c>
      <c r="F460" s="160">
        <f t="shared" si="55"/>
        <v>222926.21886000482</v>
      </c>
      <c r="G460" s="160">
        <f t="shared" si="54"/>
        <v>67239.54564554937</v>
      </c>
      <c r="H460" s="160">
        <f t="shared" si="54"/>
        <v>267425.93068954593</v>
      </c>
      <c r="I460" s="160">
        <f t="shared" si="54"/>
        <v>142085</v>
      </c>
      <c r="J460" s="160">
        <f t="shared" si="54"/>
        <v>131836.32577642344</v>
      </c>
      <c r="K460" s="160">
        <f t="shared" si="54"/>
        <v>613347.2662380992</v>
      </c>
      <c r="L460" s="160">
        <f t="shared" si="54"/>
        <v>223075.70648768387</v>
      </c>
      <c r="M460" s="160">
        <f t="shared" si="54"/>
        <v>430822.13979735936</v>
      </c>
      <c r="N460" s="160">
        <f t="shared" si="54"/>
        <v>347116</v>
      </c>
      <c r="O460" s="160">
        <f t="shared" si="54"/>
        <v>154730</v>
      </c>
      <c r="P460" s="160">
        <f t="shared" si="54"/>
        <v>7148634.9631026993</v>
      </c>
      <c r="Q460" s="160">
        <f t="shared" si="54"/>
        <v>133339</v>
      </c>
      <c r="R460" s="160">
        <f t="shared" si="54"/>
        <v>303418</v>
      </c>
      <c r="S460" s="160">
        <f t="shared" si="54"/>
        <v>328462</v>
      </c>
      <c r="T460" s="160">
        <f t="shared" si="54"/>
        <v>677785</v>
      </c>
      <c r="U460" s="160">
        <f t="shared" si="54"/>
        <v>835457</v>
      </c>
      <c r="V460" s="160">
        <f t="shared" si="54"/>
        <v>682180.40283027606</v>
      </c>
      <c r="W460" s="160">
        <f t="shared" si="54"/>
        <v>1526074.116998025</v>
      </c>
      <c r="X460" s="160">
        <f t="shared" si="54"/>
        <v>650503</v>
      </c>
      <c r="Y460" s="160">
        <f t="shared" si="54"/>
        <v>528043.10736118513</v>
      </c>
      <c r="Z460" s="160">
        <f t="shared" si="54"/>
        <v>309471</v>
      </c>
      <c r="AA460" s="160">
        <f t="shared" si="54"/>
        <v>221079.10330791801</v>
      </c>
      <c r="AB460" s="160">
        <f t="shared" si="54"/>
        <v>461138.09247535671</v>
      </c>
      <c r="AC460" s="160">
        <f t="shared" si="54"/>
        <v>4440.4075307700932</v>
      </c>
      <c r="AD460" s="160">
        <f t="shared" si="54"/>
        <v>390517</v>
      </c>
      <c r="AE460" s="160">
        <f t="shared" si="54"/>
        <v>523739</v>
      </c>
      <c r="AF460" s="160">
        <f t="shared" si="54"/>
        <v>1608312</v>
      </c>
    </row>
    <row r="461" spans="3:32" x14ac:dyDescent="0.25">
      <c r="C461" s="604" t="s">
        <v>128</v>
      </c>
      <c r="E461" s="160">
        <f t="shared" si="55"/>
        <v>3074.3906768586944</v>
      </c>
      <c r="F461" s="160">
        <f t="shared" si="55"/>
        <v>258643.69069482232</v>
      </c>
      <c r="G461" s="160">
        <f t="shared" si="54"/>
        <v>53708.898289627708</v>
      </c>
      <c r="H461" s="160">
        <f t="shared" si="54"/>
        <v>14108.525153572311</v>
      </c>
      <c r="I461" s="160">
        <f t="shared" si="54"/>
        <v>76271</v>
      </c>
      <c r="J461" s="160">
        <f t="shared" si="54"/>
        <v>106671</v>
      </c>
      <c r="K461" s="160">
        <f t="shared" si="54"/>
        <v>450568.18704809807</v>
      </c>
      <c r="L461" s="160">
        <f t="shared" si="54"/>
        <v>421059.04069526552</v>
      </c>
      <c r="M461" s="160">
        <f t="shared" si="54"/>
        <v>138249</v>
      </c>
      <c r="N461" s="160">
        <f t="shared" si="54"/>
        <v>359239</v>
      </c>
      <c r="O461" s="160">
        <f t="shared" si="54"/>
        <v>29848</v>
      </c>
      <c r="P461" s="160">
        <f t="shared" si="54"/>
        <v>2314131.0223556017</v>
      </c>
      <c r="Q461" s="160">
        <f t="shared" si="54"/>
        <v>43264</v>
      </c>
      <c r="R461" s="160">
        <f t="shared" si="54"/>
        <v>175200.04664680519</v>
      </c>
      <c r="S461" s="160">
        <f t="shared" si="54"/>
        <v>233368</v>
      </c>
      <c r="T461" s="160">
        <f t="shared" si="54"/>
        <v>493013</v>
      </c>
      <c r="U461" s="160">
        <f t="shared" si="54"/>
        <v>614362</v>
      </c>
      <c r="V461" s="160">
        <f t="shared" si="54"/>
        <v>256193.78291099888</v>
      </c>
      <c r="W461" s="160">
        <f t="shared" si="54"/>
        <v>255441.16438882204</v>
      </c>
      <c r="X461" s="160">
        <f t="shared" si="54"/>
        <v>224500</v>
      </c>
      <c r="Y461" s="160">
        <f t="shared" si="54"/>
        <v>395939.54806154338</v>
      </c>
      <c r="Z461" s="160">
        <f t="shared" si="54"/>
        <v>247994</v>
      </c>
      <c r="AA461" s="160">
        <f t="shared" si="54"/>
        <v>2738177.8118768679</v>
      </c>
      <c r="AB461" s="160">
        <f t="shared" si="54"/>
        <v>238032.25446392479</v>
      </c>
      <c r="AC461" s="160">
        <f t="shared" si="54"/>
        <v>43687.931848312015</v>
      </c>
      <c r="AD461" s="160">
        <f t="shared" si="54"/>
        <v>260087.58748676587</v>
      </c>
      <c r="AE461" s="160">
        <f t="shared" si="54"/>
        <v>172647</v>
      </c>
      <c r="AF461" s="160">
        <f t="shared" si="54"/>
        <v>2349269.830951923</v>
      </c>
    </row>
    <row r="462" spans="3:32" x14ac:dyDescent="0.25">
      <c r="C462" s="604" t="s">
        <v>130</v>
      </c>
      <c r="E462" s="160">
        <f t="shared" si="55"/>
        <v>0</v>
      </c>
      <c r="F462" s="160">
        <f t="shared" si="55"/>
        <v>0</v>
      </c>
      <c r="G462" s="160">
        <f t="shared" si="54"/>
        <v>0</v>
      </c>
      <c r="H462" s="160">
        <f t="shared" si="54"/>
        <v>0</v>
      </c>
      <c r="I462" s="160">
        <f t="shared" si="54"/>
        <v>0</v>
      </c>
      <c r="J462" s="160">
        <f t="shared" si="54"/>
        <v>83338.580808470564</v>
      </c>
      <c r="K462" s="160">
        <f t="shared" si="54"/>
        <v>0</v>
      </c>
      <c r="L462" s="160">
        <f t="shared" si="54"/>
        <v>0</v>
      </c>
      <c r="M462" s="160">
        <f t="shared" si="54"/>
        <v>0</v>
      </c>
      <c r="N462" s="160">
        <f t="shared" si="54"/>
        <v>11402</v>
      </c>
      <c r="O462" s="160">
        <f t="shared" si="54"/>
        <v>0</v>
      </c>
      <c r="P462" s="160">
        <f t="shared" si="54"/>
        <v>1436239</v>
      </c>
      <c r="Q462" s="160">
        <f t="shared" si="54"/>
        <v>95410</v>
      </c>
      <c r="R462" s="160">
        <f t="shared" si="54"/>
        <v>25392</v>
      </c>
      <c r="S462" s="160">
        <f t="shared" si="54"/>
        <v>48495</v>
      </c>
      <c r="T462" s="160">
        <f t="shared" si="54"/>
        <v>99981</v>
      </c>
      <c r="U462" s="160">
        <f t="shared" si="54"/>
        <v>142912</v>
      </c>
      <c r="V462" s="160">
        <f t="shared" si="54"/>
        <v>0</v>
      </c>
      <c r="W462" s="160">
        <f t="shared" si="54"/>
        <v>0</v>
      </c>
      <c r="X462" s="160">
        <f t="shared" si="54"/>
        <v>0</v>
      </c>
      <c r="Y462" s="160">
        <f t="shared" si="54"/>
        <v>0</v>
      </c>
      <c r="Z462" s="160">
        <f t="shared" si="54"/>
        <v>42990</v>
      </c>
      <c r="AA462" s="160">
        <f t="shared" si="54"/>
        <v>0</v>
      </c>
      <c r="AB462" s="160">
        <f t="shared" si="54"/>
        <v>0</v>
      </c>
      <c r="AC462" s="160">
        <f t="shared" si="54"/>
        <v>0</v>
      </c>
      <c r="AD462" s="160">
        <f t="shared" si="54"/>
        <v>632237</v>
      </c>
      <c r="AE462" s="160">
        <f t="shared" si="54"/>
        <v>46677</v>
      </c>
      <c r="AF462" s="160">
        <f t="shared" si="54"/>
        <v>65900</v>
      </c>
    </row>
    <row r="463" spans="3:32" x14ac:dyDescent="0.25">
      <c r="C463" s="604" t="s">
        <v>132</v>
      </c>
      <c r="E463" s="160">
        <f t="shared" si="55"/>
        <v>2883</v>
      </c>
      <c r="F463" s="160">
        <f t="shared" si="55"/>
        <v>5680.5422546539075</v>
      </c>
      <c r="G463" s="160">
        <f t="shared" si="54"/>
        <v>3989</v>
      </c>
      <c r="H463" s="160">
        <f t="shared" si="54"/>
        <v>938</v>
      </c>
      <c r="I463" s="160">
        <f t="shared" si="54"/>
        <v>6297</v>
      </c>
      <c r="J463" s="160">
        <f t="shared" si="54"/>
        <v>3866.2284490371608</v>
      </c>
      <c r="K463" s="160">
        <f t="shared" si="54"/>
        <v>27082.333522563858</v>
      </c>
      <c r="L463" s="160">
        <f t="shared" si="54"/>
        <v>3518</v>
      </c>
      <c r="M463" s="160">
        <f t="shared" si="54"/>
        <v>23569</v>
      </c>
      <c r="N463" s="160">
        <f t="shared" si="54"/>
        <v>5827</v>
      </c>
      <c r="O463" s="160">
        <f t="shared" si="54"/>
        <v>8143</v>
      </c>
      <c r="P463" s="160">
        <f t="shared" ref="G463:AF467" si="56">SUMIFS(P$411:P$425,$C$411:$C$425,$C463)+SUMIFS(P$107:P$199,$C$107:$C$199,$C463)</f>
        <v>17131</v>
      </c>
      <c r="Q463" s="160">
        <f t="shared" si="56"/>
        <v>2411</v>
      </c>
      <c r="R463" s="160">
        <f t="shared" si="56"/>
        <v>12826</v>
      </c>
      <c r="S463" s="160">
        <f t="shared" si="56"/>
        <v>6767</v>
      </c>
      <c r="T463" s="160">
        <f t="shared" si="56"/>
        <v>25505</v>
      </c>
      <c r="U463" s="160">
        <f t="shared" si="56"/>
        <v>18170</v>
      </c>
      <c r="V463" s="160">
        <f t="shared" si="56"/>
        <v>9719.6880730168814</v>
      </c>
      <c r="W463" s="160">
        <f t="shared" si="56"/>
        <v>192119</v>
      </c>
      <c r="X463" s="160">
        <f t="shared" si="56"/>
        <v>28286</v>
      </c>
      <c r="Y463" s="160">
        <f t="shared" si="56"/>
        <v>60990.131465455095</v>
      </c>
      <c r="Z463" s="160">
        <f t="shared" si="56"/>
        <v>13635</v>
      </c>
      <c r="AA463" s="160">
        <f t="shared" si="56"/>
        <v>8</v>
      </c>
      <c r="AB463" s="160">
        <f t="shared" si="56"/>
        <v>28420</v>
      </c>
      <c r="AC463" s="160">
        <f t="shared" si="56"/>
        <v>134</v>
      </c>
      <c r="AD463" s="160">
        <f t="shared" si="56"/>
        <v>2625</v>
      </c>
      <c r="AE463" s="160">
        <f t="shared" si="56"/>
        <v>36074</v>
      </c>
      <c r="AF463" s="160">
        <f t="shared" si="56"/>
        <v>15911</v>
      </c>
    </row>
    <row r="464" spans="3:32" x14ac:dyDescent="0.25">
      <c r="C464" s="604" t="s">
        <v>134</v>
      </c>
      <c r="E464" s="160">
        <f t="shared" si="55"/>
        <v>69505.891941478883</v>
      </c>
      <c r="F464" s="160">
        <f t="shared" si="55"/>
        <v>204066.68359174603</v>
      </c>
      <c r="G464" s="160">
        <f t="shared" si="56"/>
        <v>68775.443261268796</v>
      </c>
      <c r="H464" s="160">
        <f t="shared" si="56"/>
        <v>95250.142599635554</v>
      </c>
      <c r="I464" s="160">
        <f t="shared" si="56"/>
        <v>130522</v>
      </c>
      <c r="J464" s="160">
        <f t="shared" si="56"/>
        <v>35475.113912290326</v>
      </c>
      <c r="K464" s="160">
        <f t="shared" si="56"/>
        <v>349996.57520115084</v>
      </c>
      <c r="L464" s="160">
        <f t="shared" si="56"/>
        <v>56962</v>
      </c>
      <c r="M464" s="160">
        <f t="shared" si="56"/>
        <v>97749</v>
      </c>
      <c r="N464" s="160">
        <f t="shared" si="56"/>
        <v>145424</v>
      </c>
      <c r="O464" s="160">
        <f t="shared" si="56"/>
        <v>124309</v>
      </c>
      <c r="P464" s="160">
        <f t="shared" si="56"/>
        <v>324955</v>
      </c>
      <c r="Q464" s="160">
        <f t="shared" si="56"/>
        <v>27489</v>
      </c>
      <c r="R464" s="160">
        <f t="shared" si="56"/>
        <v>67814</v>
      </c>
      <c r="S464" s="160">
        <f t="shared" si="56"/>
        <v>21309</v>
      </c>
      <c r="T464" s="160">
        <f t="shared" si="56"/>
        <v>77261</v>
      </c>
      <c r="U464" s="160">
        <f t="shared" si="56"/>
        <v>59620</v>
      </c>
      <c r="V464" s="160">
        <f t="shared" si="56"/>
        <v>413847.99136043445</v>
      </c>
      <c r="W464" s="160">
        <f t="shared" si="56"/>
        <v>801548.42696966371</v>
      </c>
      <c r="X464" s="160">
        <f t="shared" si="56"/>
        <v>124098</v>
      </c>
      <c r="Y464" s="160">
        <f t="shared" si="56"/>
        <v>362324.59657922707</v>
      </c>
      <c r="Z464" s="160">
        <f t="shared" si="56"/>
        <v>54795.18678535716</v>
      </c>
      <c r="AA464" s="160">
        <f t="shared" si="56"/>
        <v>1004465</v>
      </c>
      <c r="AB464" s="160">
        <f t="shared" si="56"/>
        <v>44183</v>
      </c>
      <c r="AC464" s="160">
        <f t="shared" si="56"/>
        <v>1645.3350218907908</v>
      </c>
      <c r="AD464" s="160">
        <f t="shared" si="56"/>
        <v>262292</v>
      </c>
      <c r="AE464" s="160">
        <f t="shared" si="56"/>
        <v>25158</v>
      </c>
      <c r="AF464" s="160">
        <f t="shared" si="56"/>
        <v>146779</v>
      </c>
    </row>
    <row r="465" spans="3:32" x14ac:dyDescent="0.25">
      <c r="C465" t="s">
        <v>1708</v>
      </c>
      <c r="E465" s="160">
        <f t="shared" si="55"/>
        <v>0</v>
      </c>
      <c r="F465" s="160">
        <f t="shared" si="55"/>
        <v>0</v>
      </c>
      <c r="G465" s="160">
        <f t="shared" si="56"/>
        <v>0</v>
      </c>
      <c r="H465" s="160">
        <f t="shared" si="56"/>
        <v>0</v>
      </c>
      <c r="I465" s="160">
        <f t="shared" si="56"/>
        <v>0</v>
      </c>
      <c r="J465" s="160">
        <f t="shared" si="56"/>
        <v>0</v>
      </c>
      <c r="K465" s="160">
        <f t="shared" si="56"/>
        <v>0</v>
      </c>
      <c r="L465" s="160">
        <f t="shared" si="56"/>
        <v>0</v>
      </c>
      <c r="M465" s="160">
        <f t="shared" si="56"/>
        <v>0</v>
      </c>
      <c r="N465" s="160">
        <f t="shared" si="56"/>
        <v>0</v>
      </c>
      <c r="O465" s="160">
        <f t="shared" si="56"/>
        <v>0</v>
      </c>
      <c r="P465" s="160">
        <f t="shared" si="56"/>
        <v>0</v>
      </c>
      <c r="Q465" s="160">
        <f t="shared" si="56"/>
        <v>0</v>
      </c>
      <c r="R465" s="160">
        <f t="shared" si="56"/>
        <v>0</v>
      </c>
      <c r="S465" s="160">
        <f t="shared" si="56"/>
        <v>0</v>
      </c>
      <c r="T465" s="160">
        <f t="shared" si="56"/>
        <v>0</v>
      </c>
      <c r="U465" s="160">
        <f t="shared" si="56"/>
        <v>0</v>
      </c>
      <c r="V465" s="160">
        <f t="shared" si="56"/>
        <v>0</v>
      </c>
      <c r="W465" s="160">
        <f t="shared" si="56"/>
        <v>0</v>
      </c>
      <c r="X465" s="160">
        <f t="shared" si="56"/>
        <v>0</v>
      </c>
      <c r="Y465" s="160">
        <f t="shared" si="56"/>
        <v>0</v>
      </c>
      <c r="Z465" s="160">
        <f t="shared" si="56"/>
        <v>0</v>
      </c>
      <c r="AA465" s="160">
        <f t="shared" si="56"/>
        <v>0</v>
      </c>
      <c r="AB465" s="160">
        <f t="shared" si="56"/>
        <v>0</v>
      </c>
      <c r="AC465" s="160">
        <f t="shared" si="56"/>
        <v>0</v>
      </c>
      <c r="AD465" s="160">
        <f t="shared" si="56"/>
        <v>0</v>
      </c>
      <c r="AE465" s="160">
        <f t="shared" si="56"/>
        <v>0</v>
      </c>
      <c r="AF465" s="160">
        <f t="shared" si="56"/>
        <v>0</v>
      </c>
    </row>
    <row r="466" spans="3:32" x14ac:dyDescent="0.25">
      <c r="C466" t="s">
        <v>137</v>
      </c>
      <c r="E466" s="160">
        <f t="shared" si="55"/>
        <v>0</v>
      </c>
      <c r="F466" s="160">
        <f t="shared" si="55"/>
        <v>3</v>
      </c>
      <c r="G466" s="160">
        <f t="shared" si="56"/>
        <v>0</v>
      </c>
      <c r="H466" s="160">
        <f t="shared" si="56"/>
        <v>0</v>
      </c>
      <c r="I466" s="160">
        <f t="shared" si="56"/>
        <v>0</v>
      </c>
      <c r="J466" s="160">
        <f t="shared" si="56"/>
        <v>0</v>
      </c>
      <c r="K466" s="160">
        <f t="shared" si="56"/>
        <v>0</v>
      </c>
      <c r="L466" s="160">
        <f t="shared" si="56"/>
        <v>0</v>
      </c>
      <c r="M466" s="160">
        <f t="shared" si="56"/>
        <v>0</v>
      </c>
      <c r="N466" s="160">
        <f t="shared" si="56"/>
        <v>0</v>
      </c>
      <c r="O466" s="160">
        <f t="shared" si="56"/>
        <v>0</v>
      </c>
      <c r="P466" s="160">
        <f t="shared" si="56"/>
        <v>0</v>
      </c>
      <c r="Q466" s="160">
        <f t="shared" si="56"/>
        <v>41</v>
      </c>
      <c r="R466" s="160">
        <f t="shared" si="56"/>
        <v>81</v>
      </c>
      <c r="S466" s="160">
        <f t="shared" si="56"/>
        <v>27</v>
      </c>
      <c r="T466" s="160">
        <f t="shared" si="56"/>
        <v>688</v>
      </c>
      <c r="U466" s="160">
        <f t="shared" si="56"/>
        <v>8</v>
      </c>
      <c r="V466" s="160">
        <f t="shared" si="56"/>
        <v>0</v>
      </c>
      <c r="W466" s="160">
        <f t="shared" si="56"/>
        <v>0</v>
      </c>
      <c r="X466" s="160">
        <f t="shared" si="56"/>
        <v>0</v>
      </c>
      <c r="Y466" s="160">
        <f t="shared" si="56"/>
        <v>3</v>
      </c>
      <c r="Z466" s="160">
        <f t="shared" si="56"/>
        <v>12150</v>
      </c>
      <c r="AA466" s="160">
        <f t="shared" si="56"/>
        <v>0</v>
      </c>
      <c r="AB466" s="160">
        <f t="shared" si="56"/>
        <v>736</v>
      </c>
      <c r="AC466" s="160">
        <f t="shared" si="56"/>
        <v>0</v>
      </c>
      <c r="AD466" s="160">
        <f t="shared" si="56"/>
        <v>0</v>
      </c>
      <c r="AE466" s="160">
        <f t="shared" si="56"/>
        <v>75</v>
      </c>
      <c r="AF466" s="160">
        <f t="shared" si="56"/>
        <v>0</v>
      </c>
    </row>
    <row r="467" spans="3:32" x14ac:dyDescent="0.25">
      <c r="C467" t="s">
        <v>139</v>
      </c>
      <c r="E467" s="160">
        <f t="shared" si="55"/>
        <v>0</v>
      </c>
      <c r="F467" s="160">
        <f t="shared" si="55"/>
        <v>0</v>
      </c>
      <c r="G467" s="160">
        <f t="shared" si="56"/>
        <v>28</v>
      </c>
      <c r="H467" s="160">
        <f t="shared" si="56"/>
        <v>0</v>
      </c>
      <c r="I467" s="160">
        <f t="shared" si="56"/>
        <v>102</v>
      </c>
      <c r="J467" s="160">
        <f t="shared" si="56"/>
        <v>0</v>
      </c>
      <c r="K467" s="160">
        <f t="shared" si="56"/>
        <v>2536</v>
      </c>
      <c r="L467" s="160">
        <f t="shared" si="56"/>
        <v>0</v>
      </c>
      <c r="M467" s="160">
        <f t="shared" si="56"/>
        <v>0</v>
      </c>
      <c r="N467" s="160">
        <f t="shared" si="56"/>
        <v>0</v>
      </c>
      <c r="O467" s="160">
        <f t="shared" si="56"/>
        <v>0</v>
      </c>
      <c r="P467" s="160">
        <f t="shared" si="56"/>
        <v>0</v>
      </c>
      <c r="Q467" s="160">
        <f t="shared" si="56"/>
        <v>0</v>
      </c>
      <c r="R467" s="160">
        <f t="shared" si="56"/>
        <v>2318</v>
      </c>
      <c r="S467" s="160">
        <f t="shared" si="56"/>
        <v>1376</v>
      </c>
      <c r="T467" s="160">
        <f t="shared" si="56"/>
        <v>1863</v>
      </c>
      <c r="U467" s="160">
        <f t="shared" si="56"/>
        <v>18647</v>
      </c>
      <c r="V467" s="160">
        <f t="shared" si="56"/>
        <v>0</v>
      </c>
      <c r="W467" s="160">
        <f t="shared" si="56"/>
        <v>0</v>
      </c>
      <c r="X467" s="160">
        <f t="shared" si="56"/>
        <v>16054</v>
      </c>
      <c r="Y467" s="160">
        <f t="shared" si="56"/>
        <v>495.68467518184366</v>
      </c>
      <c r="Z467" s="160">
        <f t="shared" si="56"/>
        <v>18265</v>
      </c>
      <c r="AA467" s="160">
        <f t="shared" si="56"/>
        <v>0</v>
      </c>
      <c r="AB467" s="160">
        <f t="shared" si="56"/>
        <v>0</v>
      </c>
      <c r="AC467" s="160">
        <f t="shared" si="56"/>
        <v>0</v>
      </c>
      <c r="AD467" s="160">
        <f t="shared" si="56"/>
        <v>50558</v>
      </c>
      <c r="AE467" s="160">
        <f t="shared" si="56"/>
        <v>27839</v>
      </c>
      <c r="AF467" s="160">
        <f t="shared" si="56"/>
        <v>8864</v>
      </c>
    </row>
    <row r="469" spans="3:32" x14ac:dyDescent="0.25">
      <c r="E469">
        <v>401421.95246540831</v>
      </c>
      <c r="F469">
        <v>711610.07487554802</v>
      </c>
      <c r="G469">
        <v>246885.51745763799</v>
      </c>
      <c r="H469">
        <v>724654.12651836884</v>
      </c>
      <c r="I469">
        <v>518766</v>
      </c>
      <c r="J469">
        <v>451178.14619529661</v>
      </c>
      <c r="K469">
        <v>2158407.9760001614</v>
      </c>
      <c r="L469">
        <v>1381004.7471829494</v>
      </c>
      <c r="M469">
        <v>1960832.7600169922</v>
      </c>
      <c r="N469">
        <v>1128804</v>
      </c>
      <c r="O469">
        <v>405985</v>
      </c>
      <c r="P469">
        <v>14369377.673366126</v>
      </c>
      <c r="Q469">
        <v>326745</v>
      </c>
      <c r="R469">
        <v>662106.04664680525</v>
      </c>
      <c r="S469">
        <v>847832</v>
      </c>
      <c r="T469">
        <v>1559301</v>
      </c>
      <c r="U469">
        <v>2265016</v>
      </c>
      <c r="V469">
        <v>3538551.3254330838</v>
      </c>
      <c r="W469">
        <v>9467288.9234142657</v>
      </c>
      <c r="X469">
        <v>1214551</v>
      </c>
      <c r="Y469">
        <v>1713363.2263809263</v>
      </c>
      <c r="Z469">
        <v>765786.18678535719</v>
      </c>
      <c r="AA469">
        <v>3968036.9151847861</v>
      </c>
      <c r="AB469">
        <v>899683.34693928156</v>
      </c>
      <c r="AC469">
        <v>224254.67440097287</v>
      </c>
      <c r="AD469">
        <v>1618456.5874867658</v>
      </c>
      <c r="AE469">
        <v>860367.52221734519</v>
      </c>
      <c r="AF469">
        <v>5775834.8309519235</v>
      </c>
    </row>
    <row r="470" spans="3:32" x14ac:dyDescent="0.25">
      <c r="E470" s="160">
        <f>SUM(E453:E467)</f>
        <v>401421.95246540831</v>
      </c>
      <c r="F470" s="160">
        <f t="shared" ref="F470:AF470" si="57">SUM(F453:F467)</f>
        <v>710855.90986331063</v>
      </c>
      <c r="G470" s="160">
        <f t="shared" si="57"/>
        <v>246885.51745763799</v>
      </c>
      <c r="H470" s="160">
        <f t="shared" si="57"/>
        <v>702175.36913228303</v>
      </c>
      <c r="I470" s="160">
        <f t="shared" si="57"/>
        <v>513858</v>
      </c>
      <c r="J470" s="160">
        <f t="shared" si="57"/>
        <v>423099.24894622149</v>
      </c>
      <c r="K470" s="160">
        <f t="shared" si="57"/>
        <v>2181934.3673579795</v>
      </c>
      <c r="L470" s="160">
        <f t="shared" si="57"/>
        <v>1381004.7471829494</v>
      </c>
      <c r="M470" s="160">
        <f t="shared" si="57"/>
        <v>1960832.7600169922</v>
      </c>
      <c r="N470" s="160">
        <f t="shared" si="57"/>
        <v>1128804</v>
      </c>
      <c r="O470" s="160">
        <f t="shared" si="57"/>
        <v>405985</v>
      </c>
      <c r="P470" s="160">
        <f t="shared" si="57"/>
        <v>14268535.600728307</v>
      </c>
      <c r="Q470" s="160">
        <f t="shared" si="57"/>
        <v>326745</v>
      </c>
      <c r="R470" s="160">
        <f t="shared" si="57"/>
        <v>661623.04664680525</v>
      </c>
      <c r="S470" s="160">
        <f t="shared" si="57"/>
        <v>847777</v>
      </c>
      <c r="T470" s="160">
        <f t="shared" si="57"/>
        <v>1559234</v>
      </c>
      <c r="U470" s="160">
        <f t="shared" si="57"/>
        <v>2265016</v>
      </c>
      <c r="V470" s="160">
        <f t="shared" si="57"/>
        <v>3535948.5405900558</v>
      </c>
      <c r="W470" s="160">
        <f t="shared" si="57"/>
        <v>9467288.9234142657</v>
      </c>
      <c r="X470" s="160">
        <f t="shared" si="57"/>
        <v>1214524</v>
      </c>
      <c r="Y470" s="160">
        <f t="shared" si="57"/>
        <v>1713363.2263809263</v>
      </c>
      <c r="Z470" s="160">
        <f t="shared" si="57"/>
        <v>765786.18678535719</v>
      </c>
      <c r="AA470" s="160">
        <f t="shared" si="57"/>
        <v>3968036.9151847861</v>
      </c>
      <c r="AB470" s="160">
        <f t="shared" si="57"/>
        <v>899683.34693928156</v>
      </c>
      <c r="AC470" s="160">
        <f t="shared" si="57"/>
        <v>224246.67440097287</v>
      </c>
      <c r="AD470" s="160">
        <f t="shared" si="57"/>
        <v>1618456.5874867658</v>
      </c>
      <c r="AE470" s="160">
        <f t="shared" si="57"/>
        <v>872927</v>
      </c>
      <c r="AF470" s="160">
        <f t="shared" si="57"/>
        <v>5775834.8309519235</v>
      </c>
    </row>
    <row r="471" spans="3:32" x14ac:dyDescent="0.25">
      <c r="E471" s="160">
        <f t="shared" ref="E471:AF471" si="58">E469-E470</f>
        <v>0</v>
      </c>
      <c r="F471" s="160">
        <f t="shared" si="58"/>
        <v>754.16501223738305</v>
      </c>
      <c r="G471" s="160">
        <f t="shared" si="58"/>
        <v>0</v>
      </c>
      <c r="H471" s="160">
        <f t="shared" si="58"/>
        <v>22478.75738608581</v>
      </c>
      <c r="I471" s="160">
        <f t="shared" si="58"/>
        <v>4908</v>
      </c>
      <c r="J471" s="160">
        <f t="shared" si="58"/>
        <v>28078.897249075118</v>
      </c>
      <c r="K471" s="160">
        <f t="shared" si="58"/>
        <v>-23526.391357818153</v>
      </c>
      <c r="L471" s="160">
        <f t="shared" si="58"/>
        <v>0</v>
      </c>
      <c r="M471" s="160">
        <f t="shared" si="58"/>
        <v>0</v>
      </c>
      <c r="N471" s="160">
        <f t="shared" si="58"/>
        <v>0</v>
      </c>
      <c r="O471" s="160">
        <f t="shared" si="58"/>
        <v>0</v>
      </c>
      <c r="P471" s="160">
        <f t="shared" si="58"/>
        <v>100842.07263781875</v>
      </c>
      <c r="Q471" s="160">
        <f t="shared" si="58"/>
        <v>0</v>
      </c>
      <c r="R471" s="160">
        <f t="shared" si="58"/>
        <v>483</v>
      </c>
      <c r="S471" s="160">
        <f t="shared" si="58"/>
        <v>55</v>
      </c>
      <c r="T471" s="160">
        <f t="shared" si="58"/>
        <v>67</v>
      </c>
      <c r="U471" s="160">
        <f t="shared" si="58"/>
        <v>0</v>
      </c>
      <c r="V471" s="160">
        <f t="shared" si="58"/>
        <v>2602.7848430280574</v>
      </c>
      <c r="W471" s="160">
        <f t="shared" si="58"/>
        <v>0</v>
      </c>
      <c r="X471" s="160">
        <f t="shared" si="58"/>
        <v>27</v>
      </c>
      <c r="Y471" s="160">
        <f t="shared" si="58"/>
        <v>0</v>
      </c>
      <c r="Z471" s="160">
        <f t="shared" si="58"/>
        <v>0</v>
      </c>
      <c r="AA471" s="160">
        <f t="shared" si="58"/>
        <v>0</v>
      </c>
      <c r="AB471" s="160">
        <f t="shared" si="58"/>
        <v>0</v>
      </c>
      <c r="AC471" s="160">
        <f t="shared" si="58"/>
        <v>8</v>
      </c>
      <c r="AD471" s="160">
        <f t="shared" si="58"/>
        <v>0</v>
      </c>
      <c r="AE471" s="160">
        <f t="shared" si="58"/>
        <v>-12559.477782654809</v>
      </c>
      <c r="AF471" s="160">
        <f t="shared" si="58"/>
        <v>0</v>
      </c>
    </row>
    <row r="474" spans="3:32" x14ac:dyDescent="0.25">
      <c r="V474" s="160"/>
    </row>
    <row r="475" spans="3:32" x14ac:dyDescent="0.25">
      <c r="V475" s="160"/>
    </row>
    <row r="476" spans="3:32" x14ac:dyDescent="0.25">
      <c r="V476" s="160"/>
    </row>
    <row r="477" spans="3:32" x14ac:dyDescent="0.25">
      <c r="V477" s="160"/>
    </row>
  </sheetData>
  <conditionalFormatting sqref="E411:AF425">
    <cfRule type="cellIs" dxfId="7" priority="3"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F524-2E8C-4190-9FF8-2898F4C9E957}">
  <sheetPr>
    <tabColor theme="4"/>
  </sheetPr>
  <dimension ref="A1:AP340"/>
  <sheetViews>
    <sheetView topLeftCell="A33" zoomScale="60" zoomScaleNormal="60" workbookViewId="0">
      <selection activeCell="R48" sqref="R48"/>
    </sheetView>
  </sheetViews>
  <sheetFormatPr defaultRowHeight="15" x14ac:dyDescent="0.25"/>
  <cols>
    <col min="1" max="1" width="39.28515625" customWidth="1"/>
    <col min="2" max="2" width="23.5703125" customWidth="1"/>
    <col min="3" max="3" width="26.42578125" bestFit="1" customWidth="1"/>
    <col min="4" max="4" width="15.7109375" customWidth="1"/>
    <col min="5" max="15" width="8.5703125" customWidth="1"/>
    <col min="16" max="16" width="12.28515625" customWidth="1"/>
    <col min="17" max="21" width="8.5703125" customWidth="1"/>
    <col min="22" max="22" width="8.42578125" customWidth="1"/>
    <col min="23" max="23" width="9.7109375" customWidth="1"/>
    <col min="24" max="25" width="8.5703125" customWidth="1"/>
    <col min="26" max="26" width="8.28515625" customWidth="1"/>
    <col min="27" max="30" width="8.5703125" customWidth="1"/>
    <col min="31" max="31" width="10.28515625" customWidth="1"/>
    <col min="32" max="32" width="8.5703125" customWidth="1"/>
    <col min="34" max="34" width="9.140625" customWidth="1"/>
    <col min="36" max="36" width="10.7109375" customWidth="1"/>
  </cols>
  <sheetData>
    <row r="1" spans="1:32" x14ac:dyDescent="0.25">
      <c r="A1" s="88"/>
      <c r="B1" s="88"/>
      <c r="C1" s="88"/>
      <c r="D1" s="88"/>
      <c r="E1" s="88"/>
    </row>
    <row r="2" spans="1:32" ht="15.75" x14ac:dyDescent="0.25">
      <c r="A2" s="122" t="s">
        <v>431</v>
      </c>
    </row>
    <row r="3" spans="1:32" x14ac:dyDescent="0.25">
      <c r="A3" s="121" t="s">
        <v>432</v>
      </c>
    </row>
    <row r="5" spans="1:32" x14ac:dyDescent="0.25">
      <c r="A5" s="249" t="s">
        <v>433</v>
      </c>
    </row>
    <row r="7" spans="1:32" x14ac:dyDescent="0.25">
      <c r="A7" s="93" t="s">
        <v>434</v>
      </c>
    </row>
    <row r="8" spans="1:32" ht="15.75" x14ac:dyDescent="0.25">
      <c r="A8" s="89" t="s">
        <v>358</v>
      </c>
      <c r="B8" s="90" t="s">
        <v>435</v>
      </c>
      <c r="C8" s="89"/>
      <c r="D8" s="89" t="s">
        <v>342</v>
      </c>
      <c r="E8" s="91" t="s">
        <v>162</v>
      </c>
      <c r="F8" s="91" t="s">
        <v>164</v>
      </c>
      <c r="G8" s="91" t="s">
        <v>166</v>
      </c>
      <c r="H8" s="91" t="s">
        <v>168</v>
      </c>
      <c r="I8" s="91" t="s">
        <v>170</v>
      </c>
      <c r="J8" s="91" t="s">
        <v>173</v>
      </c>
      <c r="K8" s="91" t="s">
        <v>175</v>
      </c>
      <c r="L8" s="91" t="s">
        <v>177</v>
      </c>
      <c r="M8" s="91" t="s">
        <v>179</v>
      </c>
      <c r="N8" s="91" t="s">
        <v>181</v>
      </c>
      <c r="O8" s="91" t="s">
        <v>183</v>
      </c>
      <c r="P8" s="91" t="s">
        <v>185</v>
      </c>
      <c r="Q8" s="91" t="s">
        <v>188</v>
      </c>
      <c r="R8" s="91" t="s">
        <v>190</v>
      </c>
      <c r="S8" s="91" t="s">
        <v>192</v>
      </c>
      <c r="T8" s="91" t="s">
        <v>194</v>
      </c>
      <c r="U8" s="91" t="s">
        <v>196</v>
      </c>
      <c r="V8" s="91" t="s">
        <v>198</v>
      </c>
      <c r="W8" s="91" t="s">
        <v>9</v>
      </c>
      <c r="X8" s="91" t="s">
        <v>201</v>
      </c>
      <c r="Y8" s="91" t="s">
        <v>203</v>
      </c>
      <c r="Z8" s="91" t="s">
        <v>205</v>
      </c>
      <c r="AA8" s="91" t="s">
        <v>207</v>
      </c>
      <c r="AB8" s="91" t="s">
        <v>210</v>
      </c>
      <c r="AC8" s="91" t="s">
        <v>212</v>
      </c>
      <c r="AD8" s="91" t="s">
        <v>214</v>
      </c>
      <c r="AE8" s="91" t="s">
        <v>217</v>
      </c>
      <c r="AF8" s="92" t="s">
        <v>219</v>
      </c>
    </row>
    <row r="9" spans="1:32" x14ac:dyDescent="0.25">
      <c r="A9" t="s">
        <v>388</v>
      </c>
      <c r="B9" t="s">
        <v>389</v>
      </c>
      <c r="D9" t="s">
        <v>363</v>
      </c>
      <c r="E9" s="191">
        <f>EnergyBalance!E226</f>
        <v>0</v>
      </c>
      <c r="F9" s="191">
        <f>EnergyBalance!F226</f>
        <v>0</v>
      </c>
      <c r="G9" s="191">
        <f>EnergyBalance!G226</f>
        <v>0</v>
      </c>
      <c r="H9" s="191">
        <f>EnergyBalance!H226</f>
        <v>0</v>
      </c>
      <c r="I9" s="191">
        <f>EnergyBalance!I226</f>
        <v>0</v>
      </c>
      <c r="J9" s="191">
        <f>EnergyBalance!J226</f>
        <v>0</v>
      </c>
      <c r="K9" s="191">
        <f>EnergyBalance!K226</f>
        <v>0</v>
      </c>
      <c r="L9" s="191">
        <f>EnergyBalance!L226</f>
        <v>0</v>
      </c>
      <c r="M9" s="191">
        <f>EnergyBalance!M226</f>
        <v>0</v>
      </c>
      <c r="N9" s="191">
        <f>EnergyBalance!N226</f>
        <v>0</v>
      </c>
      <c r="O9" s="191">
        <f>EnergyBalance!O226</f>
        <v>0</v>
      </c>
      <c r="P9" s="191">
        <f>EnergyBalance!P226</f>
        <v>0</v>
      </c>
      <c r="Q9" s="191">
        <f>EnergyBalance!Q226</f>
        <v>0</v>
      </c>
      <c r="R9" s="191">
        <f>EnergyBalance!R226</f>
        <v>0</v>
      </c>
      <c r="S9" s="191">
        <f>EnergyBalance!S226</f>
        <v>0</v>
      </c>
      <c r="T9" s="191">
        <f>EnergyBalance!T226</f>
        <v>0</v>
      </c>
      <c r="U9" s="191">
        <f>EnergyBalance!U226</f>
        <v>-24</v>
      </c>
      <c r="V9" s="191">
        <f>EnergyBalance!V226</f>
        <v>0</v>
      </c>
      <c r="W9" s="191">
        <f>EnergyBalance!W226</f>
        <v>0</v>
      </c>
      <c r="X9" s="191">
        <f>EnergyBalance!X226</f>
        <v>0</v>
      </c>
      <c r="Y9" s="191">
        <f>EnergyBalance!Y226</f>
        <v>0</v>
      </c>
      <c r="Z9" s="191">
        <f>EnergyBalance!Z226</f>
        <v>0</v>
      </c>
      <c r="AA9" s="191">
        <f>EnergyBalance!AA226</f>
        <v>0</v>
      </c>
      <c r="AB9" s="191">
        <f>EnergyBalance!AB226</f>
        <v>0</v>
      </c>
      <c r="AC9" s="191">
        <f>EnergyBalance!AC226</f>
        <v>0</v>
      </c>
      <c r="AD9" s="191">
        <f>EnergyBalance!AD226</f>
        <v>0</v>
      </c>
      <c r="AE9" s="191">
        <f>EnergyBalance!AE226</f>
        <v>0</v>
      </c>
      <c r="AF9" s="191">
        <f>EnergyBalance!AF226</f>
        <v>0</v>
      </c>
    </row>
    <row r="10" spans="1:32" x14ac:dyDescent="0.25">
      <c r="A10" t="s">
        <v>388</v>
      </c>
      <c r="B10" t="s">
        <v>390</v>
      </c>
      <c r="D10" t="s">
        <v>363</v>
      </c>
      <c r="E10" s="191">
        <f>EnergyBalance!E227</f>
        <v>0</v>
      </c>
      <c r="F10" s="191">
        <f>EnergyBalance!F227</f>
        <v>-508</v>
      </c>
      <c r="G10" s="191">
        <f>EnergyBalance!G227</f>
        <v>0</v>
      </c>
      <c r="H10" s="191">
        <f>EnergyBalance!H227</f>
        <v>0</v>
      </c>
      <c r="I10" s="191">
        <f>EnergyBalance!I227</f>
        <v>-1642</v>
      </c>
      <c r="J10" s="191">
        <f>EnergyBalance!J227</f>
        <v>0</v>
      </c>
      <c r="K10" s="191">
        <f>EnergyBalance!K227</f>
        <v>0</v>
      </c>
      <c r="L10" s="191">
        <f>EnergyBalance!L227</f>
        <v>0</v>
      </c>
      <c r="M10" s="191">
        <f>EnergyBalance!M227</f>
        <v>0</v>
      </c>
      <c r="N10" s="191">
        <f>EnergyBalance!N227</f>
        <v>0</v>
      </c>
      <c r="O10" s="191">
        <f>EnergyBalance!O227</f>
        <v>0</v>
      </c>
      <c r="P10" s="191">
        <f>EnergyBalance!P227</f>
        <v>0</v>
      </c>
      <c r="Q10" s="191">
        <f>EnergyBalance!Q227</f>
        <v>-6389</v>
      </c>
      <c r="R10" s="191">
        <f>EnergyBalance!R227</f>
        <v>-30162</v>
      </c>
      <c r="S10" s="191">
        <f>EnergyBalance!S227</f>
        <v>-30101</v>
      </c>
      <c r="T10" s="191">
        <f>EnergyBalance!T227</f>
        <v>-94630</v>
      </c>
      <c r="U10" s="191">
        <f>EnergyBalance!U227</f>
        <v>-241100</v>
      </c>
      <c r="V10" s="191">
        <f>EnergyBalance!V227</f>
        <v>-7779</v>
      </c>
      <c r="W10" s="191">
        <f>EnergyBalance!W227</f>
        <v>-68539</v>
      </c>
      <c r="X10" s="191">
        <f>EnergyBalance!X227</f>
        <v>-349069</v>
      </c>
      <c r="Y10" s="191">
        <f>EnergyBalance!Y227</f>
        <v>0</v>
      </c>
      <c r="Z10" s="191">
        <f>EnergyBalance!Z227</f>
        <v>-27762</v>
      </c>
      <c r="AA10" s="191">
        <f>EnergyBalance!AA227</f>
        <v>0</v>
      </c>
      <c r="AB10" s="191">
        <f>EnergyBalance!AB227</f>
        <v>0</v>
      </c>
      <c r="AC10" s="191">
        <f>EnergyBalance!AC227</f>
        <v>0</v>
      </c>
      <c r="AD10" s="191">
        <f>EnergyBalance!AD227</f>
        <v>-67280</v>
      </c>
      <c r="AE10" s="191">
        <f>EnergyBalance!AE227</f>
        <v>-202209</v>
      </c>
      <c r="AF10" s="191">
        <f>EnergyBalance!AF227</f>
        <v>-26858</v>
      </c>
    </row>
    <row r="11" spans="1:32" x14ac:dyDescent="0.25">
      <c r="A11" t="s">
        <v>388</v>
      </c>
      <c r="B11" t="s">
        <v>391</v>
      </c>
      <c r="D11" t="s">
        <v>363</v>
      </c>
      <c r="E11" s="191">
        <f>EnergyBalance!E228</f>
        <v>0</v>
      </c>
      <c r="F11" s="191">
        <f>EnergyBalance!F228</f>
        <v>-16215</v>
      </c>
      <c r="G11" s="191">
        <f>EnergyBalance!G228</f>
        <v>0</v>
      </c>
      <c r="H11" s="191">
        <f>EnergyBalance!H228</f>
        <v>-45329</v>
      </c>
      <c r="I11" s="191">
        <f>EnergyBalance!I228</f>
        <v>-52807</v>
      </c>
      <c r="J11" s="191">
        <f>EnergyBalance!J228</f>
        <v>-56573</v>
      </c>
      <c r="K11" s="191">
        <f>EnergyBalance!K228</f>
        <v>-4858</v>
      </c>
      <c r="L11" s="191">
        <f>EnergyBalance!L228</f>
        <v>0</v>
      </c>
      <c r="M11" s="191">
        <f>EnergyBalance!M228</f>
        <v>0</v>
      </c>
      <c r="N11" s="191">
        <f>EnergyBalance!N228</f>
        <v>-52955</v>
      </c>
      <c r="O11" s="191">
        <f>EnergyBalance!O228</f>
        <v>-8024</v>
      </c>
      <c r="P11" s="191">
        <f>EnergyBalance!P228</f>
        <v>-9761909</v>
      </c>
      <c r="Q11" s="191">
        <f>EnergyBalance!Q228</f>
        <v>-257714</v>
      </c>
      <c r="R11" s="191">
        <f>EnergyBalance!R228</f>
        <v>-62348</v>
      </c>
      <c r="S11" s="191">
        <f>EnergyBalance!S228</f>
        <v>-192455</v>
      </c>
      <c r="T11" s="191">
        <f>EnergyBalance!T228</f>
        <v>-162461</v>
      </c>
      <c r="U11" s="191">
        <f>EnergyBalance!U228</f>
        <v>-461002</v>
      </c>
      <c r="V11" s="191">
        <f>EnergyBalance!V228</f>
        <v>0</v>
      </c>
      <c r="W11" s="191">
        <f>EnergyBalance!W228</f>
        <v>-1020695</v>
      </c>
      <c r="X11" s="191">
        <f>EnergyBalance!X228</f>
        <v>-812199</v>
      </c>
      <c r="Y11" s="191">
        <f>EnergyBalance!Y228</f>
        <v>-20353</v>
      </c>
      <c r="Z11" s="191">
        <f>EnergyBalance!Z228</f>
        <v>-95610</v>
      </c>
      <c r="AA11" s="191">
        <f>EnergyBalance!AA228</f>
        <v>-35292</v>
      </c>
      <c r="AB11" s="191">
        <f>EnergyBalance!AB228</f>
        <v>-39121</v>
      </c>
      <c r="AC11" s="191">
        <f>EnergyBalance!AC228</f>
        <v>0</v>
      </c>
      <c r="AD11" s="191">
        <f>EnergyBalance!AD228</f>
        <v>-478411</v>
      </c>
      <c r="AE11" s="191">
        <f>EnergyBalance!AE228</f>
        <v>-413916</v>
      </c>
      <c r="AF11" s="191">
        <f>EnergyBalance!AF228</f>
        <v>-239829</v>
      </c>
    </row>
    <row r="12" spans="1:32" x14ac:dyDescent="0.25">
      <c r="A12" t="s">
        <v>388</v>
      </c>
      <c r="B12" t="s">
        <v>392</v>
      </c>
      <c r="D12" t="s">
        <v>363</v>
      </c>
      <c r="E12" s="191">
        <f>EnergyBalance!E229</f>
        <v>0</v>
      </c>
      <c r="F12" s="191">
        <f>EnergyBalance!F229</f>
        <v>0</v>
      </c>
      <c r="G12" s="191">
        <f>EnergyBalance!G229</f>
        <v>0</v>
      </c>
      <c r="H12" s="191">
        <f>EnergyBalance!H229</f>
        <v>0</v>
      </c>
      <c r="I12" s="191">
        <f>EnergyBalance!I229</f>
        <v>0</v>
      </c>
      <c r="J12" s="191">
        <f>EnergyBalance!J229</f>
        <v>0</v>
      </c>
      <c r="K12" s="191">
        <f>EnergyBalance!K229</f>
        <v>0</v>
      </c>
      <c r="L12" s="191">
        <f>EnergyBalance!L229</f>
        <v>0</v>
      </c>
      <c r="M12" s="191">
        <f>EnergyBalance!M229</f>
        <v>0</v>
      </c>
      <c r="N12" s="191">
        <f>EnergyBalance!N229</f>
        <v>0</v>
      </c>
      <c r="O12" s="191">
        <f>EnergyBalance!O229</f>
        <v>0</v>
      </c>
      <c r="P12" s="191">
        <f>EnergyBalance!P229</f>
        <v>0</v>
      </c>
      <c r="Q12" s="191">
        <f>EnergyBalance!Q229</f>
        <v>0</v>
      </c>
      <c r="R12" s="191">
        <f>EnergyBalance!R229</f>
        <v>0</v>
      </c>
      <c r="S12" s="191">
        <f>EnergyBalance!S229</f>
        <v>-1181</v>
      </c>
      <c r="T12" s="191">
        <f>EnergyBalance!T229</f>
        <v>0</v>
      </c>
      <c r="U12" s="191">
        <f>EnergyBalance!U229</f>
        <v>0</v>
      </c>
      <c r="V12" s="191">
        <f>EnergyBalance!V229</f>
        <v>0</v>
      </c>
      <c r="W12" s="191">
        <f>EnergyBalance!W229</f>
        <v>0</v>
      </c>
      <c r="X12" s="191">
        <f>EnergyBalance!X229</f>
        <v>0</v>
      </c>
      <c r="Y12" s="191">
        <f>EnergyBalance!Y229</f>
        <v>0</v>
      </c>
      <c r="Z12" s="191">
        <f>EnergyBalance!Z229</f>
        <v>0</v>
      </c>
      <c r="AA12" s="191">
        <f>EnergyBalance!AA229</f>
        <v>0</v>
      </c>
      <c r="AB12" s="191">
        <f>EnergyBalance!AB229</f>
        <v>0</v>
      </c>
      <c r="AC12" s="191">
        <f>EnergyBalance!AC229</f>
        <v>0</v>
      </c>
      <c r="AD12" s="191">
        <f>EnergyBalance!AD229</f>
        <v>0</v>
      </c>
      <c r="AE12" s="191">
        <f>EnergyBalance!AE229</f>
        <v>0</v>
      </c>
      <c r="AF12" s="191">
        <f>EnergyBalance!AF229</f>
        <v>0</v>
      </c>
    </row>
    <row r="13" spans="1:32" x14ac:dyDescent="0.25">
      <c r="A13" t="s">
        <v>388</v>
      </c>
      <c r="B13" t="s">
        <v>393</v>
      </c>
      <c r="D13" t="s">
        <v>363</v>
      </c>
      <c r="E13" s="191">
        <f>EnergyBalance!E230</f>
        <v>0</v>
      </c>
      <c r="F13" s="191">
        <f>EnergyBalance!F230</f>
        <v>0</v>
      </c>
      <c r="G13" s="191">
        <f>EnergyBalance!G230</f>
        <v>0</v>
      </c>
      <c r="H13" s="191">
        <f>EnergyBalance!H230</f>
        <v>0</v>
      </c>
      <c r="I13" s="191">
        <f>EnergyBalance!I230</f>
        <v>0</v>
      </c>
      <c r="J13" s="191">
        <f>EnergyBalance!J230</f>
        <v>-5074</v>
      </c>
      <c r="K13" s="191">
        <f>EnergyBalance!K230</f>
        <v>0</v>
      </c>
      <c r="L13" s="191">
        <f>EnergyBalance!L230</f>
        <v>0</v>
      </c>
      <c r="M13" s="191">
        <f>EnergyBalance!M230</f>
        <v>0</v>
      </c>
      <c r="N13" s="191">
        <f>EnergyBalance!N230</f>
        <v>0</v>
      </c>
      <c r="O13" s="191">
        <f>EnergyBalance!O230</f>
        <v>0</v>
      </c>
      <c r="P13" s="191">
        <f>EnergyBalance!P230</f>
        <v>0</v>
      </c>
      <c r="Q13" s="191">
        <f>EnergyBalance!Q230</f>
        <v>0</v>
      </c>
      <c r="R13" s="191">
        <f>EnergyBalance!R230</f>
        <v>0</v>
      </c>
      <c r="S13" s="191">
        <f>EnergyBalance!S230</f>
        <v>0</v>
      </c>
      <c r="T13" s="191">
        <f>EnergyBalance!T230</f>
        <v>0</v>
      </c>
      <c r="U13" s="191">
        <f>EnergyBalance!U230</f>
        <v>-1414</v>
      </c>
      <c r="V13" s="191">
        <f>EnergyBalance!V230</f>
        <v>0</v>
      </c>
      <c r="W13" s="191">
        <f>EnergyBalance!W230</f>
        <v>0</v>
      </c>
      <c r="X13" s="191">
        <f>EnergyBalance!X230</f>
        <v>0</v>
      </c>
      <c r="Y13" s="191">
        <f>EnergyBalance!Y230</f>
        <v>0</v>
      </c>
      <c r="Z13" s="191">
        <f>EnergyBalance!Z230</f>
        <v>0</v>
      </c>
      <c r="AA13" s="191">
        <f>EnergyBalance!AA230</f>
        <v>0</v>
      </c>
      <c r="AB13" s="191">
        <f>EnergyBalance!AB230</f>
        <v>0</v>
      </c>
      <c r="AC13" s="191">
        <f>EnergyBalance!AC230</f>
        <v>0</v>
      </c>
      <c r="AD13" s="191">
        <f>EnergyBalance!AD230</f>
        <v>0</v>
      </c>
      <c r="AE13" s="191">
        <f>EnergyBalance!AE230</f>
        <v>0</v>
      </c>
      <c r="AF13" s="191">
        <f>EnergyBalance!AF230</f>
        <v>0</v>
      </c>
    </row>
    <row r="14" spans="1:32" x14ac:dyDescent="0.25">
      <c r="A14" t="s">
        <v>388</v>
      </c>
      <c r="B14" t="s">
        <v>394</v>
      </c>
      <c r="D14" t="s">
        <v>363</v>
      </c>
      <c r="E14" s="191">
        <f>EnergyBalance!E231</f>
        <v>0</v>
      </c>
      <c r="F14" s="191">
        <f>EnergyBalance!F231</f>
        <v>0</v>
      </c>
      <c r="G14" s="191">
        <f>EnergyBalance!G231</f>
        <v>0</v>
      </c>
      <c r="H14" s="191">
        <f>EnergyBalance!H231</f>
        <v>0</v>
      </c>
      <c r="I14" s="191">
        <f>EnergyBalance!I231</f>
        <v>0</v>
      </c>
      <c r="J14" s="191">
        <f>EnergyBalance!J231</f>
        <v>0</v>
      </c>
      <c r="K14" s="191">
        <f>EnergyBalance!K231</f>
        <v>0</v>
      </c>
      <c r="L14" s="191">
        <f>EnergyBalance!L231</f>
        <v>0</v>
      </c>
      <c r="M14" s="191">
        <f>EnergyBalance!M231</f>
        <v>0</v>
      </c>
      <c r="N14" s="191">
        <f>EnergyBalance!N231</f>
        <v>0</v>
      </c>
      <c r="O14" s="191">
        <f>EnergyBalance!O231</f>
        <v>0</v>
      </c>
      <c r="P14" s="191">
        <f>EnergyBalance!P231</f>
        <v>0</v>
      </c>
      <c r="Q14" s="191">
        <f>EnergyBalance!Q231</f>
        <v>0</v>
      </c>
      <c r="R14" s="191">
        <f>EnergyBalance!R231</f>
        <v>0</v>
      </c>
      <c r="S14" s="191">
        <f>EnergyBalance!S231</f>
        <v>0</v>
      </c>
      <c r="T14" s="191">
        <f>EnergyBalance!T231</f>
        <v>0</v>
      </c>
      <c r="U14" s="191">
        <f>EnergyBalance!U231</f>
        <v>0</v>
      </c>
      <c r="V14" s="191">
        <f>EnergyBalance!V231</f>
        <v>0</v>
      </c>
      <c r="W14" s="191">
        <f>EnergyBalance!W231</f>
        <v>0</v>
      </c>
      <c r="X14" s="191">
        <f>EnergyBalance!X231</f>
        <v>0</v>
      </c>
      <c r="Y14" s="191">
        <f>EnergyBalance!Y231</f>
        <v>-31850</v>
      </c>
      <c r="Z14" s="191">
        <f>EnergyBalance!Z231</f>
        <v>0</v>
      </c>
      <c r="AA14" s="191">
        <f>EnergyBalance!AA231</f>
        <v>0</v>
      </c>
      <c r="AB14" s="191">
        <f>EnergyBalance!AB231</f>
        <v>0</v>
      </c>
      <c r="AC14" s="191">
        <f>EnergyBalance!AC231</f>
        <v>0</v>
      </c>
      <c r="AD14" s="191">
        <f>EnergyBalance!AD231</f>
        <v>0</v>
      </c>
      <c r="AE14" s="191">
        <f>EnergyBalance!AE231</f>
        <v>0</v>
      </c>
      <c r="AF14" s="191">
        <f>EnergyBalance!AF231</f>
        <v>0</v>
      </c>
    </row>
    <row r="16" spans="1:32" hidden="1" x14ac:dyDescent="0.25">
      <c r="A16" t="s">
        <v>436</v>
      </c>
      <c r="B16" t="s">
        <v>390</v>
      </c>
      <c r="D16" t="s">
        <v>363</v>
      </c>
      <c r="E16">
        <v>0</v>
      </c>
      <c r="F16">
        <v>-14532</v>
      </c>
      <c r="G16">
        <v>0</v>
      </c>
      <c r="H16">
        <v>-82420</v>
      </c>
      <c r="I16">
        <v>-121746</v>
      </c>
      <c r="J16">
        <v>-81877</v>
      </c>
      <c r="K16">
        <v>0</v>
      </c>
      <c r="L16">
        <v>0</v>
      </c>
      <c r="M16">
        <v>-290360</v>
      </c>
      <c r="N16">
        <v>-89166</v>
      </c>
      <c r="O16">
        <v>-16142</v>
      </c>
      <c r="P16">
        <v>-15039318</v>
      </c>
      <c r="Q16">
        <v>-379416</v>
      </c>
      <c r="R16">
        <v>-52836</v>
      </c>
      <c r="S16">
        <v>-527878</v>
      </c>
      <c r="T16">
        <v>-205725</v>
      </c>
      <c r="U16">
        <v>-600926</v>
      </c>
      <c r="V16">
        <v>-152300</v>
      </c>
      <c r="W16">
        <v>-1349171</v>
      </c>
      <c r="X16">
        <v>-1235859</v>
      </c>
      <c r="Y16">
        <v>-106615</v>
      </c>
      <c r="Z16">
        <v>-151056</v>
      </c>
      <c r="AA16">
        <v>-63554</v>
      </c>
      <c r="AB16">
        <v>-38083</v>
      </c>
      <c r="AC16">
        <v>0</v>
      </c>
      <c r="AD16">
        <v>-1910106</v>
      </c>
      <c r="AE16">
        <v>-650757</v>
      </c>
      <c r="AF16">
        <v>-443072</v>
      </c>
    </row>
    <row r="17" spans="1:32" hidden="1" x14ac:dyDescent="0.25">
      <c r="A17" t="s">
        <v>436</v>
      </c>
      <c r="B17" t="s">
        <v>402</v>
      </c>
      <c r="D17" t="s">
        <v>363</v>
      </c>
      <c r="E17">
        <v>0</v>
      </c>
      <c r="F17">
        <v>0</v>
      </c>
      <c r="G17">
        <v>0</v>
      </c>
      <c r="H17">
        <v>0</v>
      </c>
      <c r="I17">
        <v>0</v>
      </c>
      <c r="J17">
        <v>0</v>
      </c>
      <c r="K17">
        <v>0</v>
      </c>
      <c r="L17">
        <v>0</v>
      </c>
      <c r="M17">
        <v>0</v>
      </c>
      <c r="N17">
        <v>0</v>
      </c>
      <c r="O17">
        <v>0</v>
      </c>
      <c r="P17">
        <v>0</v>
      </c>
      <c r="Q17">
        <v>0</v>
      </c>
      <c r="R17">
        <v>0</v>
      </c>
      <c r="S17">
        <v>0</v>
      </c>
      <c r="T17">
        <v>0</v>
      </c>
      <c r="U17">
        <v>-7860</v>
      </c>
      <c r="V17">
        <v>0</v>
      </c>
      <c r="W17">
        <v>0</v>
      </c>
      <c r="X17">
        <v>0</v>
      </c>
      <c r="Y17">
        <v>0</v>
      </c>
      <c r="Z17">
        <v>0</v>
      </c>
      <c r="AA17">
        <v>0</v>
      </c>
      <c r="AB17">
        <v>0</v>
      </c>
      <c r="AC17">
        <v>0</v>
      </c>
      <c r="AD17">
        <v>0</v>
      </c>
      <c r="AE17">
        <v>0</v>
      </c>
      <c r="AF17">
        <v>0</v>
      </c>
    </row>
    <row r="18" spans="1:32" hidden="1" x14ac:dyDescent="0.25">
      <c r="A18" t="s">
        <v>436</v>
      </c>
      <c r="B18" t="s">
        <v>392</v>
      </c>
      <c r="D18" t="s">
        <v>363</v>
      </c>
      <c r="E18">
        <v>0</v>
      </c>
      <c r="F18">
        <v>0</v>
      </c>
      <c r="G18">
        <v>0</v>
      </c>
      <c r="H18">
        <v>0</v>
      </c>
      <c r="I18">
        <v>0</v>
      </c>
      <c r="J18">
        <v>0</v>
      </c>
      <c r="K18">
        <v>0</v>
      </c>
      <c r="L18">
        <v>0</v>
      </c>
      <c r="M18">
        <v>0</v>
      </c>
      <c r="N18">
        <v>0</v>
      </c>
      <c r="O18">
        <v>0</v>
      </c>
      <c r="P18">
        <v>0</v>
      </c>
      <c r="Q18">
        <v>0</v>
      </c>
      <c r="R18">
        <v>-1002</v>
      </c>
      <c r="S18">
        <v>0</v>
      </c>
      <c r="T18">
        <v>0</v>
      </c>
      <c r="U18">
        <v>0</v>
      </c>
      <c r="V18">
        <v>0</v>
      </c>
      <c r="W18">
        <v>0</v>
      </c>
      <c r="X18">
        <v>0</v>
      </c>
      <c r="Y18">
        <v>0</v>
      </c>
      <c r="Z18">
        <v>0</v>
      </c>
      <c r="AA18">
        <v>0</v>
      </c>
      <c r="AB18">
        <v>0</v>
      </c>
      <c r="AC18">
        <v>0</v>
      </c>
      <c r="AD18">
        <v>0</v>
      </c>
      <c r="AE18">
        <v>0</v>
      </c>
      <c r="AF18">
        <v>0</v>
      </c>
    </row>
    <row r="19" spans="1:32" hidden="1" x14ac:dyDescent="0.25">
      <c r="A19" t="s">
        <v>436</v>
      </c>
      <c r="B19" t="s">
        <v>409</v>
      </c>
      <c r="D19" t="s">
        <v>363</v>
      </c>
      <c r="E19">
        <v>0</v>
      </c>
      <c r="F19">
        <v>0</v>
      </c>
      <c r="G19">
        <v>0</v>
      </c>
      <c r="H19">
        <v>0</v>
      </c>
      <c r="I19">
        <v>0</v>
      </c>
      <c r="J19">
        <v>0</v>
      </c>
      <c r="K19">
        <v>0</v>
      </c>
      <c r="L19">
        <v>0</v>
      </c>
      <c r="M19">
        <v>0</v>
      </c>
      <c r="N19">
        <v>0</v>
      </c>
      <c r="O19">
        <v>0</v>
      </c>
      <c r="P19">
        <v>0</v>
      </c>
      <c r="Q19">
        <v>0</v>
      </c>
      <c r="R19">
        <v>0</v>
      </c>
      <c r="S19">
        <v>0</v>
      </c>
      <c r="T19">
        <v>-1</v>
      </c>
      <c r="U19">
        <v>0</v>
      </c>
      <c r="V19">
        <v>0</v>
      </c>
      <c r="W19">
        <v>0</v>
      </c>
      <c r="X19">
        <v>0</v>
      </c>
      <c r="Y19">
        <v>0</v>
      </c>
      <c r="Z19">
        <v>0</v>
      </c>
      <c r="AA19">
        <v>0</v>
      </c>
      <c r="AB19">
        <v>0</v>
      </c>
      <c r="AC19">
        <v>0</v>
      </c>
      <c r="AD19">
        <v>0</v>
      </c>
      <c r="AE19">
        <v>0</v>
      </c>
      <c r="AF19">
        <v>0</v>
      </c>
    </row>
    <row r="20" spans="1:32" hidden="1" x14ac:dyDescent="0.25">
      <c r="A20" t="s">
        <v>436</v>
      </c>
      <c r="B20" t="s">
        <v>394</v>
      </c>
      <c r="D20" t="s">
        <v>363</v>
      </c>
      <c r="E20">
        <v>0</v>
      </c>
      <c r="F20">
        <v>0</v>
      </c>
      <c r="G20">
        <v>0</v>
      </c>
      <c r="H20">
        <v>0</v>
      </c>
      <c r="I20">
        <v>0</v>
      </c>
      <c r="J20">
        <v>0</v>
      </c>
      <c r="K20">
        <v>0</v>
      </c>
      <c r="L20">
        <v>0</v>
      </c>
      <c r="M20">
        <v>-49911</v>
      </c>
      <c r="N20">
        <v>0</v>
      </c>
      <c r="O20">
        <v>0</v>
      </c>
      <c r="P20">
        <v>0</v>
      </c>
      <c r="Q20">
        <v>0</v>
      </c>
      <c r="R20">
        <v>0</v>
      </c>
      <c r="S20">
        <v>0</v>
      </c>
      <c r="T20">
        <v>0</v>
      </c>
      <c r="U20">
        <v>-12833</v>
      </c>
      <c r="V20">
        <v>0</v>
      </c>
      <c r="W20">
        <v>0</v>
      </c>
      <c r="X20">
        <v>-15839</v>
      </c>
      <c r="Y20">
        <v>0</v>
      </c>
      <c r="Z20">
        <v>0</v>
      </c>
      <c r="AA20">
        <v>0</v>
      </c>
      <c r="AB20">
        <v>0</v>
      </c>
      <c r="AC20">
        <v>0</v>
      </c>
      <c r="AD20">
        <v>0</v>
      </c>
      <c r="AE20">
        <v>0</v>
      </c>
      <c r="AF20">
        <v>0</v>
      </c>
    </row>
    <row r="21" spans="1:32" hidden="1" x14ac:dyDescent="0.25">
      <c r="A21" t="s">
        <v>436</v>
      </c>
      <c r="B21" t="s">
        <v>412</v>
      </c>
      <c r="D21" t="s">
        <v>363</v>
      </c>
      <c r="E21">
        <v>0</v>
      </c>
      <c r="F21">
        <v>0</v>
      </c>
      <c r="G21">
        <v>0</v>
      </c>
      <c r="H21">
        <v>0</v>
      </c>
      <c r="I21">
        <v>0</v>
      </c>
      <c r="J21">
        <v>0</v>
      </c>
      <c r="K21">
        <v>0</v>
      </c>
      <c r="L21">
        <v>0</v>
      </c>
      <c r="M21">
        <v>0</v>
      </c>
      <c r="N21">
        <v>0</v>
      </c>
      <c r="O21">
        <v>0</v>
      </c>
      <c r="P21">
        <v>0</v>
      </c>
      <c r="Q21">
        <v>0</v>
      </c>
      <c r="R21">
        <v>0</v>
      </c>
      <c r="S21">
        <v>0</v>
      </c>
      <c r="T21">
        <v>0</v>
      </c>
      <c r="U21">
        <v>0</v>
      </c>
      <c r="V21">
        <v>0</v>
      </c>
      <c r="W21">
        <v>0</v>
      </c>
      <c r="X21">
        <v>-4872</v>
      </c>
      <c r="Y21">
        <v>0</v>
      </c>
      <c r="Z21">
        <v>0</v>
      </c>
      <c r="AA21">
        <v>0</v>
      </c>
      <c r="AB21">
        <v>0</v>
      </c>
      <c r="AC21">
        <v>0</v>
      </c>
      <c r="AD21">
        <v>0</v>
      </c>
      <c r="AE21">
        <v>0</v>
      </c>
      <c r="AF21">
        <v>0</v>
      </c>
    </row>
    <row r="22" spans="1:32" hidden="1" x14ac:dyDescent="0.25"/>
    <row r="24" spans="1:32" x14ac:dyDescent="0.25">
      <c r="A24" s="93" t="s">
        <v>437</v>
      </c>
    </row>
    <row r="25" spans="1:32" ht="15.75" x14ac:dyDescent="0.25">
      <c r="A25" s="89" t="s">
        <v>358</v>
      </c>
      <c r="B25" s="90" t="s">
        <v>360</v>
      </c>
      <c r="C25" s="89"/>
      <c r="D25" s="89" t="s">
        <v>342</v>
      </c>
      <c r="E25" s="91" t="s">
        <v>162</v>
      </c>
      <c r="F25" s="91" t="s">
        <v>164</v>
      </c>
      <c r="G25" s="91" t="s">
        <v>166</v>
      </c>
      <c r="H25" s="91" t="s">
        <v>168</v>
      </c>
      <c r="I25" s="91" t="s">
        <v>170</v>
      </c>
      <c r="J25" s="91" t="s">
        <v>173</v>
      </c>
      <c r="K25" s="91" t="s">
        <v>175</v>
      </c>
      <c r="L25" s="91" t="s">
        <v>177</v>
      </c>
      <c r="M25" s="91" t="s">
        <v>179</v>
      </c>
      <c r="N25" s="91" t="s">
        <v>181</v>
      </c>
      <c r="O25" s="91" t="s">
        <v>183</v>
      </c>
      <c r="P25" s="91" t="s">
        <v>185</v>
      </c>
      <c r="Q25" s="91" t="s">
        <v>188</v>
      </c>
      <c r="R25" s="91" t="s">
        <v>190</v>
      </c>
      <c r="S25" s="91" t="s">
        <v>192</v>
      </c>
      <c r="T25" s="91" t="s">
        <v>194</v>
      </c>
      <c r="U25" s="91" t="s">
        <v>196</v>
      </c>
      <c r="V25" s="91" t="s">
        <v>198</v>
      </c>
      <c r="W25" s="91" t="s">
        <v>9</v>
      </c>
      <c r="X25" s="91" t="s">
        <v>201</v>
      </c>
      <c r="Y25" s="91" t="s">
        <v>203</v>
      </c>
      <c r="Z25" s="91" t="s">
        <v>205</v>
      </c>
      <c r="AA25" s="91" t="s">
        <v>207</v>
      </c>
      <c r="AB25" s="91" t="s">
        <v>210</v>
      </c>
      <c r="AC25" s="91" t="s">
        <v>212</v>
      </c>
      <c r="AD25" s="91" t="s">
        <v>214</v>
      </c>
      <c r="AE25" s="91" t="s">
        <v>217</v>
      </c>
      <c r="AF25" s="92" t="s">
        <v>219</v>
      </c>
    </row>
    <row r="26" spans="1:32" x14ac:dyDescent="0.25">
      <c r="A26" t="s">
        <v>388</v>
      </c>
      <c r="B26" t="s">
        <v>396</v>
      </c>
      <c r="D26" t="s">
        <v>363</v>
      </c>
      <c r="E26" s="191">
        <f>EnergyBalance!E237</f>
        <v>0</v>
      </c>
      <c r="F26" s="191">
        <f>EnergyBalance!F237</f>
        <v>3350</v>
      </c>
      <c r="G26" s="191">
        <f>EnergyBalance!G237</f>
        <v>0</v>
      </c>
      <c r="H26" s="191">
        <f>EnergyBalance!H237</f>
        <v>18142</v>
      </c>
      <c r="I26" s="191">
        <f>EnergyBalance!I237</f>
        <v>23635</v>
      </c>
      <c r="J26" s="191">
        <f>EnergyBalance!J237</f>
        <v>17821</v>
      </c>
      <c r="K26" s="191">
        <f>EnergyBalance!K237</f>
        <v>2654</v>
      </c>
      <c r="L26" s="191">
        <f>EnergyBalance!L237</f>
        <v>0</v>
      </c>
      <c r="M26" s="191">
        <f>EnergyBalance!M237</f>
        <v>0</v>
      </c>
      <c r="N26" s="191">
        <f>EnergyBalance!N237</f>
        <v>22913</v>
      </c>
      <c r="O26" s="191">
        <f>EnergyBalance!O237</f>
        <v>2355</v>
      </c>
      <c r="P26" s="191">
        <f>EnergyBalance!P237</f>
        <v>4375053</v>
      </c>
      <c r="Q26" s="191">
        <f>EnergyBalance!Q237</f>
        <v>85166</v>
      </c>
      <c r="R26" s="191">
        <f>EnergyBalance!R237</f>
        <v>36844</v>
      </c>
      <c r="S26" s="191">
        <f>EnergyBalance!S237</f>
        <v>88202</v>
      </c>
      <c r="T26" s="191">
        <f>EnergyBalance!T237</f>
        <v>116913</v>
      </c>
      <c r="U26" s="191">
        <f>EnergyBalance!U237</f>
        <v>265080</v>
      </c>
      <c r="V26" s="191">
        <f>EnergyBalance!V237</f>
        <v>3260</v>
      </c>
      <c r="W26" s="191">
        <f>EnergyBalance!W237</f>
        <v>444595</v>
      </c>
      <c r="X26" s="191">
        <f>EnergyBalance!X237</f>
        <v>410945</v>
      </c>
      <c r="Y26" s="191">
        <f>EnergyBalance!Y237</f>
        <v>10451</v>
      </c>
      <c r="Z26" s="191">
        <f>EnergyBalance!Z237</f>
        <v>49991</v>
      </c>
      <c r="AA26" s="191">
        <f>EnergyBalance!AA237</f>
        <v>14213</v>
      </c>
      <c r="AB26" s="191">
        <f>EnergyBalance!AB237</f>
        <v>16062</v>
      </c>
      <c r="AC26" s="191">
        <f>EnergyBalance!AC237</f>
        <v>0</v>
      </c>
      <c r="AD26" s="191">
        <f>EnergyBalance!AD237</f>
        <v>214602</v>
      </c>
      <c r="AE26" s="191">
        <f>EnergyBalance!AE237</f>
        <v>225861</v>
      </c>
      <c r="AF26" s="191">
        <f>EnergyBalance!AF237</f>
        <v>110352</v>
      </c>
    </row>
    <row r="28" spans="1:32" hidden="1" x14ac:dyDescent="0.25">
      <c r="A28" t="s">
        <v>436</v>
      </c>
      <c r="B28" t="s">
        <v>403</v>
      </c>
      <c r="D28" t="s">
        <v>363</v>
      </c>
      <c r="E28">
        <v>0</v>
      </c>
      <c r="F28">
        <v>0</v>
      </c>
      <c r="G28">
        <v>0</v>
      </c>
      <c r="H28">
        <v>21130</v>
      </c>
      <c r="I28">
        <v>24923</v>
      </c>
      <c r="J28">
        <v>14455</v>
      </c>
      <c r="K28">
        <v>0</v>
      </c>
      <c r="L28">
        <v>0</v>
      </c>
      <c r="M28">
        <v>77379</v>
      </c>
      <c r="N28">
        <v>24338</v>
      </c>
      <c r="O28">
        <v>3550</v>
      </c>
      <c r="P28">
        <v>1788779</v>
      </c>
      <c r="Q28">
        <v>77882</v>
      </c>
      <c r="R28">
        <v>13522</v>
      </c>
      <c r="S28">
        <v>118747</v>
      </c>
      <c r="T28">
        <v>22973</v>
      </c>
      <c r="U28">
        <v>125698</v>
      </c>
      <c r="V28">
        <v>0</v>
      </c>
      <c r="W28">
        <v>205572</v>
      </c>
      <c r="X28">
        <v>300259</v>
      </c>
      <c r="Y28">
        <v>2526</v>
      </c>
      <c r="Z28">
        <v>36032</v>
      </c>
      <c r="AA28">
        <v>7973</v>
      </c>
      <c r="AB28">
        <v>8592</v>
      </c>
      <c r="AC28">
        <v>0</v>
      </c>
      <c r="AD28">
        <v>286443</v>
      </c>
      <c r="AE28">
        <v>152766</v>
      </c>
      <c r="AF28">
        <v>61173</v>
      </c>
    </row>
    <row r="29" spans="1:32" hidden="1" x14ac:dyDescent="0.25">
      <c r="A29" t="s">
        <v>436</v>
      </c>
      <c r="B29" t="s">
        <v>391</v>
      </c>
      <c r="D29" t="s">
        <v>363</v>
      </c>
      <c r="E29">
        <v>0</v>
      </c>
      <c r="F29">
        <v>13122</v>
      </c>
      <c r="G29">
        <v>0</v>
      </c>
      <c r="H29">
        <v>55223</v>
      </c>
      <c r="I29">
        <v>79262</v>
      </c>
      <c r="J29">
        <v>67318</v>
      </c>
      <c r="K29">
        <v>0</v>
      </c>
      <c r="L29">
        <v>0</v>
      </c>
      <c r="M29">
        <v>261593</v>
      </c>
      <c r="N29">
        <v>64828</v>
      </c>
      <c r="O29">
        <v>12370</v>
      </c>
      <c r="P29">
        <v>13250539</v>
      </c>
      <c r="Q29">
        <v>301533</v>
      </c>
      <c r="R29">
        <v>39733</v>
      </c>
      <c r="S29">
        <v>408205</v>
      </c>
      <c r="T29">
        <v>163220</v>
      </c>
      <c r="U29">
        <v>495361</v>
      </c>
      <c r="V29">
        <v>125228</v>
      </c>
      <c r="W29">
        <v>1143599</v>
      </c>
      <c r="X29">
        <v>940192</v>
      </c>
      <c r="Y29">
        <v>83873</v>
      </c>
      <c r="Z29">
        <v>114729</v>
      </c>
      <c r="AA29">
        <v>52545</v>
      </c>
      <c r="AB29">
        <v>28614</v>
      </c>
      <c r="AC29">
        <v>0</v>
      </c>
      <c r="AD29">
        <v>1308694</v>
      </c>
      <c r="AE29">
        <v>462698</v>
      </c>
      <c r="AF29">
        <v>338265</v>
      </c>
    </row>
    <row r="30" spans="1:32" hidden="1" x14ac:dyDescent="0.25"/>
    <row r="31" spans="1:32" x14ac:dyDescent="0.25">
      <c r="A31" t="s">
        <v>438</v>
      </c>
      <c r="B31" t="s">
        <v>396</v>
      </c>
      <c r="E31" t="str">
        <f t="shared" ref="E31:AF31" si="0">IFERROR(E54/E26, "")</f>
        <v/>
      </c>
      <c r="F31" s="94">
        <f t="shared" si="0"/>
        <v>1</v>
      </c>
      <c r="G31" s="94" t="str">
        <f t="shared" si="0"/>
        <v/>
      </c>
      <c r="H31" s="94">
        <f t="shared" si="0"/>
        <v>1</v>
      </c>
      <c r="I31" s="94">
        <f t="shared" si="0"/>
        <v>4.5991114872011844E-2</v>
      </c>
      <c r="J31" s="94">
        <f t="shared" si="0"/>
        <v>0.55496324560911281</v>
      </c>
      <c r="K31" s="94">
        <f t="shared" si="0"/>
        <v>1</v>
      </c>
      <c r="L31" s="94" t="str">
        <f t="shared" si="0"/>
        <v/>
      </c>
      <c r="M31" s="94" t="str">
        <f t="shared" si="0"/>
        <v/>
      </c>
      <c r="N31" s="94">
        <f t="shared" si="0"/>
        <v>1</v>
      </c>
      <c r="O31" s="94">
        <f t="shared" si="0"/>
        <v>0</v>
      </c>
      <c r="P31" s="94">
        <f t="shared" si="0"/>
        <v>0.7531760186676596</v>
      </c>
      <c r="Q31" s="94">
        <f t="shared" si="0"/>
        <v>0.5927952469295259</v>
      </c>
      <c r="R31" s="94">
        <f t="shared" si="0"/>
        <v>0.14251981326674629</v>
      </c>
      <c r="S31" s="94">
        <f t="shared" si="0"/>
        <v>0.3067844266569919</v>
      </c>
      <c r="T31" s="94">
        <f t="shared" si="0"/>
        <v>1.306954744125974E-2</v>
      </c>
      <c r="U31" s="94">
        <f t="shared" si="0"/>
        <v>0.28116040440621698</v>
      </c>
      <c r="V31" s="94">
        <f t="shared" si="0"/>
        <v>1</v>
      </c>
      <c r="W31" s="94">
        <f t="shared" si="0"/>
        <v>1</v>
      </c>
      <c r="X31" s="94">
        <f t="shared" si="0"/>
        <v>0.39501636472033969</v>
      </c>
      <c r="Y31" s="94">
        <f t="shared" si="0"/>
        <v>5.6549612477274899E-2</v>
      </c>
      <c r="Z31" s="94">
        <f t="shared" si="0"/>
        <v>5.5710027805004898E-2</v>
      </c>
      <c r="AA31" s="94">
        <f t="shared" si="0"/>
        <v>0.17906142264124394</v>
      </c>
      <c r="AB31" s="94">
        <f t="shared" si="0"/>
        <v>0.14655709127132363</v>
      </c>
      <c r="AC31" s="94" t="str">
        <f t="shared" si="0"/>
        <v/>
      </c>
      <c r="AD31" s="94">
        <f t="shared" si="0"/>
        <v>0.70004473397265632</v>
      </c>
      <c r="AE31" s="94">
        <f t="shared" si="0"/>
        <v>9.3641664563603282E-3</v>
      </c>
      <c r="AF31" s="94">
        <f t="shared" si="0"/>
        <v>0.60527221980571266</v>
      </c>
    </row>
    <row r="32" spans="1:32" hidden="1" x14ac:dyDescent="0.25">
      <c r="A32" t="s">
        <v>438</v>
      </c>
      <c r="B32" t="s">
        <v>403</v>
      </c>
      <c r="E32" t="str">
        <f t="shared" ref="E32:AF32" si="1">IFERROR(E59/E28, "")</f>
        <v/>
      </c>
      <c r="F32" t="str">
        <f t="shared" si="1"/>
        <v/>
      </c>
      <c r="G32" t="str">
        <f t="shared" si="1"/>
        <v/>
      </c>
      <c r="H32" s="94">
        <f t="shared" si="1"/>
        <v>1</v>
      </c>
      <c r="I32" s="94">
        <f t="shared" si="1"/>
        <v>3.7074188500581792E-2</v>
      </c>
      <c r="J32" s="94">
        <f t="shared" si="1"/>
        <v>0</v>
      </c>
      <c r="K32" s="94" t="str">
        <f t="shared" si="1"/>
        <v/>
      </c>
      <c r="L32" s="94" t="str">
        <f t="shared" si="1"/>
        <v/>
      </c>
      <c r="M32" s="94">
        <f t="shared" si="1"/>
        <v>0.69950503366546479</v>
      </c>
      <c r="N32" s="94">
        <f t="shared" si="1"/>
        <v>0.92398718054071827</v>
      </c>
      <c r="O32" s="94">
        <f t="shared" si="1"/>
        <v>0</v>
      </c>
      <c r="P32" s="94">
        <f t="shared" si="1"/>
        <v>0.34501579010039807</v>
      </c>
      <c r="Q32" s="94">
        <f t="shared" si="1"/>
        <v>0.39331296063275212</v>
      </c>
      <c r="R32" s="94">
        <f t="shared" si="1"/>
        <v>0.2382783611891732</v>
      </c>
      <c r="S32" s="94">
        <f t="shared" si="1"/>
        <v>0.15901875415799979</v>
      </c>
      <c r="T32" s="94">
        <f t="shared" si="1"/>
        <v>0.24010795281417316</v>
      </c>
      <c r="U32" s="94">
        <f t="shared" si="1"/>
        <v>0.40631513627901794</v>
      </c>
      <c r="V32" s="94" t="str">
        <f t="shared" si="1"/>
        <v/>
      </c>
      <c r="W32" s="94">
        <f t="shared" si="1"/>
        <v>0.40558539100655733</v>
      </c>
      <c r="X32" s="94">
        <f t="shared" si="1"/>
        <v>0.48724601094388509</v>
      </c>
      <c r="Y32" s="94">
        <f t="shared" si="1"/>
        <v>0.23000791765637371</v>
      </c>
      <c r="Z32" s="94">
        <f t="shared" si="1"/>
        <v>0.30522868561278865</v>
      </c>
      <c r="AA32" s="94">
        <f t="shared" si="1"/>
        <v>0.28220243321209082</v>
      </c>
      <c r="AB32" s="94">
        <f t="shared" si="1"/>
        <v>0.95530726256983245</v>
      </c>
      <c r="AC32" s="94" t="str">
        <f t="shared" si="1"/>
        <v/>
      </c>
      <c r="AD32" s="94">
        <f t="shared" si="1"/>
        <v>0.55523437472725812</v>
      </c>
      <c r="AE32" s="94">
        <f t="shared" si="1"/>
        <v>0.50306350889595852</v>
      </c>
      <c r="AF32" s="94">
        <f t="shared" si="1"/>
        <v>3.5473166266163179E-3</v>
      </c>
    </row>
    <row r="35" spans="1:32" hidden="1" x14ac:dyDescent="0.25">
      <c r="A35" s="134" t="s">
        <v>439</v>
      </c>
    </row>
    <row r="36" spans="1:32" hidden="1" x14ac:dyDescent="0.25"/>
    <row r="37" spans="1:32" hidden="1" x14ac:dyDescent="0.25">
      <c r="A37" s="93" t="s">
        <v>440</v>
      </c>
    </row>
    <row r="38" spans="1:32" ht="15.75" hidden="1" x14ac:dyDescent="0.25">
      <c r="A38" s="89" t="s">
        <v>358</v>
      </c>
      <c r="B38" s="90" t="s">
        <v>360</v>
      </c>
      <c r="C38" s="89"/>
      <c r="D38" s="89" t="s">
        <v>342</v>
      </c>
      <c r="E38" s="91" t="s">
        <v>162</v>
      </c>
      <c r="F38" s="91" t="s">
        <v>164</v>
      </c>
      <c r="G38" s="91" t="s">
        <v>166</v>
      </c>
      <c r="H38" s="91" t="s">
        <v>168</v>
      </c>
      <c r="I38" s="91" t="s">
        <v>170</v>
      </c>
      <c r="J38" s="91" t="s">
        <v>173</v>
      </c>
      <c r="K38" s="91" t="s">
        <v>175</v>
      </c>
      <c r="L38" s="91" t="s">
        <v>177</v>
      </c>
      <c r="M38" s="91" t="s">
        <v>179</v>
      </c>
      <c r="N38" s="91" t="s">
        <v>181</v>
      </c>
      <c r="O38" s="91" t="s">
        <v>183</v>
      </c>
      <c r="P38" s="91" t="s">
        <v>185</v>
      </c>
      <c r="Q38" s="91" t="s">
        <v>188</v>
      </c>
      <c r="R38" s="91" t="s">
        <v>190</v>
      </c>
      <c r="S38" s="91" t="s">
        <v>192</v>
      </c>
      <c r="T38" s="91" t="s">
        <v>194</v>
      </c>
      <c r="U38" s="91" t="s">
        <v>196</v>
      </c>
      <c r="V38" s="91" t="s">
        <v>198</v>
      </c>
      <c r="W38" s="91" t="s">
        <v>9</v>
      </c>
      <c r="X38" s="91" t="s">
        <v>201</v>
      </c>
      <c r="Y38" s="91" t="s">
        <v>203</v>
      </c>
      <c r="Z38" s="91" t="s">
        <v>205</v>
      </c>
      <c r="AA38" s="91" t="s">
        <v>207</v>
      </c>
      <c r="AB38" s="91" t="s">
        <v>210</v>
      </c>
      <c r="AC38" s="91" t="s">
        <v>212</v>
      </c>
      <c r="AD38" s="91" t="s">
        <v>214</v>
      </c>
      <c r="AE38" s="91" t="s">
        <v>217</v>
      </c>
      <c r="AF38" s="92" t="s">
        <v>219</v>
      </c>
    </row>
    <row r="39" spans="1:32" hidden="1" x14ac:dyDescent="0.25">
      <c r="A39" t="s">
        <v>441</v>
      </c>
      <c r="B39" t="s">
        <v>391</v>
      </c>
      <c r="D39" t="s">
        <v>363</v>
      </c>
      <c r="E39">
        <v>533</v>
      </c>
      <c r="F39">
        <v>11985</v>
      </c>
      <c r="G39">
        <v>0</v>
      </c>
      <c r="H39">
        <v>1925</v>
      </c>
      <c r="I39">
        <v>12117</v>
      </c>
      <c r="J39">
        <v>36538</v>
      </c>
      <c r="K39">
        <v>3653</v>
      </c>
      <c r="L39">
        <v>0</v>
      </c>
      <c r="M39">
        <v>37758</v>
      </c>
      <c r="N39">
        <v>18072</v>
      </c>
      <c r="O39">
        <v>29</v>
      </c>
      <c r="P39">
        <v>14803</v>
      </c>
      <c r="Q39">
        <v>48311</v>
      </c>
      <c r="R39">
        <v>36890</v>
      </c>
      <c r="S39">
        <v>57068</v>
      </c>
      <c r="T39">
        <v>58550</v>
      </c>
      <c r="U39">
        <v>133223</v>
      </c>
      <c r="V39">
        <v>48026</v>
      </c>
      <c r="W39">
        <v>81075</v>
      </c>
      <c r="X39">
        <v>20631</v>
      </c>
      <c r="Y39">
        <v>3585</v>
      </c>
      <c r="Z39">
        <v>19378</v>
      </c>
      <c r="AA39">
        <v>12319</v>
      </c>
      <c r="AB39">
        <v>33220</v>
      </c>
      <c r="AC39">
        <v>0</v>
      </c>
      <c r="AD39">
        <v>1913</v>
      </c>
      <c r="AE39">
        <v>8807</v>
      </c>
      <c r="AF39">
        <v>3031</v>
      </c>
    </row>
    <row r="40" spans="1:32" hidden="1" x14ac:dyDescent="0.25">
      <c r="A40" t="s">
        <v>442</v>
      </c>
      <c r="B40" t="s">
        <v>391</v>
      </c>
      <c r="D40" t="s">
        <v>363</v>
      </c>
      <c r="E40">
        <v>0</v>
      </c>
      <c r="F40">
        <v>-4565</v>
      </c>
      <c r="G40">
        <v>0</v>
      </c>
      <c r="H40">
        <v>-3022</v>
      </c>
      <c r="I40">
        <v>-17739</v>
      </c>
      <c r="J40">
        <v>-2818</v>
      </c>
      <c r="K40">
        <v>0</v>
      </c>
      <c r="L40">
        <v>0</v>
      </c>
      <c r="M40">
        <v>0</v>
      </c>
      <c r="N40">
        <v>-3328</v>
      </c>
      <c r="O40">
        <v>-1563</v>
      </c>
      <c r="P40">
        <v>-185204</v>
      </c>
      <c r="Q40">
        <v>-12439</v>
      </c>
      <c r="R40">
        <v>-118</v>
      </c>
      <c r="S40">
        <v>-216091</v>
      </c>
      <c r="T40">
        <v>-12369</v>
      </c>
      <c r="U40">
        <v>-58387</v>
      </c>
      <c r="V40">
        <v>0</v>
      </c>
      <c r="W40">
        <v>-620</v>
      </c>
      <c r="X40">
        <v>-46554</v>
      </c>
      <c r="Y40">
        <v>-63257</v>
      </c>
      <c r="Z40">
        <v>-3947</v>
      </c>
      <c r="AA40">
        <v>-10180</v>
      </c>
      <c r="AB40">
        <v>0</v>
      </c>
      <c r="AC40">
        <v>0</v>
      </c>
      <c r="AD40">
        <v>-81184</v>
      </c>
      <c r="AE40">
        <v>0</v>
      </c>
      <c r="AF40">
        <v>-25343</v>
      </c>
    </row>
    <row r="41" spans="1:32" hidden="1" x14ac:dyDescent="0.25"/>
    <row r="42" spans="1:32" hidden="1" x14ac:dyDescent="0.25">
      <c r="A42" t="s">
        <v>443</v>
      </c>
      <c r="B42" t="s">
        <v>391</v>
      </c>
      <c r="D42" t="s">
        <v>363</v>
      </c>
      <c r="E42">
        <f>E29+E39+E40</f>
        <v>533</v>
      </c>
      <c r="F42">
        <f>F29+F39+F40</f>
        <v>20542</v>
      </c>
      <c r="G42">
        <f t="shared" ref="G42:AF42" si="2">G29+G39+G40</f>
        <v>0</v>
      </c>
      <c r="H42">
        <f t="shared" si="2"/>
        <v>54126</v>
      </c>
      <c r="I42">
        <f t="shared" si="2"/>
        <v>73640</v>
      </c>
      <c r="J42">
        <f t="shared" si="2"/>
        <v>101038</v>
      </c>
      <c r="K42">
        <f t="shared" si="2"/>
        <v>3653</v>
      </c>
      <c r="L42">
        <f t="shared" si="2"/>
        <v>0</v>
      </c>
      <c r="M42">
        <f t="shared" si="2"/>
        <v>299351</v>
      </c>
      <c r="N42">
        <f t="shared" si="2"/>
        <v>79572</v>
      </c>
      <c r="O42">
        <f t="shared" si="2"/>
        <v>10836</v>
      </c>
      <c r="P42">
        <f t="shared" si="2"/>
        <v>13080138</v>
      </c>
      <c r="Q42">
        <f t="shared" si="2"/>
        <v>337405</v>
      </c>
      <c r="R42">
        <f t="shared" si="2"/>
        <v>76505</v>
      </c>
      <c r="S42">
        <f t="shared" si="2"/>
        <v>249182</v>
      </c>
      <c r="T42">
        <f t="shared" si="2"/>
        <v>209401</v>
      </c>
      <c r="U42">
        <f t="shared" si="2"/>
        <v>570197</v>
      </c>
      <c r="V42">
        <f t="shared" si="2"/>
        <v>173254</v>
      </c>
      <c r="W42">
        <f t="shared" si="2"/>
        <v>1224054</v>
      </c>
      <c r="X42">
        <f t="shared" si="2"/>
        <v>914269</v>
      </c>
      <c r="Y42">
        <f t="shared" si="2"/>
        <v>24201</v>
      </c>
      <c r="Z42">
        <f t="shared" si="2"/>
        <v>130160</v>
      </c>
      <c r="AA42">
        <f t="shared" si="2"/>
        <v>54684</v>
      </c>
      <c r="AB42">
        <f t="shared" si="2"/>
        <v>61834</v>
      </c>
      <c r="AC42">
        <f t="shared" si="2"/>
        <v>0</v>
      </c>
      <c r="AD42">
        <f t="shared" si="2"/>
        <v>1229423</v>
      </c>
      <c r="AE42">
        <f t="shared" si="2"/>
        <v>471505</v>
      </c>
      <c r="AF42">
        <f t="shared" si="2"/>
        <v>315953</v>
      </c>
    </row>
    <row r="43" spans="1:32" hidden="1" x14ac:dyDescent="0.25">
      <c r="A43" t="s">
        <v>438</v>
      </c>
      <c r="B43" t="s">
        <v>391</v>
      </c>
      <c r="E43" s="94">
        <f t="shared" ref="E43:AF43" si="3">IFERROR(E60/E42, "")</f>
        <v>0</v>
      </c>
      <c r="F43" s="94">
        <f t="shared" si="3"/>
        <v>0.21477947619511245</v>
      </c>
      <c r="G43" s="94" t="str">
        <f t="shared" si="3"/>
        <v/>
      </c>
      <c r="H43" s="94">
        <f t="shared" si="3"/>
        <v>0.10748993090196948</v>
      </c>
      <c r="I43" s="94">
        <f t="shared" si="3"/>
        <v>0.16615969581749049</v>
      </c>
      <c r="J43" s="94">
        <f t="shared" si="3"/>
        <v>0.26640471901660762</v>
      </c>
      <c r="K43" s="94">
        <f t="shared" si="3"/>
        <v>5.6118258965234057E-2</v>
      </c>
      <c r="L43" s="94" t="str">
        <f t="shared" si="3"/>
        <v/>
      </c>
      <c r="M43" s="94">
        <f t="shared" si="3"/>
        <v>0.94759663405166505</v>
      </c>
      <c r="N43" s="94">
        <f t="shared" si="3"/>
        <v>0.21527673050821897</v>
      </c>
      <c r="O43" s="94">
        <f t="shared" si="3"/>
        <v>0.31727574750830567</v>
      </c>
      <c r="P43" s="94">
        <f t="shared" si="3"/>
        <v>9.3493050302680292E-2</v>
      </c>
      <c r="Q43" s="94">
        <f t="shared" si="3"/>
        <v>0.1769742594211704</v>
      </c>
      <c r="R43" s="94">
        <f t="shared" si="3"/>
        <v>0.19121626037513889</v>
      </c>
      <c r="S43" s="94">
        <f t="shared" si="3"/>
        <v>5.2973328731609828E-2</v>
      </c>
      <c r="T43" s="94">
        <f t="shared" si="3"/>
        <v>0.12771667757078525</v>
      </c>
      <c r="U43" s="94">
        <f t="shared" si="3"/>
        <v>6.4591711285748615E-2</v>
      </c>
      <c r="V43" s="94">
        <f t="shared" si="3"/>
        <v>0.9501425652510187</v>
      </c>
      <c r="W43" s="94">
        <f t="shared" si="3"/>
        <v>0.16613564434248815</v>
      </c>
      <c r="X43" s="94">
        <f t="shared" si="3"/>
        <v>6.2175355393215781E-2</v>
      </c>
      <c r="Y43" s="94">
        <f t="shared" si="3"/>
        <v>6.850956572042477E-2</v>
      </c>
      <c r="Z43" s="94">
        <f t="shared" si="3"/>
        <v>0.21379840196681008</v>
      </c>
      <c r="AA43" s="94">
        <f t="shared" si="3"/>
        <v>0</v>
      </c>
      <c r="AB43" s="94">
        <f t="shared" si="3"/>
        <v>0.34183458938448102</v>
      </c>
      <c r="AC43" s="94" t="str">
        <f t="shared" si="3"/>
        <v/>
      </c>
      <c r="AD43" s="94">
        <f t="shared" si="3"/>
        <v>0.60618029758675407</v>
      </c>
      <c r="AE43" s="94">
        <f t="shared" si="3"/>
        <v>0.10329901061494576</v>
      </c>
      <c r="AF43" s="94">
        <f t="shared" si="3"/>
        <v>0.23380376195193589</v>
      </c>
    </row>
    <row r="44" spans="1:32" hidden="1" x14ac:dyDescent="0.25"/>
    <row r="45" spans="1:32" hidden="1" x14ac:dyDescent="0.25"/>
    <row r="47" spans="1:32" x14ac:dyDescent="0.25">
      <c r="A47" s="134" t="s">
        <v>444</v>
      </c>
    </row>
    <row r="49" spans="1:32" ht="15.75" x14ac:dyDescent="0.25">
      <c r="A49" s="122" t="s">
        <v>445</v>
      </c>
      <c r="B49" s="122"/>
    </row>
    <row r="50" spans="1:32" x14ac:dyDescent="0.25">
      <c r="A50" s="121" t="s">
        <v>432</v>
      </c>
    </row>
    <row r="52" spans="1:32" x14ac:dyDescent="0.25">
      <c r="A52" s="93" t="s">
        <v>446</v>
      </c>
    </row>
    <row r="53" spans="1:32" ht="15.75" x14ac:dyDescent="0.25">
      <c r="A53" s="89" t="s">
        <v>358</v>
      </c>
      <c r="B53" s="90" t="s">
        <v>359</v>
      </c>
      <c r="C53" s="89" t="s">
        <v>360</v>
      </c>
      <c r="D53" s="89" t="s">
        <v>342</v>
      </c>
      <c r="E53" s="91" t="s">
        <v>162</v>
      </c>
      <c r="F53" s="91" t="s">
        <v>164</v>
      </c>
      <c r="G53" s="91" t="s">
        <v>166</v>
      </c>
      <c r="H53" s="91" t="s">
        <v>168</v>
      </c>
      <c r="I53" s="91" t="s">
        <v>170</v>
      </c>
      <c r="J53" s="91" t="s">
        <v>173</v>
      </c>
      <c r="K53" s="91" t="s">
        <v>175</v>
      </c>
      <c r="L53" s="91" t="s">
        <v>177</v>
      </c>
      <c r="M53" s="91" t="s">
        <v>179</v>
      </c>
      <c r="N53" s="91" t="s">
        <v>181</v>
      </c>
      <c r="O53" s="91" t="s">
        <v>183</v>
      </c>
      <c r="P53" s="91" t="s">
        <v>185</v>
      </c>
      <c r="Q53" s="91" t="s">
        <v>188</v>
      </c>
      <c r="R53" s="91" t="s">
        <v>190</v>
      </c>
      <c r="S53" s="91" t="s">
        <v>192</v>
      </c>
      <c r="T53" s="91" t="s">
        <v>194</v>
      </c>
      <c r="U53" s="91" t="s">
        <v>196</v>
      </c>
      <c r="V53" s="91" t="s">
        <v>198</v>
      </c>
      <c r="W53" s="91" t="s">
        <v>9</v>
      </c>
      <c r="X53" s="91" t="s">
        <v>201</v>
      </c>
      <c r="Y53" s="91" t="s">
        <v>203</v>
      </c>
      <c r="Z53" s="91" t="s">
        <v>205</v>
      </c>
      <c r="AA53" s="91" t="s">
        <v>207</v>
      </c>
      <c r="AB53" s="91" t="s">
        <v>210</v>
      </c>
      <c r="AC53" s="91" t="s">
        <v>212</v>
      </c>
      <c r="AD53" s="91" t="s">
        <v>214</v>
      </c>
      <c r="AE53" s="91" t="s">
        <v>217</v>
      </c>
      <c r="AF53" s="92" t="s">
        <v>219</v>
      </c>
    </row>
    <row r="54" spans="1:32" x14ac:dyDescent="0.25">
      <c r="A54" t="s">
        <v>366</v>
      </c>
      <c r="B54" t="s">
        <v>88</v>
      </c>
      <c r="C54" t="s">
        <v>113</v>
      </c>
      <c r="D54" t="s">
        <v>363</v>
      </c>
      <c r="E54" s="191">
        <f>EnergyBalance!E38</f>
        <v>0</v>
      </c>
      <c r="F54" s="191">
        <f>EnergyBalance!F38</f>
        <v>3350</v>
      </c>
      <c r="G54" s="191">
        <f>EnergyBalance!G38</f>
        <v>0</v>
      </c>
      <c r="H54" s="191">
        <f>EnergyBalance!H38</f>
        <v>18142</v>
      </c>
      <c r="I54" s="191">
        <f>EnergyBalance!I38</f>
        <v>1087</v>
      </c>
      <c r="J54" s="191">
        <f>EnergyBalance!J38</f>
        <v>9890</v>
      </c>
      <c r="K54" s="191">
        <f>EnergyBalance!K38</f>
        <v>2654</v>
      </c>
      <c r="L54" s="191">
        <f>EnergyBalance!L38</f>
        <v>0</v>
      </c>
      <c r="M54" s="191">
        <f>EnergyBalance!M38</f>
        <v>0</v>
      </c>
      <c r="N54" s="191">
        <f>EnergyBalance!N38</f>
        <v>22913</v>
      </c>
      <c r="O54" s="191">
        <f>EnergyBalance!O38</f>
        <v>0</v>
      </c>
      <c r="P54" s="191">
        <f>EnergyBalance!P38</f>
        <v>3295185</v>
      </c>
      <c r="Q54" s="191">
        <f>EnergyBalance!Q38</f>
        <v>50486</v>
      </c>
      <c r="R54" s="191">
        <f>EnergyBalance!R38</f>
        <v>5251</v>
      </c>
      <c r="S54" s="191">
        <f>EnergyBalance!S38</f>
        <v>27059</v>
      </c>
      <c r="T54" s="191">
        <f>EnergyBalance!T38</f>
        <v>1528</v>
      </c>
      <c r="U54" s="191">
        <f>EnergyBalance!U38</f>
        <v>74530</v>
      </c>
      <c r="V54" s="191">
        <f>EnergyBalance!V38</f>
        <v>3260</v>
      </c>
      <c r="W54" s="191">
        <f>EnergyBalance!W38</f>
        <v>444595</v>
      </c>
      <c r="X54" s="191">
        <f>EnergyBalance!X38</f>
        <v>162330</v>
      </c>
      <c r="Y54" s="191">
        <f>EnergyBalance!Y38</f>
        <v>591</v>
      </c>
      <c r="Z54" s="191">
        <f>EnergyBalance!Z38</f>
        <v>2785</v>
      </c>
      <c r="AA54" s="191">
        <f>EnergyBalance!AA38</f>
        <v>2545</v>
      </c>
      <c r="AB54" s="191">
        <f>EnergyBalance!AB38</f>
        <v>2354</v>
      </c>
      <c r="AC54" s="191">
        <f>EnergyBalance!AC38</f>
        <v>0</v>
      </c>
      <c r="AD54" s="191">
        <f>EnergyBalance!AD38</f>
        <v>150231</v>
      </c>
      <c r="AE54" s="191">
        <f>EnergyBalance!AE38</f>
        <v>2115</v>
      </c>
      <c r="AF54" s="191">
        <f>EnergyBalance!AF38</f>
        <v>66793</v>
      </c>
    </row>
    <row r="55" spans="1:32" x14ac:dyDescent="0.25">
      <c r="A55" t="s">
        <v>366</v>
      </c>
      <c r="B55" t="s">
        <v>88</v>
      </c>
      <c r="C55" t="s">
        <v>115</v>
      </c>
      <c r="D55" t="s">
        <v>363</v>
      </c>
      <c r="E55" s="191">
        <f>EnergyBalance!E39</f>
        <v>0</v>
      </c>
      <c r="F55" s="191">
        <f>EnergyBalance!F39</f>
        <v>0</v>
      </c>
      <c r="G55" s="191">
        <f>EnergyBalance!G39</f>
        <v>0</v>
      </c>
      <c r="H55" s="191">
        <f>EnergyBalance!H39</f>
        <v>0</v>
      </c>
      <c r="I55" s="191">
        <f>EnergyBalance!I39</f>
        <v>0</v>
      </c>
      <c r="J55" s="191">
        <f>EnergyBalance!J39</f>
        <v>0</v>
      </c>
      <c r="K55" s="191">
        <f>EnergyBalance!K39</f>
        <v>0</v>
      </c>
      <c r="L55" s="191">
        <f>EnergyBalance!L39</f>
        <v>0</v>
      </c>
      <c r="M55" s="191">
        <f>EnergyBalance!M39</f>
        <v>0</v>
      </c>
      <c r="N55" s="191">
        <f>EnergyBalance!N39</f>
        <v>51</v>
      </c>
      <c r="O55" s="191">
        <f>EnergyBalance!O39</f>
        <v>0</v>
      </c>
      <c r="P55" s="191">
        <f>EnergyBalance!P39</f>
        <v>0</v>
      </c>
      <c r="Q55" s="191">
        <f>EnergyBalance!Q39</f>
        <v>0</v>
      </c>
      <c r="R55" s="191">
        <f>EnergyBalance!R39</f>
        <v>0</v>
      </c>
      <c r="S55" s="191">
        <f>EnergyBalance!S39</f>
        <v>0</v>
      </c>
      <c r="T55" s="191">
        <f>EnergyBalance!T39</f>
        <v>0</v>
      </c>
      <c r="U55" s="191">
        <f>EnergyBalance!U39</f>
        <v>0</v>
      </c>
      <c r="V55" s="191">
        <f>EnergyBalance!V39</f>
        <v>0</v>
      </c>
      <c r="W55" s="191">
        <f>EnergyBalance!W39</f>
        <v>0</v>
      </c>
      <c r="X55" s="191">
        <f>EnergyBalance!X39</f>
        <v>0</v>
      </c>
      <c r="Y55" s="191">
        <f>EnergyBalance!Y39</f>
        <v>0</v>
      </c>
      <c r="Z55" s="191">
        <f>EnergyBalance!Z39</f>
        <v>0</v>
      </c>
      <c r="AA55" s="191">
        <f>EnergyBalance!AA39</f>
        <v>0</v>
      </c>
      <c r="AB55" s="191">
        <f>EnergyBalance!AB39</f>
        <v>0</v>
      </c>
      <c r="AC55" s="191">
        <f>EnergyBalance!AC39</f>
        <v>0</v>
      </c>
      <c r="AD55" s="191">
        <f>EnergyBalance!AD39</f>
        <v>0</v>
      </c>
      <c r="AE55" s="191">
        <f>EnergyBalance!AE39</f>
        <v>0</v>
      </c>
      <c r="AF55" s="191">
        <f>EnergyBalance!AF39</f>
        <v>0</v>
      </c>
    </row>
    <row r="56" spans="1:32" x14ac:dyDescent="0.25">
      <c r="A56" t="s">
        <v>366</v>
      </c>
      <c r="B56" t="s">
        <v>88</v>
      </c>
      <c r="C56" t="s">
        <v>117</v>
      </c>
      <c r="D56" t="s">
        <v>363</v>
      </c>
      <c r="E56" s="191">
        <f>EnergyBalance!E40</f>
        <v>0</v>
      </c>
      <c r="F56" s="191">
        <f>EnergyBalance!F40</f>
        <v>0</v>
      </c>
      <c r="G56" s="191">
        <f>EnergyBalance!G40</f>
        <v>0</v>
      </c>
      <c r="H56" s="191">
        <f>EnergyBalance!H40</f>
        <v>0</v>
      </c>
      <c r="I56" s="191">
        <f>EnergyBalance!I40</f>
        <v>0</v>
      </c>
      <c r="J56" s="191">
        <f>EnergyBalance!J40</f>
        <v>0</v>
      </c>
      <c r="K56" s="191">
        <f>EnergyBalance!K40</f>
        <v>0</v>
      </c>
      <c r="L56" s="191">
        <f>EnergyBalance!L40</f>
        <v>0</v>
      </c>
      <c r="M56" s="191">
        <f>EnergyBalance!M40</f>
        <v>154213</v>
      </c>
      <c r="N56" s="191">
        <f>EnergyBalance!N40</f>
        <v>10</v>
      </c>
      <c r="O56" s="191">
        <f>EnergyBalance!O40</f>
        <v>0</v>
      </c>
      <c r="P56" s="191">
        <f>EnergyBalance!P40</f>
        <v>30723</v>
      </c>
      <c r="Q56" s="191">
        <f>EnergyBalance!Q40</f>
        <v>114</v>
      </c>
      <c r="R56" s="191">
        <f>EnergyBalance!R40</f>
        <v>652</v>
      </c>
      <c r="S56" s="191">
        <f>EnergyBalance!S40</f>
        <v>281</v>
      </c>
      <c r="T56" s="191">
        <f>EnergyBalance!T40</f>
        <v>18</v>
      </c>
      <c r="U56" s="191">
        <f>EnergyBalance!U40</f>
        <v>17</v>
      </c>
      <c r="V56" s="191">
        <f>EnergyBalance!V40</f>
        <v>0</v>
      </c>
      <c r="W56" s="191">
        <f>EnergyBalance!W40</f>
        <v>0</v>
      </c>
      <c r="X56" s="191">
        <f>EnergyBalance!X40</f>
        <v>260</v>
      </c>
      <c r="Y56" s="191">
        <f>EnergyBalance!Y40</f>
        <v>8</v>
      </c>
      <c r="Z56" s="191">
        <f>EnergyBalance!Z40</f>
        <v>0</v>
      </c>
      <c r="AA56" s="191">
        <f>EnergyBalance!AA40</f>
        <v>0</v>
      </c>
      <c r="AB56" s="191">
        <f>EnergyBalance!AB40</f>
        <v>0</v>
      </c>
      <c r="AC56" s="191">
        <f>EnergyBalance!AC40</f>
        <v>0</v>
      </c>
      <c r="AD56" s="191">
        <f>EnergyBalance!AD40</f>
        <v>35</v>
      </c>
      <c r="AE56" s="191">
        <f>EnergyBalance!AE40</f>
        <v>0</v>
      </c>
      <c r="AF56" s="191">
        <f>EnergyBalance!AF40</f>
        <v>0</v>
      </c>
    </row>
    <row r="57" spans="1:32" x14ac:dyDescent="0.25">
      <c r="A57" t="s">
        <v>366</v>
      </c>
      <c r="B57" t="s">
        <v>88</v>
      </c>
      <c r="C57" t="s">
        <v>119</v>
      </c>
      <c r="D57" t="s">
        <v>363</v>
      </c>
      <c r="E57" s="191">
        <f>EnergyBalance!E41</f>
        <v>0</v>
      </c>
      <c r="F57" s="191">
        <f>EnergyBalance!F41</f>
        <v>0</v>
      </c>
      <c r="G57" s="191">
        <f>EnergyBalance!G41</f>
        <v>0</v>
      </c>
      <c r="H57" s="191">
        <f>EnergyBalance!H41</f>
        <v>0</v>
      </c>
      <c r="I57" s="191">
        <f>EnergyBalance!I41</f>
        <v>0</v>
      </c>
      <c r="J57" s="191">
        <f>EnergyBalance!J41</f>
        <v>0</v>
      </c>
      <c r="K57" s="191">
        <f>EnergyBalance!K41</f>
        <v>0</v>
      </c>
      <c r="L57" s="191">
        <f>EnergyBalance!L41</f>
        <v>0</v>
      </c>
      <c r="M57" s="191">
        <f>EnergyBalance!M41</f>
        <v>130</v>
      </c>
      <c r="N57" s="191">
        <f>EnergyBalance!N41</f>
        <v>0</v>
      </c>
      <c r="O57" s="191">
        <f>EnergyBalance!O41</f>
        <v>0</v>
      </c>
      <c r="P57" s="191">
        <f>EnergyBalance!P41</f>
        <v>0</v>
      </c>
      <c r="Q57" s="191">
        <f>EnergyBalance!Q41</f>
        <v>0</v>
      </c>
      <c r="R57" s="191">
        <f>EnergyBalance!R41</f>
        <v>0</v>
      </c>
      <c r="S57" s="191">
        <f>EnergyBalance!S41</f>
        <v>0</v>
      </c>
      <c r="T57" s="191">
        <f>EnergyBalance!T41</f>
        <v>13</v>
      </c>
      <c r="U57" s="191">
        <f>EnergyBalance!U41</f>
        <v>73</v>
      </c>
      <c r="V57" s="191">
        <f>EnergyBalance!V41</f>
        <v>16</v>
      </c>
      <c r="W57" s="191">
        <f>EnergyBalance!W41</f>
        <v>0</v>
      </c>
      <c r="X57" s="191">
        <f>EnergyBalance!X41</f>
        <v>0</v>
      </c>
      <c r="Y57" s="191">
        <f>EnergyBalance!Y41</f>
        <v>0</v>
      </c>
      <c r="Z57" s="191">
        <f>EnergyBalance!Z41</f>
        <v>0</v>
      </c>
      <c r="AA57" s="191">
        <f>EnergyBalance!AA41</f>
        <v>0</v>
      </c>
      <c r="AB57" s="191">
        <f>EnergyBalance!AB41</f>
        <v>0</v>
      </c>
      <c r="AC57" s="191">
        <f>EnergyBalance!AC41</f>
        <v>0</v>
      </c>
      <c r="AD57" s="191">
        <f>EnergyBalance!AD41</f>
        <v>0</v>
      </c>
      <c r="AE57" s="191">
        <f>EnergyBalance!AE41</f>
        <v>0</v>
      </c>
      <c r="AF57" s="191">
        <f>EnergyBalance!AF41</f>
        <v>74</v>
      </c>
    </row>
    <row r="58" spans="1:32" x14ac:dyDescent="0.25">
      <c r="A58" t="s">
        <v>366</v>
      </c>
      <c r="B58" t="s">
        <v>88</v>
      </c>
      <c r="C58" t="s">
        <v>120</v>
      </c>
      <c r="D58" t="s">
        <v>363</v>
      </c>
      <c r="E58" s="191">
        <f>EnergyBalance!E42</f>
        <v>0</v>
      </c>
      <c r="F58" s="191">
        <f>EnergyBalance!F42</f>
        <v>12</v>
      </c>
      <c r="G58" s="191">
        <f>EnergyBalance!G42</f>
        <v>0</v>
      </c>
      <c r="H58" s="191">
        <f>EnergyBalance!H42</f>
        <v>71951</v>
      </c>
      <c r="I58" s="191">
        <f>EnergyBalance!I42</f>
        <v>619</v>
      </c>
      <c r="J58" s="191">
        <f>EnergyBalance!J42</f>
        <v>23523</v>
      </c>
      <c r="K58" s="191">
        <f>EnergyBalance!K42</f>
        <v>2814</v>
      </c>
      <c r="L58" s="191">
        <f>EnergyBalance!L42</f>
        <v>0</v>
      </c>
      <c r="M58" s="191">
        <f>EnergyBalance!M42</f>
        <v>97348</v>
      </c>
      <c r="N58" s="191">
        <f>EnergyBalance!N42</f>
        <v>9662</v>
      </c>
      <c r="O58" s="191">
        <f>EnergyBalance!O42</f>
        <v>0</v>
      </c>
      <c r="P58" s="191">
        <f>EnergyBalance!P42</f>
        <v>1928956</v>
      </c>
      <c r="Q58" s="191">
        <f>EnergyBalance!Q42</f>
        <v>52266</v>
      </c>
      <c r="R58" s="191">
        <f>EnergyBalance!R42</f>
        <v>10469</v>
      </c>
      <c r="S58" s="191">
        <f>EnergyBalance!S42</f>
        <v>24265</v>
      </c>
      <c r="T58" s="191">
        <f>EnergyBalance!T42</f>
        <v>8927</v>
      </c>
      <c r="U58" s="191">
        <f>EnergyBalance!U42</f>
        <v>47029</v>
      </c>
      <c r="V58" s="191">
        <f>EnergyBalance!V42</f>
        <v>8759</v>
      </c>
      <c r="W58" s="191">
        <f>EnergyBalance!W42</f>
        <v>1394366</v>
      </c>
      <c r="X58" s="191">
        <f>EnergyBalance!X42</f>
        <v>129508</v>
      </c>
      <c r="Y58" s="191">
        <f>EnergyBalance!Y42</f>
        <v>848</v>
      </c>
      <c r="Z58" s="191">
        <f>EnergyBalance!Z42</f>
        <v>16346</v>
      </c>
      <c r="AA58" s="191">
        <f>EnergyBalance!AA42</f>
        <v>0</v>
      </c>
      <c r="AB58" s="191">
        <f>EnergyBalance!AB42</f>
        <v>0</v>
      </c>
      <c r="AC58" s="191">
        <f>EnergyBalance!AC42</f>
        <v>0</v>
      </c>
      <c r="AD58" s="191">
        <f>EnergyBalance!AD42</f>
        <v>107526</v>
      </c>
      <c r="AE58" s="191">
        <f>EnergyBalance!AE42</f>
        <v>67288</v>
      </c>
      <c r="AF58" s="191">
        <f>EnergyBalance!AF42</f>
        <v>8862</v>
      </c>
    </row>
    <row r="59" spans="1:32" x14ac:dyDescent="0.25">
      <c r="A59" t="s">
        <v>366</v>
      </c>
      <c r="B59" t="s">
        <v>88</v>
      </c>
      <c r="C59" t="s">
        <v>122</v>
      </c>
      <c r="D59" t="s">
        <v>363</v>
      </c>
      <c r="E59" s="191">
        <f>EnergyBalance!E43</f>
        <v>0</v>
      </c>
      <c r="F59" s="191">
        <f>EnergyBalance!F43</f>
        <v>0</v>
      </c>
      <c r="G59" s="191">
        <f>EnergyBalance!G43</f>
        <v>0</v>
      </c>
      <c r="H59" s="191">
        <f>EnergyBalance!H43</f>
        <v>21130</v>
      </c>
      <c r="I59" s="191">
        <f>EnergyBalance!I43</f>
        <v>924</v>
      </c>
      <c r="J59" s="191">
        <f>EnergyBalance!J43</f>
        <v>0</v>
      </c>
      <c r="K59" s="191">
        <f>EnergyBalance!K43</f>
        <v>0</v>
      </c>
      <c r="L59" s="191">
        <f>EnergyBalance!L43</f>
        <v>0</v>
      </c>
      <c r="M59" s="191">
        <f>EnergyBalance!M43</f>
        <v>54127</v>
      </c>
      <c r="N59" s="191">
        <f>EnergyBalance!N43</f>
        <v>22488</v>
      </c>
      <c r="O59" s="191">
        <f>EnergyBalance!O43</f>
        <v>0</v>
      </c>
      <c r="P59" s="191">
        <f>EnergyBalance!P43</f>
        <v>617157</v>
      </c>
      <c r="Q59" s="191">
        <f>EnergyBalance!Q43</f>
        <v>30632</v>
      </c>
      <c r="R59" s="191">
        <f>EnergyBalance!R43</f>
        <v>3222</v>
      </c>
      <c r="S59" s="191">
        <f>EnergyBalance!S43</f>
        <v>18883</v>
      </c>
      <c r="T59" s="191">
        <f>EnergyBalance!T43</f>
        <v>5516</v>
      </c>
      <c r="U59" s="191">
        <f>EnergyBalance!U43</f>
        <v>51073</v>
      </c>
      <c r="V59" s="191">
        <f>EnergyBalance!V43</f>
        <v>0</v>
      </c>
      <c r="W59" s="191">
        <f>EnergyBalance!W43</f>
        <v>83377</v>
      </c>
      <c r="X59" s="191">
        <f>EnergyBalance!X43</f>
        <v>146300</v>
      </c>
      <c r="Y59" s="191">
        <f>EnergyBalance!Y43</f>
        <v>581</v>
      </c>
      <c r="Z59" s="191">
        <f>EnergyBalance!Z43</f>
        <v>10998</v>
      </c>
      <c r="AA59" s="191">
        <f>EnergyBalance!AA43</f>
        <v>2250</v>
      </c>
      <c r="AB59" s="191">
        <f>EnergyBalance!AB43</f>
        <v>8208</v>
      </c>
      <c r="AC59" s="191">
        <f>EnergyBalance!AC43</f>
        <v>0</v>
      </c>
      <c r="AD59" s="191">
        <f>EnergyBalance!AD43</f>
        <v>159043</v>
      </c>
      <c r="AE59" s="191">
        <f>EnergyBalance!AE43</f>
        <v>76851</v>
      </c>
      <c r="AF59" s="191">
        <f>EnergyBalance!AF43</f>
        <v>217</v>
      </c>
    </row>
    <row r="60" spans="1:32" x14ac:dyDescent="0.25">
      <c r="A60" t="s">
        <v>366</v>
      </c>
      <c r="B60" t="s">
        <v>88</v>
      </c>
      <c r="C60" t="s">
        <v>124</v>
      </c>
      <c r="D60" t="s">
        <v>363</v>
      </c>
      <c r="E60" s="191">
        <f>EnergyBalance!E44</f>
        <v>0</v>
      </c>
      <c r="F60" s="191">
        <f>EnergyBalance!F44</f>
        <v>4412</v>
      </c>
      <c r="G60" s="191">
        <f>EnergyBalance!G44</f>
        <v>0</v>
      </c>
      <c r="H60" s="191">
        <f>EnergyBalance!H44</f>
        <v>5818</v>
      </c>
      <c r="I60" s="191">
        <f>EnergyBalance!I44</f>
        <v>12236</v>
      </c>
      <c r="J60" s="191">
        <f>EnergyBalance!J44</f>
        <v>26917</v>
      </c>
      <c r="K60" s="191">
        <f>EnergyBalance!K44</f>
        <v>205</v>
      </c>
      <c r="L60" s="191">
        <f>EnergyBalance!L44</f>
        <v>0</v>
      </c>
      <c r="M60" s="191">
        <f>EnergyBalance!M44</f>
        <v>283664</v>
      </c>
      <c r="N60" s="191">
        <f>EnergyBalance!N44</f>
        <v>17130</v>
      </c>
      <c r="O60" s="191">
        <f>EnergyBalance!O44</f>
        <v>3438</v>
      </c>
      <c r="P60" s="191">
        <f>EnergyBalance!P44</f>
        <v>1222902</v>
      </c>
      <c r="Q60" s="191">
        <f>EnergyBalance!Q44</f>
        <v>59712</v>
      </c>
      <c r="R60" s="191">
        <f>EnergyBalance!R44</f>
        <v>14629</v>
      </c>
      <c r="S60" s="191">
        <f>EnergyBalance!S44</f>
        <v>13200</v>
      </c>
      <c r="T60" s="191">
        <f>EnergyBalance!T44</f>
        <v>26744</v>
      </c>
      <c r="U60" s="191">
        <f>EnergyBalance!U44</f>
        <v>36830</v>
      </c>
      <c r="V60" s="191">
        <f>EnergyBalance!V44</f>
        <v>164616</v>
      </c>
      <c r="W60" s="191">
        <f>EnergyBalance!W44</f>
        <v>203359</v>
      </c>
      <c r="X60" s="191">
        <f>EnergyBalance!X44</f>
        <v>56845</v>
      </c>
      <c r="Y60" s="191">
        <f>EnergyBalance!Y44</f>
        <v>1658</v>
      </c>
      <c r="Z60" s="191">
        <f>EnergyBalance!Z44</f>
        <v>27828</v>
      </c>
      <c r="AA60" s="191">
        <f>EnergyBalance!AA44</f>
        <v>0</v>
      </c>
      <c r="AB60" s="191">
        <f>EnergyBalance!AB44</f>
        <v>21137</v>
      </c>
      <c r="AC60" s="191">
        <f>EnergyBalance!AC44</f>
        <v>0</v>
      </c>
      <c r="AD60" s="191">
        <f>EnergyBalance!AD44</f>
        <v>745252</v>
      </c>
      <c r="AE60" s="191">
        <f>EnergyBalance!AE44</f>
        <v>48706</v>
      </c>
      <c r="AF60" s="191">
        <f>EnergyBalance!AF44</f>
        <v>73871</v>
      </c>
    </row>
    <row r="61" spans="1:32" x14ac:dyDescent="0.25">
      <c r="A61" t="s">
        <v>366</v>
      </c>
      <c r="B61" t="s">
        <v>88</v>
      </c>
      <c r="C61" t="s">
        <v>126</v>
      </c>
      <c r="D61" t="s">
        <v>363</v>
      </c>
      <c r="E61" s="191">
        <f>EnergyBalance!E45</f>
        <v>5910</v>
      </c>
      <c r="F61" s="191">
        <f>EnergyBalance!F45</f>
        <v>3073</v>
      </c>
      <c r="G61" s="191">
        <f>EnergyBalance!G45</f>
        <v>996</v>
      </c>
      <c r="H61" s="191">
        <f>EnergyBalance!H45</f>
        <v>68980</v>
      </c>
      <c r="I61" s="191">
        <f>EnergyBalance!I45</f>
        <v>17187</v>
      </c>
      <c r="J61" s="191">
        <f>EnergyBalance!J45</f>
        <v>87381</v>
      </c>
      <c r="K61" s="191">
        <f>EnergyBalance!K45</f>
        <v>31525</v>
      </c>
      <c r="L61" s="191">
        <f>EnergyBalance!L45</f>
        <v>0</v>
      </c>
      <c r="M61" s="191">
        <f>EnergyBalance!M45</f>
        <v>85630</v>
      </c>
      <c r="N61" s="191">
        <f>EnergyBalance!N45</f>
        <v>29498</v>
      </c>
      <c r="O61" s="191">
        <f>EnergyBalance!O45</f>
        <v>2600</v>
      </c>
      <c r="P61" s="191">
        <f>EnergyBalance!P45</f>
        <v>2476426</v>
      </c>
      <c r="Q61" s="191">
        <f>EnergyBalance!Q45</f>
        <v>82468</v>
      </c>
      <c r="R61" s="191">
        <f>EnergyBalance!R45</f>
        <v>34999</v>
      </c>
      <c r="S61" s="191">
        <f>EnergyBalance!S45</f>
        <v>55264</v>
      </c>
      <c r="T61" s="191">
        <f>EnergyBalance!T45</f>
        <v>172024</v>
      </c>
      <c r="U61" s="191">
        <f>EnergyBalance!U45</f>
        <v>160828</v>
      </c>
      <c r="V61" s="191">
        <f>EnergyBalance!V45</f>
        <v>29588</v>
      </c>
      <c r="W61" s="191">
        <f>EnergyBalance!W45</f>
        <v>0</v>
      </c>
      <c r="X61" s="191">
        <f>EnergyBalance!X45</f>
        <v>242581</v>
      </c>
      <c r="Y61" s="191">
        <f>EnergyBalance!Y45</f>
        <v>10324</v>
      </c>
      <c r="Z61" s="191">
        <f>EnergyBalance!Z45</f>
        <v>89012</v>
      </c>
      <c r="AA61" s="191">
        <f>EnergyBalance!AA45</f>
        <v>16627</v>
      </c>
      <c r="AB61" s="191">
        <f>EnergyBalance!AB45</f>
        <v>19429</v>
      </c>
      <c r="AC61" s="191">
        <f>EnergyBalance!AC45</f>
        <v>0</v>
      </c>
      <c r="AD61" s="191">
        <f>EnergyBalance!AD45</f>
        <v>223477</v>
      </c>
      <c r="AE61" s="191">
        <f>EnergyBalance!AE45</f>
        <v>190737</v>
      </c>
      <c r="AF61" s="191">
        <f>EnergyBalance!AF45</f>
        <v>204414</v>
      </c>
    </row>
    <row r="62" spans="1:32" x14ac:dyDescent="0.25">
      <c r="A62" t="s">
        <v>366</v>
      </c>
      <c r="B62" t="s">
        <v>88</v>
      </c>
      <c r="C62" t="s">
        <v>128</v>
      </c>
      <c r="D62" t="s">
        <v>363</v>
      </c>
      <c r="E62" s="191">
        <f>EnergyBalance!E46</f>
        <v>0</v>
      </c>
      <c r="F62" s="191">
        <f>EnergyBalance!F46</f>
        <v>104833</v>
      </c>
      <c r="G62" s="191">
        <f>EnergyBalance!G46</f>
        <v>0</v>
      </c>
      <c r="H62" s="191">
        <f>EnergyBalance!H46</f>
        <v>9200</v>
      </c>
      <c r="I62" s="191">
        <f>EnergyBalance!I46</f>
        <v>8424</v>
      </c>
      <c r="J62" s="191">
        <f>EnergyBalance!J46</f>
        <v>25226</v>
      </c>
      <c r="K62" s="582">
        <f>EnergyBalance!K46</f>
        <v>14925</v>
      </c>
      <c r="L62" s="191">
        <f>EnergyBalance!L46</f>
        <v>703</v>
      </c>
      <c r="M62" s="191">
        <f>EnergyBalance!M46</f>
        <v>47780</v>
      </c>
      <c r="N62" s="191">
        <f>EnergyBalance!N46</f>
        <v>74810</v>
      </c>
      <c r="O62" s="191">
        <f>EnergyBalance!O46</f>
        <v>600</v>
      </c>
      <c r="P62" s="191">
        <f>EnergyBalance!P46</f>
        <v>480778</v>
      </c>
      <c r="Q62" s="191">
        <f>EnergyBalance!Q46</f>
        <v>72277</v>
      </c>
      <c r="R62" s="191">
        <f>EnergyBalance!R46</f>
        <v>17269</v>
      </c>
      <c r="S62" s="191">
        <f>EnergyBalance!S46</f>
        <v>54976</v>
      </c>
      <c r="T62" s="191">
        <f>EnergyBalance!T46</f>
        <v>104030</v>
      </c>
      <c r="U62" s="191">
        <f>EnergyBalance!U46</f>
        <v>152623</v>
      </c>
      <c r="V62" s="191">
        <f>EnergyBalance!V46</f>
        <v>99662</v>
      </c>
      <c r="W62" s="191">
        <f>EnergyBalance!W46</f>
        <v>20464</v>
      </c>
      <c r="X62" s="191">
        <f>EnergyBalance!X46</f>
        <v>96854</v>
      </c>
      <c r="Y62" s="191">
        <f>EnergyBalance!Y46</f>
        <v>46032</v>
      </c>
      <c r="Z62" s="191">
        <f>EnergyBalance!Z46</f>
        <v>56876</v>
      </c>
      <c r="AA62" s="191">
        <f>EnergyBalance!AA46</f>
        <v>67429</v>
      </c>
      <c r="AB62" s="191">
        <f>EnergyBalance!AB46</f>
        <v>154058</v>
      </c>
      <c r="AC62" s="191">
        <f>EnergyBalance!AC46</f>
        <v>10662</v>
      </c>
      <c r="AD62" s="191">
        <f>EnergyBalance!AD46</f>
        <v>488520</v>
      </c>
      <c r="AE62" s="191">
        <f>EnergyBalance!AE46</f>
        <v>65147</v>
      </c>
      <c r="AF62" s="191">
        <f>EnergyBalance!AF46</f>
        <v>393069</v>
      </c>
    </row>
    <row r="63" spans="1:32" x14ac:dyDescent="0.25">
      <c r="A63" t="s">
        <v>366</v>
      </c>
      <c r="B63" t="s">
        <v>88</v>
      </c>
      <c r="C63" t="s">
        <v>130</v>
      </c>
      <c r="D63" t="s">
        <v>363</v>
      </c>
      <c r="E63" s="191">
        <f>EnergyBalance!E47</f>
        <v>0</v>
      </c>
      <c r="F63" s="191">
        <f>EnergyBalance!F47</f>
        <v>0</v>
      </c>
      <c r="G63" s="191">
        <f>EnergyBalance!G47</f>
        <v>0</v>
      </c>
      <c r="H63" s="191">
        <f>EnergyBalance!H47</f>
        <v>0</v>
      </c>
      <c r="I63" s="191">
        <f>EnergyBalance!I47</f>
        <v>0</v>
      </c>
      <c r="J63" s="191">
        <f>EnergyBalance!J47</f>
        <v>35700</v>
      </c>
      <c r="K63" s="191">
        <f>EnergyBalance!K47</f>
        <v>0</v>
      </c>
      <c r="L63" s="191">
        <f>EnergyBalance!L47</f>
        <v>0</v>
      </c>
      <c r="M63" s="191">
        <f>EnergyBalance!M47</f>
        <v>0</v>
      </c>
      <c r="N63" s="191">
        <f>EnergyBalance!N47</f>
        <v>57</v>
      </c>
      <c r="O63" s="191">
        <f>EnergyBalance!O47</f>
        <v>0</v>
      </c>
      <c r="P63" s="191">
        <f>EnergyBalance!P47</f>
        <v>196349</v>
      </c>
      <c r="Q63" s="191">
        <f>EnergyBalance!Q47</f>
        <v>53476</v>
      </c>
      <c r="R63" s="191">
        <f>EnergyBalance!R47</f>
        <v>7</v>
      </c>
      <c r="S63" s="191">
        <f>EnergyBalance!S47</f>
        <v>7779</v>
      </c>
      <c r="T63" s="191">
        <f>EnergyBalance!T47</f>
        <v>7443</v>
      </c>
      <c r="U63" s="191">
        <f>EnergyBalance!U47</f>
        <v>5515</v>
      </c>
      <c r="V63" s="191">
        <f>EnergyBalance!V47</f>
        <v>0</v>
      </c>
      <c r="W63" s="191">
        <f>EnergyBalance!W47</f>
        <v>0</v>
      </c>
      <c r="X63" s="191">
        <f>EnergyBalance!X47</f>
        <v>0</v>
      </c>
      <c r="Y63" s="191">
        <f>EnergyBalance!Y47</f>
        <v>0</v>
      </c>
      <c r="Z63" s="191">
        <f>EnergyBalance!Z47</f>
        <v>0</v>
      </c>
      <c r="AA63" s="191">
        <f>EnergyBalance!AA47</f>
        <v>0</v>
      </c>
      <c r="AB63" s="191">
        <f>EnergyBalance!AB47</f>
        <v>0</v>
      </c>
      <c r="AC63" s="191">
        <f>EnergyBalance!AC47</f>
        <v>0</v>
      </c>
      <c r="AD63" s="191">
        <f>EnergyBalance!AD47</f>
        <v>253881</v>
      </c>
      <c r="AE63" s="191">
        <f>EnergyBalance!AE47</f>
        <v>235</v>
      </c>
      <c r="AF63" s="191">
        <f>EnergyBalance!AF47</f>
        <v>7327</v>
      </c>
    </row>
    <row r="64" spans="1:32" x14ac:dyDescent="0.25">
      <c r="A64" t="s">
        <v>366</v>
      </c>
      <c r="B64" t="s">
        <v>88</v>
      </c>
      <c r="C64" t="s">
        <v>132</v>
      </c>
      <c r="D64" t="s">
        <v>363</v>
      </c>
      <c r="E64" s="191">
        <f>EnergyBalance!E48</f>
        <v>0</v>
      </c>
      <c r="F64" s="191">
        <f>EnergyBalance!F48</f>
        <v>0</v>
      </c>
      <c r="G64" s="191">
        <f>EnergyBalance!G48</f>
        <v>0</v>
      </c>
      <c r="H64" s="191">
        <f>EnergyBalance!H48</f>
        <v>0</v>
      </c>
      <c r="I64" s="191">
        <f>EnergyBalance!I48</f>
        <v>30</v>
      </c>
      <c r="J64" s="191">
        <f>EnergyBalance!J48</f>
        <v>4113</v>
      </c>
      <c r="K64" s="191">
        <f>EnergyBalance!K48</f>
        <v>4750</v>
      </c>
      <c r="L64" s="191">
        <f>EnergyBalance!L48</f>
        <v>0</v>
      </c>
      <c r="M64" s="191">
        <f>EnergyBalance!M48</f>
        <v>2051</v>
      </c>
      <c r="N64" s="191">
        <f>EnergyBalance!N48</f>
        <v>0</v>
      </c>
      <c r="O64" s="191">
        <f>EnergyBalance!O48</f>
        <v>95</v>
      </c>
      <c r="P64" s="191">
        <f>EnergyBalance!P48</f>
        <v>4530</v>
      </c>
      <c r="Q64" s="191">
        <f>EnergyBalance!Q48</f>
        <v>214</v>
      </c>
      <c r="R64" s="191">
        <f>EnergyBalance!R48</f>
        <v>113</v>
      </c>
      <c r="S64" s="191">
        <f>EnergyBalance!S48</f>
        <v>113</v>
      </c>
      <c r="T64" s="191">
        <f>EnergyBalance!T48</f>
        <v>1831</v>
      </c>
      <c r="U64" s="191">
        <f>EnergyBalance!U48</f>
        <v>7278</v>
      </c>
      <c r="V64" s="191">
        <f>EnergyBalance!V48</f>
        <v>3300</v>
      </c>
      <c r="W64" s="191">
        <f>EnergyBalance!W48</f>
        <v>0</v>
      </c>
      <c r="X64" s="191">
        <f>EnergyBalance!X48</f>
        <v>12887</v>
      </c>
      <c r="Y64" s="191">
        <f>EnergyBalance!Y48</f>
        <v>8</v>
      </c>
      <c r="Z64" s="191">
        <f>EnergyBalance!Z48</f>
        <v>111</v>
      </c>
      <c r="AA64" s="191">
        <f>EnergyBalance!AA48</f>
        <v>0</v>
      </c>
      <c r="AB64" s="191">
        <f>EnergyBalance!AB48</f>
        <v>180</v>
      </c>
      <c r="AC64" s="191">
        <f>EnergyBalance!AC48</f>
        <v>0</v>
      </c>
      <c r="AD64" s="191">
        <f>EnergyBalance!AD48</f>
        <v>547</v>
      </c>
      <c r="AE64" s="191">
        <f>EnergyBalance!AE48</f>
        <v>2646</v>
      </c>
      <c r="AF64" s="191">
        <f>EnergyBalance!AF48</f>
        <v>91</v>
      </c>
    </row>
    <row r="65" spans="1:34" x14ac:dyDescent="0.25">
      <c r="A65" t="s">
        <v>366</v>
      </c>
      <c r="B65" t="s">
        <v>88</v>
      </c>
      <c r="C65" t="s">
        <v>134</v>
      </c>
      <c r="D65" t="s">
        <v>363</v>
      </c>
      <c r="E65" s="191">
        <f>EnergyBalance!E49</f>
        <v>0</v>
      </c>
      <c r="F65" s="191">
        <f>EnergyBalance!F49</f>
        <v>2322</v>
      </c>
      <c r="G65" s="191">
        <f>EnergyBalance!G49</f>
        <v>307</v>
      </c>
      <c r="H65" s="191">
        <f>EnergyBalance!H49</f>
        <v>506</v>
      </c>
      <c r="I65" s="191">
        <f>EnergyBalance!I49</f>
        <v>841</v>
      </c>
      <c r="J65" s="191">
        <f>EnergyBalance!J49</f>
        <v>17078</v>
      </c>
      <c r="K65" s="191">
        <f>EnergyBalance!K49</f>
        <v>11368</v>
      </c>
      <c r="L65" s="191">
        <f>EnergyBalance!L49</f>
        <v>0</v>
      </c>
      <c r="M65" s="191">
        <f>EnergyBalance!M49</f>
        <v>10017</v>
      </c>
      <c r="N65" s="191">
        <f>EnergyBalance!N49</f>
        <v>184</v>
      </c>
      <c r="O65" s="191">
        <f>EnergyBalance!O49</f>
        <v>254</v>
      </c>
      <c r="P65" s="191">
        <f>EnergyBalance!P49</f>
        <v>49643</v>
      </c>
      <c r="Q65" s="191">
        <f>EnergyBalance!Q49</f>
        <v>6717</v>
      </c>
      <c r="R65" s="191">
        <f>EnergyBalance!R49</f>
        <v>842</v>
      </c>
      <c r="S65" s="191">
        <f>EnergyBalance!S49</f>
        <v>303</v>
      </c>
      <c r="T65" s="191">
        <f>EnergyBalance!T49</f>
        <v>5904</v>
      </c>
      <c r="U65" s="191">
        <f>EnergyBalance!U49</f>
        <v>3667</v>
      </c>
      <c r="V65" s="191">
        <f>EnergyBalance!V49</f>
        <v>18434</v>
      </c>
      <c r="W65" s="191">
        <f>EnergyBalance!W49</f>
        <v>46654</v>
      </c>
      <c r="X65" s="191">
        <f>EnergyBalance!X49</f>
        <v>37886</v>
      </c>
      <c r="Y65" s="191">
        <f>EnergyBalance!Y49</f>
        <v>473</v>
      </c>
      <c r="Z65" s="191">
        <f>EnergyBalance!Z49</f>
        <v>570</v>
      </c>
      <c r="AA65" s="191">
        <f>EnergyBalance!AA49</f>
        <v>701</v>
      </c>
      <c r="AB65" s="191">
        <f>EnergyBalance!AB49</f>
        <v>3110</v>
      </c>
      <c r="AC65" s="191">
        <f>EnergyBalance!AC49</f>
        <v>0</v>
      </c>
      <c r="AD65" s="191">
        <f>EnergyBalance!AD49</f>
        <v>13374</v>
      </c>
      <c r="AE65" s="191">
        <f>EnergyBalance!AE49</f>
        <v>357</v>
      </c>
      <c r="AF65" s="191">
        <f>EnergyBalance!AF49</f>
        <v>3635</v>
      </c>
    </row>
    <row r="66" spans="1:34" x14ac:dyDescent="0.25">
      <c r="A66" t="s">
        <v>366</v>
      </c>
      <c r="B66" t="s">
        <v>88</v>
      </c>
      <c r="C66" t="s">
        <v>1701</v>
      </c>
      <c r="D66" t="s">
        <v>363</v>
      </c>
      <c r="E66" s="191">
        <f>EnergyBalance!E50</f>
        <v>0</v>
      </c>
      <c r="F66" s="191">
        <f>EnergyBalance!F50</f>
        <v>0</v>
      </c>
      <c r="G66" s="191">
        <f>EnergyBalance!G50</f>
        <v>0</v>
      </c>
      <c r="H66" s="191">
        <f>EnergyBalance!H50</f>
        <v>0</v>
      </c>
      <c r="I66" s="191">
        <f>EnergyBalance!I50</f>
        <v>0</v>
      </c>
      <c r="J66" s="191">
        <f>EnergyBalance!J50</f>
        <v>0</v>
      </c>
      <c r="K66" s="191">
        <f>EnergyBalance!K50</f>
        <v>0</v>
      </c>
      <c r="L66" s="191">
        <f>EnergyBalance!L50</f>
        <v>0</v>
      </c>
      <c r="M66" s="191">
        <f>EnergyBalance!M50</f>
        <v>0</v>
      </c>
      <c r="N66" s="191">
        <f>EnergyBalance!N50</f>
        <v>0</v>
      </c>
      <c r="O66" s="191">
        <f>EnergyBalance!O50</f>
        <v>0</v>
      </c>
      <c r="P66" s="191">
        <f>EnergyBalance!P50</f>
        <v>0</v>
      </c>
      <c r="Q66" s="191">
        <f>EnergyBalance!Q50</f>
        <v>0</v>
      </c>
      <c r="R66" s="191">
        <f>EnergyBalance!R50</f>
        <v>0</v>
      </c>
      <c r="S66" s="191">
        <f>EnergyBalance!S50</f>
        <v>0</v>
      </c>
      <c r="T66" s="191">
        <f>EnergyBalance!T50</f>
        <v>0</v>
      </c>
      <c r="U66" s="191">
        <f>EnergyBalance!U50</f>
        <v>0</v>
      </c>
      <c r="V66" s="191">
        <f>EnergyBalance!V50</f>
        <v>0</v>
      </c>
      <c r="W66" s="191">
        <f>EnergyBalance!W50</f>
        <v>0</v>
      </c>
      <c r="X66" s="191">
        <f>EnergyBalance!X50</f>
        <v>0</v>
      </c>
      <c r="Y66" s="191">
        <f>EnergyBalance!Y50</f>
        <v>0</v>
      </c>
      <c r="Z66" s="191">
        <f>EnergyBalance!Z50</f>
        <v>0</v>
      </c>
      <c r="AA66" s="191">
        <f>EnergyBalance!AA50</f>
        <v>0</v>
      </c>
      <c r="AB66" s="191">
        <f>EnergyBalance!AB50</f>
        <v>0</v>
      </c>
      <c r="AC66" s="191">
        <f>EnergyBalance!AC50</f>
        <v>0</v>
      </c>
      <c r="AD66" s="191">
        <f>EnergyBalance!AD50</f>
        <v>0</v>
      </c>
      <c r="AE66" s="191">
        <f>EnergyBalance!AE50</f>
        <v>0</v>
      </c>
      <c r="AF66" s="191">
        <f>EnergyBalance!AF50</f>
        <v>0</v>
      </c>
    </row>
    <row r="67" spans="1:34" x14ac:dyDescent="0.25">
      <c r="A67" t="s">
        <v>366</v>
      </c>
      <c r="B67" t="s">
        <v>88</v>
      </c>
      <c r="C67" t="s">
        <v>137</v>
      </c>
      <c r="D67" t="s">
        <v>363</v>
      </c>
      <c r="E67" s="191">
        <f>EnergyBalance!E51</f>
        <v>0</v>
      </c>
      <c r="F67" s="191">
        <f>EnergyBalance!F51</f>
        <v>0</v>
      </c>
      <c r="G67" s="191">
        <f>EnergyBalance!G51</f>
        <v>0</v>
      </c>
      <c r="H67" s="191">
        <f>EnergyBalance!H51</f>
        <v>0</v>
      </c>
      <c r="I67" s="191">
        <f>EnergyBalance!I51</f>
        <v>0</v>
      </c>
      <c r="J67" s="191">
        <f>EnergyBalance!J51</f>
        <v>0</v>
      </c>
      <c r="K67" s="191">
        <f>EnergyBalance!K51</f>
        <v>0</v>
      </c>
      <c r="L67" s="191">
        <f>EnergyBalance!L51</f>
        <v>0</v>
      </c>
      <c r="M67" s="191">
        <f>EnergyBalance!M51</f>
        <v>0</v>
      </c>
      <c r="N67" s="191">
        <f>EnergyBalance!N51</f>
        <v>0</v>
      </c>
      <c r="O67" s="191">
        <f>EnergyBalance!O51</f>
        <v>0</v>
      </c>
      <c r="P67" s="191">
        <f>EnergyBalance!P51</f>
        <v>0</v>
      </c>
      <c r="Q67" s="191">
        <f>EnergyBalance!Q51</f>
        <v>0</v>
      </c>
      <c r="R67" s="191">
        <f>EnergyBalance!R51</f>
        <v>0</v>
      </c>
      <c r="S67" s="191">
        <f>EnergyBalance!S51</f>
        <v>0</v>
      </c>
      <c r="T67" s="191">
        <f>EnergyBalance!T51</f>
        <v>0</v>
      </c>
      <c r="U67" s="191">
        <f>EnergyBalance!U51</f>
        <v>0</v>
      </c>
      <c r="V67" s="191">
        <f>EnergyBalance!V51</f>
        <v>0</v>
      </c>
      <c r="W67" s="191">
        <f>EnergyBalance!W51</f>
        <v>0</v>
      </c>
      <c r="X67" s="191">
        <f>EnergyBalance!X51</f>
        <v>0</v>
      </c>
      <c r="Y67" s="191">
        <f>EnergyBalance!Y51</f>
        <v>0</v>
      </c>
      <c r="Z67" s="191">
        <f>EnergyBalance!Z51</f>
        <v>0</v>
      </c>
      <c r="AA67" s="191">
        <f>EnergyBalance!AA51</f>
        <v>0</v>
      </c>
      <c r="AB67" s="191">
        <f>EnergyBalance!AB51</f>
        <v>0</v>
      </c>
      <c r="AC67" s="191">
        <f>EnergyBalance!AC51</f>
        <v>0</v>
      </c>
      <c r="AD67" s="191">
        <f>EnergyBalance!AD51</f>
        <v>0</v>
      </c>
      <c r="AE67" s="191">
        <f>EnergyBalance!AE51</f>
        <v>0</v>
      </c>
      <c r="AF67" s="191">
        <f>EnergyBalance!AF51</f>
        <v>0</v>
      </c>
    </row>
    <row r="68" spans="1:34" x14ac:dyDescent="0.25">
      <c r="A68" t="s">
        <v>366</v>
      </c>
      <c r="B68" t="s">
        <v>88</v>
      </c>
      <c r="C68" t="s">
        <v>139</v>
      </c>
      <c r="D68" t="s">
        <v>363</v>
      </c>
      <c r="E68" s="191">
        <f>EnergyBalance!E52</f>
        <v>0</v>
      </c>
      <c r="F68" s="191">
        <f>EnergyBalance!F52</f>
        <v>0</v>
      </c>
      <c r="G68" s="191">
        <f>EnergyBalance!G52</f>
        <v>0</v>
      </c>
      <c r="H68" s="191">
        <f>EnergyBalance!H52</f>
        <v>0</v>
      </c>
      <c r="I68" s="191">
        <f>EnergyBalance!I52</f>
        <v>0</v>
      </c>
      <c r="J68" s="191">
        <f>EnergyBalance!J52</f>
        <v>0</v>
      </c>
      <c r="K68" s="191">
        <f>EnergyBalance!K52</f>
        <v>0</v>
      </c>
      <c r="L68" s="191">
        <f>EnergyBalance!L52</f>
        <v>0</v>
      </c>
      <c r="M68" s="191">
        <f>EnergyBalance!M52</f>
        <v>0</v>
      </c>
      <c r="N68" s="191">
        <f>EnergyBalance!N52</f>
        <v>0</v>
      </c>
      <c r="O68" s="191">
        <f>EnergyBalance!O52</f>
        <v>0</v>
      </c>
      <c r="P68" s="191">
        <f>EnergyBalance!P52</f>
        <v>0</v>
      </c>
      <c r="Q68" s="191">
        <f>EnergyBalance!Q52</f>
        <v>0</v>
      </c>
      <c r="R68" s="191">
        <f>EnergyBalance!R52</f>
        <v>59</v>
      </c>
      <c r="S68" s="191">
        <f>EnergyBalance!S52</f>
        <v>26</v>
      </c>
      <c r="T68" s="191">
        <f>EnergyBalance!T52</f>
        <v>0</v>
      </c>
      <c r="U68" s="191">
        <f>EnergyBalance!U52</f>
        <v>64</v>
      </c>
      <c r="V68" s="191">
        <f>EnergyBalance!V52</f>
        <v>0</v>
      </c>
      <c r="W68" s="191">
        <f>EnergyBalance!W52</f>
        <v>0</v>
      </c>
      <c r="X68" s="191">
        <f>EnergyBalance!X52</f>
        <v>1444</v>
      </c>
      <c r="Y68" s="191">
        <f>EnergyBalance!Y52</f>
        <v>0</v>
      </c>
      <c r="Z68" s="191">
        <f>EnergyBalance!Z52</f>
        <v>126</v>
      </c>
      <c r="AA68" s="191">
        <f>EnergyBalance!AA52</f>
        <v>0</v>
      </c>
      <c r="AB68" s="191">
        <f>EnergyBalance!AB52</f>
        <v>0</v>
      </c>
      <c r="AC68" s="191">
        <f>EnergyBalance!AC52</f>
        <v>0</v>
      </c>
      <c r="AD68" s="191">
        <f>EnergyBalance!AD52</f>
        <v>53909</v>
      </c>
      <c r="AE68" s="191">
        <f>EnergyBalance!AE52</f>
        <v>359</v>
      </c>
      <c r="AF68" s="191">
        <f>EnergyBalance!AF52</f>
        <v>0</v>
      </c>
    </row>
    <row r="70" spans="1:34" x14ac:dyDescent="0.25">
      <c r="B70" t="s">
        <v>447</v>
      </c>
      <c r="D70" t="s">
        <v>363</v>
      </c>
      <c r="E70" s="160">
        <f>SUM(E68,E62:E65,E54:E60)</f>
        <v>0</v>
      </c>
      <c r="F70" s="160">
        <f t="shared" ref="F70:AF70" si="4">SUM(F68,F62:F65,F54:F60)</f>
        <v>114929</v>
      </c>
      <c r="G70" s="160">
        <f t="shared" si="4"/>
        <v>307</v>
      </c>
      <c r="H70" s="160">
        <f t="shared" si="4"/>
        <v>126747</v>
      </c>
      <c r="I70" s="160">
        <f t="shared" si="4"/>
        <v>24161</v>
      </c>
      <c r="J70" s="160">
        <f t="shared" si="4"/>
        <v>142447</v>
      </c>
      <c r="K70" s="160">
        <f t="shared" si="4"/>
        <v>36716</v>
      </c>
      <c r="L70" s="160">
        <f t="shared" si="4"/>
        <v>703</v>
      </c>
      <c r="M70" s="160">
        <f t="shared" si="4"/>
        <v>649330</v>
      </c>
      <c r="N70" s="160">
        <f t="shared" si="4"/>
        <v>147305</v>
      </c>
      <c r="O70" s="160">
        <f t="shared" si="4"/>
        <v>4387</v>
      </c>
      <c r="P70" s="160">
        <f t="shared" si="4"/>
        <v>7826223</v>
      </c>
      <c r="Q70" s="160">
        <f t="shared" si="4"/>
        <v>325894</v>
      </c>
      <c r="R70" s="160">
        <f t="shared" si="4"/>
        <v>52513</v>
      </c>
      <c r="S70" s="160">
        <f t="shared" si="4"/>
        <v>146885</v>
      </c>
      <c r="T70" s="160">
        <f t="shared" si="4"/>
        <v>161954</v>
      </c>
      <c r="U70" s="160">
        <f t="shared" si="4"/>
        <v>378699</v>
      </c>
      <c r="V70" s="160">
        <f t="shared" si="4"/>
        <v>298047</v>
      </c>
      <c r="W70" s="160">
        <f t="shared" si="4"/>
        <v>2192815</v>
      </c>
      <c r="X70" s="160">
        <f t="shared" si="4"/>
        <v>644314</v>
      </c>
      <c r="Y70" s="160">
        <f t="shared" si="4"/>
        <v>50199</v>
      </c>
      <c r="Z70" s="160">
        <f t="shared" si="4"/>
        <v>115640</v>
      </c>
      <c r="AA70" s="160">
        <f t="shared" si="4"/>
        <v>72925</v>
      </c>
      <c r="AB70" s="160">
        <f t="shared" si="4"/>
        <v>189047</v>
      </c>
      <c r="AC70" s="160">
        <f t="shared" si="4"/>
        <v>10662</v>
      </c>
      <c r="AD70" s="160">
        <f t="shared" si="4"/>
        <v>1972318</v>
      </c>
      <c r="AE70" s="160">
        <f t="shared" si="4"/>
        <v>263704</v>
      </c>
      <c r="AF70" s="160">
        <f t="shared" si="4"/>
        <v>553939</v>
      </c>
    </row>
    <row r="72" spans="1:34" x14ac:dyDescent="0.25">
      <c r="B72" t="s">
        <v>448</v>
      </c>
      <c r="C72" t="s">
        <v>113</v>
      </c>
      <c r="D72" t="s">
        <v>449</v>
      </c>
      <c r="E72" t="str">
        <f>IFERROR(E54/1000/(E81*E85),"")</f>
        <v/>
      </c>
      <c r="F72" s="193">
        <f t="shared" ref="F72:AF72" si="5">IFERROR(F54/1000/(F81*F85),"")</f>
        <v>3.4287552331510809</v>
      </c>
      <c r="G72" s="193" t="str">
        <f t="shared" si="5"/>
        <v/>
      </c>
      <c r="H72" s="193">
        <f t="shared" si="5"/>
        <v>3.7485371378853563</v>
      </c>
      <c r="I72" s="193">
        <f t="shared" si="5"/>
        <v>0.25147315891776068</v>
      </c>
      <c r="J72" s="193">
        <f t="shared" si="5"/>
        <v>2.8369270205413795</v>
      </c>
      <c r="K72" s="193">
        <f t="shared" si="5"/>
        <v>3.2712572400986257</v>
      </c>
      <c r="L72" s="193" t="str">
        <f t="shared" si="5"/>
        <v/>
      </c>
      <c r="M72" s="193">
        <f t="shared" si="5"/>
        <v>0</v>
      </c>
      <c r="N72" s="193">
        <f t="shared" si="5"/>
        <v>2.3763963043225056</v>
      </c>
      <c r="O72" s="193">
        <f t="shared" si="5"/>
        <v>0</v>
      </c>
      <c r="P72" s="193">
        <f t="shared" si="5"/>
        <v>3.8524576982318934</v>
      </c>
      <c r="Q72" s="193">
        <f t="shared" si="5"/>
        <v>1.1977073548626962</v>
      </c>
      <c r="R72" s="193">
        <f t="shared" si="5"/>
        <v>0.80149957529028748</v>
      </c>
      <c r="S72" s="193">
        <f t="shared" si="5"/>
        <v>1.3093353824465011</v>
      </c>
      <c r="T72" s="193">
        <f t="shared" si="5"/>
        <v>8.4335313404259746E-2</v>
      </c>
      <c r="U72" s="193">
        <f t="shared" si="5"/>
        <v>1.4651876572732951</v>
      </c>
      <c r="V72" s="193">
        <f t="shared" si="5"/>
        <v>0.25757423882691538</v>
      </c>
      <c r="W72" s="193">
        <f t="shared" si="5"/>
        <v>9.8194826231828909</v>
      </c>
      <c r="X72" s="193">
        <f t="shared" si="5"/>
        <v>2.0588720698789693</v>
      </c>
      <c r="Y72" s="193">
        <f t="shared" si="5"/>
        <v>0.12466421876685355</v>
      </c>
      <c r="Z72" s="193">
        <f t="shared" si="5"/>
        <v>0.30125901953231932</v>
      </c>
      <c r="AA72" s="193">
        <f t="shared" si="5"/>
        <v>0.5191947848905244</v>
      </c>
      <c r="AB72" s="193">
        <f t="shared" si="5"/>
        <v>0.50444390692662366</v>
      </c>
      <c r="AC72" s="193" t="str">
        <f t="shared" si="5"/>
        <v/>
      </c>
      <c r="AD72" s="193">
        <f t="shared" si="5"/>
        <v>2.8650930344572698</v>
      </c>
      <c r="AE72" s="193">
        <f t="shared" si="5"/>
        <v>4.4246556683517117E-2</v>
      </c>
      <c r="AF72" s="193">
        <f t="shared" si="5"/>
        <v>2.3353828271114221</v>
      </c>
    </row>
    <row r="73" spans="1:34" x14ac:dyDescent="0.25">
      <c r="D73" t="s">
        <v>1630</v>
      </c>
    </row>
    <row r="75" spans="1:34" ht="15.75" x14ac:dyDescent="0.25">
      <c r="A75" s="122" t="s">
        <v>450</v>
      </c>
      <c r="B75" s="122"/>
    </row>
    <row r="76" spans="1:34" x14ac:dyDescent="0.25">
      <c r="A76" s="121" t="s">
        <v>451</v>
      </c>
      <c r="B76" s="121"/>
    </row>
    <row r="77" spans="1:34" x14ac:dyDescent="0.25">
      <c r="E77" s="116" t="str">
        <f>INDEX(IIS_Prod!$B$7:$K$35,MATCH('Inputs_BY IIS'!E$78,IIS_Prod!$C$7:$C$35,0),1)</f>
        <v>Eastern Africa</v>
      </c>
      <c r="F77" s="116" t="str">
        <f>INDEX(IIS_Prod!$B$7:$K$35,MATCH('Inputs_BY IIS'!F$78,IIS_Prod!$C$7:$C$35,0),1)</f>
        <v>Northern Africa</v>
      </c>
      <c r="G77" s="116" t="str">
        <f>INDEX(IIS_Prod!$B$7:$K$35,MATCH('Inputs_BY IIS'!G$78,IIS_Prod!$C$7:$C$35,0),1)</f>
        <v>Western Africa</v>
      </c>
      <c r="H77" s="116" t="str">
        <f>INDEX(IIS_Prod!$B$7:$K$35,MATCH('Inputs_BY IIS'!H$78,IIS_Prod!$C$7:$C$35,0),1)</f>
        <v>Southern Africa</v>
      </c>
      <c r="I77" s="116" t="str">
        <f>INDEX(IIS_Prod!$B$7:$K$35,MATCH('Inputs_BY IIS'!I$78,IIS_Prod!$C$7:$C$35,0),1)</f>
        <v>Australia and New Zealand</v>
      </c>
      <c r="J77" s="116" t="str">
        <f>INDEX(IIS_Prod!$B$7:$K$35,MATCH('Inputs_BY IIS'!J$78,IIS_Prod!$C$7:$C$35,0),1)</f>
        <v>Central Asia</v>
      </c>
      <c r="K77" s="116" t="str">
        <f>INDEX(IIS_Prod!$B$7:$K$35,MATCH('Inputs_BY IIS'!K$78,IIS_Prod!$C$7:$C$35,0),1)</f>
        <v>Southeast Asia</v>
      </c>
      <c r="L77" s="116" t="str">
        <f>INDEX(IIS_Prod!$B$7:$K$35,MATCH('Inputs_BY IIS'!L$78,IIS_Prod!$C$7:$C$35,0),1)</f>
        <v>South Asia</v>
      </c>
      <c r="M77" s="116" t="str">
        <f>INDEX(IIS_Prod!$B$7:$K$35,MATCH('Inputs_BY IIS'!M$78,IIS_Prod!$C$7:$C$35,0),1)</f>
        <v>Brazil</v>
      </c>
      <c r="N77" s="116" t="str">
        <f>INDEX(IIS_Prod!$B$7:$K$35,MATCH('Inputs_BY IIS'!N$78,IIS_Prod!$C$7:$C$35,0),1)</f>
        <v>Canada</v>
      </c>
      <c r="O77" s="116" t="str">
        <f>INDEX(IIS_Prod!$B$7:$K$35,MATCH('Inputs_BY IIS'!O$78,IIS_Prod!$C$7:$C$35,0),1)</f>
        <v>Chile</v>
      </c>
      <c r="P77" s="116" t="str">
        <f>INDEX(IIS_Prod!$B$7:$K$35,MATCH('Inputs_BY IIS'!P$78,IIS_Prod!$C$7:$C$35,0),1)</f>
        <v>China</v>
      </c>
      <c r="Q77" s="116" t="str">
        <f>INDEX(IIS_Prod!$B$7:$K$35,MATCH('Inputs_BY IIS'!Q$78,IIS_Prod!$C$7:$C$35,0),1)</f>
        <v>Non-EU Eastern Europe</v>
      </c>
      <c r="R77" s="116" t="str">
        <f>INDEX(IIS_Prod!$B$7:$K$35,MATCH('Inputs_BY IIS'!R$78,IIS_Prod!$C$7:$C$35,0),1)</f>
        <v>Non-EU Western Europe</v>
      </c>
      <c r="S77" s="116" t="str">
        <f>INDEX(IIS_Prod!$B$7:$K$35,MATCH('Inputs_BY IIS'!S$78,IIS_Prod!$C$7:$C$35,0),1)</f>
        <v>Eastern Europe Union</v>
      </c>
      <c r="T77" s="116" t="str">
        <f>INDEX(IIS_Prod!$B$7:$K$35,MATCH('Inputs_BY IIS'!T$78,IIS_Prod!$C$7:$C$35,0),1)</f>
        <v>Mediterranean- Europe Union</v>
      </c>
      <c r="U77" s="116" t="str">
        <f>INDEX(IIS_Prod!$B$7:$K$35,MATCH('Inputs_BY IIS'!U$78,IIS_Prod!$C$7:$C$35,0),1)</f>
        <v>Western Europe Union</v>
      </c>
      <c r="V77" s="116" t="str">
        <f>INDEX(IIS_Prod!$B$7:$K$35,MATCH('Inputs_BY IIS'!V$78,IIS_Prod!$C$7:$C$35,0),1)</f>
        <v>Indonesia, Philippines, Vietnam</v>
      </c>
      <c r="W77" s="116" t="str">
        <f>INDEX(IIS_Prod!$B$7:$K$35,MATCH('Inputs_BY IIS'!W$78,IIS_Prod!$C$7:$C$35,0),1)</f>
        <v>India</v>
      </c>
      <c r="X77" s="116" t="str">
        <f>INDEX(IIS_Prod!$B$7:$K$35,MATCH('Inputs_BY IIS'!X$78,IIS_Prod!$C$7:$C$35,0),1)</f>
        <v>Japan</v>
      </c>
      <c r="Y77" s="116" t="str">
        <f>INDEX(IIS_Prod!$B$7:$K$35,MATCH('Inputs_BY IIS'!Y$78,IIS_Prod!$C$7:$C$35,0),1)</f>
        <v>Latin America</v>
      </c>
      <c r="Z77" s="116" t="str">
        <f>INDEX(IIS_Prod!$B$7:$K$35,MATCH('Inputs_BY IIS'!Z$78,IIS_Prod!$C$7:$C$35,0),1)</f>
        <v>Mediterranean Asia</v>
      </c>
      <c r="AA77" s="116" t="str">
        <f>INDEX(IIS_Prod!$B$7:$K$35,MATCH('Inputs_BY IIS'!AA$78,IIS_Prod!$C$7:$C$35,0),1)</f>
        <v>Middle East (Gulf States)</v>
      </c>
      <c r="AB77" s="116" t="str">
        <f>INDEX(IIS_Prod!$B$7:$K$35,MATCH('Inputs_BY IIS'!AB$78,IIS_Prod!$C$7:$C$35,0),1)</f>
        <v>Mexico</v>
      </c>
      <c r="AC77" s="116" t="str">
        <f>INDEX(IIS_Prod!$B$7:$K$35,MATCH('Inputs_BY IIS'!AC$78,IIS_Prod!$C$7:$C$35,0),1)</f>
        <v>Nigeria</v>
      </c>
      <c r="AD77" s="116" t="str">
        <f>INDEX(IIS_Prod!$B$7:$K$35,MATCH('Inputs_BY IIS'!AD$78,IIS_Prod!$C$7:$C$35,0),1)</f>
        <v>Russia Federation</v>
      </c>
      <c r="AE77" s="116" t="str">
        <f>INDEX(IIS_Prod!$B$7:$K$35,MATCH('Inputs_BY IIS'!AE$78,IIS_Prod!$C$7:$C$35,0),1)</f>
        <v>South Korea</v>
      </c>
      <c r="AF77" s="116" t="str">
        <f>INDEX(IIS_Prod!$B$7:$K$35,MATCH('Inputs_BY IIS'!AF$78,IIS_Prod!$C$7:$C$35,0),1)</f>
        <v>United States</v>
      </c>
    </row>
    <row r="78" spans="1:34" x14ac:dyDescent="0.25">
      <c r="E78" s="91" t="s">
        <v>162</v>
      </c>
      <c r="F78" s="91" t="s">
        <v>164</v>
      </c>
      <c r="G78" s="91" t="s">
        <v>166</v>
      </c>
      <c r="H78" s="91" t="s">
        <v>168</v>
      </c>
      <c r="I78" s="91" t="s">
        <v>170</v>
      </c>
      <c r="J78" s="91" t="s">
        <v>173</v>
      </c>
      <c r="K78" s="91" t="s">
        <v>175</v>
      </c>
      <c r="L78" s="91" t="s">
        <v>177</v>
      </c>
      <c r="M78" s="91" t="s">
        <v>179</v>
      </c>
      <c r="N78" s="91" t="s">
        <v>181</v>
      </c>
      <c r="O78" s="91" t="s">
        <v>183</v>
      </c>
      <c r="P78" s="91" t="s">
        <v>185</v>
      </c>
      <c r="Q78" s="91" t="s">
        <v>188</v>
      </c>
      <c r="R78" s="91" t="s">
        <v>190</v>
      </c>
      <c r="S78" s="91" t="s">
        <v>192</v>
      </c>
      <c r="T78" s="91" t="s">
        <v>194</v>
      </c>
      <c r="U78" s="91" t="s">
        <v>196</v>
      </c>
      <c r="V78" s="91" t="s">
        <v>198</v>
      </c>
      <c r="W78" s="91" t="s">
        <v>9</v>
      </c>
      <c r="X78" s="91" t="s">
        <v>201</v>
      </c>
      <c r="Y78" s="91" t="s">
        <v>203</v>
      </c>
      <c r="Z78" s="91" t="s">
        <v>205</v>
      </c>
      <c r="AA78" s="91" t="s">
        <v>207</v>
      </c>
      <c r="AB78" s="91" t="s">
        <v>210</v>
      </c>
      <c r="AC78" s="91" t="s">
        <v>212</v>
      </c>
      <c r="AD78" s="91" t="s">
        <v>214</v>
      </c>
      <c r="AE78" s="91" t="s">
        <v>217</v>
      </c>
      <c r="AF78" s="92" t="s">
        <v>219</v>
      </c>
      <c r="AH78" s="111" t="s">
        <v>452</v>
      </c>
    </row>
    <row r="79" spans="1:34" x14ac:dyDescent="0.25">
      <c r="B79" s="115">
        <f>IIS_Prod!E4</f>
        <v>3</v>
      </c>
      <c r="C79" t="s">
        <v>453</v>
      </c>
      <c r="D79" t="s">
        <v>454</v>
      </c>
      <c r="E79" s="192">
        <f>INDEX(IIS_Prod!$C$7:$K$35,MATCH('Inputs_BY IIS'!E$78,IIS_Prod!$C$7:$C$35,0),$B79)</f>
        <v>0</v>
      </c>
      <c r="F79" s="192">
        <f>INDEX(IIS_Prod!$C$7:$K$35,MATCH('Inputs_BY IIS'!F$78,IIS_Prod!$C$7:$C$35,0),$B79)</f>
        <v>0.70378421797779012</v>
      </c>
      <c r="G79" s="192">
        <f>INDEX(IIS_Prod!$C$7:$K$35,MATCH('Inputs_BY IIS'!G$78,IIS_Prod!$C$7:$C$35,0),$B79)</f>
        <v>0</v>
      </c>
      <c r="H79" s="192">
        <f>INDEX(IIS_Prod!$C$7:$K$35,MATCH('Inputs_BY IIS'!H$78,IIS_Prod!$C$7:$C$35,0),$B79)</f>
        <v>7.0188134316436344</v>
      </c>
      <c r="I79" s="192">
        <f>INDEX(IIS_Prod!$C$7:$K$35,MATCH('Inputs_BY IIS'!I$78,IIS_Prod!$C$7:$C$35,0),$B79)</f>
        <v>3.9611570825655882</v>
      </c>
      <c r="J79" s="192">
        <f>INDEX(IIS_Prod!$C$7:$K$35,MATCH('Inputs_BY IIS'!J$78,IIS_Prod!$C$7:$C$35,0),$B79)</f>
        <v>2.3306979644670274</v>
      </c>
      <c r="K79" s="192">
        <f>INDEX(IIS_Prod!$C$7:$K$35,MATCH('Inputs_BY IIS'!K$78,IIS_Prod!$C$7:$C$35,0),$B79)</f>
        <v>2.3086386803146395</v>
      </c>
      <c r="L79" s="192">
        <f>INDEX(IIS_Prod!$C$7:$K$35,MATCH('Inputs_BY IIS'!L$78,IIS_Prod!$C$7:$C$35,0),$B79)</f>
        <v>0</v>
      </c>
      <c r="M79" s="192">
        <f>INDEX(IIS_Prod!$C$7:$K$35,MATCH('Inputs_BY IIS'!M$78,IIS_Prod!$C$7:$C$35,0),$B79)</f>
        <v>25.763528415817241</v>
      </c>
      <c r="N79" s="192">
        <f>INDEX(IIS_Prod!$C$7:$K$35,MATCH('Inputs_BY IIS'!N$78,IIS_Prod!$C$7:$C$35,0),$B79)</f>
        <v>6.5642375097679002</v>
      </c>
      <c r="O79" s="192">
        <f>INDEX(IIS_Prod!$C$7:$K$35,MATCH('Inputs_BY IIS'!O$78,IIS_Prod!$C$7:$C$35,0),$B79)</f>
        <v>0.89202191307630452</v>
      </c>
      <c r="P79" s="192">
        <f>INDEX(IIS_Prod!$C$7:$K$35,MATCH('Inputs_BY IIS'!P$78,IIS_Prod!$C$7:$C$35,0),$B79)</f>
        <v>843.26329633848991</v>
      </c>
      <c r="Q79" s="192">
        <f>INDEX(IIS_Prod!$C$7:$K$35,MATCH('Inputs_BY IIS'!Q$78,IIS_Prod!$C$7:$C$35,0),$B79)</f>
        <v>31.887216183796479</v>
      </c>
      <c r="R79" s="192">
        <f>INDEX(IIS_Prod!$C$7:$K$35,MATCH('Inputs_BY IIS'!R$78,IIS_Prod!$C$7:$C$35,0),$B79)</f>
        <v>6.5901468792501881</v>
      </c>
      <c r="S79" s="192">
        <f>INDEX(IIS_Prod!$C$7:$K$35,MATCH('Inputs_BY IIS'!S$78,IIS_Prod!$C$7:$C$35,0),$B79)</f>
        <v>16.244893206550277</v>
      </c>
      <c r="T79" s="192">
        <f>INDEX(IIS_Prod!$C$7:$K$35,MATCH('Inputs_BY IIS'!T$78,IIS_Prod!$C$7:$C$35,0),$B79)</f>
        <v>18.112541951110142</v>
      </c>
      <c r="U79" s="192">
        <f>INDEX(IIS_Prod!$C$7:$K$35,MATCH('Inputs_BY IIS'!U$78,IIS_Prod!$C$7:$C$35,0),$B79)</f>
        <v>46.611450563562762</v>
      </c>
      <c r="V79" s="192">
        <f>INDEX(IIS_Prod!$C$7:$K$35,MATCH('Inputs_BY IIS'!V$78,IIS_Prod!$C$7:$C$35,0),$B79)</f>
        <v>6.6827689054900405</v>
      </c>
      <c r="W79" s="192">
        <f>INDEX(IIS_Prod!$C$7:$K$35,MATCH('Inputs_BY IIS'!W$78,IIS_Prod!$C$7:$C$35,0),$B79)</f>
        <v>68.309328101227564</v>
      </c>
      <c r="X79" s="192">
        <f>INDEX(IIS_Prod!$C$7:$K$35,MATCH('Inputs_BY IIS'!X$78,IIS_Prod!$C$7:$C$35,0),$B79)</f>
        <v>79.242313706014755</v>
      </c>
      <c r="Y79" s="192">
        <f>INDEX(IIS_Prod!$C$7:$K$35,MATCH('Inputs_BY IIS'!Y$78,IIS_Prod!$C$7:$C$35,0),$B79)</f>
        <v>3.3180797405705276</v>
      </c>
      <c r="Z79" s="192">
        <f>INDEX(IIS_Prod!$C$7:$K$35,MATCH('Inputs_BY IIS'!Z$78,IIS_Prod!$C$7:$C$35,0),$B79)</f>
        <v>7.2510151363573048</v>
      </c>
      <c r="AA79" s="192">
        <f>INDEX(IIS_Prod!$C$7:$K$35,MATCH('Inputs_BY IIS'!AA$78,IIS_Prod!$C$7:$C$35,0),$B79)</f>
        <v>3.2147240801052872</v>
      </c>
      <c r="AB79" s="192">
        <f>INDEX(IIS_Prod!$C$7:$K$35,MATCH('Inputs_BY IIS'!AB$78,IIS_Prod!$C$7:$C$35,0),$B79)</f>
        <v>4.1720198768097205</v>
      </c>
      <c r="AC79" s="192">
        <f>INDEX(IIS_Prod!$C$7:$K$35,MATCH('Inputs_BY IIS'!AC$78,IIS_Prod!$C$7:$C$35,0),$B79)</f>
        <v>0</v>
      </c>
      <c r="AD79" s="192">
        <f>INDEX(IIS_Prod!$C$7:$K$35,MATCH('Inputs_BY IIS'!AD$78,IIS_Prod!$C$7:$C$35,0),$B79)</f>
        <v>48.385609324846619</v>
      </c>
      <c r="AE79" s="192">
        <f>INDEX(IIS_Prod!$C$7:$K$35,MATCH('Inputs_BY IIS'!AE$78,IIS_Prod!$C$7:$C$35,0),$B79)</f>
        <v>46.297002293171758</v>
      </c>
      <c r="AF79" s="192">
        <f>INDEX(IIS_Prod!$C$7:$K$35,MATCH('Inputs_BY IIS'!AF$78,IIS_Prod!$C$7:$C$35,0),$B79)</f>
        <v>24.108386710234971</v>
      </c>
      <c r="AH79" s="112">
        <f>SUM(E79:AF79)/IIS_Prod!E36</f>
        <v>1.0021714345996393</v>
      </c>
    </row>
    <row r="80" spans="1:34" x14ac:dyDescent="0.25">
      <c r="B80" s="115">
        <f>IIS_Prod!F4</f>
        <v>4</v>
      </c>
      <c r="C80" t="s">
        <v>455</v>
      </c>
      <c r="D80" t="s">
        <v>454</v>
      </c>
      <c r="E80" s="192">
        <f>INDEX(IIS_Prod!$C$7:$K$35,MATCH('Inputs_BY IIS'!E$78,IIS_Prod!$C$7:$C$35,0),$B80)</f>
        <v>0</v>
      </c>
      <c r="F80" s="192">
        <f>INDEX(IIS_Prod!$C$7:$K$35,MATCH('Inputs_BY IIS'!F$78,IIS_Prod!$C$7:$C$35,0),$B80)</f>
        <v>3.1311631154474155</v>
      </c>
      <c r="G80" s="192">
        <f>INDEX(IIS_Prod!$C$7:$K$35,MATCH('Inputs_BY IIS'!G$78,IIS_Prod!$C$7:$C$35,0),$B80)</f>
        <v>0</v>
      </c>
      <c r="H80" s="192">
        <f>INDEX(IIS_Prod!$C$7:$K$35,MATCH('Inputs_BY IIS'!H$78,IIS_Prod!$C$7:$C$35,0),$B80)</f>
        <v>0.65135186773333331</v>
      </c>
      <c r="I80" s="192">
        <f>INDEX(IIS_Prod!$C$7:$K$35,MATCH('Inputs_BY IIS'!I$78,IIS_Prod!$C$7:$C$35,0),$B80)</f>
        <v>0</v>
      </c>
      <c r="J80" s="192">
        <f>INDEX(IIS_Prod!$C$7:$K$35,MATCH('Inputs_BY IIS'!J$78,IIS_Prod!$C$7:$C$35,0),$B80)</f>
        <v>0</v>
      </c>
      <c r="K80" s="192">
        <f>INDEX(IIS_Prod!$C$7:$K$35,MATCH('Inputs_BY IIS'!K$78,IIS_Prod!$C$7:$C$35,0),$B80)</f>
        <v>5.8270193105956647</v>
      </c>
      <c r="L80" s="192">
        <f>INDEX(IIS_Prod!$C$7:$K$35,MATCH('Inputs_BY IIS'!L$78,IIS_Prod!$C$7:$C$35,0),$B80)</f>
        <v>0</v>
      </c>
      <c r="M80" s="192">
        <f>INDEX(IIS_Prod!$C$7:$K$35,MATCH('Inputs_BY IIS'!M$78,IIS_Prod!$C$7:$C$35,0),$B80)</f>
        <v>0</v>
      </c>
      <c r="N80" s="192">
        <f>INDEX(IIS_Prod!$C$7:$K$35,MATCH('Inputs_BY IIS'!N$78,IIS_Prod!$C$7:$C$35,0),$B80)</f>
        <v>0.4831347132322461</v>
      </c>
      <c r="O80" s="192">
        <f>INDEX(IIS_Prod!$C$7:$K$35,MATCH('Inputs_BY IIS'!O$78,IIS_Prod!$C$7:$C$35,0),$B80)</f>
        <v>0</v>
      </c>
      <c r="P80" s="192">
        <f>INDEX(IIS_Prod!$C$7:$K$35,MATCH('Inputs_BY IIS'!P$78,IIS_Prod!$C$7:$C$35,0),$B80)</f>
        <v>0</v>
      </c>
      <c r="Q80" s="192">
        <f>INDEX(IIS_Prod!$C$7:$K$35,MATCH('Inputs_BY IIS'!Q$78,IIS_Prod!$C$7:$C$35,0),$B80)</f>
        <v>0</v>
      </c>
      <c r="R80" s="192">
        <f>INDEX(IIS_Prod!$C$7:$K$35,MATCH('Inputs_BY IIS'!R$78,IIS_Prod!$C$7:$C$35,0),$B80)</f>
        <v>0</v>
      </c>
      <c r="S80" s="192">
        <f>INDEX(IIS_Prod!$C$7:$K$35,MATCH('Inputs_BY IIS'!S$78,IIS_Prod!$C$7:$C$35,0),$B80)</f>
        <v>0</v>
      </c>
      <c r="T80" s="192">
        <f>INDEX(IIS_Prod!$C$7:$K$35,MATCH('Inputs_BY IIS'!T$78,IIS_Prod!$C$7:$C$35,0),$B80)</f>
        <v>0</v>
      </c>
      <c r="U80" s="192">
        <f>INDEX(IIS_Prod!$C$7:$K$35,MATCH('Inputs_BY IIS'!U$78,IIS_Prod!$C$7:$C$35,0),$B80)</f>
        <v>1.3039267693053429</v>
      </c>
      <c r="V80" s="192">
        <f>INDEX(IIS_Prod!$C$7:$K$35,MATCH('Inputs_BY IIS'!V$78,IIS_Prod!$C$7:$C$35,0),$B80)</f>
        <v>0.12</v>
      </c>
      <c r="W80" s="192">
        <f>INDEX(IIS_Prod!$C$7:$K$35,MATCH('Inputs_BY IIS'!W$78,IIS_Prod!$C$7:$C$35,0),$B80)</f>
        <v>38.008513154103149</v>
      </c>
      <c r="X80" s="192">
        <f>INDEX(IIS_Prod!$C$7:$K$35,MATCH('Inputs_BY IIS'!X$78,IIS_Prod!$C$7:$C$35,0),$B80)</f>
        <v>0</v>
      </c>
      <c r="Y80" s="192">
        <f>INDEX(IIS_Prod!$C$7:$K$35,MATCH('Inputs_BY IIS'!Y$78,IIS_Prod!$C$7:$C$35,0),$B80)</f>
        <v>14.132336950894116</v>
      </c>
      <c r="Z80" s="192">
        <f>INDEX(IIS_Prod!$C$7:$K$35,MATCH('Inputs_BY IIS'!Z$78,IIS_Prod!$C$7:$C$35,0),$B80)</f>
        <v>0</v>
      </c>
      <c r="AA80" s="192">
        <f>INDEX(IIS_Prod!$C$7:$K$35,MATCH('Inputs_BY IIS'!AA$78,IIS_Prod!$C$7:$C$35,0),$B80)</f>
        <v>22.226726698073794</v>
      </c>
      <c r="AB80" s="192">
        <f>INDEX(IIS_Prod!$C$7:$K$35,MATCH('Inputs_BY IIS'!AB$78,IIS_Prod!$C$7:$C$35,0),$B80)</f>
        <v>1.5902944654029771</v>
      </c>
      <c r="AC80" s="192">
        <f>INDEX(IIS_Prod!$C$7:$K$35,MATCH('Inputs_BY IIS'!AC$78,IIS_Prod!$C$7:$C$35,0),$B80)</f>
        <v>0</v>
      </c>
      <c r="AD80" s="192">
        <f>INDEX(IIS_Prod!$C$7:$K$35,MATCH('Inputs_BY IIS'!AD$78,IIS_Prod!$C$7:$C$35,0),$B80)</f>
        <v>9.1013689658252765</v>
      </c>
      <c r="AE80" s="192">
        <f>INDEX(IIS_Prod!$C$7:$K$35,MATCH('Inputs_BY IIS'!AE$78,IIS_Prod!$C$7:$C$35,0),$B80)</f>
        <v>0</v>
      </c>
      <c r="AF80" s="192">
        <f>INDEX(IIS_Prod!$C$7:$K$35,MATCH('Inputs_BY IIS'!AF$78,IIS_Prod!$C$7:$C$35,0),$B80)</f>
        <v>0.7477710912205201</v>
      </c>
      <c r="AH80" s="112">
        <f>SUM(E80:AF80)/IIS_Prod!F36</f>
        <v>2.2503498088237963</v>
      </c>
    </row>
    <row r="81" spans="2:39" x14ac:dyDescent="0.25">
      <c r="B81" s="115">
        <f>IIS_Prod!K4</f>
        <v>9</v>
      </c>
      <c r="C81" t="s">
        <v>456</v>
      </c>
      <c r="D81" t="s">
        <v>454</v>
      </c>
      <c r="E81" s="192">
        <f>INDEX(IIS_Prod!$C$7:$K$35,MATCH('Inputs_BY IIS'!E$78,IIS_Prod!$C$7:$C$35,0),$B$81)</f>
        <v>5.5066776402422843E-2</v>
      </c>
      <c r="F81" s="192">
        <f>INDEX(IIS_Prod!$C$7:$K$35,MATCH('Inputs_BY IIS'!F$78,IIS_Prod!$C$7:$C$35,0),$B$81)</f>
        <v>4.7763804196893949</v>
      </c>
      <c r="G81" s="192">
        <f>INDEX(IIS_Prod!$C$7:$K$35,MATCH('Inputs_BY IIS'!G$78,IIS_Prod!$C$7:$C$35,0),$B$81)</f>
        <v>6.057345404266512E-2</v>
      </c>
      <c r="H81" s="192">
        <f>INDEX(IIS_Prod!$C$7:$K$35,MATCH('Inputs_BY IIS'!H$78,IIS_Prod!$C$7:$C$35,0),$B$81)</f>
        <v>7.9477234984739642</v>
      </c>
      <c r="I81" s="192">
        <f>INDEX(IIS_Prod!$C$7:$K$35,MATCH('Inputs_BY IIS'!I$78,IIS_Prod!$C$7:$C$35,0),$B$81)</f>
        <v>5.7290694480789606</v>
      </c>
      <c r="J81" s="192">
        <f>INDEX(IIS_Prod!$C$7:$K$35,MATCH('Inputs_BY IIS'!J$78,IIS_Prod!$C$7:$C$35,0),$B$81)</f>
        <v>3.9504670812909222</v>
      </c>
      <c r="K81" s="192">
        <f>INDEX(IIS_Prod!$C$7:$K$35,MATCH('Inputs_BY IIS'!K$78,IIS_Prod!$C$7:$C$35,0),$B$81)</f>
        <v>5.4087257695453799</v>
      </c>
      <c r="L81" s="192">
        <f>INDEX(IIS_Prod!$C$7:$K$35,MATCH('Inputs_BY IIS'!L$78,IIS_Prod!$C$7:$C$35,0),$B$81)</f>
        <v>3.406371427651028</v>
      </c>
      <c r="M81" s="192">
        <f>INDEX(IIS_Prod!$C$7:$K$35,MATCH('Inputs_BY IIS'!M$78,IIS_Prod!$C$7:$C$35,0),$B$81)</f>
        <v>31.608432960053861</v>
      </c>
      <c r="N81" s="192">
        <f>INDEX(IIS_Prod!$C$7:$K$35,MATCH('Inputs_BY IIS'!N$78,IIS_Prod!$C$7:$C$35,0),$B$81)</f>
        <v>14.111264981580216</v>
      </c>
      <c r="O81" s="192">
        <f>INDEX(IIS_Prod!$C$7:$K$35,MATCH('Inputs_BY IIS'!O$78,IIS_Prod!$C$7:$C$35,0),$B$81)</f>
        <v>1.7982155095334285</v>
      </c>
      <c r="P81" s="192">
        <f>INDEX(IIS_Prod!$C$7:$K$35,MATCH('Inputs_BY IIS'!P$78,IIS_Prod!$C$7:$C$35,0),$B$81)</f>
        <v>948.27015782017122</v>
      </c>
      <c r="Q81" s="192">
        <f>INDEX(IIS_Prod!$C$7:$K$35,MATCH('Inputs_BY IIS'!Q$78,IIS_Prod!$C$7:$C$35,0),$B$81)</f>
        <v>44.490302324945468</v>
      </c>
      <c r="R81" s="192">
        <f>INDEX(IIS_Prod!$C$7:$K$35,MATCH('Inputs_BY IIS'!R$78,IIS_Prod!$C$7:$C$35,0),$B$81)</f>
        <v>9.4376345634494712</v>
      </c>
      <c r="S81" s="192">
        <f>INDEX(IIS_Prod!$C$7:$K$35,MATCH('Inputs_BY IIS'!S$78,IIS_Prod!$C$7:$C$35,0),$B$81)</f>
        <v>26.275772601159172</v>
      </c>
      <c r="T81" s="192">
        <f>INDEX(IIS_Prod!$C$7:$K$35,MATCH('Inputs_BY IIS'!T$78,IIS_Prod!$C$7:$C$35,0),$B$81)</f>
        <v>52.97076151296131</v>
      </c>
      <c r="U81" s="192">
        <f>INDEX(IIS_Prod!$C$7:$K$35,MATCH('Inputs_BY IIS'!U$78,IIS_Prod!$C$7:$C$35,0),$B$81)</f>
        <v>69.421262747059799</v>
      </c>
      <c r="V81" s="192">
        <f>INDEX(IIS_Prod!$C$7:$K$35,MATCH('Inputs_BY IIS'!V$78,IIS_Prod!$C$7:$C$35,0),$B$81)</f>
        <v>18.996950034818447</v>
      </c>
      <c r="W81" s="192">
        <f>INDEX(IIS_Prod!$C$7:$K$35,MATCH('Inputs_BY IIS'!W$78,IIS_Prod!$C$7:$C$35,0),$B$81)</f>
        <v>104.75098773562429</v>
      </c>
      <c r="X81" s="192">
        <f>INDEX(IIS_Prod!$C$7:$K$35,MATCH('Inputs_BY IIS'!X$78,IIS_Prod!$C$7:$C$35,0),$B$81)</f>
        <v>102.44869839239163</v>
      </c>
      <c r="Y81" s="192">
        <f>INDEX(IIS_Prod!$C$7:$K$35,MATCH('Inputs_BY IIS'!Y$78,IIS_Prod!$C$7:$C$35,0),$B$81)</f>
        <v>10.039200439706883</v>
      </c>
      <c r="Z81" s="192">
        <f>INDEX(IIS_Prod!$C$7:$K$35,MATCH('Inputs_BY IIS'!Z$78,IIS_Prod!$C$7:$C$35,0),$B$81)</f>
        <v>20.382632129203255</v>
      </c>
      <c r="AA81" s="192">
        <f>INDEX(IIS_Prod!$C$7:$K$35,MATCH('Inputs_BY IIS'!AA$78,IIS_Prod!$C$7:$C$35,0),$B$81)</f>
        <v>18.769494017392546</v>
      </c>
      <c r="AB81" s="192">
        <f>INDEX(IIS_Prod!$C$7:$K$35,MATCH('Inputs_BY IIS'!AB$78,IIS_Prod!$C$7:$C$35,0),$B$81)</f>
        <v>17.686480760385052</v>
      </c>
      <c r="AC81" s="192">
        <f>INDEX(IIS_Prod!$C$7:$K$35,MATCH('Inputs_BY IIS'!AC$78,IIS_Prod!$C$7:$C$35,0),$B$81)</f>
        <v>0.11013355280484567</v>
      </c>
      <c r="AD81" s="192">
        <f>INDEX(IIS_Prod!$C$7:$K$35,MATCH('Inputs_BY IIS'!AD$78,IIS_Prod!$C$7:$C$35,0),$B$81)</f>
        <v>75.781657678224093</v>
      </c>
      <c r="AE81" s="192">
        <f>INDEX(IIS_Prod!$C$7:$K$35,MATCH('Inputs_BY IIS'!AE$78,IIS_Prod!$C$7:$C$35,0),$B$81)</f>
        <v>69.314507454923486</v>
      </c>
      <c r="AF81" s="192">
        <f>INDEX(IIS_Prod!$C$7:$K$35,MATCH('Inputs_BY IIS'!AF$78,IIS_Prod!$C$7:$C$35,0),$B$81)</f>
        <v>86.712625662558452</v>
      </c>
      <c r="AH81" s="112">
        <f>SUM(E81:AF81)/IIS_Prod!K36</f>
        <v>0.99999999999999989</v>
      </c>
    </row>
    <row r="82" spans="2:39" x14ac:dyDescent="0.25">
      <c r="B82" s="115"/>
      <c r="E82" s="193">
        <f>1/$AM$82</f>
        <v>1.25</v>
      </c>
      <c r="F82" s="193">
        <f>1/$AM$82</f>
        <v>1.25</v>
      </c>
      <c r="G82" s="193">
        <f t="shared" ref="G82:AE82" si="6">1/$AM$82</f>
        <v>1.25</v>
      </c>
      <c r="H82" s="193">
        <f t="shared" si="6"/>
        <v>1.25</v>
      </c>
      <c r="I82" s="193">
        <f t="shared" si="6"/>
        <v>1.25</v>
      </c>
      <c r="J82" s="193">
        <f t="shared" si="6"/>
        <v>1.25</v>
      </c>
      <c r="K82" s="193">
        <f t="shared" si="6"/>
        <v>1.25</v>
      </c>
      <c r="L82" s="193">
        <f t="shared" si="6"/>
        <v>1.25</v>
      </c>
      <c r="M82" s="193">
        <f t="shared" si="6"/>
        <v>1.25</v>
      </c>
      <c r="N82" s="193">
        <f t="shared" si="6"/>
        <v>1.25</v>
      </c>
      <c r="O82" s="193">
        <f t="shared" si="6"/>
        <v>1.25</v>
      </c>
      <c r="P82" s="193">
        <f t="shared" si="6"/>
        <v>1.25</v>
      </c>
      <c r="Q82" s="193">
        <f t="shared" si="6"/>
        <v>1.25</v>
      </c>
      <c r="R82" s="193">
        <f t="shared" si="6"/>
        <v>1.25</v>
      </c>
      <c r="S82" s="193">
        <f t="shared" si="6"/>
        <v>1.25</v>
      </c>
      <c r="T82" s="193">
        <f t="shared" si="6"/>
        <v>1.25</v>
      </c>
      <c r="U82" s="193">
        <f t="shared" si="6"/>
        <v>1.25</v>
      </c>
      <c r="V82" s="193">
        <f t="shared" si="6"/>
        <v>1.25</v>
      </c>
      <c r="W82" s="193">
        <f t="shared" si="6"/>
        <v>1.25</v>
      </c>
      <c r="X82" s="193">
        <f t="shared" si="6"/>
        <v>1.25</v>
      </c>
      <c r="Y82" s="193">
        <f t="shared" si="6"/>
        <v>1.25</v>
      </c>
      <c r="Z82" s="193">
        <f t="shared" si="6"/>
        <v>1.25</v>
      </c>
      <c r="AA82" s="193">
        <f t="shared" si="6"/>
        <v>1.25</v>
      </c>
      <c r="AB82" s="193">
        <f t="shared" si="6"/>
        <v>1.25</v>
      </c>
      <c r="AC82" s="193">
        <f t="shared" si="6"/>
        <v>1.25</v>
      </c>
      <c r="AD82" s="193">
        <f t="shared" si="6"/>
        <v>1.25</v>
      </c>
      <c r="AE82" s="193">
        <f t="shared" si="6"/>
        <v>1.25</v>
      </c>
      <c r="AF82" s="193">
        <f>1/$AM$82</f>
        <v>1.25</v>
      </c>
      <c r="AH82" s="285" t="s">
        <v>457</v>
      </c>
      <c r="AM82" s="5">
        <v>0.8</v>
      </c>
    </row>
    <row r="83" spans="2:39" x14ac:dyDescent="0.25">
      <c r="P83" s="286">
        <f>1150/P81</f>
        <v>1.2127345677982251</v>
      </c>
      <c r="W83" s="286">
        <f>128/W81</f>
        <v>1.2219455182900301</v>
      </c>
    </row>
    <row r="84" spans="2:39" x14ac:dyDescent="0.25">
      <c r="C84" t="s">
        <v>458</v>
      </c>
    </row>
    <row r="85" spans="2:39" x14ac:dyDescent="0.25">
      <c r="B85" s="115">
        <f>IIS_Prod!W4</f>
        <v>21</v>
      </c>
      <c r="C85" t="s">
        <v>459</v>
      </c>
      <c r="D85" t="s">
        <v>460</v>
      </c>
      <c r="E85" s="204">
        <f>INDEX(IIS_Prod!$C$7:$Y$35,MATCH('Inputs_BY IIS'!E$78,IIS_Prod!$C$7:$C$35,0),$B85)</f>
        <v>0</v>
      </c>
      <c r="F85" s="204">
        <f>INDEX(IIS_Prod!$C$7:$Y$35,MATCH('Inputs_BY IIS'!F$78,IIS_Prod!$C$7:$C$35,0),$B85)</f>
        <v>0.20455467721951334</v>
      </c>
      <c r="G85" s="204">
        <f>INDEX(IIS_Prod!$C$7:$Y$35,MATCH('Inputs_BY IIS'!G$78,IIS_Prod!$C$7:$C$35,0),$B85)</f>
        <v>0</v>
      </c>
      <c r="H85" s="204">
        <f>INDEX(IIS_Prod!$C$7:$Y$35,MATCH('Inputs_BY IIS'!H$78,IIS_Prod!$C$7:$C$35,0),$B85)</f>
        <v>0.60894854221469785</v>
      </c>
      <c r="I85" s="204">
        <f>INDEX(IIS_Prod!$C$7:$Y$35,MATCH('Inputs_BY IIS'!I$78,IIS_Prod!$C$7:$C$35,0),$B85)</f>
        <v>0.75449057671901132</v>
      </c>
      <c r="J85" s="204">
        <f>INDEX(IIS_Prod!$C$7:$Y$35,MATCH('Inputs_BY IIS'!J$78,IIS_Prod!$C$7:$C$35,0),$B85)</f>
        <v>0.88246945202259675</v>
      </c>
      <c r="K85" s="614">
        <v>0.15</v>
      </c>
      <c r="L85" s="204">
        <f>INDEX(IIS_Prod!$C$7:$Y$35,MATCH('Inputs_BY IIS'!L$78,IIS_Prod!$C$7:$C$35,0),$B85)</f>
        <v>0</v>
      </c>
      <c r="M85" s="204">
        <f>INDEX(IIS_Prod!$C$7:$Y$35,MATCH('Inputs_BY IIS'!M$78,IIS_Prod!$C$7:$C$35,0),$B85)</f>
        <v>0.77509534451127104</v>
      </c>
      <c r="N85" s="204">
        <f>INDEX(IIS_Prod!$C$7:$Y$35,MATCH('Inputs_BY IIS'!N$78,IIS_Prod!$C$7:$C$35,0),$B85)</f>
        <v>0.68327753118524537</v>
      </c>
      <c r="O85" s="204">
        <f>INDEX(IIS_Prod!$C$7:$Y$35,MATCH('Inputs_BY IIS'!O$78,IIS_Prod!$C$7:$C$35,0),$B85)</f>
        <v>0.80639401710829128</v>
      </c>
      <c r="P85" s="204">
        <f>INDEX(IIS_Prod!$C$7:$Y$35,MATCH('Inputs_BY IIS'!P$78,IIS_Prod!$C$7:$C$35,0),$B85)</f>
        <v>0.90200685873044784</v>
      </c>
      <c r="Q85" s="204">
        <f>INDEX(IIS_Prod!$C$7:$Y$35,MATCH('Inputs_BY IIS'!Q$78,IIS_Prod!$C$7:$C$35,0),$B85)</f>
        <v>0.94744692275828168</v>
      </c>
      <c r="R85" s="204">
        <f>INDEX(IIS_Prod!$C$7:$Y$35,MATCH('Inputs_BY IIS'!R$78,IIS_Prod!$C$7:$C$35,0),$B85)</f>
        <v>0.69418554286920475</v>
      </c>
      <c r="S85" s="204">
        <f>INDEX(IIS_Prod!$C$7:$Y$35,MATCH('Inputs_BY IIS'!S$78,IIS_Prod!$C$7:$C$35,0),$B85)</f>
        <v>0.78651198324392813</v>
      </c>
      <c r="T85" s="204">
        <f>INDEX(IIS_Prod!$C$7:$Y$35,MATCH('Inputs_BY IIS'!T$78,IIS_Prod!$C$7:$C$35,0),$B85)</f>
        <v>0.34204061183330647</v>
      </c>
      <c r="U85" s="204">
        <f>INDEX(IIS_Prod!$C$7:$Y$35,MATCH('Inputs_BY IIS'!U$78,IIS_Prod!$C$7:$C$35,0),$B85)</f>
        <v>0.73273234100254026</v>
      </c>
      <c r="V85" s="204">
        <f>INDEX(IIS_Prod!$C$7:$Y$35,MATCH('Inputs_BY IIS'!V$78,IIS_Prod!$C$7:$C$35,0),$B85)</f>
        <v>0.66624090667534963</v>
      </c>
      <c r="W85" s="204">
        <f>INDEX(IIS_Prod!$C$7:$Y$35,MATCH('Inputs_BY IIS'!W$78,IIS_Prod!$C$7:$C$35,0),$B85)</f>
        <v>0.43223292069566976</v>
      </c>
      <c r="X85" s="204">
        <f>INDEX(IIS_Prod!$C$7:$Y$35,MATCH('Inputs_BY IIS'!X$78,IIS_Prod!$C$7:$C$35,0),$B85)</f>
        <v>0.76959631839928666</v>
      </c>
      <c r="Y85" s="204">
        <f>INDEX(IIS_Prod!$C$7:$Y$35,MATCH('Inputs_BY IIS'!Y$78,IIS_Prod!$C$7:$C$35,0),$B85)</f>
        <v>0.47222234745528491</v>
      </c>
      <c r="Z85" s="204">
        <f>INDEX(IIS_Prod!$C$7:$Y$35,MATCH('Inputs_BY IIS'!Z$78,IIS_Prod!$C$7:$C$35,0),$B85)</f>
        <v>0.45354969047629662</v>
      </c>
      <c r="AA85" s="204">
        <f>INDEX(IIS_Prod!$C$7:$Y$35,MATCH('Inputs_BY IIS'!AA$78,IIS_Prod!$C$7:$C$35,0),$B85)</f>
        <v>0.26115894166914561</v>
      </c>
      <c r="AB85" s="204">
        <f>INDEX(IIS_Prod!$C$7:$Y$35,MATCH('Inputs_BY IIS'!AB$78,IIS_Prod!$C$7:$C$35,0),$B85)</f>
        <v>0.26384699474648915</v>
      </c>
      <c r="AC85" s="204">
        <f>INDEX(IIS_Prod!$C$7:$Y$35,MATCH('Inputs_BY IIS'!AC$78,IIS_Prod!$C$7:$C$35,0),$B85)</f>
        <v>0</v>
      </c>
      <c r="AD85" s="204">
        <f>INDEX(IIS_Prod!$C$7:$Y$35,MATCH('Inputs_BY IIS'!AD$78,IIS_Prod!$C$7:$C$35,0),$B85)</f>
        <v>0.69192134500240343</v>
      </c>
      <c r="AE85" s="204">
        <f>INDEX(IIS_Prod!$C$7:$Y$35,MATCH('Inputs_BY IIS'!AE$78,IIS_Prod!$C$7:$C$35,0),$B85)</f>
        <v>0.68961508218447665</v>
      </c>
      <c r="AF85" s="204">
        <f>INDEX(IIS_Prod!$C$7:$Y$35,MATCH('Inputs_BY IIS'!AF$78,IIS_Prod!$C$7:$C$35,0),$B85)</f>
        <v>0.32983028568992795</v>
      </c>
    </row>
    <row r="86" spans="2:39" x14ac:dyDescent="0.25">
      <c r="B86" s="115">
        <f>IIS_Prod!X4</f>
        <v>22</v>
      </c>
      <c r="C86" t="s">
        <v>461</v>
      </c>
      <c r="D86" t="s">
        <v>460</v>
      </c>
      <c r="E86" s="204">
        <f>INDEX(IIS_Prod!$C$7:$Y$35,MATCH('Inputs_BY IIS'!E$78,IIS_Prod!$C$7:$C$35,0),$B86)</f>
        <v>0.10019140814918066</v>
      </c>
      <c r="F86" s="204">
        <f>INDEX(IIS_Prod!$C$7:$Y$35,MATCH('Inputs_BY IIS'!F$78,IIS_Prod!$C$7:$C$35,0),$B86)</f>
        <v>0.42146474433914233</v>
      </c>
      <c r="G86" s="204">
        <f>INDEX(IIS_Prod!$C$7:$Y$35,MATCH('Inputs_BY IIS'!G$78,IIS_Prod!$C$7:$C$35,0),$B86)</f>
        <v>0.10019140814918048</v>
      </c>
      <c r="H86" s="204">
        <f>INDEX(IIS_Prod!$C$7:$Y$35,MATCH('Inputs_BY IIS'!H$78,IIS_Prod!$C$7:$C$35,0),$B86)</f>
        <v>3.9179996214299254E-2</v>
      </c>
      <c r="I86" s="204">
        <f>INDEX(IIS_Prod!$C$7:$Y$35,MATCH('Inputs_BY IIS'!I$78,IIS_Prod!$C$7:$C$35,0),$B86)</f>
        <v>2.4316281898494968E-2</v>
      </c>
      <c r="J86" s="204">
        <f>INDEX(IIS_Prod!$C$7:$Y$35,MATCH('Inputs_BY IIS'!J$78,IIS_Prod!$C$7:$C$35,0),$B86)</f>
        <v>1.1717176496572654E-2</v>
      </c>
      <c r="K86" s="204">
        <v>0.1</v>
      </c>
      <c r="L86" s="204">
        <f>INDEX(IIS_Prod!$C$7:$Y$35,MATCH('Inputs_BY IIS'!L$78,IIS_Prod!$C$7:$C$35,0),$B86)</f>
        <v>9.9694732120413729E-2</v>
      </c>
      <c r="M86" s="204">
        <f>INDEX(IIS_Prod!$C$7:$Y$35,MATCH('Inputs_BY IIS'!M$78,IIS_Prod!$C$7:$C$35,0),$B86)</f>
        <v>2.2499525717149325E-2</v>
      </c>
      <c r="N86" s="204">
        <f>INDEX(IIS_Prod!$C$7:$Y$35,MATCH('Inputs_BY IIS'!N$78,IIS_Prod!$C$7:$C$35,0),$B86)</f>
        <v>3.1657425574628417E-2</v>
      </c>
      <c r="O86" s="204">
        <f>INDEX(IIS_Prod!$C$7:$Y$35,MATCH('Inputs_BY IIS'!O$78,IIS_Prod!$C$7:$C$35,0),$B86)</f>
        <v>1.9339668686993904E-2</v>
      </c>
      <c r="P86" s="204">
        <f>INDEX(IIS_Prod!$C$7:$Y$35,MATCH('Inputs_BY IIS'!P$78,IIS_Prod!$C$7:$C$35,0),$B86)</f>
        <v>9.8946869849134492E-3</v>
      </c>
      <c r="Q86" s="204">
        <f>INDEX(IIS_Prod!$C$7:$Y$35,MATCH('Inputs_BY IIS'!Q$78,IIS_Prod!$C$7:$C$35,0),$B86)</f>
        <v>5.2471120842436589E-3</v>
      </c>
      <c r="R86" s="204">
        <f>INDEX(IIS_Prod!$C$7:$Y$35,MATCH('Inputs_BY IIS'!R$78,IIS_Prod!$C$7:$C$35,0),$B86)</f>
        <v>3.0481579081362738E-2</v>
      </c>
      <c r="S86" s="204">
        <f>INDEX(IIS_Prod!$C$7:$Y$35,MATCH('Inputs_BY IIS'!S$78,IIS_Prod!$C$7:$C$35,0),$B86)</f>
        <v>2.3692725300715291E-2</v>
      </c>
      <c r="T86" s="204">
        <f>INDEX(IIS_Prod!$C$7:$Y$35,MATCH('Inputs_BY IIS'!T$78,IIS_Prod!$C$7:$C$35,0),$B86)</f>
        <v>6.5716348159457635E-2</v>
      </c>
      <c r="U86" s="204">
        <f>INDEX(IIS_Prod!$C$7:$Y$35,MATCH('Inputs_BY IIS'!U$78,IIS_Prod!$C$7:$C$35,0),$B86)</f>
        <v>2.6595829681207162E-2</v>
      </c>
      <c r="V86" s="204">
        <f>INDEX(IIS_Prod!$C$7:$Y$35,MATCH('Inputs_BY IIS'!V$78,IIS_Prod!$C$7:$C$35,0),$B86)</f>
        <v>3.3331848523512807E-2</v>
      </c>
      <c r="W86" s="204">
        <f>INDEX(IIS_Prod!$C$7:$Y$35,MATCH('Inputs_BY IIS'!W$78,IIS_Prod!$C$7:$C$35,0),$B86)</f>
        <v>0.28087419891661397</v>
      </c>
      <c r="X86" s="204">
        <f>INDEX(IIS_Prod!$C$7:$Y$35,MATCH('Inputs_BY IIS'!X$78,IIS_Prod!$C$7:$C$35,0),$B86)</f>
        <v>2.2961267386048721E-2</v>
      </c>
      <c r="Y86" s="204">
        <f>INDEX(IIS_Prod!$C$7:$Y$35,MATCH('Inputs_BY IIS'!Y$78,IIS_Prod!$C$7:$C$35,0),$B86)</f>
        <v>5.2720710321867197E-2</v>
      </c>
      <c r="Z86" s="204">
        <f>INDEX(IIS_Prod!$C$7:$Y$35,MATCH('Inputs_BY IIS'!Z$78,IIS_Prod!$C$7:$C$35,0),$B86)</f>
        <v>5.9062871340753519E-2</v>
      </c>
      <c r="AA86" s="204">
        <f>INDEX(IIS_Prod!$C$7:$Y$35,MATCH('Inputs_BY IIS'!AA$78,IIS_Prod!$C$7:$C$35,0),$B86)</f>
        <v>0.55016373196922186</v>
      </c>
      <c r="AB86" s="204">
        <f>INDEX(IIS_Prod!$C$7:$Y$35,MATCH('Inputs_BY IIS'!AB$78,IIS_Prod!$C$7:$C$35,0),$B86)</f>
        <v>7.3088431750084032E-2</v>
      </c>
      <c r="AC86" s="204">
        <f>INDEX(IIS_Prod!$C$7:$Y$35,MATCH('Inputs_BY IIS'!AC$78,IIS_Prod!$C$7:$C$35,0),$B86)</f>
        <v>0.10019140814918054</v>
      </c>
      <c r="AD86" s="204">
        <f>INDEX(IIS_Prod!$C$7:$Y$35,MATCH('Inputs_BY IIS'!AD$78,IIS_Prod!$C$7:$C$35,0),$B86)</f>
        <v>3.0769462056505589E-2</v>
      </c>
      <c r="AE86" s="204">
        <f>INDEX(IIS_Prod!$C$7:$Y$35,MATCH('Inputs_BY IIS'!AE$78,IIS_Prod!$C$7:$C$35,0),$B86)</f>
        <v>3.0971591081520571E-2</v>
      </c>
      <c r="AF86" s="204">
        <f>INDEX(IIS_Prod!$C$7:$Y$35,MATCH('Inputs_BY IIS'!AF$78,IIS_Prod!$C$7:$C$35,0),$B86)</f>
        <v>6.6977556636937177E-2</v>
      </c>
    </row>
    <row r="87" spans="2:39" x14ac:dyDescent="0.25">
      <c r="B87" s="115">
        <f>IIS_Prod!Y4</f>
        <v>23</v>
      </c>
      <c r="C87" t="s">
        <v>462</v>
      </c>
      <c r="D87" t="s">
        <v>460</v>
      </c>
      <c r="E87" s="204">
        <f>INDEX(IIS_Prod!$C$7:$Y$35,MATCH('Inputs_BY IIS'!E$78,IIS_Prod!$C$7:$C$35,0),$B87)</f>
        <v>0.89980859185081929</v>
      </c>
      <c r="F87" s="204">
        <f>INDEX(IIS_Prod!$C$7:$Y$35,MATCH('Inputs_BY IIS'!F$78,IIS_Prod!$C$7:$C$35,0),$B87)</f>
        <v>0.3739805784413443</v>
      </c>
      <c r="G87" s="204">
        <f>INDEX(IIS_Prod!$C$7:$Y$35,MATCH('Inputs_BY IIS'!G$78,IIS_Prod!$C$7:$C$35,0),$B87)</f>
        <v>0.89980859185081952</v>
      </c>
      <c r="H87" s="204">
        <f>INDEX(IIS_Prod!$C$7:$Y$35,MATCH('Inputs_BY IIS'!H$78,IIS_Prod!$C$7:$C$35,0),$B87)</f>
        <v>0.3518714615710028</v>
      </c>
      <c r="I87" s="204">
        <f>INDEX(IIS_Prod!$C$7:$Y$35,MATCH('Inputs_BY IIS'!I$78,IIS_Prod!$C$7:$C$35,0),$B87)</f>
        <v>0.22119314138249369</v>
      </c>
      <c r="J87" s="204">
        <f>INDEX(IIS_Prod!$C$7:$Y$35,MATCH('Inputs_BY IIS'!J$78,IIS_Prod!$C$7:$C$35,0),$B87)</f>
        <v>0.10581337148083063</v>
      </c>
      <c r="K87" s="204">
        <v>0.75</v>
      </c>
      <c r="L87" s="204">
        <f>INDEX(IIS_Prod!$C$7:$Y$35,MATCH('Inputs_BY IIS'!L$78,IIS_Prod!$C$7:$C$35,0),$B87)</f>
        <v>0.90030526787958709</v>
      </c>
      <c r="M87" s="204">
        <f>INDEX(IIS_Prod!$C$7:$Y$35,MATCH('Inputs_BY IIS'!M$78,IIS_Prod!$C$7:$C$35,0),$B87)</f>
        <v>0.20240512977157959</v>
      </c>
      <c r="N87" s="204">
        <f>INDEX(IIS_Prod!$C$7:$Y$35,MATCH('Inputs_BY IIS'!N$78,IIS_Prod!$C$7:$C$35,0),$B87)</f>
        <v>0.28506504324012621</v>
      </c>
      <c r="O87" s="204">
        <f>INDEX(IIS_Prod!$C$7:$Y$35,MATCH('Inputs_BY IIS'!O$78,IIS_Prod!$C$7:$C$35,0),$B87)</f>
        <v>0.17426631420471481</v>
      </c>
      <c r="P87" s="204">
        <f>INDEX(IIS_Prod!$C$7:$Y$35,MATCH('Inputs_BY IIS'!P$78,IIS_Prod!$C$7:$C$35,0),$B87)</f>
        <v>8.8098454284638666E-2</v>
      </c>
      <c r="Q87" s="204">
        <f>INDEX(IIS_Prod!$C$7:$Y$35,MATCH('Inputs_BY IIS'!Q$78,IIS_Prod!$C$7:$C$35,0),$B87)</f>
        <v>4.7305965157474553E-2</v>
      </c>
      <c r="R87" s="204">
        <f>INDEX(IIS_Prod!$C$7:$Y$35,MATCH('Inputs_BY IIS'!R$78,IIS_Prod!$C$7:$C$35,0),$B87)</f>
        <v>0.27533287804943257</v>
      </c>
      <c r="S87" s="204">
        <f>INDEX(IIS_Prod!$C$7:$Y$35,MATCH('Inputs_BY IIS'!S$78,IIS_Prod!$C$7:$C$35,0),$B87)</f>
        <v>0.18979529145535659</v>
      </c>
      <c r="T87" s="204">
        <f>INDEX(IIS_Prod!$C$7:$Y$35,MATCH('Inputs_BY IIS'!T$78,IIS_Prod!$C$7:$C$35,0),$B87)</f>
        <v>0.59224304000723582</v>
      </c>
      <c r="U87" s="204">
        <f>INDEX(IIS_Prod!$C$7:$Y$35,MATCH('Inputs_BY IIS'!U$78,IIS_Prod!$C$7:$C$35,0),$B87)</f>
        <v>0.24067182931625253</v>
      </c>
      <c r="V87" s="204">
        <f>INDEX(IIS_Prod!$C$7:$Y$35,MATCH('Inputs_BY IIS'!V$78,IIS_Prod!$C$7:$C$35,0),$B87)</f>
        <v>0.30042724480113769</v>
      </c>
      <c r="W87" s="204">
        <f>INDEX(IIS_Prod!$C$7:$Y$35,MATCH('Inputs_BY IIS'!W$78,IIS_Prod!$C$7:$C$35,0),$B87)</f>
        <v>0.28689288038771626</v>
      </c>
      <c r="X87" s="204">
        <f>INDEX(IIS_Prod!$C$7:$Y$35,MATCH('Inputs_BY IIS'!X$78,IIS_Prod!$C$7:$C$35,0),$B87)</f>
        <v>0.20744241421466456</v>
      </c>
      <c r="Y87" s="204">
        <f>INDEX(IIS_Prod!$C$7:$Y$35,MATCH('Inputs_BY IIS'!Y$78,IIS_Prod!$C$7:$C$35,0),$B87)</f>
        <v>0.47505694222284794</v>
      </c>
      <c r="Z87" s="204">
        <f>INDEX(IIS_Prod!$C$7:$Y$35,MATCH('Inputs_BY IIS'!Z$78,IIS_Prod!$C$7:$C$35,0),$B87)</f>
        <v>0.48738743818294988</v>
      </c>
      <c r="AA87" s="204">
        <f>INDEX(IIS_Prod!$C$7:$Y$35,MATCH('Inputs_BY IIS'!AA$78,IIS_Prod!$C$7:$C$35,0),$B87)</f>
        <v>0.18867732636163242</v>
      </c>
      <c r="AB87" s="204">
        <f>INDEX(IIS_Prod!$C$7:$Y$35,MATCH('Inputs_BY IIS'!AB$78,IIS_Prod!$C$7:$C$35,0),$B87)</f>
        <v>0.66306457350342674</v>
      </c>
      <c r="AC87" s="204">
        <f>INDEX(IIS_Prod!$C$7:$Y$35,MATCH('Inputs_BY IIS'!AC$78,IIS_Prod!$C$7:$C$35,0),$B87)</f>
        <v>0.89980859185081941</v>
      </c>
      <c r="AD87" s="204">
        <f>INDEX(IIS_Prod!$C$7:$Y$35,MATCH('Inputs_BY IIS'!AD$78,IIS_Prod!$C$7:$C$35,0),$B87)</f>
        <v>0.27730919294109091</v>
      </c>
      <c r="AE87" s="204">
        <f>INDEX(IIS_Prod!$C$7:$Y$35,MATCH('Inputs_BY IIS'!AE$78,IIS_Prod!$C$7:$C$35,0),$B87)</f>
        <v>0.27941332673400265</v>
      </c>
      <c r="AF87" s="204">
        <f>INDEX(IIS_Prod!$C$7:$Y$35,MATCH('Inputs_BY IIS'!AF$78,IIS_Prod!$C$7:$C$35,0),$B87)</f>
        <v>0.60319215767313483</v>
      </c>
    </row>
    <row r="88" spans="2:39" x14ac:dyDescent="0.25">
      <c r="C88" s="121"/>
      <c r="E88" s="113"/>
    </row>
    <row r="89" spans="2:39" x14ac:dyDescent="0.25">
      <c r="B89" t="s">
        <v>463</v>
      </c>
      <c r="C89" t="s">
        <v>459</v>
      </c>
      <c r="D89" t="s">
        <v>464</v>
      </c>
      <c r="E89" s="293">
        <v>0.125</v>
      </c>
      <c r="F89" s="293">
        <v>0.125</v>
      </c>
      <c r="G89" s="293">
        <v>0.125</v>
      </c>
      <c r="H89" s="293">
        <v>0.125</v>
      </c>
      <c r="I89" s="293">
        <v>0.125</v>
      </c>
      <c r="J89" s="293">
        <v>0.125</v>
      </c>
      <c r="K89" s="293">
        <v>0.125</v>
      </c>
      <c r="L89" s="293">
        <v>0.125</v>
      </c>
      <c r="M89" s="293">
        <v>0.125</v>
      </c>
      <c r="N89" s="293">
        <v>0.125</v>
      </c>
      <c r="O89" s="293">
        <v>0.125</v>
      </c>
      <c r="P89" s="293">
        <v>0.125</v>
      </c>
      <c r="Q89" s="293">
        <v>0.125</v>
      </c>
      <c r="R89" s="293">
        <v>0.125</v>
      </c>
      <c r="S89" s="293">
        <v>0.125</v>
      </c>
      <c r="T89" s="293">
        <v>0.125</v>
      </c>
      <c r="U89" s="293">
        <v>0.125</v>
      </c>
      <c r="V89" s="293">
        <v>0.125</v>
      </c>
      <c r="W89" s="293">
        <v>0.125</v>
      </c>
      <c r="X89" s="293">
        <v>0.125</v>
      </c>
      <c r="Y89" s="293">
        <v>0.125</v>
      </c>
      <c r="Z89" s="293">
        <v>0.125</v>
      </c>
      <c r="AA89" s="293">
        <v>0.125</v>
      </c>
      <c r="AB89" s="293">
        <v>0.125</v>
      </c>
      <c r="AC89" s="293">
        <v>0.125</v>
      </c>
      <c r="AD89" s="293">
        <v>0.125</v>
      </c>
      <c r="AE89" s="293">
        <v>0.125</v>
      </c>
      <c r="AF89" s="293">
        <v>0.125</v>
      </c>
      <c r="AH89" s="141" t="s">
        <v>275</v>
      </c>
    </row>
    <row r="90" spans="2:39" x14ac:dyDescent="0.25">
      <c r="C90" t="s">
        <v>461</v>
      </c>
      <c r="D90" t="s">
        <v>464</v>
      </c>
      <c r="E90" s="293">
        <v>0.125</v>
      </c>
      <c r="F90" s="293">
        <v>0.125</v>
      </c>
      <c r="G90" s="293">
        <v>0.125</v>
      </c>
      <c r="H90" s="293">
        <v>0.125</v>
      </c>
      <c r="I90" s="293">
        <v>0.125</v>
      </c>
      <c r="J90" s="293">
        <v>0.125</v>
      </c>
      <c r="K90" s="293">
        <v>0.125</v>
      </c>
      <c r="L90" s="293">
        <v>0.125</v>
      </c>
      <c r="M90" s="293">
        <v>0.125</v>
      </c>
      <c r="N90" s="293">
        <v>0.125</v>
      </c>
      <c r="O90" s="293">
        <v>0.125</v>
      </c>
      <c r="P90" s="293">
        <v>0.125</v>
      </c>
      <c r="Q90" s="293">
        <v>0.125</v>
      </c>
      <c r="R90" s="293">
        <v>0.125</v>
      </c>
      <c r="S90" s="293">
        <v>0.125</v>
      </c>
      <c r="T90" s="293">
        <v>0.125</v>
      </c>
      <c r="U90" s="293">
        <v>0.125</v>
      </c>
      <c r="V90" s="293">
        <v>0.125</v>
      </c>
      <c r="W90" s="293">
        <v>0.125</v>
      </c>
      <c r="X90" s="293">
        <v>0.125</v>
      </c>
      <c r="Y90" s="293">
        <v>0.125</v>
      </c>
      <c r="Z90" s="293">
        <v>0.125</v>
      </c>
      <c r="AA90" s="293">
        <v>0.125</v>
      </c>
      <c r="AB90" s="293">
        <v>0.125</v>
      </c>
      <c r="AC90" s="293">
        <v>0.125</v>
      </c>
      <c r="AD90" s="293">
        <v>0.125</v>
      </c>
      <c r="AE90" s="293">
        <v>0.125</v>
      </c>
      <c r="AF90" s="293">
        <v>0.125</v>
      </c>
      <c r="AH90" s="141" t="s">
        <v>275</v>
      </c>
    </row>
    <row r="91" spans="2:39" x14ac:dyDescent="0.25">
      <c r="C91" t="s">
        <v>462</v>
      </c>
      <c r="D91" t="s">
        <v>464</v>
      </c>
      <c r="E91" s="293">
        <v>1.05</v>
      </c>
      <c r="F91" s="293">
        <v>1.05</v>
      </c>
      <c r="G91" s="293">
        <v>1.05</v>
      </c>
      <c r="H91" s="293">
        <v>1.05</v>
      </c>
      <c r="I91" s="293">
        <v>1.05</v>
      </c>
      <c r="J91" s="293">
        <v>1.05</v>
      </c>
      <c r="K91" s="293">
        <v>1.05</v>
      </c>
      <c r="L91" s="293">
        <v>1.05</v>
      </c>
      <c r="M91" s="293">
        <v>1.05</v>
      </c>
      <c r="N91" s="293">
        <v>1.05</v>
      </c>
      <c r="O91" s="293">
        <v>1.05</v>
      </c>
      <c r="P91" s="293">
        <v>1.05</v>
      </c>
      <c r="Q91" s="293">
        <v>1.05</v>
      </c>
      <c r="R91" s="293">
        <v>1.05</v>
      </c>
      <c r="S91" s="293">
        <v>1.05</v>
      </c>
      <c r="T91" s="293">
        <v>1.05</v>
      </c>
      <c r="U91" s="293">
        <v>1.05</v>
      </c>
      <c r="V91" s="293">
        <v>1.05</v>
      </c>
      <c r="W91" s="293">
        <v>1.05</v>
      </c>
      <c r="X91" s="293">
        <v>1.05</v>
      </c>
      <c r="Y91" s="293">
        <v>1.05</v>
      </c>
      <c r="Z91" s="293">
        <v>1.05</v>
      </c>
      <c r="AA91" s="293">
        <v>1.05</v>
      </c>
      <c r="AB91" s="293">
        <v>1.05</v>
      </c>
      <c r="AC91" s="293">
        <v>1.05</v>
      </c>
      <c r="AD91" s="293">
        <v>1.05</v>
      </c>
      <c r="AE91" s="293">
        <v>1.05</v>
      </c>
      <c r="AF91" s="293">
        <v>1.05</v>
      </c>
      <c r="AH91" s="141"/>
    </row>
    <row r="93" spans="2:39" x14ac:dyDescent="0.25">
      <c r="B93" t="s">
        <v>465</v>
      </c>
      <c r="C93" t="s">
        <v>459</v>
      </c>
      <c r="D93" t="s">
        <v>454</v>
      </c>
      <c r="E93" s="193">
        <f>E85*E$81*E89</f>
        <v>0</v>
      </c>
      <c r="F93" s="193">
        <f t="shared" ref="F93:S93" si="7">F85*F$81*F89</f>
        <v>0.12212886937839598</v>
      </c>
      <c r="G93" s="193">
        <f t="shared" si="7"/>
        <v>0</v>
      </c>
      <c r="H93" s="193">
        <f t="shared" si="7"/>
        <v>0.60496932979015239</v>
      </c>
      <c r="I93" s="193">
        <f t="shared" si="7"/>
        <v>0.54031611399304535</v>
      </c>
      <c r="J93" s="193">
        <f t="shared" si="7"/>
        <v>0.43577081505751342</v>
      </c>
      <c r="K93" s="193">
        <f t="shared" si="7"/>
        <v>0.10141360817897586</v>
      </c>
      <c r="L93" s="193">
        <f t="shared" si="7"/>
        <v>0</v>
      </c>
      <c r="M93" s="193">
        <f t="shared" si="7"/>
        <v>3.0624436543292952</v>
      </c>
      <c r="N93" s="193">
        <f t="shared" si="7"/>
        <v>1.2052387873143671</v>
      </c>
      <c r="O93" s="193">
        <f t="shared" si="7"/>
        <v>0.18125877854488678</v>
      </c>
      <c r="P93" s="193">
        <f t="shared" si="7"/>
        <v>106.91827328539983</v>
      </c>
      <c r="Q93" s="193">
        <f t="shared" si="7"/>
        <v>5.2690250037944013</v>
      </c>
      <c r="R93" s="193">
        <f t="shared" si="7"/>
        <v>0.81893368410366763</v>
      </c>
      <c r="S93" s="193">
        <f t="shared" si="7"/>
        <v>2.5832762524755211</v>
      </c>
      <c r="T93" s="193">
        <f>T85*T$81*T89</f>
        <v>2.2647689596461813</v>
      </c>
      <c r="U93" s="193">
        <f t="shared" ref="U93:AF93" si="8">U85*U$81*U89</f>
        <v>6.3584005460006958</v>
      </c>
      <c r="V93" s="193">
        <f t="shared" si="8"/>
        <v>1.5820681519079696</v>
      </c>
      <c r="W93" s="193">
        <f t="shared" si="8"/>
        <v>5.6596031718406463</v>
      </c>
      <c r="X93" s="193">
        <f t="shared" si="8"/>
        <v>9.8555176384479406</v>
      </c>
      <c r="Y93" s="193">
        <f t="shared" si="8"/>
        <v>0.59259184977656409</v>
      </c>
      <c r="Z93" s="193">
        <f t="shared" si="8"/>
        <v>1.1555670616615443</v>
      </c>
      <c r="AA93" s="193">
        <f t="shared" si="8"/>
        <v>0.61272764915594968</v>
      </c>
      <c r="AB93" s="193">
        <f t="shared" si="8"/>
        <v>0.58331559953364953</v>
      </c>
      <c r="AC93" s="193">
        <f t="shared" si="8"/>
        <v>0</v>
      </c>
      <c r="AD93" s="193">
        <f t="shared" si="8"/>
        <v>6.5543683134035655</v>
      </c>
      <c r="AE93" s="193">
        <f t="shared" si="8"/>
        <v>5.975041219387947</v>
      </c>
      <c r="AF93" s="193">
        <f t="shared" si="8"/>
        <v>3.5750562619006789</v>
      </c>
    </row>
    <row r="94" spans="2:39" x14ac:dyDescent="0.25">
      <c r="C94" t="s">
        <v>461</v>
      </c>
      <c r="D94" t="s">
        <v>454</v>
      </c>
      <c r="E94" s="193">
        <f t="shared" ref="E94:S95" si="9">E86*E$81*E90</f>
        <v>6.8965223374935214E-4</v>
      </c>
      <c r="F94" s="193">
        <f t="shared" si="9"/>
        <v>0.25163449405635951</v>
      </c>
      <c r="G94" s="193">
        <f t="shared" si="9"/>
        <v>7.5861745712428597E-4</v>
      </c>
      <c r="H94" s="193">
        <f t="shared" si="9"/>
        <v>3.8923972072813395E-2</v>
      </c>
      <c r="I94" s="193">
        <f t="shared" si="9"/>
        <v>1.7413708464442873E-2</v>
      </c>
      <c r="J94" s="193">
        <f t="shared" si="9"/>
        <v>5.7860400044232457E-3</v>
      </c>
      <c r="K94" s="193">
        <f t="shared" si="9"/>
        <v>6.7609072119317257E-2</v>
      </c>
      <c r="L94" s="193">
        <f t="shared" si="9"/>
        <v>4.2449660872787565E-2</v>
      </c>
      <c r="M94" s="193">
        <f t="shared" si="9"/>
        <v>8.8896843782940271E-2</v>
      </c>
      <c r="N94" s="193">
        <f t="shared" si="9"/>
        <v>5.5840790114779493E-2</v>
      </c>
      <c r="O94" s="193">
        <f t="shared" si="9"/>
        <v>4.3471115227738041E-3</v>
      </c>
      <c r="P94" s="193">
        <f t="shared" si="9"/>
        <v>1.1728545485956339</v>
      </c>
      <c r="Q94" s="193">
        <f t="shared" si="9"/>
        <v>2.9180700370109388E-2</v>
      </c>
      <c r="R94" s="193">
        <f t="shared" si="9"/>
        <v>3.5959250535848419E-2</v>
      </c>
      <c r="S94" s="193">
        <f t="shared" si="9"/>
        <v>7.7818082787915688E-2</v>
      </c>
      <c r="T94" s="193">
        <f t="shared" ref="T94:AF94" si="10">T86*T$81*T90</f>
        <v>0.43513062573217054</v>
      </c>
      <c r="U94" s="193">
        <f t="shared" si="10"/>
        <v>0.23078951003439174</v>
      </c>
      <c r="V94" s="193">
        <f t="shared" si="10"/>
        <v>7.9150432621163724E-2</v>
      </c>
      <c r="W94" s="193">
        <f t="shared" si="10"/>
        <v>3.6777312207459412</v>
      </c>
      <c r="X94" s="193">
        <f t="shared" si="10"/>
        <v>0.29404399464254549</v>
      </c>
      <c r="Y94" s="193">
        <f t="shared" si="10"/>
        <v>6.6159222280618546E-2</v>
      </c>
      <c r="Z94" s="193">
        <f t="shared" si="10"/>
        <v>0.1504820973791301</v>
      </c>
      <c r="AA94" s="193">
        <f t="shared" si="10"/>
        <v>1.2907868594728333</v>
      </c>
      <c r="AB94" s="193">
        <f t="shared" si="10"/>
        <v>0.16158464274432216</v>
      </c>
      <c r="AC94" s="193">
        <f t="shared" si="10"/>
        <v>1.3793044674987025E-3</v>
      </c>
      <c r="AD94" s="193">
        <f t="shared" si="10"/>
        <v>0.29147010506365145</v>
      </c>
      <c r="AE94" s="193">
        <f t="shared" si="10"/>
        <v>0.26834757261386244</v>
      </c>
      <c r="AF94" s="193">
        <f t="shared" si="10"/>
        <v>0.72597497455644255</v>
      </c>
    </row>
    <row r="95" spans="2:39" x14ac:dyDescent="0.25">
      <c r="C95" t="s">
        <v>462</v>
      </c>
      <c r="D95" t="s">
        <v>454</v>
      </c>
      <c r="E95" s="193">
        <f>E87*E$81*E91</f>
        <v>5.2027036459049429E-2</v>
      </c>
      <c r="F95" s="193">
        <f t="shared" si="9"/>
        <v>1.8755871878219184</v>
      </c>
      <c r="G95" s="193">
        <f t="shared" si="9"/>
        <v>5.722974010495438E-2</v>
      </c>
      <c r="H95" s="193">
        <f t="shared" si="9"/>
        <v>2.9364059377487495</v>
      </c>
      <c r="I95" s="193">
        <f t="shared" si="9"/>
        <v>1.3305924118400072</v>
      </c>
      <c r="J95" s="193">
        <f t="shared" si="9"/>
        <v>0.43891285283520054</v>
      </c>
      <c r="K95" s="193">
        <f t="shared" si="9"/>
        <v>4.2593715435169868</v>
      </c>
      <c r="L95" s="193">
        <f t="shared" si="9"/>
        <v>3.2201128477021665</v>
      </c>
      <c r="M95" s="193">
        <f t="shared" si="9"/>
        <v>6.7175944239137744</v>
      </c>
      <c r="N95" s="193">
        <f t="shared" si="9"/>
        <v>4.2237597802543956</v>
      </c>
      <c r="O95" s="193">
        <f t="shared" si="9"/>
        <v>0.32903680844175098</v>
      </c>
      <c r="P95" s="193">
        <f t="shared" si="9"/>
        <v>87.718191905617815</v>
      </c>
      <c r="Q95" s="193">
        <f t="shared" si="9"/>
        <v>2.2098895262108487</v>
      </c>
      <c r="R95" s="193">
        <f t="shared" si="9"/>
        <v>2.7284156406500104</v>
      </c>
      <c r="S95" s="193">
        <f t="shared" si="9"/>
        <v>5.236368815004262</v>
      </c>
      <c r="T95" s="193">
        <f t="shared" ref="T95:AF95" si="11">T87*T$81*T91</f>
        <v>32.940143071431216</v>
      </c>
      <c r="U95" s="193">
        <f t="shared" si="11"/>
        <v>17.543129413718052</v>
      </c>
      <c r="V95" s="193">
        <f t="shared" si="11"/>
        <v>5.9925614265146523</v>
      </c>
      <c r="W95" s="193">
        <f t="shared" si="11"/>
        <v>31.554928224678175</v>
      </c>
      <c r="X95" s="193">
        <f t="shared" si="11"/>
        <v>22.314815594051133</v>
      </c>
      <c r="Y95" s="193">
        <f t="shared" si="11"/>
        <v>5.0076514564118932</v>
      </c>
      <c r="Z95" s="193">
        <f t="shared" si="11"/>
        <v>10.430950799721753</v>
      </c>
      <c r="AA95" s="193">
        <f t="shared" si="11"/>
        <v>3.7184468457803947</v>
      </c>
      <c r="AB95" s="193">
        <f t="shared" si="11"/>
        <v>12.313642763269343</v>
      </c>
      <c r="AC95" s="193">
        <f t="shared" si="11"/>
        <v>0.10405407291809886</v>
      </c>
      <c r="AD95" s="193">
        <f t="shared" si="11"/>
        <v>22.065697847010668</v>
      </c>
      <c r="AE95" s="193">
        <f t="shared" si="11"/>
        <v>20.335766974854451</v>
      </c>
      <c r="AF95" s="193">
        <f t="shared" si="11"/>
        <v>54.919594559446551</v>
      </c>
    </row>
    <row r="96" spans="2:39" x14ac:dyDescent="0.25">
      <c r="C96" t="s">
        <v>466</v>
      </c>
      <c r="D96" t="s">
        <v>454</v>
      </c>
      <c r="E96" s="217">
        <f>SUM(E93:E95)</f>
        <v>5.2716688692798781E-2</v>
      </c>
      <c r="F96" s="217">
        <f t="shared" ref="F96:AF96" si="12">SUM(F93:F95)</f>
        <v>2.2493505512566738</v>
      </c>
      <c r="G96" s="217">
        <f t="shared" si="12"/>
        <v>5.7988357562078666E-2</v>
      </c>
      <c r="H96" s="217">
        <f t="shared" si="12"/>
        <v>3.5802992396117155</v>
      </c>
      <c r="I96" s="217">
        <f t="shared" si="12"/>
        <v>1.8883222342974955</v>
      </c>
      <c r="J96" s="217">
        <f t="shared" si="12"/>
        <v>0.88046970789713719</v>
      </c>
      <c r="K96" s="217">
        <f t="shared" si="12"/>
        <v>4.42839422381528</v>
      </c>
      <c r="L96" s="217">
        <f t="shared" si="12"/>
        <v>3.2625625085749541</v>
      </c>
      <c r="M96" s="217">
        <f t="shared" si="12"/>
        <v>9.8689349220260105</v>
      </c>
      <c r="N96" s="217">
        <f t="shared" si="12"/>
        <v>5.4848393576835424</v>
      </c>
      <c r="O96" s="217">
        <f t="shared" si="12"/>
        <v>0.51464269850941158</v>
      </c>
      <c r="P96" s="217">
        <f t="shared" si="12"/>
        <v>195.80931973961327</v>
      </c>
      <c r="Q96" s="217">
        <f t="shared" si="12"/>
        <v>7.5080952303753596</v>
      </c>
      <c r="R96" s="217">
        <f t="shared" si="12"/>
        <v>3.5833085752895264</v>
      </c>
      <c r="S96" s="217">
        <f t="shared" si="12"/>
        <v>7.8974631502676989</v>
      </c>
      <c r="T96" s="217">
        <f t="shared" si="12"/>
        <v>35.64004265680957</v>
      </c>
      <c r="U96" s="217">
        <f t="shared" si="12"/>
        <v>24.132319469753142</v>
      </c>
      <c r="V96" s="217">
        <f t="shared" si="12"/>
        <v>7.6537800110437857</v>
      </c>
      <c r="W96" s="217">
        <f t="shared" si="12"/>
        <v>40.892262617264763</v>
      </c>
      <c r="X96" s="217">
        <f t="shared" si="12"/>
        <v>32.464377227141618</v>
      </c>
      <c r="Y96" s="217">
        <f t="shared" si="12"/>
        <v>5.6664025284690762</v>
      </c>
      <c r="Z96" s="217">
        <f t="shared" si="12"/>
        <v>11.736999958762427</v>
      </c>
      <c r="AA96" s="217">
        <f t="shared" si="12"/>
        <v>5.6219613544091782</v>
      </c>
      <c r="AB96" s="217">
        <f t="shared" si="12"/>
        <v>13.058543005547314</v>
      </c>
      <c r="AC96" s="217">
        <f t="shared" si="12"/>
        <v>0.10543337738559756</v>
      </c>
      <c r="AD96" s="217">
        <f t="shared" si="12"/>
        <v>28.911536265477885</v>
      </c>
      <c r="AE96" s="217">
        <f t="shared" si="12"/>
        <v>26.57915576685626</v>
      </c>
      <c r="AF96" s="217">
        <f t="shared" si="12"/>
        <v>59.220625795903672</v>
      </c>
    </row>
    <row r="97" spans="1:32" x14ac:dyDescent="0.25">
      <c r="E97" s="217"/>
      <c r="F97" s="217"/>
      <c r="G97" s="217"/>
      <c r="H97" s="217"/>
      <c r="I97" s="217"/>
      <c r="J97" s="217"/>
      <c r="K97" s="217"/>
      <c r="L97" s="217"/>
      <c r="M97" s="217"/>
      <c r="N97" s="217"/>
      <c r="O97" s="217"/>
      <c r="P97" s="217"/>
      <c r="Q97" s="217"/>
      <c r="R97" s="217"/>
      <c r="S97" s="217"/>
      <c r="T97" s="217"/>
      <c r="U97" s="217"/>
      <c r="V97" s="217"/>
      <c r="W97" s="217"/>
      <c r="X97" s="217"/>
      <c r="Y97" s="217"/>
      <c r="Z97" s="217"/>
      <c r="AA97" s="217"/>
      <c r="AB97" s="217"/>
      <c r="AC97" s="217"/>
      <c r="AD97" s="217"/>
      <c r="AE97" s="217"/>
      <c r="AF97" s="217"/>
    </row>
    <row r="98" spans="1:32" x14ac:dyDescent="0.25">
      <c r="C98" t="s">
        <v>467</v>
      </c>
      <c r="D98" t="s">
        <v>454</v>
      </c>
      <c r="E98" s="217">
        <f>E85*E81</f>
        <v>0</v>
      </c>
      <c r="F98" s="217">
        <f t="shared" ref="F98:AF98" si="13">F85*F81</f>
        <v>0.97703095502716786</v>
      </c>
      <c r="G98" s="217">
        <f t="shared" si="13"/>
        <v>0</v>
      </c>
      <c r="H98" s="217">
        <f t="shared" si="13"/>
        <v>4.8397546383212191</v>
      </c>
      <c r="I98" s="217">
        <f t="shared" si="13"/>
        <v>4.3225289119443628</v>
      </c>
      <c r="J98" s="217">
        <f t="shared" si="13"/>
        <v>3.4861665204601073</v>
      </c>
      <c r="K98" s="217">
        <f t="shared" si="13"/>
        <v>0.81130886543180691</v>
      </c>
      <c r="L98" s="217">
        <f t="shared" si="13"/>
        <v>0</v>
      </c>
      <c r="M98" s="217">
        <f t="shared" si="13"/>
        <v>24.499549234634362</v>
      </c>
      <c r="N98" s="217">
        <f t="shared" si="13"/>
        <v>9.6419102985149365</v>
      </c>
      <c r="O98" s="217">
        <f t="shared" si="13"/>
        <v>1.4500702283590943</v>
      </c>
      <c r="P98" s="217">
        <f t="shared" si="13"/>
        <v>855.34618628319868</v>
      </c>
      <c r="Q98" s="217">
        <f t="shared" si="13"/>
        <v>42.15220003035521</v>
      </c>
      <c r="R98" s="217">
        <f t="shared" si="13"/>
        <v>6.551469472829341</v>
      </c>
      <c r="S98" s="217">
        <f t="shared" si="13"/>
        <v>20.666210019804168</v>
      </c>
      <c r="T98" s="217">
        <f t="shared" si="13"/>
        <v>18.11815167716945</v>
      </c>
      <c r="U98" s="217">
        <f t="shared" si="13"/>
        <v>50.867204368005567</v>
      </c>
      <c r="V98" s="217">
        <f t="shared" si="13"/>
        <v>12.656545215263757</v>
      </c>
      <c r="W98" s="217">
        <f t="shared" si="13"/>
        <v>45.276825374725171</v>
      </c>
      <c r="X98" s="217">
        <f t="shared" si="13"/>
        <v>78.844141107583525</v>
      </c>
      <c r="Y98" s="217">
        <f t="shared" si="13"/>
        <v>4.7407347982125128</v>
      </c>
      <c r="Z98" s="217">
        <f t="shared" si="13"/>
        <v>9.2445364932923546</v>
      </c>
      <c r="AA98" s="217">
        <f t="shared" si="13"/>
        <v>4.9018211932475975</v>
      </c>
      <c r="AB98" s="217">
        <f t="shared" si="13"/>
        <v>4.6665247962691963</v>
      </c>
      <c r="AC98" s="217">
        <f t="shared" si="13"/>
        <v>0</v>
      </c>
      <c r="AD98" s="217">
        <f t="shared" si="13"/>
        <v>52.434946507228524</v>
      </c>
      <c r="AE98" s="217">
        <f t="shared" si="13"/>
        <v>47.800329755103576</v>
      </c>
      <c r="AF98" s="217">
        <f t="shared" si="13"/>
        <v>28.600450095205431</v>
      </c>
    </row>
    <row r="99" spans="1:32" x14ac:dyDescent="0.25">
      <c r="E99" s="94">
        <f>E98/(SUM($E$98:$AF$98))</f>
        <v>0</v>
      </c>
      <c r="F99" s="94">
        <f t="shared" ref="F99:AF99" si="14">F98/(SUM($E$98:$AF$98))</f>
        <v>7.330133165193406E-4</v>
      </c>
      <c r="G99" s="94">
        <f t="shared" si="14"/>
        <v>0</v>
      </c>
      <c r="H99" s="94">
        <f t="shared" si="14"/>
        <v>3.6310053231394823E-3</v>
      </c>
      <c r="I99" s="94">
        <f t="shared" si="14"/>
        <v>3.242958922838806E-3</v>
      </c>
      <c r="J99" s="94">
        <f t="shared" si="14"/>
        <v>2.6154815975406795E-3</v>
      </c>
      <c r="K99" s="94">
        <f t="shared" si="14"/>
        <v>6.0868102398575037E-4</v>
      </c>
      <c r="L99" s="94">
        <f t="shared" si="14"/>
        <v>0</v>
      </c>
      <c r="M99" s="94">
        <f t="shared" si="14"/>
        <v>1.8380682562108629E-2</v>
      </c>
      <c r="N99" s="94">
        <f t="shared" si="14"/>
        <v>7.2338021729310429E-3</v>
      </c>
      <c r="O99" s="94">
        <f t="shared" si="14"/>
        <v>1.0879090184465047E-3</v>
      </c>
      <c r="P99" s="94">
        <f t="shared" si="14"/>
        <v>0.64171983656565212</v>
      </c>
      <c r="Q99" s="94">
        <f t="shared" si="14"/>
        <v>3.1624508705538561E-2</v>
      </c>
      <c r="R99" s="94">
        <f t="shared" si="14"/>
        <v>4.9152120939917566E-3</v>
      </c>
      <c r="S99" s="94">
        <f t="shared" si="14"/>
        <v>1.5504736127915876E-2</v>
      </c>
      <c r="T99" s="94">
        <f t="shared" si="14"/>
        <v>1.3593066198924206E-2</v>
      </c>
      <c r="U99" s="94">
        <f t="shared" si="14"/>
        <v>3.8162903625527447E-2</v>
      </c>
      <c r="V99" s="94">
        <f t="shared" si="14"/>
        <v>9.4955191912619637E-3</v>
      </c>
      <c r="W99" s="94">
        <f t="shared" si="14"/>
        <v>3.3968745574157855E-2</v>
      </c>
      <c r="X99" s="94">
        <f t="shared" si="14"/>
        <v>5.9152481366142214E-2</v>
      </c>
      <c r="Y99" s="94">
        <f t="shared" si="14"/>
        <v>3.5567161094499536E-3</v>
      </c>
      <c r="Z99" s="94">
        <f t="shared" si="14"/>
        <v>6.9356741664790712E-3</v>
      </c>
      <c r="AA99" s="94">
        <f t="shared" si="14"/>
        <v>3.6775704918656353E-3</v>
      </c>
      <c r="AB99" s="94">
        <f t="shared" si="14"/>
        <v>3.5010403712724823E-3</v>
      </c>
      <c r="AC99" s="94">
        <f t="shared" si="14"/>
        <v>0</v>
      </c>
      <c r="AD99" s="94">
        <f t="shared" si="14"/>
        <v>3.9339095494378716E-2</v>
      </c>
      <c r="AE99" s="94">
        <f t="shared" si="14"/>
        <v>3.5861993997449444E-2</v>
      </c>
      <c r="AF99" s="94">
        <f t="shared" si="14"/>
        <v>2.1457365982482584E-2</v>
      </c>
    </row>
    <row r="100" spans="1:32" hidden="1" x14ac:dyDescent="0.25">
      <c r="A100" s="138" t="s">
        <v>468</v>
      </c>
      <c r="B100" s="139"/>
      <c r="C100" s="139"/>
    </row>
    <row r="101" spans="1:32" hidden="1" x14ac:dyDescent="0.25"/>
    <row r="102" spans="1:32" ht="15.75" hidden="1" x14ac:dyDescent="0.25">
      <c r="A102" s="122" t="s">
        <v>469</v>
      </c>
      <c r="B102" s="122"/>
      <c r="E102" s="116" t="str">
        <f>INDEX(IIS_Prod!$B$7:$K$35,MATCH('Inputs_BY IIS'!E$78,IIS_Prod!$C$7:$C$35,0),1)</f>
        <v>Eastern Africa</v>
      </c>
      <c r="F102" s="116" t="str">
        <f>INDEX(IIS_Prod!$B$7:$K$35,MATCH('Inputs_BY IIS'!F$78,IIS_Prod!$C$7:$C$35,0),1)</f>
        <v>Northern Africa</v>
      </c>
      <c r="G102" s="116" t="str">
        <f>INDEX(IIS_Prod!$B$7:$K$35,MATCH('Inputs_BY IIS'!G$78,IIS_Prod!$C$7:$C$35,0),1)</f>
        <v>Western Africa</v>
      </c>
      <c r="H102" s="116" t="str">
        <f>INDEX(IIS_Prod!$B$7:$K$35,MATCH('Inputs_BY IIS'!H$78,IIS_Prod!$C$7:$C$35,0),1)</f>
        <v>Southern Africa</v>
      </c>
      <c r="I102" s="116" t="str">
        <f>INDEX(IIS_Prod!$B$7:$K$35,MATCH('Inputs_BY IIS'!I$78,IIS_Prod!$C$7:$C$35,0),1)</f>
        <v>Australia and New Zealand</v>
      </c>
      <c r="J102" s="116" t="str">
        <f>INDEX(IIS_Prod!$B$7:$K$35,MATCH('Inputs_BY IIS'!J$78,IIS_Prod!$C$7:$C$35,0),1)</f>
        <v>Central Asia</v>
      </c>
      <c r="K102" s="116" t="str">
        <f>INDEX(IIS_Prod!$B$7:$K$35,MATCH('Inputs_BY IIS'!K$78,IIS_Prod!$C$7:$C$35,0),1)</f>
        <v>Southeast Asia</v>
      </c>
      <c r="L102" s="116" t="str">
        <f>INDEX(IIS_Prod!$B$7:$K$35,MATCH('Inputs_BY IIS'!L$78,IIS_Prod!$C$7:$C$35,0),1)</f>
        <v>South Asia</v>
      </c>
      <c r="M102" s="116" t="str">
        <f>INDEX(IIS_Prod!$B$7:$K$35,MATCH('Inputs_BY IIS'!M$78,IIS_Prod!$C$7:$C$35,0),1)</f>
        <v>Brazil</v>
      </c>
      <c r="N102" s="116" t="str">
        <f>INDEX(IIS_Prod!$B$7:$K$35,MATCH('Inputs_BY IIS'!N$78,IIS_Prod!$C$7:$C$35,0),1)</f>
        <v>Canada</v>
      </c>
      <c r="O102" s="116" t="str">
        <f>INDEX(IIS_Prod!$B$7:$K$35,MATCH('Inputs_BY IIS'!O$78,IIS_Prod!$C$7:$C$35,0),1)</f>
        <v>Chile</v>
      </c>
      <c r="P102" s="116" t="str">
        <f>INDEX(IIS_Prod!$B$7:$K$35,MATCH('Inputs_BY IIS'!P$78,IIS_Prod!$C$7:$C$35,0),1)</f>
        <v>China</v>
      </c>
      <c r="Q102" s="116" t="str">
        <f>INDEX(IIS_Prod!$B$7:$K$35,MATCH('Inputs_BY IIS'!Q$78,IIS_Prod!$C$7:$C$35,0),1)</f>
        <v>Non-EU Eastern Europe</v>
      </c>
      <c r="R102" s="116" t="str">
        <f>INDEX(IIS_Prod!$B$7:$K$35,MATCH('Inputs_BY IIS'!R$78,IIS_Prod!$C$7:$C$35,0),1)</f>
        <v>Non-EU Western Europe</v>
      </c>
      <c r="S102" s="116" t="str">
        <f>INDEX(IIS_Prod!$B$7:$K$35,MATCH('Inputs_BY IIS'!S$78,IIS_Prod!$C$7:$C$35,0),1)</f>
        <v>Eastern Europe Union</v>
      </c>
      <c r="T102" s="116" t="str">
        <f>INDEX(IIS_Prod!$B$7:$K$35,MATCH('Inputs_BY IIS'!T$78,IIS_Prod!$C$7:$C$35,0),1)</f>
        <v>Mediterranean- Europe Union</v>
      </c>
      <c r="U102" s="116" t="str">
        <f>INDEX(IIS_Prod!$B$7:$K$35,MATCH('Inputs_BY IIS'!U$78,IIS_Prod!$C$7:$C$35,0),1)</f>
        <v>Western Europe Union</v>
      </c>
      <c r="V102" s="116" t="str">
        <f>INDEX(IIS_Prod!$B$7:$K$35,MATCH('Inputs_BY IIS'!V$78,IIS_Prod!$C$7:$C$35,0),1)</f>
        <v>Indonesia, Philippines, Vietnam</v>
      </c>
      <c r="W102" s="116" t="str">
        <f>INDEX(IIS_Prod!$B$7:$K$35,MATCH('Inputs_BY IIS'!W$78,IIS_Prod!$C$7:$C$35,0),1)</f>
        <v>India</v>
      </c>
      <c r="X102" s="116" t="str">
        <f>INDEX(IIS_Prod!$B$7:$K$35,MATCH('Inputs_BY IIS'!X$78,IIS_Prod!$C$7:$C$35,0),1)</f>
        <v>Japan</v>
      </c>
      <c r="Y102" s="116" t="str">
        <f>INDEX(IIS_Prod!$B$7:$K$35,MATCH('Inputs_BY IIS'!Y$78,IIS_Prod!$C$7:$C$35,0),1)</f>
        <v>Latin America</v>
      </c>
      <c r="Z102" s="116" t="str">
        <f>INDEX(IIS_Prod!$B$7:$K$35,MATCH('Inputs_BY IIS'!Z$78,IIS_Prod!$C$7:$C$35,0),1)</f>
        <v>Mediterranean Asia</v>
      </c>
      <c r="AA102" s="116" t="str">
        <f>INDEX(IIS_Prod!$B$7:$K$35,MATCH('Inputs_BY IIS'!AA$78,IIS_Prod!$C$7:$C$35,0),1)</f>
        <v>Middle East (Gulf States)</v>
      </c>
      <c r="AB102" s="116" t="str">
        <f>INDEX(IIS_Prod!$B$7:$K$35,MATCH('Inputs_BY IIS'!AB$78,IIS_Prod!$C$7:$C$35,0),1)</f>
        <v>Mexico</v>
      </c>
      <c r="AC102" s="116" t="str">
        <f>INDEX(IIS_Prod!$B$7:$K$35,MATCH('Inputs_BY IIS'!AC$78,IIS_Prod!$C$7:$C$35,0),1)</f>
        <v>Nigeria</v>
      </c>
      <c r="AD102" s="116" t="str">
        <f>INDEX(IIS_Prod!$B$7:$K$35,MATCH('Inputs_BY IIS'!AD$78,IIS_Prod!$C$7:$C$35,0),1)</f>
        <v>Russia Federation</v>
      </c>
      <c r="AE102" s="116" t="str">
        <f>INDEX(IIS_Prod!$B$7:$K$35,MATCH('Inputs_BY IIS'!AE$78,IIS_Prod!$C$7:$C$35,0),1)</f>
        <v>South Korea</v>
      </c>
      <c r="AF102" s="116" t="str">
        <f>INDEX(IIS_Prod!$B$7:$K$35,MATCH('Inputs_BY IIS'!AF$78,IIS_Prod!$C$7:$C$35,0),1)</f>
        <v>United States</v>
      </c>
    </row>
    <row r="103" spans="1:32" hidden="1" x14ac:dyDescent="0.25">
      <c r="E103" s="91" t="s">
        <v>162</v>
      </c>
      <c r="F103" s="91" t="s">
        <v>164</v>
      </c>
      <c r="G103" s="91" t="s">
        <v>166</v>
      </c>
      <c r="H103" s="91" t="s">
        <v>168</v>
      </c>
      <c r="I103" s="91" t="s">
        <v>170</v>
      </c>
      <c r="J103" s="91" t="s">
        <v>173</v>
      </c>
      <c r="K103" s="91" t="s">
        <v>175</v>
      </c>
      <c r="L103" s="91" t="s">
        <v>177</v>
      </c>
      <c r="M103" s="91" t="s">
        <v>179</v>
      </c>
      <c r="N103" s="91" t="s">
        <v>181</v>
      </c>
      <c r="O103" s="91" t="s">
        <v>183</v>
      </c>
      <c r="P103" s="91" t="s">
        <v>185</v>
      </c>
      <c r="Q103" s="91" t="s">
        <v>188</v>
      </c>
      <c r="R103" s="91" t="s">
        <v>190</v>
      </c>
      <c r="S103" s="91" t="s">
        <v>192</v>
      </c>
      <c r="T103" s="91" t="s">
        <v>194</v>
      </c>
      <c r="U103" s="91" t="s">
        <v>196</v>
      </c>
      <c r="V103" s="91" t="s">
        <v>198</v>
      </c>
      <c r="W103" s="91" t="s">
        <v>9</v>
      </c>
      <c r="X103" s="91" t="s">
        <v>201</v>
      </c>
      <c r="Y103" s="91" t="s">
        <v>203</v>
      </c>
      <c r="Z103" s="91" t="s">
        <v>205</v>
      </c>
      <c r="AA103" s="91" t="s">
        <v>207</v>
      </c>
      <c r="AB103" s="91" t="s">
        <v>210</v>
      </c>
      <c r="AC103" s="91" t="s">
        <v>212</v>
      </c>
      <c r="AD103" s="91" t="s">
        <v>214</v>
      </c>
      <c r="AE103" s="91" t="s">
        <v>217</v>
      </c>
      <c r="AF103" s="92" t="s">
        <v>219</v>
      </c>
    </row>
    <row r="104" spans="1:32" hidden="1" x14ac:dyDescent="0.25">
      <c r="A104" t="s">
        <v>436</v>
      </c>
      <c r="B104" t="s">
        <v>390</v>
      </c>
      <c r="C104" t="s">
        <v>470</v>
      </c>
      <c r="D104" t="s">
        <v>471</v>
      </c>
      <c r="E104" t="str">
        <f t="shared" ref="E104:AF104" si="15">IF(E16=0,"",-E16/E$29)</f>
        <v/>
      </c>
      <c r="F104" s="193">
        <f t="shared" si="15"/>
        <v>1.1074531321444903</v>
      </c>
      <c r="G104" s="193" t="str">
        <f t="shared" si="15"/>
        <v/>
      </c>
      <c r="H104" s="193">
        <f t="shared" si="15"/>
        <v>1.4924940695000271</v>
      </c>
      <c r="I104" s="193">
        <f t="shared" si="15"/>
        <v>1.5359945497211778</v>
      </c>
      <c r="J104" s="193">
        <f t="shared" si="15"/>
        <v>1.2162720223417214</v>
      </c>
      <c r="K104" s="193" t="str">
        <f t="shared" si="15"/>
        <v/>
      </c>
      <c r="L104" s="193" t="str">
        <f t="shared" si="15"/>
        <v/>
      </c>
      <c r="M104" s="193">
        <f t="shared" si="15"/>
        <v>1.109968538913503</v>
      </c>
      <c r="N104" s="193">
        <f t="shared" si="15"/>
        <v>1.3754241994200036</v>
      </c>
      <c r="O104" s="193">
        <f t="shared" si="15"/>
        <v>1.3049312853678254</v>
      </c>
      <c r="P104" s="193">
        <f t="shared" si="15"/>
        <v>1.134996697115491</v>
      </c>
      <c r="Q104" s="193">
        <f t="shared" si="15"/>
        <v>1.2582901373978967</v>
      </c>
      <c r="R104" s="193">
        <f t="shared" si="15"/>
        <v>1.3297762565122191</v>
      </c>
      <c r="S104" s="193">
        <f t="shared" si="15"/>
        <v>1.2931688734826865</v>
      </c>
      <c r="T104" s="193">
        <f t="shared" si="15"/>
        <v>1.2604153902708002</v>
      </c>
      <c r="U104" s="193">
        <f t="shared" si="15"/>
        <v>1.213107208682153</v>
      </c>
      <c r="V104" s="193">
        <f t="shared" si="15"/>
        <v>1.2161816846072764</v>
      </c>
      <c r="W104" s="193">
        <f t="shared" si="15"/>
        <v>1.1797588140598234</v>
      </c>
      <c r="X104" s="193">
        <f t="shared" si="15"/>
        <v>1.3144751284843947</v>
      </c>
      <c r="Y104" s="193">
        <f t="shared" si="15"/>
        <v>1.2711480452589032</v>
      </c>
      <c r="Z104" s="193">
        <f t="shared" si="15"/>
        <v>1.3166331093271972</v>
      </c>
      <c r="AA104" s="193">
        <f t="shared" si="15"/>
        <v>1.2095156532495956</v>
      </c>
      <c r="AB104" s="193">
        <f t="shared" si="15"/>
        <v>1.3309219263297687</v>
      </c>
      <c r="AC104" s="193" t="str">
        <f t="shared" si="15"/>
        <v/>
      </c>
      <c r="AD104" s="193">
        <f t="shared" si="15"/>
        <v>1.4595512778388224</v>
      </c>
      <c r="AE104" s="193">
        <f t="shared" si="15"/>
        <v>1.4064400537715744</v>
      </c>
      <c r="AF104" s="193">
        <f t="shared" si="15"/>
        <v>1.3098369621450638</v>
      </c>
    </row>
    <row r="105" spans="1:32" hidden="1" x14ac:dyDescent="0.25">
      <c r="A105" t="s">
        <v>436</v>
      </c>
      <c r="B105" t="s">
        <v>402</v>
      </c>
      <c r="C105" t="s">
        <v>470</v>
      </c>
      <c r="D105" t="s">
        <v>471</v>
      </c>
      <c r="E105" t="str">
        <f t="shared" ref="E105:AF105" si="16">IF(E17=0,"",-E17/E$29)</f>
        <v/>
      </c>
      <c r="F105" s="193" t="str">
        <f t="shared" si="16"/>
        <v/>
      </c>
      <c r="G105" s="193" t="str">
        <f t="shared" si="16"/>
        <v/>
      </c>
      <c r="H105" s="193" t="str">
        <f t="shared" si="16"/>
        <v/>
      </c>
      <c r="I105" s="193" t="str">
        <f t="shared" si="16"/>
        <v/>
      </c>
      <c r="J105" s="193" t="str">
        <f t="shared" si="16"/>
        <v/>
      </c>
      <c r="K105" s="193" t="str">
        <f t="shared" si="16"/>
        <v/>
      </c>
      <c r="L105" s="193" t="str">
        <f t="shared" si="16"/>
        <v/>
      </c>
      <c r="M105" s="193" t="str">
        <f t="shared" si="16"/>
        <v/>
      </c>
      <c r="N105" s="193" t="str">
        <f t="shared" si="16"/>
        <v/>
      </c>
      <c r="O105" s="193" t="str">
        <f t="shared" si="16"/>
        <v/>
      </c>
      <c r="P105" s="193" t="str">
        <f t="shared" si="16"/>
        <v/>
      </c>
      <c r="Q105" s="193" t="str">
        <f t="shared" si="16"/>
        <v/>
      </c>
      <c r="R105" s="193" t="str">
        <f t="shared" si="16"/>
        <v/>
      </c>
      <c r="S105" s="193" t="str">
        <f t="shared" si="16"/>
        <v/>
      </c>
      <c r="T105" s="193" t="str">
        <f t="shared" si="16"/>
        <v/>
      </c>
      <c r="U105" s="193">
        <f t="shared" si="16"/>
        <v>1.5867216030329395E-2</v>
      </c>
      <c r="V105" s="193" t="str">
        <f t="shared" si="16"/>
        <v/>
      </c>
      <c r="W105" s="193" t="str">
        <f t="shared" si="16"/>
        <v/>
      </c>
      <c r="X105" s="193" t="str">
        <f t="shared" si="16"/>
        <v/>
      </c>
      <c r="Y105" s="193" t="str">
        <f t="shared" si="16"/>
        <v/>
      </c>
      <c r="Z105" s="193" t="str">
        <f t="shared" si="16"/>
        <v/>
      </c>
      <c r="AA105" s="193" t="str">
        <f t="shared" si="16"/>
        <v/>
      </c>
      <c r="AB105" s="193" t="str">
        <f t="shared" si="16"/>
        <v/>
      </c>
      <c r="AC105" s="193" t="str">
        <f t="shared" si="16"/>
        <v/>
      </c>
      <c r="AD105" s="193" t="str">
        <f t="shared" si="16"/>
        <v/>
      </c>
      <c r="AE105" s="193" t="str">
        <f t="shared" si="16"/>
        <v/>
      </c>
      <c r="AF105" s="193" t="str">
        <f t="shared" si="16"/>
        <v/>
      </c>
    </row>
    <row r="106" spans="1:32" hidden="1" x14ac:dyDescent="0.25">
      <c r="A106" t="s">
        <v>436</v>
      </c>
      <c r="B106" t="s">
        <v>392</v>
      </c>
      <c r="C106" t="s">
        <v>470</v>
      </c>
      <c r="D106" t="s">
        <v>471</v>
      </c>
      <c r="E106" t="str">
        <f t="shared" ref="E106:AF106" si="17">IF(E18=0,"",-E18/E$29)</f>
        <v/>
      </c>
      <c r="F106" s="193" t="str">
        <f t="shared" si="17"/>
        <v/>
      </c>
      <c r="G106" s="193" t="str">
        <f t="shared" si="17"/>
        <v/>
      </c>
      <c r="H106" s="193" t="str">
        <f t="shared" si="17"/>
        <v/>
      </c>
      <c r="I106" s="193" t="str">
        <f t="shared" si="17"/>
        <v/>
      </c>
      <c r="J106" s="193" t="str">
        <f t="shared" si="17"/>
        <v/>
      </c>
      <c r="K106" s="193" t="str">
        <f t="shared" si="17"/>
        <v/>
      </c>
      <c r="L106" s="193" t="str">
        <f t="shared" si="17"/>
        <v/>
      </c>
      <c r="M106" s="193" t="str">
        <f t="shared" si="17"/>
        <v/>
      </c>
      <c r="N106" s="193" t="str">
        <f t="shared" si="17"/>
        <v/>
      </c>
      <c r="O106" s="193" t="str">
        <f t="shared" si="17"/>
        <v/>
      </c>
      <c r="P106" s="193" t="str">
        <f t="shared" si="17"/>
        <v/>
      </c>
      <c r="Q106" s="193" t="str">
        <f t="shared" si="17"/>
        <v/>
      </c>
      <c r="R106" s="193">
        <f t="shared" si="17"/>
        <v>2.521833236856014E-2</v>
      </c>
      <c r="S106" s="193" t="str">
        <f t="shared" si="17"/>
        <v/>
      </c>
      <c r="T106" s="193" t="str">
        <f t="shared" si="17"/>
        <v/>
      </c>
      <c r="U106" s="193" t="str">
        <f t="shared" si="17"/>
        <v/>
      </c>
      <c r="V106" s="193" t="str">
        <f t="shared" si="17"/>
        <v/>
      </c>
      <c r="W106" s="193" t="str">
        <f t="shared" si="17"/>
        <v/>
      </c>
      <c r="X106" s="193" t="str">
        <f t="shared" si="17"/>
        <v/>
      </c>
      <c r="Y106" s="193" t="str">
        <f t="shared" si="17"/>
        <v/>
      </c>
      <c r="Z106" s="193" t="str">
        <f t="shared" si="17"/>
        <v/>
      </c>
      <c r="AA106" s="193" t="str">
        <f t="shared" si="17"/>
        <v/>
      </c>
      <c r="AB106" s="193" t="str">
        <f t="shared" si="17"/>
        <v/>
      </c>
      <c r="AC106" s="193" t="str">
        <f t="shared" si="17"/>
        <v/>
      </c>
      <c r="AD106" s="193" t="str">
        <f t="shared" si="17"/>
        <v/>
      </c>
      <c r="AE106" s="193" t="str">
        <f t="shared" si="17"/>
        <v/>
      </c>
      <c r="AF106" s="193" t="str">
        <f t="shared" si="17"/>
        <v/>
      </c>
    </row>
    <row r="107" spans="1:32" hidden="1" x14ac:dyDescent="0.25">
      <c r="A107" t="s">
        <v>436</v>
      </c>
      <c r="B107" t="s">
        <v>409</v>
      </c>
      <c r="C107" t="s">
        <v>470</v>
      </c>
      <c r="D107" t="s">
        <v>471</v>
      </c>
      <c r="E107" t="str">
        <f t="shared" ref="E107:AF107" si="18">IF(E19=0,"",-E19/E$29)</f>
        <v/>
      </c>
      <c r="F107" s="193" t="str">
        <f t="shared" si="18"/>
        <v/>
      </c>
      <c r="G107" s="193" t="str">
        <f t="shared" si="18"/>
        <v/>
      </c>
      <c r="H107" s="193" t="str">
        <f t="shared" si="18"/>
        <v/>
      </c>
      <c r="I107" s="193" t="str">
        <f t="shared" si="18"/>
        <v/>
      </c>
      <c r="J107" s="193" t="str">
        <f t="shared" si="18"/>
        <v/>
      </c>
      <c r="K107" s="193" t="str">
        <f t="shared" si="18"/>
        <v/>
      </c>
      <c r="L107" s="193" t="str">
        <f t="shared" si="18"/>
        <v/>
      </c>
      <c r="M107" s="193" t="str">
        <f t="shared" si="18"/>
        <v/>
      </c>
      <c r="N107" s="193" t="str">
        <f t="shared" si="18"/>
        <v/>
      </c>
      <c r="O107" s="193" t="str">
        <f t="shared" si="18"/>
        <v/>
      </c>
      <c r="P107" s="193" t="str">
        <f t="shared" si="18"/>
        <v/>
      </c>
      <c r="Q107" s="193" t="str">
        <f t="shared" si="18"/>
        <v/>
      </c>
      <c r="R107" s="193" t="str">
        <f t="shared" si="18"/>
        <v/>
      </c>
      <c r="S107" s="193" t="str">
        <f t="shared" si="18"/>
        <v/>
      </c>
      <c r="T107" s="193">
        <f t="shared" si="18"/>
        <v>6.1267001592942037E-6</v>
      </c>
      <c r="U107" s="193" t="str">
        <f t="shared" si="18"/>
        <v/>
      </c>
      <c r="V107" s="193" t="str">
        <f t="shared" si="18"/>
        <v/>
      </c>
      <c r="W107" s="193" t="str">
        <f t="shared" si="18"/>
        <v/>
      </c>
      <c r="X107" s="193" t="str">
        <f t="shared" si="18"/>
        <v/>
      </c>
      <c r="Y107" s="193" t="str">
        <f t="shared" si="18"/>
        <v/>
      </c>
      <c r="Z107" s="193" t="str">
        <f t="shared" si="18"/>
        <v/>
      </c>
      <c r="AA107" s="193" t="str">
        <f t="shared" si="18"/>
        <v/>
      </c>
      <c r="AB107" s="193" t="str">
        <f t="shared" si="18"/>
        <v/>
      </c>
      <c r="AC107" s="193" t="str">
        <f t="shared" si="18"/>
        <v/>
      </c>
      <c r="AD107" s="193" t="str">
        <f t="shared" si="18"/>
        <v/>
      </c>
      <c r="AE107" s="193" t="str">
        <f t="shared" si="18"/>
        <v/>
      </c>
      <c r="AF107" s="193" t="str">
        <f t="shared" si="18"/>
        <v/>
      </c>
    </row>
    <row r="108" spans="1:32" hidden="1" x14ac:dyDescent="0.25">
      <c r="A108" t="s">
        <v>436</v>
      </c>
      <c r="B108" t="s">
        <v>394</v>
      </c>
      <c r="C108" t="s">
        <v>470</v>
      </c>
      <c r="D108" t="s">
        <v>471</v>
      </c>
      <c r="E108" t="str">
        <f t="shared" ref="E108:AF108" si="19">IF(E20=0,"",-E20/E$29)</f>
        <v/>
      </c>
      <c r="F108" s="193" t="str">
        <f t="shared" si="19"/>
        <v/>
      </c>
      <c r="G108" s="193" t="str">
        <f t="shared" si="19"/>
        <v/>
      </c>
      <c r="H108" s="193" t="str">
        <f t="shared" si="19"/>
        <v/>
      </c>
      <c r="I108" s="193" t="str">
        <f t="shared" si="19"/>
        <v/>
      </c>
      <c r="J108" s="193" t="str">
        <f t="shared" si="19"/>
        <v/>
      </c>
      <c r="K108" s="193" t="str">
        <f t="shared" si="19"/>
        <v/>
      </c>
      <c r="L108" s="193" t="str">
        <f t="shared" si="19"/>
        <v/>
      </c>
      <c r="M108" s="193">
        <f t="shared" si="19"/>
        <v>0.19079638981165398</v>
      </c>
      <c r="N108" s="193" t="str">
        <f t="shared" si="19"/>
        <v/>
      </c>
      <c r="O108" s="193" t="str">
        <f t="shared" si="19"/>
        <v/>
      </c>
      <c r="P108" s="193" t="str">
        <f t="shared" si="19"/>
        <v/>
      </c>
      <c r="Q108" s="193" t="str">
        <f t="shared" si="19"/>
        <v/>
      </c>
      <c r="R108" s="193" t="str">
        <f t="shared" si="19"/>
        <v/>
      </c>
      <c r="S108" s="193" t="str">
        <f t="shared" si="19"/>
        <v/>
      </c>
      <c r="T108" s="193" t="str">
        <f t="shared" si="19"/>
        <v/>
      </c>
      <c r="U108" s="193">
        <f t="shared" si="19"/>
        <v>2.5906359200663757E-2</v>
      </c>
      <c r="V108" s="193" t="str">
        <f t="shared" si="19"/>
        <v/>
      </c>
      <c r="W108" s="193" t="str">
        <f t="shared" si="19"/>
        <v/>
      </c>
      <c r="X108" s="193">
        <f t="shared" si="19"/>
        <v>1.6846559000714748E-2</v>
      </c>
      <c r="Y108" s="193" t="str">
        <f t="shared" si="19"/>
        <v/>
      </c>
      <c r="Z108" s="193" t="str">
        <f t="shared" si="19"/>
        <v/>
      </c>
      <c r="AA108" s="193" t="str">
        <f t="shared" si="19"/>
        <v/>
      </c>
      <c r="AB108" s="193" t="str">
        <f t="shared" si="19"/>
        <v/>
      </c>
      <c r="AC108" s="193" t="str">
        <f t="shared" si="19"/>
        <v/>
      </c>
      <c r="AD108" s="193" t="str">
        <f t="shared" si="19"/>
        <v/>
      </c>
      <c r="AE108" s="193" t="str">
        <f t="shared" si="19"/>
        <v/>
      </c>
      <c r="AF108" s="193" t="str">
        <f t="shared" si="19"/>
        <v/>
      </c>
    </row>
    <row r="109" spans="1:32" hidden="1" x14ac:dyDescent="0.25">
      <c r="A109" t="s">
        <v>436</v>
      </c>
      <c r="B109" t="s">
        <v>412</v>
      </c>
      <c r="C109" t="s">
        <v>470</v>
      </c>
      <c r="D109" t="s">
        <v>471</v>
      </c>
      <c r="E109" t="str">
        <f t="shared" ref="E109:AF109" si="20">IF(E21=0,"",-E21/E$29)</f>
        <v/>
      </c>
      <c r="F109" s="193" t="str">
        <f t="shared" si="20"/>
        <v/>
      </c>
      <c r="G109" s="193" t="str">
        <f t="shared" si="20"/>
        <v/>
      </c>
      <c r="H109" s="193" t="str">
        <f t="shared" si="20"/>
        <v/>
      </c>
      <c r="I109" s="193" t="str">
        <f t="shared" si="20"/>
        <v/>
      </c>
      <c r="J109" s="193" t="str">
        <f t="shared" si="20"/>
        <v/>
      </c>
      <c r="K109" s="193" t="str">
        <f t="shared" si="20"/>
        <v/>
      </c>
      <c r="L109" s="193" t="str">
        <f t="shared" si="20"/>
        <v/>
      </c>
      <c r="M109" s="193" t="str">
        <f t="shared" si="20"/>
        <v/>
      </c>
      <c r="N109" s="193" t="str">
        <f t="shared" si="20"/>
        <v/>
      </c>
      <c r="O109" s="193" t="str">
        <f t="shared" si="20"/>
        <v/>
      </c>
      <c r="P109" s="193" t="str">
        <f t="shared" si="20"/>
        <v/>
      </c>
      <c r="Q109" s="193" t="str">
        <f t="shared" si="20"/>
        <v/>
      </c>
      <c r="R109" s="193" t="str">
        <f t="shared" si="20"/>
        <v/>
      </c>
      <c r="S109" s="193" t="str">
        <f t="shared" si="20"/>
        <v/>
      </c>
      <c r="T109" s="193" t="str">
        <f t="shared" si="20"/>
        <v/>
      </c>
      <c r="U109" s="193" t="str">
        <f t="shared" si="20"/>
        <v/>
      </c>
      <c r="V109" s="193" t="str">
        <f t="shared" si="20"/>
        <v/>
      </c>
      <c r="W109" s="193" t="str">
        <f t="shared" si="20"/>
        <v/>
      </c>
      <c r="X109" s="193">
        <f t="shared" si="20"/>
        <v>5.1819202886218985E-3</v>
      </c>
      <c r="Y109" s="193" t="str">
        <f t="shared" si="20"/>
        <v/>
      </c>
      <c r="Z109" s="193" t="str">
        <f t="shared" si="20"/>
        <v/>
      </c>
      <c r="AA109" s="193" t="str">
        <f t="shared" si="20"/>
        <v/>
      </c>
      <c r="AB109" s="193" t="str">
        <f t="shared" si="20"/>
        <v/>
      </c>
      <c r="AC109" s="193" t="str">
        <f t="shared" si="20"/>
        <v/>
      </c>
      <c r="AD109" s="193" t="str">
        <f t="shared" si="20"/>
        <v/>
      </c>
      <c r="AE109" s="193" t="str">
        <f t="shared" si="20"/>
        <v/>
      </c>
      <c r="AF109" s="193" t="str">
        <f t="shared" si="20"/>
        <v/>
      </c>
    </row>
    <row r="110" spans="1:32" hidden="1" x14ac:dyDescent="0.25"/>
    <row r="111" spans="1:32" hidden="1" x14ac:dyDescent="0.25">
      <c r="A111" t="s">
        <v>436</v>
      </c>
      <c r="B111" t="s">
        <v>403</v>
      </c>
      <c r="C111" t="s">
        <v>472</v>
      </c>
      <c r="D111" t="s">
        <v>473</v>
      </c>
      <c r="E111" t="str">
        <f t="shared" ref="E111:AF111" si="21">IF(E112=1,E28/E29,"")</f>
        <v/>
      </c>
      <c r="F111" s="193">
        <f t="shared" si="21"/>
        <v>0</v>
      </c>
      <c r="G111" s="193" t="str">
        <f t="shared" si="21"/>
        <v/>
      </c>
      <c r="H111" s="193">
        <f t="shared" si="21"/>
        <v>0.38263042572841027</v>
      </c>
      <c r="I111" s="193">
        <f t="shared" si="21"/>
        <v>0.31443819232419068</v>
      </c>
      <c r="J111" s="193">
        <f t="shared" si="21"/>
        <v>0.21472711607593808</v>
      </c>
      <c r="K111" s="193" t="str">
        <f t="shared" si="21"/>
        <v/>
      </c>
      <c r="L111" s="193" t="str">
        <f t="shared" si="21"/>
        <v/>
      </c>
      <c r="M111" s="193">
        <f t="shared" si="21"/>
        <v>0.29579919951986483</v>
      </c>
      <c r="N111" s="193">
        <f t="shared" si="21"/>
        <v>0.37542419942000371</v>
      </c>
      <c r="O111" s="193">
        <f t="shared" si="21"/>
        <v>0.28698464025869036</v>
      </c>
      <c r="P111" s="193">
        <f t="shared" si="21"/>
        <v>0.13499669711549092</v>
      </c>
      <c r="Q111" s="193">
        <f t="shared" si="21"/>
        <v>0.25828682101129891</v>
      </c>
      <c r="R111" s="193">
        <f t="shared" si="21"/>
        <v>0.34032164699368284</v>
      </c>
      <c r="S111" s="193">
        <f t="shared" si="21"/>
        <v>0.2909004054335444</v>
      </c>
      <c r="T111" s="193">
        <f t="shared" si="21"/>
        <v>0.14074868275946575</v>
      </c>
      <c r="U111" s="193">
        <f t="shared" si="21"/>
        <v>0.2537502952392296</v>
      </c>
      <c r="V111" s="193">
        <f t="shared" si="21"/>
        <v>0</v>
      </c>
      <c r="W111" s="193">
        <f t="shared" si="21"/>
        <v>0.17975881405982341</v>
      </c>
      <c r="X111" s="193">
        <f t="shared" si="21"/>
        <v>0.31935923726217624</v>
      </c>
      <c r="Y111" s="193">
        <f t="shared" si="21"/>
        <v>3.0116962550522815E-2</v>
      </c>
      <c r="Z111" s="193">
        <f t="shared" si="21"/>
        <v>0.31406183266654464</v>
      </c>
      <c r="AA111" s="193">
        <f t="shared" si="21"/>
        <v>0.1517366067180512</v>
      </c>
      <c r="AB111" s="193">
        <f t="shared" si="21"/>
        <v>0.30027259383518556</v>
      </c>
      <c r="AC111" s="193" t="str">
        <f t="shared" si="21"/>
        <v/>
      </c>
      <c r="AD111" s="193">
        <f t="shared" si="21"/>
        <v>0.21887698728656202</v>
      </c>
      <c r="AE111" s="193">
        <f t="shared" si="21"/>
        <v>0.33016351918530012</v>
      </c>
      <c r="AF111" s="193">
        <f t="shared" si="21"/>
        <v>0.1808434215777571</v>
      </c>
    </row>
    <row r="112" spans="1:32" hidden="1" x14ac:dyDescent="0.25">
      <c r="A112" t="s">
        <v>436</v>
      </c>
      <c r="B112" t="s">
        <v>391</v>
      </c>
      <c r="C112" t="s">
        <v>472</v>
      </c>
      <c r="D112" t="s">
        <v>363</v>
      </c>
      <c r="E112" t="str">
        <f t="shared" ref="E112:AF112" si="22">IF(E29&gt;0,1,"")</f>
        <v/>
      </c>
      <c r="F112">
        <f t="shared" si="22"/>
        <v>1</v>
      </c>
      <c r="G112" t="str">
        <f t="shared" si="22"/>
        <v/>
      </c>
      <c r="H112">
        <f t="shared" si="22"/>
        <v>1</v>
      </c>
      <c r="I112">
        <f t="shared" si="22"/>
        <v>1</v>
      </c>
      <c r="J112">
        <f t="shared" si="22"/>
        <v>1</v>
      </c>
      <c r="K112" t="str">
        <f t="shared" si="22"/>
        <v/>
      </c>
      <c r="L112" t="str">
        <f t="shared" si="22"/>
        <v/>
      </c>
      <c r="M112">
        <f t="shared" si="22"/>
        <v>1</v>
      </c>
      <c r="N112">
        <f t="shared" si="22"/>
        <v>1</v>
      </c>
      <c r="O112">
        <f t="shared" si="22"/>
        <v>1</v>
      </c>
      <c r="P112">
        <f t="shared" si="22"/>
        <v>1</v>
      </c>
      <c r="Q112">
        <f t="shared" si="22"/>
        <v>1</v>
      </c>
      <c r="R112">
        <f t="shared" si="22"/>
        <v>1</v>
      </c>
      <c r="S112">
        <f t="shared" si="22"/>
        <v>1</v>
      </c>
      <c r="T112">
        <f t="shared" si="22"/>
        <v>1</v>
      </c>
      <c r="U112">
        <f t="shared" si="22"/>
        <v>1</v>
      </c>
      <c r="V112">
        <f t="shared" si="22"/>
        <v>1</v>
      </c>
      <c r="W112">
        <f t="shared" si="22"/>
        <v>1</v>
      </c>
      <c r="X112">
        <f t="shared" si="22"/>
        <v>1</v>
      </c>
      <c r="Y112">
        <f t="shared" si="22"/>
        <v>1</v>
      </c>
      <c r="Z112">
        <f t="shared" si="22"/>
        <v>1</v>
      </c>
      <c r="AA112">
        <f t="shared" si="22"/>
        <v>1</v>
      </c>
      <c r="AB112">
        <f t="shared" si="22"/>
        <v>1</v>
      </c>
      <c r="AC112" t="str">
        <f t="shared" si="22"/>
        <v/>
      </c>
      <c r="AD112">
        <f t="shared" si="22"/>
        <v>1</v>
      </c>
      <c r="AE112">
        <f t="shared" si="22"/>
        <v>1</v>
      </c>
      <c r="AF112">
        <f t="shared" si="22"/>
        <v>1</v>
      </c>
    </row>
    <row r="113" spans="1:34" hidden="1" x14ac:dyDescent="0.25"/>
    <row r="114" spans="1:34" hidden="1" x14ac:dyDescent="0.25"/>
    <row r="116" spans="1:34" x14ac:dyDescent="0.25">
      <c r="A116" s="249" t="s">
        <v>474</v>
      </c>
    </row>
    <row r="117" spans="1:34" x14ac:dyDescent="0.25">
      <c r="A117" s="249" t="s">
        <v>475</v>
      </c>
    </row>
    <row r="119" spans="1:34" ht="15.75" x14ac:dyDescent="0.25">
      <c r="A119" s="122" t="s">
        <v>476</v>
      </c>
      <c r="B119" s="122"/>
      <c r="C119" s="5"/>
    </row>
    <row r="120" spans="1:34" x14ac:dyDescent="0.25">
      <c r="E120" s="91" t="s">
        <v>162</v>
      </c>
      <c r="F120" s="91" t="s">
        <v>164</v>
      </c>
      <c r="G120" s="91" t="s">
        <v>166</v>
      </c>
      <c r="H120" s="91" t="s">
        <v>168</v>
      </c>
      <c r="I120" s="91" t="s">
        <v>170</v>
      </c>
      <c r="J120" s="91" t="s">
        <v>173</v>
      </c>
      <c r="K120" s="91" t="s">
        <v>175</v>
      </c>
      <c r="L120" s="91" t="s">
        <v>177</v>
      </c>
      <c r="M120" s="91" t="s">
        <v>179</v>
      </c>
      <c r="N120" s="91" t="s">
        <v>181</v>
      </c>
      <c r="O120" s="91" t="s">
        <v>183</v>
      </c>
      <c r="P120" s="91" t="s">
        <v>185</v>
      </c>
      <c r="Q120" s="91" t="s">
        <v>188</v>
      </c>
      <c r="R120" s="91" t="s">
        <v>190</v>
      </c>
      <c r="S120" s="91" t="s">
        <v>192</v>
      </c>
      <c r="T120" s="91" t="s">
        <v>194</v>
      </c>
      <c r="U120" s="91" t="s">
        <v>196</v>
      </c>
      <c r="V120" s="91" t="s">
        <v>198</v>
      </c>
      <c r="W120" s="91" t="s">
        <v>9</v>
      </c>
      <c r="X120" s="91" t="s">
        <v>201</v>
      </c>
      <c r="Y120" s="91" t="s">
        <v>203</v>
      </c>
      <c r="Z120" s="91" t="s">
        <v>205</v>
      </c>
      <c r="AA120" s="91" t="s">
        <v>207</v>
      </c>
      <c r="AB120" s="91" t="s">
        <v>210</v>
      </c>
      <c r="AC120" s="91" t="s">
        <v>212</v>
      </c>
      <c r="AD120" s="91" t="s">
        <v>214</v>
      </c>
      <c r="AE120" s="91" t="s">
        <v>217</v>
      </c>
      <c r="AF120" s="92" t="s">
        <v>219</v>
      </c>
    </row>
    <row r="121" spans="1:34" x14ac:dyDescent="0.25">
      <c r="A121" t="s">
        <v>477</v>
      </c>
      <c r="B121" t="s">
        <v>126</v>
      </c>
      <c r="C121" t="s">
        <v>478</v>
      </c>
      <c r="D121" t="s">
        <v>479</v>
      </c>
      <c r="E121">
        <f t="shared" ref="E121:X121" si="23">$AI$131</f>
        <v>2.1</v>
      </c>
      <c r="F121">
        <f t="shared" si="23"/>
        <v>2.1</v>
      </c>
      <c r="G121">
        <f t="shared" si="23"/>
        <v>2.1</v>
      </c>
      <c r="H121">
        <f t="shared" si="23"/>
        <v>2.1</v>
      </c>
      <c r="I121">
        <f t="shared" si="23"/>
        <v>2.1</v>
      </c>
      <c r="J121">
        <f t="shared" si="23"/>
        <v>2.1</v>
      </c>
      <c r="K121">
        <f t="shared" si="23"/>
        <v>2.1</v>
      </c>
      <c r="L121">
        <f t="shared" si="23"/>
        <v>2.1</v>
      </c>
      <c r="M121">
        <f t="shared" si="23"/>
        <v>2.1</v>
      </c>
      <c r="N121">
        <f t="shared" si="23"/>
        <v>2.1</v>
      </c>
      <c r="O121">
        <f t="shared" si="23"/>
        <v>2.1</v>
      </c>
      <c r="P121">
        <f t="shared" si="23"/>
        <v>2.1</v>
      </c>
      <c r="Q121">
        <f t="shared" si="23"/>
        <v>2.1</v>
      </c>
      <c r="R121">
        <f t="shared" si="23"/>
        <v>2.1</v>
      </c>
      <c r="S121">
        <f t="shared" si="23"/>
        <v>2.1</v>
      </c>
      <c r="T121">
        <f t="shared" si="23"/>
        <v>2.1</v>
      </c>
      <c r="U121">
        <f t="shared" si="23"/>
        <v>2.1</v>
      </c>
      <c r="V121">
        <f t="shared" si="23"/>
        <v>2.1</v>
      </c>
      <c r="W121">
        <f t="shared" si="23"/>
        <v>2.1</v>
      </c>
      <c r="X121">
        <f t="shared" si="23"/>
        <v>2.1</v>
      </c>
      <c r="Y121" s="5">
        <v>2.1</v>
      </c>
      <c r="Z121">
        <f>$AI$131</f>
        <v>2.1</v>
      </c>
      <c r="AA121" s="5">
        <v>2.1</v>
      </c>
      <c r="AB121" s="5">
        <v>2.1</v>
      </c>
      <c r="AC121">
        <f>$AI$131</f>
        <v>2.1</v>
      </c>
      <c r="AD121">
        <f>$AI$131</f>
        <v>2.1</v>
      </c>
      <c r="AE121">
        <f>$AI$131</f>
        <v>2.1</v>
      </c>
      <c r="AF121">
        <f>$AI$131</f>
        <v>2.1</v>
      </c>
    </row>
    <row r="122" spans="1:34" x14ac:dyDescent="0.25">
      <c r="A122" t="s">
        <v>477</v>
      </c>
      <c r="B122" t="s">
        <v>126</v>
      </c>
      <c r="C122" t="s">
        <v>480</v>
      </c>
      <c r="D122" t="s">
        <v>363</v>
      </c>
      <c r="E122" s="98">
        <f t="shared" ref="E122:AF122" si="24">E87*E81*E121*1000</f>
        <v>104.05407291809885</v>
      </c>
      <c r="F122" s="98">
        <f t="shared" si="24"/>
        <v>3751.1743756438368</v>
      </c>
      <c r="G122" s="98">
        <f t="shared" si="24"/>
        <v>114.45948020990876</v>
      </c>
      <c r="H122" s="98">
        <f t="shared" si="24"/>
        <v>5872.8118754974994</v>
      </c>
      <c r="I122" s="98">
        <f t="shared" si="24"/>
        <v>2661.1848236800142</v>
      </c>
      <c r="J122" s="98">
        <f t="shared" si="24"/>
        <v>877.82570567040113</v>
      </c>
      <c r="K122" s="98">
        <f t="shared" si="24"/>
        <v>8518.743087033974</v>
      </c>
      <c r="L122" s="98">
        <f t="shared" si="24"/>
        <v>6440.2256954043332</v>
      </c>
      <c r="M122" s="98">
        <f t="shared" si="24"/>
        <v>13435.188847827549</v>
      </c>
      <c r="N122" s="98">
        <f t="shared" si="24"/>
        <v>8447.519560508792</v>
      </c>
      <c r="O122" s="98">
        <f t="shared" si="24"/>
        <v>658.07361688350193</v>
      </c>
      <c r="P122" s="98">
        <f t="shared" si="24"/>
        <v>175436.38381123563</v>
      </c>
      <c r="Q122" s="98">
        <f t="shared" si="24"/>
        <v>4419.7790524216971</v>
      </c>
      <c r="R122" s="98">
        <f t="shared" si="24"/>
        <v>5456.8312813000211</v>
      </c>
      <c r="S122" s="98">
        <f t="shared" si="24"/>
        <v>10472.737630008523</v>
      </c>
      <c r="T122" s="98">
        <f t="shared" si="24"/>
        <v>65880.286142862431</v>
      </c>
      <c r="U122" s="98">
        <f t="shared" si="24"/>
        <v>35086.258827436104</v>
      </c>
      <c r="V122" s="98">
        <f t="shared" si="24"/>
        <v>11985.122853029305</v>
      </c>
      <c r="W122" s="98">
        <f t="shared" si="24"/>
        <v>63109.856449356354</v>
      </c>
      <c r="X122" s="98">
        <f t="shared" si="24"/>
        <v>44629.631188102263</v>
      </c>
      <c r="Y122" s="98">
        <f t="shared" si="24"/>
        <v>10015.302912823787</v>
      </c>
      <c r="Z122" s="98">
        <f t="shared" si="24"/>
        <v>20861.901599443507</v>
      </c>
      <c r="AA122" s="98">
        <f t="shared" si="24"/>
        <v>7436.8936915607892</v>
      </c>
      <c r="AB122" s="98">
        <f t="shared" si="24"/>
        <v>24627.285526538686</v>
      </c>
      <c r="AC122" s="98">
        <f t="shared" si="24"/>
        <v>208.10814583619771</v>
      </c>
      <c r="AD122" s="98">
        <f t="shared" si="24"/>
        <v>44131.395694021339</v>
      </c>
      <c r="AE122" s="98">
        <f t="shared" si="24"/>
        <v>40671.533949708901</v>
      </c>
      <c r="AF122" s="98">
        <f t="shared" si="24"/>
        <v>109839.1891188931</v>
      </c>
    </row>
    <row r="123" spans="1:34" x14ac:dyDescent="0.25">
      <c r="A123" t="s">
        <v>477</v>
      </c>
      <c r="C123" t="s">
        <v>481</v>
      </c>
      <c r="D123" t="s">
        <v>460</v>
      </c>
      <c r="E123" s="203">
        <f>IFERROR(IF(E122=0,"",E122/E61),1)</f>
        <v>1.7606442118121634E-2</v>
      </c>
      <c r="F123" s="203">
        <f t="shared" ref="F123:AF123" si="25">IFERROR(IF(F122=0,"",F122/F61),1)</f>
        <v>1.2206880493471646</v>
      </c>
      <c r="G123" s="203">
        <f t="shared" si="25"/>
        <v>0.1149191568372578</v>
      </c>
      <c r="H123" s="203">
        <f t="shared" si="25"/>
        <v>8.5137893237133944E-2</v>
      </c>
      <c r="I123" s="203">
        <f t="shared" si="25"/>
        <v>0.15483707591086368</v>
      </c>
      <c r="J123" s="203">
        <f t="shared" si="25"/>
        <v>1.0045956279630596E-2</v>
      </c>
      <c r="K123" s="203">
        <f t="shared" si="25"/>
        <v>0.2702218267100388</v>
      </c>
      <c r="L123" s="203">
        <f t="shared" si="25"/>
        <v>1</v>
      </c>
      <c r="M123" s="203">
        <f t="shared" si="25"/>
        <v>0.15689815307517865</v>
      </c>
      <c r="N123" s="203">
        <f t="shared" si="25"/>
        <v>0.28637601059423662</v>
      </c>
      <c r="O123" s="203">
        <f t="shared" si="25"/>
        <v>0.25310523726288536</v>
      </c>
      <c r="P123" s="203">
        <f t="shared" si="25"/>
        <v>7.0842570628492682E-2</v>
      </c>
      <c r="Q123" s="203">
        <f t="shared" si="25"/>
        <v>5.3593867347597822E-2</v>
      </c>
      <c r="R123" s="203">
        <f t="shared" si="25"/>
        <v>0.15591391986342526</v>
      </c>
      <c r="S123" s="203">
        <f t="shared" si="25"/>
        <v>0.18950379324711428</v>
      </c>
      <c r="T123" s="203">
        <f t="shared" si="25"/>
        <v>0.3829714815540996</v>
      </c>
      <c r="U123" s="203">
        <f t="shared" si="25"/>
        <v>0.218160138952397</v>
      </c>
      <c r="V123" s="203">
        <f t="shared" si="25"/>
        <v>0.4050670154464413</v>
      </c>
      <c r="W123" s="203">
        <f t="shared" si="25"/>
        <v>1</v>
      </c>
      <c r="X123" s="203">
        <f t="shared" si="25"/>
        <v>0.18397826370615283</v>
      </c>
      <c r="Y123" s="203">
        <f t="shared" si="25"/>
        <v>0.97009908105615916</v>
      </c>
      <c r="Z123" s="203">
        <f t="shared" si="25"/>
        <v>0.23437178806726627</v>
      </c>
      <c r="AA123" s="203">
        <f t="shared" si="25"/>
        <v>0.44727814347511813</v>
      </c>
      <c r="AB123" s="203">
        <f t="shared" si="25"/>
        <v>1.2675529119634921</v>
      </c>
      <c r="AC123" s="203">
        <f t="shared" si="25"/>
        <v>1</v>
      </c>
      <c r="AD123" s="203">
        <f t="shared" si="25"/>
        <v>0.19747623108427864</v>
      </c>
      <c r="AE123" s="203">
        <f t="shared" si="25"/>
        <v>0.21323358315224053</v>
      </c>
      <c r="AF123" s="203">
        <f t="shared" si="25"/>
        <v>0.53733691977503062</v>
      </c>
      <c r="AH123" s="125" t="s">
        <v>482</v>
      </c>
    </row>
    <row r="124" spans="1:34" x14ac:dyDescent="0.25">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H124" s="125"/>
    </row>
    <row r="125" spans="1:34" x14ac:dyDescent="0.25">
      <c r="A125" s="249" t="s">
        <v>483</v>
      </c>
      <c r="AH125" s="134"/>
    </row>
    <row r="126" spans="1:34" x14ac:dyDescent="0.25">
      <c r="A126" s="117"/>
      <c r="B126" s="117" t="s">
        <v>126</v>
      </c>
      <c r="C126" s="117" t="s">
        <v>484</v>
      </c>
      <c r="D126" s="117" t="s">
        <v>363</v>
      </c>
      <c r="E126" s="117">
        <f>_xlfn.IFS(E123&lt;100%,0,E123&gt;100%,(E123-1)*E122,E123=100%,E122)</f>
        <v>0</v>
      </c>
      <c r="F126" s="117">
        <f t="shared" ref="F126:AF126" si="26">_xlfn.IFS(F123&lt;100%,0,F123&gt;100%,(F123-1)*F122,F123=100%,F122)</f>
        <v>827.83935572190626</v>
      </c>
      <c r="G126" s="117">
        <f t="shared" si="26"/>
        <v>0</v>
      </c>
      <c r="H126" s="117">
        <f t="shared" si="26"/>
        <v>0</v>
      </c>
      <c r="I126" s="117">
        <f t="shared" si="26"/>
        <v>0</v>
      </c>
      <c r="J126" s="117">
        <f t="shared" si="26"/>
        <v>0</v>
      </c>
      <c r="K126" s="117">
        <f t="shared" si="26"/>
        <v>0</v>
      </c>
      <c r="L126" s="148">
        <f>_xlfn.IFS(L123&lt;100%,0,L123&gt;100%,(L123-1)*L122,L123=100%,L122)</f>
        <v>6440.2256954043332</v>
      </c>
      <c r="M126" s="117">
        <f t="shared" si="26"/>
        <v>0</v>
      </c>
      <c r="N126" s="117">
        <f t="shared" si="26"/>
        <v>0</v>
      </c>
      <c r="O126" s="117">
        <f t="shared" si="26"/>
        <v>0</v>
      </c>
      <c r="P126" s="117">
        <f t="shared" si="26"/>
        <v>0</v>
      </c>
      <c r="Q126" s="117">
        <f t="shared" si="26"/>
        <v>0</v>
      </c>
      <c r="R126" s="117">
        <f t="shared" si="26"/>
        <v>0</v>
      </c>
      <c r="S126" s="117">
        <f t="shared" si="26"/>
        <v>0</v>
      </c>
      <c r="T126" s="117">
        <f t="shared" si="26"/>
        <v>0</v>
      </c>
      <c r="U126" s="117">
        <f t="shared" si="26"/>
        <v>0</v>
      </c>
      <c r="V126" s="117">
        <f t="shared" si="26"/>
        <v>0</v>
      </c>
      <c r="W126" s="148">
        <f t="shared" si="26"/>
        <v>63109.856449356354</v>
      </c>
      <c r="X126" s="117">
        <f t="shared" si="26"/>
        <v>0</v>
      </c>
      <c r="Y126" s="117">
        <f t="shared" si="26"/>
        <v>0</v>
      </c>
      <c r="Z126" s="117">
        <f t="shared" si="26"/>
        <v>0</v>
      </c>
      <c r="AA126" s="117">
        <f t="shared" si="26"/>
        <v>0</v>
      </c>
      <c r="AB126" s="148">
        <f t="shared" si="26"/>
        <v>6589.1019563817872</v>
      </c>
      <c r="AC126" s="148">
        <f t="shared" si="26"/>
        <v>208.10814583619771</v>
      </c>
      <c r="AD126" s="117">
        <f t="shared" si="26"/>
        <v>0</v>
      </c>
      <c r="AE126" s="117">
        <f t="shared" si="26"/>
        <v>0</v>
      </c>
      <c r="AF126" s="117">
        <f t="shared" si="26"/>
        <v>0</v>
      </c>
      <c r="AH126" t="s">
        <v>485</v>
      </c>
    </row>
    <row r="128" spans="1:34" ht="15.75" x14ac:dyDescent="0.25">
      <c r="A128" s="122" t="s">
        <v>486</v>
      </c>
      <c r="B128" s="122"/>
      <c r="C128" s="5"/>
    </row>
    <row r="129" spans="1:38" x14ac:dyDescent="0.25">
      <c r="E129" s="91" t="s">
        <v>162</v>
      </c>
      <c r="F129" s="91" t="s">
        <v>164</v>
      </c>
      <c r="G129" s="91" t="s">
        <v>166</v>
      </c>
      <c r="H129" s="91" t="s">
        <v>168</v>
      </c>
      <c r="I129" s="91" t="s">
        <v>170</v>
      </c>
      <c r="J129" s="91" t="s">
        <v>173</v>
      </c>
      <c r="K129" s="91" t="s">
        <v>175</v>
      </c>
      <c r="L129" s="91" t="s">
        <v>177</v>
      </c>
      <c r="M129" s="91" t="s">
        <v>179</v>
      </c>
      <c r="N129" s="91" t="s">
        <v>181</v>
      </c>
      <c r="O129" s="91" t="s">
        <v>183</v>
      </c>
      <c r="P129" s="91" t="s">
        <v>185</v>
      </c>
      <c r="Q129" s="91" t="s">
        <v>188</v>
      </c>
      <c r="R129" s="91" t="s">
        <v>190</v>
      </c>
      <c r="S129" s="91" t="s">
        <v>192</v>
      </c>
      <c r="T129" s="91" t="s">
        <v>194</v>
      </c>
      <c r="U129" s="91" t="s">
        <v>196</v>
      </c>
      <c r="V129" s="91" t="s">
        <v>198</v>
      </c>
      <c r="W129" s="91" t="s">
        <v>9</v>
      </c>
      <c r="X129" s="91" t="s">
        <v>201</v>
      </c>
      <c r="Y129" s="91" t="s">
        <v>203</v>
      </c>
      <c r="Z129" s="91" t="s">
        <v>205</v>
      </c>
      <c r="AA129" s="91" t="s">
        <v>207</v>
      </c>
      <c r="AB129" s="91" t="s">
        <v>210</v>
      </c>
      <c r="AC129" s="91" t="s">
        <v>212</v>
      </c>
      <c r="AD129" s="91" t="s">
        <v>214</v>
      </c>
      <c r="AE129" s="91" t="s">
        <v>217</v>
      </c>
      <c r="AF129" s="92" t="s">
        <v>219</v>
      </c>
    </row>
    <row r="130" spans="1:38" x14ac:dyDescent="0.25">
      <c r="A130" t="s">
        <v>487</v>
      </c>
      <c r="B130" t="s">
        <v>128</v>
      </c>
      <c r="C130" t="s">
        <v>488</v>
      </c>
      <c r="D130" t="s">
        <v>460</v>
      </c>
      <c r="E130" s="128">
        <v>1</v>
      </c>
      <c r="F130" s="128">
        <v>1</v>
      </c>
      <c r="G130" s="128">
        <v>1</v>
      </c>
      <c r="H130" s="128">
        <v>1</v>
      </c>
      <c r="I130" s="128">
        <v>1</v>
      </c>
      <c r="J130" s="128">
        <v>1</v>
      </c>
      <c r="K130" s="128">
        <v>1</v>
      </c>
      <c r="L130" s="128">
        <v>1</v>
      </c>
      <c r="M130" s="128">
        <v>1</v>
      </c>
      <c r="N130" s="128">
        <v>1</v>
      </c>
      <c r="O130" s="128">
        <v>1</v>
      </c>
      <c r="P130" s="128">
        <v>1</v>
      </c>
      <c r="Q130" s="128">
        <v>1</v>
      </c>
      <c r="R130" s="128">
        <v>1</v>
      </c>
      <c r="S130" s="128">
        <v>1</v>
      </c>
      <c r="T130" s="128">
        <v>1</v>
      </c>
      <c r="U130" s="128">
        <v>1</v>
      </c>
      <c r="V130" s="128">
        <v>1</v>
      </c>
      <c r="W130" s="128">
        <v>0.05</v>
      </c>
      <c r="X130" s="128">
        <v>1</v>
      </c>
      <c r="Y130" s="128">
        <v>1</v>
      </c>
      <c r="Z130" s="128">
        <v>1</v>
      </c>
      <c r="AA130" s="128">
        <v>1</v>
      </c>
      <c r="AB130" s="128">
        <v>1</v>
      </c>
      <c r="AC130" s="128">
        <v>1</v>
      </c>
      <c r="AD130" s="128">
        <v>1</v>
      </c>
      <c r="AE130" s="128">
        <v>1</v>
      </c>
      <c r="AF130" s="128">
        <v>1</v>
      </c>
      <c r="AH130" s="118" t="s">
        <v>489</v>
      </c>
      <c r="AI130" s="119"/>
      <c r="AJ130" s="119"/>
    </row>
    <row r="131" spans="1:38" x14ac:dyDescent="0.25">
      <c r="A131" t="s">
        <v>487</v>
      </c>
      <c r="B131" t="s">
        <v>128</v>
      </c>
      <c r="C131" t="s">
        <v>478</v>
      </c>
      <c r="D131" t="s">
        <v>479</v>
      </c>
      <c r="E131" s="123">
        <f t="shared" ref="E131:AF131" si="27">$AI$132-E121</f>
        <v>15.000000000000002</v>
      </c>
      <c r="F131" s="123">
        <f t="shared" si="27"/>
        <v>15.000000000000002</v>
      </c>
      <c r="G131" s="123">
        <f t="shared" si="27"/>
        <v>15.000000000000002</v>
      </c>
      <c r="H131" s="123">
        <f t="shared" si="27"/>
        <v>15.000000000000002</v>
      </c>
      <c r="I131" s="123">
        <f t="shared" si="27"/>
        <v>15.000000000000002</v>
      </c>
      <c r="J131" s="123">
        <f t="shared" si="27"/>
        <v>15.000000000000002</v>
      </c>
      <c r="K131" s="123">
        <f t="shared" si="27"/>
        <v>15.000000000000002</v>
      </c>
      <c r="L131" s="123">
        <f t="shared" si="27"/>
        <v>15.000000000000002</v>
      </c>
      <c r="M131" s="123">
        <f t="shared" si="27"/>
        <v>15.000000000000002</v>
      </c>
      <c r="N131" s="123">
        <f t="shared" si="27"/>
        <v>15.000000000000002</v>
      </c>
      <c r="O131" s="123">
        <f t="shared" si="27"/>
        <v>15.000000000000002</v>
      </c>
      <c r="P131" s="123">
        <f t="shared" si="27"/>
        <v>15.000000000000002</v>
      </c>
      <c r="Q131" s="123">
        <f t="shared" si="27"/>
        <v>15.000000000000002</v>
      </c>
      <c r="R131" s="123">
        <f t="shared" si="27"/>
        <v>15.000000000000002</v>
      </c>
      <c r="S131" s="123">
        <f t="shared" si="27"/>
        <v>15.000000000000002</v>
      </c>
      <c r="T131" s="123">
        <f t="shared" si="27"/>
        <v>15.000000000000002</v>
      </c>
      <c r="U131" s="123">
        <f t="shared" si="27"/>
        <v>15.000000000000002</v>
      </c>
      <c r="V131" s="123">
        <f t="shared" si="27"/>
        <v>15.000000000000002</v>
      </c>
      <c r="W131" s="123">
        <f t="shared" si="27"/>
        <v>15.000000000000002</v>
      </c>
      <c r="X131" s="123">
        <f t="shared" si="27"/>
        <v>15.000000000000002</v>
      </c>
      <c r="Y131" s="123">
        <f t="shared" si="27"/>
        <v>15.000000000000002</v>
      </c>
      <c r="Z131" s="123">
        <f t="shared" si="27"/>
        <v>15.000000000000002</v>
      </c>
      <c r="AA131" s="123">
        <f t="shared" si="27"/>
        <v>15.000000000000002</v>
      </c>
      <c r="AB131" s="123">
        <f t="shared" si="27"/>
        <v>15.000000000000002</v>
      </c>
      <c r="AC131" s="123">
        <f t="shared" si="27"/>
        <v>15.000000000000002</v>
      </c>
      <c r="AD131" s="123">
        <f t="shared" si="27"/>
        <v>15.000000000000002</v>
      </c>
      <c r="AE131" s="123">
        <f t="shared" si="27"/>
        <v>15.000000000000002</v>
      </c>
      <c r="AF131" s="123">
        <f t="shared" si="27"/>
        <v>15.000000000000002</v>
      </c>
      <c r="AH131" s="120" t="s">
        <v>477</v>
      </c>
      <c r="AI131" s="120">
        <v>2.1</v>
      </c>
      <c r="AJ131" s="120"/>
    </row>
    <row r="132" spans="1:38" x14ac:dyDescent="0.25">
      <c r="A132" t="s">
        <v>487</v>
      </c>
      <c r="B132" t="s">
        <v>128</v>
      </c>
      <c r="C132" t="s">
        <v>480</v>
      </c>
      <c r="D132" t="s">
        <v>363</v>
      </c>
      <c r="E132" s="126">
        <f t="shared" ref="E132:AF132" si="28">E86*E81*E131*1000*E130</f>
        <v>82.758268049922265</v>
      </c>
      <c r="F132" s="126">
        <f t="shared" si="28"/>
        <v>30196.139286763144</v>
      </c>
      <c r="G132" s="126">
        <f t="shared" si="28"/>
        <v>91.034094854914329</v>
      </c>
      <c r="H132" s="126">
        <f t="shared" si="28"/>
        <v>4670.8766487376088</v>
      </c>
      <c r="I132" s="126">
        <f t="shared" si="28"/>
        <v>2089.6450157331451</v>
      </c>
      <c r="J132" s="126">
        <f t="shared" si="28"/>
        <v>694.32480053078962</v>
      </c>
      <c r="K132" s="126">
        <f t="shared" si="28"/>
        <v>8113.0886543180713</v>
      </c>
      <c r="L132" s="126">
        <f t="shared" si="28"/>
        <v>5093.9593047345088</v>
      </c>
      <c r="M132" s="126">
        <f t="shared" si="28"/>
        <v>10667.621253952835</v>
      </c>
      <c r="N132" s="126">
        <f t="shared" si="28"/>
        <v>6700.8948137735397</v>
      </c>
      <c r="O132" s="126">
        <f t="shared" si="28"/>
        <v>521.65338273285658</v>
      </c>
      <c r="P132" s="126">
        <f t="shared" si="28"/>
        <v>140742.54583147611</v>
      </c>
      <c r="Q132" s="126">
        <f t="shared" si="28"/>
        <v>3501.6840444131271</v>
      </c>
      <c r="R132" s="126">
        <f t="shared" si="28"/>
        <v>4315.1100643018108</v>
      </c>
      <c r="S132" s="126">
        <f t="shared" si="28"/>
        <v>9338.1699345498837</v>
      </c>
      <c r="T132" s="126">
        <f t="shared" si="28"/>
        <v>52215.675087860465</v>
      </c>
      <c r="U132" s="126">
        <f t="shared" si="28"/>
        <v>27694.741204127014</v>
      </c>
      <c r="V132" s="126">
        <f t="shared" si="28"/>
        <v>9498.0519145396484</v>
      </c>
      <c r="W132" s="126">
        <f t="shared" si="28"/>
        <v>22066.387324475654</v>
      </c>
      <c r="X132" s="126">
        <f t="shared" si="28"/>
        <v>35285.279357105464</v>
      </c>
      <c r="Y132" s="126">
        <f t="shared" si="28"/>
        <v>7939.1066736742268</v>
      </c>
      <c r="Z132" s="126">
        <f t="shared" si="28"/>
        <v>18057.851685495614</v>
      </c>
      <c r="AA132" s="126">
        <f t="shared" si="28"/>
        <v>154894.42313674002</v>
      </c>
      <c r="AB132" s="126">
        <f t="shared" si="28"/>
        <v>19390.157129318664</v>
      </c>
      <c r="AC132" s="126">
        <f t="shared" si="28"/>
        <v>165.51653609984433</v>
      </c>
      <c r="AD132" s="126">
        <f t="shared" si="28"/>
        <v>34976.41260763818</v>
      </c>
      <c r="AE132" s="126">
        <f t="shared" si="28"/>
        <v>32201.708713663498</v>
      </c>
      <c r="AF132" s="126">
        <f t="shared" si="28"/>
        <v>87116.996946773113</v>
      </c>
      <c r="AH132" s="120" t="s">
        <v>461</v>
      </c>
      <c r="AI132" s="120">
        <v>17.100000000000001</v>
      </c>
      <c r="AJ132" s="120" t="s">
        <v>490</v>
      </c>
      <c r="AK132">
        <v>20</v>
      </c>
      <c r="AL132" t="s">
        <v>491</v>
      </c>
    </row>
    <row r="133" spans="1:38" x14ac:dyDescent="0.25">
      <c r="A133" t="s">
        <v>487</v>
      </c>
      <c r="C133" t="s">
        <v>481</v>
      </c>
      <c r="D133" t="s">
        <v>460</v>
      </c>
      <c r="E133" s="127" t="str">
        <f t="shared" ref="E133:AF133" si="29">IFERROR(IF(E132&lt;=0,"",E132/E62),"FLAG")</f>
        <v>FLAG</v>
      </c>
      <c r="F133" s="127">
        <f t="shared" si="29"/>
        <v>0.28804040032015821</v>
      </c>
      <c r="G133" s="127" t="str">
        <f t="shared" si="29"/>
        <v>FLAG</v>
      </c>
      <c r="H133" s="127">
        <f t="shared" si="29"/>
        <v>0.50770398355843571</v>
      </c>
      <c r="I133" s="127">
        <f t="shared" si="29"/>
        <v>0.2480585251345139</v>
      </c>
      <c r="J133" s="127">
        <f t="shared" si="29"/>
        <v>2.7524173492856165E-2</v>
      </c>
      <c r="K133" s="129">
        <f t="shared" si="29"/>
        <v>0.54359052960255083</v>
      </c>
      <c r="L133" s="127">
        <f t="shared" si="29"/>
        <v>7.246030305454493</v>
      </c>
      <c r="M133" s="127">
        <f t="shared" si="29"/>
        <v>0.22326540924974539</v>
      </c>
      <c r="N133" s="127">
        <f t="shared" si="29"/>
        <v>8.9572180373927807E-2</v>
      </c>
      <c r="O133" s="127">
        <f t="shared" si="29"/>
        <v>0.86942230455476099</v>
      </c>
      <c r="P133" s="127">
        <f t="shared" si="29"/>
        <v>0.29273915576726911</v>
      </c>
      <c r="Q133" s="127">
        <f t="shared" si="29"/>
        <v>4.8448109971541808E-2</v>
      </c>
      <c r="R133" s="127">
        <f t="shared" si="29"/>
        <v>0.24987608224574734</v>
      </c>
      <c r="S133" s="127">
        <f t="shared" si="29"/>
        <v>0.16985902820412332</v>
      </c>
      <c r="T133" s="127">
        <f t="shared" si="29"/>
        <v>0.50192901170681981</v>
      </c>
      <c r="U133" s="127">
        <f t="shared" si="29"/>
        <v>0.18145850366017582</v>
      </c>
      <c r="V133" s="127">
        <f t="shared" si="29"/>
        <v>9.5302642075612051E-2</v>
      </c>
      <c r="W133" s="127">
        <f t="shared" si="29"/>
        <v>1.0783027425955656</v>
      </c>
      <c r="X133" s="127">
        <f t="shared" si="29"/>
        <v>0.36431411564938426</v>
      </c>
      <c r="Y133" s="127">
        <f t="shared" si="29"/>
        <v>0.17246929687335391</v>
      </c>
      <c r="Z133" s="127">
        <f t="shared" si="29"/>
        <v>0.31749510664420166</v>
      </c>
      <c r="AA133" s="127">
        <f t="shared" si="29"/>
        <v>2.297148454474188</v>
      </c>
      <c r="AB133" s="127">
        <f t="shared" si="29"/>
        <v>0.12586270839111674</v>
      </c>
      <c r="AC133" s="127">
        <f t="shared" si="29"/>
        <v>1.5523966994920684E-2</v>
      </c>
      <c r="AD133" s="127">
        <f t="shared" si="29"/>
        <v>7.1596685105293906E-2</v>
      </c>
      <c r="AE133" s="127">
        <f t="shared" si="29"/>
        <v>0.49429304056462303</v>
      </c>
      <c r="AF133" s="127">
        <f t="shared" si="29"/>
        <v>0.22163283532095665</v>
      </c>
      <c r="AH133" s="120" t="s">
        <v>459</v>
      </c>
      <c r="AI133" s="120">
        <v>21.4</v>
      </c>
      <c r="AJ133" s="120"/>
    </row>
    <row r="134" spans="1:38" x14ac:dyDescent="0.25">
      <c r="C134" t="s">
        <v>492</v>
      </c>
      <c r="D134" t="s">
        <v>363</v>
      </c>
      <c r="E134" s="133" t="e">
        <f t="shared" ref="E134:J134" si="30">IF(E133="","",(1-E133)*E62)</f>
        <v>#VALUE!</v>
      </c>
      <c r="F134" s="133">
        <f t="shared" si="30"/>
        <v>74636.860713236849</v>
      </c>
      <c r="G134" s="133" t="e">
        <f t="shared" si="30"/>
        <v>#VALUE!</v>
      </c>
      <c r="H134" s="133">
        <f t="shared" si="30"/>
        <v>4529.1233512623912</v>
      </c>
      <c r="I134" s="133">
        <f t="shared" si="30"/>
        <v>6334.3549842668554</v>
      </c>
      <c r="J134" s="133">
        <f t="shared" si="30"/>
        <v>24531.675199469209</v>
      </c>
      <c r="K134" s="133">
        <f>IF(K133&gt;0,0,(1-K133)*K62)</f>
        <v>0</v>
      </c>
      <c r="L134" s="133">
        <f t="shared" ref="L134:AF134" si="31">IF(L133="","",(1-L133)*L62)</f>
        <v>-4390.9593047345088</v>
      </c>
      <c r="M134" s="133">
        <f t="shared" si="31"/>
        <v>37112.378746047165</v>
      </c>
      <c r="N134" s="133">
        <f t="shared" si="31"/>
        <v>68109.105186226458</v>
      </c>
      <c r="O134" s="133">
        <f t="shared" si="31"/>
        <v>78.346617267143401</v>
      </c>
      <c r="P134" s="133">
        <f t="shared" si="31"/>
        <v>340035.45416852384</v>
      </c>
      <c r="Q134" s="133">
        <f t="shared" si="31"/>
        <v>68775.315955586877</v>
      </c>
      <c r="R134" s="133">
        <f t="shared" si="31"/>
        <v>12953.889935698189</v>
      </c>
      <c r="S134" s="133">
        <f t="shared" si="31"/>
        <v>45637.830065450114</v>
      </c>
      <c r="T134" s="133">
        <f t="shared" si="31"/>
        <v>51814.324912139535</v>
      </c>
      <c r="U134" s="133">
        <f t="shared" si="31"/>
        <v>124928.25879587299</v>
      </c>
      <c r="V134" s="133">
        <f t="shared" si="31"/>
        <v>90163.948085460361</v>
      </c>
      <c r="W134" s="133">
        <f t="shared" si="31"/>
        <v>-1602.3873244756539</v>
      </c>
      <c r="X134" s="133">
        <f t="shared" si="31"/>
        <v>61568.720642894528</v>
      </c>
      <c r="Y134" s="133">
        <f t="shared" si="31"/>
        <v>38092.893326325771</v>
      </c>
      <c r="Z134" s="133">
        <f t="shared" si="31"/>
        <v>38818.148314504389</v>
      </c>
      <c r="AA134" s="133">
        <f t="shared" si="31"/>
        <v>-87465.423136740021</v>
      </c>
      <c r="AB134" s="133">
        <f t="shared" si="31"/>
        <v>134667.84287068134</v>
      </c>
      <c r="AC134" s="133">
        <f t="shared" si="31"/>
        <v>10496.483463900156</v>
      </c>
      <c r="AD134" s="133">
        <f t="shared" si="31"/>
        <v>453543.58739236183</v>
      </c>
      <c r="AE134" s="133">
        <f t="shared" si="31"/>
        <v>32945.291286336498</v>
      </c>
      <c r="AF134" s="133">
        <f t="shared" si="31"/>
        <v>305952.00305322686</v>
      </c>
      <c r="AH134" s="120"/>
      <c r="AI134" s="120"/>
      <c r="AJ134" s="120"/>
    </row>
    <row r="135" spans="1:38" x14ac:dyDescent="0.25">
      <c r="AH135" s="120" t="s">
        <v>493</v>
      </c>
      <c r="AI135" s="120"/>
      <c r="AJ135" s="120"/>
    </row>
    <row r="136" spans="1:38" x14ac:dyDescent="0.25">
      <c r="AH136" s="141" t="s">
        <v>271</v>
      </c>
    </row>
    <row r="138" spans="1:38" x14ac:dyDescent="0.25">
      <c r="A138" t="s">
        <v>487</v>
      </c>
      <c r="B138" t="s">
        <v>120</v>
      </c>
      <c r="C138" t="s">
        <v>478</v>
      </c>
      <c r="D138" t="s">
        <v>479</v>
      </c>
      <c r="E138" s="123">
        <f t="shared" ref="E138:AF138" si="32">$AK$132-E121</f>
        <v>17.899999999999999</v>
      </c>
      <c r="F138" s="123">
        <f t="shared" si="32"/>
        <v>17.899999999999999</v>
      </c>
      <c r="G138" s="123">
        <f t="shared" si="32"/>
        <v>17.899999999999999</v>
      </c>
      <c r="H138" s="123">
        <f t="shared" si="32"/>
        <v>17.899999999999999</v>
      </c>
      <c r="I138" s="123">
        <f t="shared" si="32"/>
        <v>17.899999999999999</v>
      </c>
      <c r="J138" s="123">
        <f t="shared" si="32"/>
        <v>17.899999999999999</v>
      </c>
      <c r="K138" s="123">
        <f t="shared" si="32"/>
        <v>17.899999999999999</v>
      </c>
      <c r="L138" s="123">
        <f t="shared" si="32"/>
        <v>17.899999999999999</v>
      </c>
      <c r="M138" s="123">
        <f t="shared" si="32"/>
        <v>17.899999999999999</v>
      </c>
      <c r="N138" s="123">
        <f t="shared" si="32"/>
        <v>17.899999999999999</v>
      </c>
      <c r="O138" s="123">
        <f t="shared" si="32"/>
        <v>17.899999999999999</v>
      </c>
      <c r="P138" s="123">
        <f t="shared" si="32"/>
        <v>17.899999999999999</v>
      </c>
      <c r="Q138" s="123">
        <f t="shared" si="32"/>
        <v>17.899999999999999</v>
      </c>
      <c r="R138" s="123">
        <f t="shared" si="32"/>
        <v>17.899999999999999</v>
      </c>
      <c r="S138" s="123">
        <f t="shared" si="32"/>
        <v>17.899999999999999</v>
      </c>
      <c r="T138" s="123">
        <f t="shared" si="32"/>
        <v>17.899999999999999</v>
      </c>
      <c r="U138" s="123">
        <f t="shared" si="32"/>
        <v>17.899999999999999</v>
      </c>
      <c r="V138" s="123">
        <f t="shared" si="32"/>
        <v>17.899999999999999</v>
      </c>
      <c r="W138" s="123">
        <f t="shared" si="32"/>
        <v>17.899999999999999</v>
      </c>
      <c r="X138" s="123">
        <f t="shared" si="32"/>
        <v>17.899999999999999</v>
      </c>
      <c r="Y138" s="123">
        <f t="shared" si="32"/>
        <v>17.899999999999999</v>
      </c>
      <c r="Z138" s="123">
        <f t="shared" si="32"/>
        <v>17.899999999999999</v>
      </c>
      <c r="AA138" s="123">
        <f t="shared" si="32"/>
        <v>17.899999999999999</v>
      </c>
      <c r="AB138" s="123">
        <f t="shared" si="32"/>
        <v>17.899999999999999</v>
      </c>
      <c r="AC138" s="123">
        <f t="shared" si="32"/>
        <v>17.899999999999999</v>
      </c>
      <c r="AD138" s="123">
        <f t="shared" si="32"/>
        <v>17.899999999999999</v>
      </c>
      <c r="AE138" s="123">
        <f t="shared" si="32"/>
        <v>17.899999999999999</v>
      </c>
      <c r="AF138" s="123">
        <f t="shared" si="32"/>
        <v>17.899999999999999</v>
      </c>
    </row>
    <row r="139" spans="1:38" x14ac:dyDescent="0.25">
      <c r="A139" t="s">
        <v>487</v>
      </c>
      <c r="B139" t="s">
        <v>120</v>
      </c>
      <c r="C139" t="s">
        <v>480</v>
      </c>
      <c r="D139" t="s">
        <v>363</v>
      </c>
      <c r="E139" s="126">
        <f t="shared" ref="E139:AF139" si="33">E86*E81*E138*1000*(1-E130)</f>
        <v>0</v>
      </c>
      <c r="F139" s="126">
        <f t="shared" si="33"/>
        <v>0</v>
      </c>
      <c r="G139" s="126">
        <f t="shared" si="33"/>
        <v>0</v>
      </c>
      <c r="H139" s="126">
        <f t="shared" si="33"/>
        <v>0</v>
      </c>
      <c r="I139" s="126">
        <f t="shared" si="33"/>
        <v>0</v>
      </c>
      <c r="J139" s="126">
        <f t="shared" si="33"/>
        <v>0</v>
      </c>
      <c r="K139" s="126">
        <f t="shared" si="33"/>
        <v>0</v>
      </c>
      <c r="L139" s="126">
        <f t="shared" si="33"/>
        <v>0</v>
      </c>
      <c r="M139" s="126">
        <f t="shared" si="33"/>
        <v>0</v>
      </c>
      <c r="N139" s="126">
        <f t="shared" si="33"/>
        <v>0</v>
      </c>
      <c r="O139" s="126">
        <f t="shared" si="33"/>
        <v>0</v>
      </c>
      <c r="P139" s="126">
        <f t="shared" si="33"/>
        <v>0</v>
      </c>
      <c r="Q139" s="126">
        <f t="shared" si="33"/>
        <v>0</v>
      </c>
      <c r="R139" s="126">
        <f t="shared" si="33"/>
        <v>0</v>
      </c>
      <c r="S139" s="126">
        <f t="shared" si="33"/>
        <v>0</v>
      </c>
      <c r="T139" s="126">
        <f t="shared" si="33"/>
        <v>0</v>
      </c>
      <c r="U139" s="126">
        <f t="shared" si="33"/>
        <v>0</v>
      </c>
      <c r="V139" s="126">
        <f t="shared" si="33"/>
        <v>0</v>
      </c>
      <c r="W139" s="126">
        <f t="shared" si="33"/>
        <v>500318.55527027778</v>
      </c>
      <c r="X139" s="126">
        <f t="shared" si="33"/>
        <v>0</v>
      </c>
      <c r="Y139" s="126">
        <f t="shared" si="33"/>
        <v>0</v>
      </c>
      <c r="Z139" s="126">
        <f t="shared" si="33"/>
        <v>0</v>
      </c>
      <c r="AA139" s="126">
        <f t="shared" si="33"/>
        <v>0</v>
      </c>
      <c r="AB139" s="126">
        <f t="shared" si="33"/>
        <v>0</v>
      </c>
      <c r="AC139" s="126">
        <f t="shared" si="33"/>
        <v>0</v>
      </c>
      <c r="AD139" s="126">
        <f t="shared" si="33"/>
        <v>0</v>
      </c>
      <c r="AE139" s="126">
        <f t="shared" si="33"/>
        <v>0</v>
      </c>
      <c r="AF139" s="126">
        <f t="shared" si="33"/>
        <v>0</v>
      </c>
    </row>
    <row r="140" spans="1:38" x14ac:dyDescent="0.25">
      <c r="A140" t="s">
        <v>487</v>
      </c>
      <c r="B140" t="s">
        <v>120</v>
      </c>
      <c r="C140" t="s">
        <v>481</v>
      </c>
      <c r="D140" t="s">
        <v>460</v>
      </c>
      <c r="E140" s="127" t="str">
        <f t="shared" ref="E140:AF140" si="34">IFERROR(IF(E139&lt;=0,"",E139/E58),"FLAG")</f>
        <v/>
      </c>
      <c r="F140" s="127" t="str">
        <f t="shared" si="34"/>
        <v/>
      </c>
      <c r="G140" s="127" t="str">
        <f t="shared" si="34"/>
        <v/>
      </c>
      <c r="H140" s="127" t="str">
        <f t="shared" si="34"/>
        <v/>
      </c>
      <c r="I140" s="127" t="str">
        <f t="shared" si="34"/>
        <v/>
      </c>
      <c r="J140" s="127" t="str">
        <f t="shared" si="34"/>
        <v/>
      </c>
      <c r="K140" s="127" t="str">
        <f t="shared" si="34"/>
        <v/>
      </c>
      <c r="L140" s="127" t="str">
        <f t="shared" si="34"/>
        <v/>
      </c>
      <c r="M140" s="127" t="str">
        <f t="shared" si="34"/>
        <v/>
      </c>
      <c r="N140" s="127" t="str">
        <f t="shared" si="34"/>
        <v/>
      </c>
      <c r="O140" s="127" t="str">
        <f t="shared" si="34"/>
        <v/>
      </c>
      <c r="P140" s="127" t="str">
        <f t="shared" si="34"/>
        <v/>
      </c>
      <c r="Q140" s="127" t="str">
        <f t="shared" si="34"/>
        <v/>
      </c>
      <c r="R140" s="127" t="str">
        <f t="shared" si="34"/>
        <v/>
      </c>
      <c r="S140" s="127" t="str">
        <f t="shared" si="34"/>
        <v/>
      </c>
      <c r="T140" s="127" t="str">
        <f t="shared" si="34"/>
        <v/>
      </c>
      <c r="U140" s="127" t="str">
        <f t="shared" si="34"/>
        <v/>
      </c>
      <c r="V140" s="127" t="str">
        <f t="shared" si="34"/>
        <v/>
      </c>
      <c r="W140" s="127">
        <f t="shared" si="34"/>
        <v>0.35881436815748358</v>
      </c>
      <c r="X140" s="127" t="str">
        <f t="shared" si="34"/>
        <v/>
      </c>
      <c r="Y140" s="127" t="str">
        <f t="shared" si="34"/>
        <v/>
      </c>
      <c r="Z140" s="127" t="str">
        <f t="shared" si="34"/>
        <v/>
      </c>
      <c r="AA140" s="127" t="str">
        <f t="shared" si="34"/>
        <v/>
      </c>
      <c r="AB140" s="127" t="str">
        <f t="shared" si="34"/>
        <v/>
      </c>
      <c r="AC140" s="127" t="str">
        <f t="shared" si="34"/>
        <v/>
      </c>
      <c r="AD140" s="127" t="str">
        <f t="shared" si="34"/>
        <v/>
      </c>
      <c r="AE140" s="127" t="str">
        <f t="shared" si="34"/>
        <v/>
      </c>
      <c r="AF140" s="127" t="str">
        <f t="shared" si="34"/>
        <v/>
      </c>
    </row>
    <row r="141" spans="1:38" x14ac:dyDescent="0.25">
      <c r="B141" t="s">
        <v>120</v>
      </c>
      <c r="C141" t="s">
        <v>494</v>
      </c>
      <c r="D141" t="s">
        <v>363</v>
      </c>
      <c r="E141" s="133" t="str">
        <f t="shared" ref="E141:AF141" si="35">IF(E140="","",(1-E140)*E58)</f>
        <v/>
      </c>
      <c r="F141" s="133" t="str">
        <f t="shared" si="35"/>
        <v/>
      </c>
      <c r="G141" s="133" t="str">
        <f t="shared" si="35"/>
        <v/>
      </c>
      <c r="H141" s="133" t="str">
        <f t="shared" si="35"/>
        <v/>
      </c>
      <c r="I141" s="133" t="str">
        <f t="shared" si="35"/>
        <v/>
      </c>
      <c r="J141" s="133" t="str">
        <f t="shared" si="35"/>
        <v/>
      </c>
      <c r="K141" s="133" t="str">
        <f t="shared" si="35"/>
        <v/>
      </c>
      <c r="L141" s="133" t="str">
        <f t="shared" si="35"/>
        <v/>
      </c>
      <c r="M141" s="133" t="str">
        <f t="shared" si="35"/>
        <v/>
      </c>
      <c r="N141" s="133" t="str">
        <f t="shared" si="35"/>
        <v/>
      </c>
      <c r="O141" s="133" t="str">
        <f t="shared" si="35"/>
        <v/>
      </c>
      <c r="P141" s="133" t="str">
        <f t="shared" si="35"/>
        <v/>
      </c>
      <c r="Q141" s="133" t="str">
        <f t="shared" si="35"/>
        <v/>
      </c>
      <c r="R141" s="133" t="str">
        <f t="shared" si="35"/>
        <v/>
      </c>
      <c r="S141" s="133" t="str">
        <f t="shared" si="35"/>
        <v/>
      </c>
      <c r="T141" s="133" t="str">
        <f t="shared" si="35"/>
        <v/>
      </c>
      <c r="U141" s="133" t="str">
        <f t="shared" si="35"/>
        <v/>
      </c>
      <c r="V141" s="133" t="str">
        <f t="shared" si="35"/>
        <v/>
      </c>
      <c r="W141" s="133">
        <f t="shared" si="35"/>
        <v>894047.44472972222</v>
      </c>
      <c r="X141" s="133" t="str">
        <f t="shared" si="35"/>
        <v/>
      </c>
      <c r="Y141" s="133" t="str">
        <f t="shared" si="35"/>
        <v/>
      </c>
      <c r="Z141" s="133" t="str">
        <f t="shared" si="35"/>
        <v/>
      </c>
      <c r="AA141" s="133" t="str">
        <f t="shared" si="35"/>
        <v/>
      </c>
      <c r="AB141" s="133" t="str">
        <f t="shared" si="35"/>
        <v/>
      </c>
      <c r="AC141" s="133" t="str">
        <f t="shared" si="35"/>
        <v/>
      </c>
      <c r="AD141" s="133" t="str">
        <f t="shared" si="35"/>
        <v/>
      </c>
      <c r="AE141" s="133" t="str">
        <f t="shared" si="35"/>
        <v/>
      </c>
      <c r="AF141" s="133" t="str">
        <f t="shared" si="35"/>
        <v/>
      </c>
    </row>
    <row r="143" spans="1:38" x14ac:dyDescent="0.25">
      <c r="A143" t="s">
        <v>477</v>
      </c>
      <c r="B143" t="s">
        <v>126</v>
      </c>
      <c r="C143" t="s">
        <v>478</v>
      </c>
      <c r="D143" t="s">
        <v>479</v>
      </c>
      <c r="E143" s="123">
        <f t="shared" ref="E143:AF143" si="36">$AI$131</f>
        <v>2.1</v>
      </c>
      <c r="F143" s="123">
        <f t="shared" si="36"/>
        <v>2.1</v>
      </c>
      <c r="G143" s="123">
        <f t="shared" si="36"/>
        <v>2.1</v>
      </c>
      <c r="H143" s="123">
        <f t="shared" si="36"/>
        <v>2.1</v>
      </c>
      <c r="I143" s="123">
        <f t="shared" si="36"/>
        <v>2.1</v>
      </c>
      <c r="J143" s="123">
        <f t="shared" si="36"/>
        <v>2.1</v>
      </c>
      <c r="K143" s="123">
        <f t="shared" si="36"/>
        <v>2.1</v>
      </c>
      <c r="L143" s="123">
        <f t="shared" si="36"/>
        <v>2.1</v>
      </c>
      <c r="M143" s="123">
        <f t="shared" si="36"/>
        <v>2.1</v>
      </c>
      <c r="N143" s="123">
        <f t="shared" si="36"/>
        <v>2.1</v>
      </c>
      <c r="O143" s="123">
        <f t="shared" si="36"/>
        <v>2.1</v>
      </c>
      <c r="P143" s="123">
        <f t="shared" si="36"/>
        <v>2.1</v>
      </c>
      <c r="Q143" s="123">
        <f t="shared" si="36"/>
        <v>2.1</v>
      </c>
      <c r="R143" s="123">
        <f t="shared" si="36"/>
        <v>2.1</v>
      </c>
      <c r="S143" s="123">
        <f t="shared" si="36"/>
        <v>2.1</v>
      </c>
      <c r="T143" s="123">
        <f t="shared" si="36"/>
        <v>2.1</v>
      </c>
      <c r="U143" s="123">
        <f t="shared" si="36"/>
        <v>2.1</v>
      </c>
      <c r="V143" s="123">
        <f t="shared" si="36"/>
        <v>2.1</v>
      </c>
      <c r="W143" s="123">
        <f t="shared" si="36"/>
        <v>2.1</v>
      </c>
      <c r="X143" s="123">
        <f t="shared" si="36"/>
        <v>2.1</v>
      </c>
      <c r="Y143" s="123">
        <f t="shared" si="36"/>
        <v>2.1</v>
      </c>
      <c r="Z143" s="123">
        <f t="shared" si="36"/>
        <v>2.1</v>
      </c>
      <c r="AA143" s="123">
        <f t="shared" si="36"/>
        <v>2.1</v>
      </c>
      <c r="AB143" s="123">
        <f t="shared" si="36"/>
        <v>2.1</v>
      </c>
      <c r="AC143" s="123">
        <f t="shared" si="36"/>
        <v>2.1</v>
      </c>
      <c r="AD143" s="123">
        <f t="shared" si="36"/>
        <v>2.1</v>
      </c>
      <c r="AE143" s="123">
        <f t="shared" si="36"/>
        <v>2.1</v>
      </c>
      <c r="AF143" s="123">
        <f t="shared" si="36"/>
        <v>2.1</v>
      </c>
    </row>
    <row r="144" spans="1:38" x14ac:dyDescent="0.25">
      <c r="A144" t="s">
        <v>477</v>
      </c>
      <c r="B144" t="s">
        <v>126</v>
      </c>
      <c r="C144" t="s">
        <v>480</v>
      </c>
      <c r="D144" t="s">
        <v>363</v>
      </c>
      <c r="E144" s="126">
        <f t="shared" ref="E144:AF144" si="37">E86*E81*E143*1000</f>
        <v>11.586157526989117</v>
      </c>
      <c r="F144" s="126">
        <f t="shared" si="37"/>
        <v>4227.4595001468397</v>
      </c>
      <c r="G144" s="126">
        <f t="shared" si="37"/>
        <v>12.744773279688005</v>
      </c>
      <c r="H144" s="126">
        <f t="shared" si="37"/>
        <v>653.92273082326506</v>
      </c>
      <c r="I144" s="126">
        <f t="shared" si="37"/>
        <v>292.5503022026403</v>
      </c>
      <c r="J144" s="126">
        <f t="shared" si="37"/>
        <v>97.205472074310535</v>
      </c>
      <c r="K144" s="126">
        <f t="shared" si="37"/>
        <v>1135.8324116045301</v>
      </c>
      <c r="L144" s="126">
        <f t="shared" si="37"/>
        <v>713.15430266283113</v>
      </c>
      <c r="M144" s="126">
        <f t="shared" si="37"/>
        <v>1493.4669755533967</v>
      </c>
      <c r="N144" s="126">
        <f t="shared" si="37"/>
        <v>938.12527392829543</v>
      </c>
      <c r="O144" s="126">
        <f t="shared" si="37"/>
        <v>73.031473582599915</v>
      </c>
      <c r="P144" s="126">
        <f t="shared" si="37"/>
        <v>19703.956416406651</v>
      </c>
      <c r="Q144" s="126">
        <f t="shared" si="37"/>
        <v>490.23576621783775</v>
      </c>
      <c r="R144" s="126">
        <f t="shared" si="37"/>
        <v>604.1154090022535</v>
      </c>
      <c r="S144" s="126">
        <f t="shared" si="37"/>
        <v>1307.3437908369835</v>
      </c>
      <c r="T144" s="126">
        <f t="shared" si="37"/>
        <v>7310.1945123004652</v>
      </c>
      <c r="U144" s="126">
        <f t="shared" si="37"/>
        <v>3877.2637685777813</v>
      </c>
      <c r="V144" s="126">
        <f t="shared" si="37"/>
        <v>1329.7272680355504</v>
      </c>
      <c r="W144" s="126">
        <f t="shared" si="37"/>
        <v>61785.884508531817</v>
      </c>
      <c r="X144" s="126">
        <f t="shared" si="37"/>
        <v>4939.9391099947643</v>
      </c>
      <c r="Y144" s="126">
        <f t="shared" si="37"/>
        <v>1111.4749343143917</v>
      </c>
      <c r="Z144" s="126">
        <f t="shared" si="37"/>
        <v>2528.099235969386</v>
      </c>
      <c r="AA144" s="126">
        <f t="shared" si="37"/>
        <v>21685.219239143604</v>
      </c>
      <c r="AB144" s="126">
        <f t="shared" si="37"/>
        <v>2714.6219981046124</v>
      </c>
      <c r="AC144" s="126">
        <f t="shared" si="37"/>
        <v>23.172315053978203</v>
      </c>
      <c r="AD144" s="126">
        <f t="shared" si="37"/>
        <v>4896.6977650693443</v>
      </c>
      <c r="AE144" s="126">
        <f t="shared" si="37"/>
        <v>4508.239219912889</v>
      </c>
      <c r="AF144" s="126">
        <f t="shared" si="37"/>
        <v>12196.379572548234</v>
      </c>
    </row>
    <row r="145" spans="1:42" x14ac:dyDescent="0.25">
      <c r="A145" t="s">
        <v>477</v>
      </c>
      <c r="B145" t="s">
        <v>126</v>
      </c>
      <c r="C145" t="s">
        <v>495</v>
      </c>
      <c r="D145" t="s">
        <v>460</v>
      </c>
      <c r="E145" s="127">
        <f t="shared" ref="E145:AF145" si="38">IFERROR(IF(E144&lt;=0,"",E144/(E61-E122)),1)</f>
        <v>1.9955675909665905E-3</v>
      </c>
      <c r="F145" s="127">
        <f t="shared" si="38"/>
        <v>-6.2335877791510867</v>
      </c>
      <c r="G145" s="127">
        <f t="shared" si="38"/>
        <v>1.4457387940287461E-2</v>
      </c>
      <c r="H145" s="127">
        <f t="shared" si="38"/>
        <v>1.0362095828658349E-2</v>
      </c>
      <c r="I145" s="127">
        <f t="shared" si="38"/>
        <v>2.0140026473664377E-2</v>
      </c>
      <c r="J145" s="127">
        <f t="shared" si="38"/>
        <v>1.1237214456843636E-3</v>
      </c>
      <c r="K145" s="127">
        <f t="shared" si="38"/>
        <v>4.9370587136423297E-2</v>
      </c>
      <c r="L145" s="127">
        <f t="shared" si="38"/>
        <v>-0.11073436497291227</v>
      </c>
      <c r="M145" s="127">
        <f t="shared" si="38"/>
        <v>2.0686624865677152E-2</v>
      </c>
      <c r="N145" s="127">
        <f t="shared" si="38"/>
        <v>4.4565504175778807E-2</v>
      </c>
      <c r="O145" s="127">
        <f t="shared" si="38"/>
        <v>3.7607745699090533E-2</v>
      </c>
      <c r="P145" s="127">
        <f t="shared" si="38"/>
        <v>8.5632530793612292E-3</v>
      </c>
      <c r="Q145" s="127">
        <f t="shared" si="38"/>
        <v>6.2811907852083964E-3</v>
      </c>
      <c r="R145" s="127">
        <f t="shared" si="38"/>
        <v>2.0449257288949571E-2</v>
      </c>
      <c r="S145" s="127">
        <f t="shared" si="38"/>
        <v>2.9187473664793528E-2</v>
      </c>
      <c r="T145" s="127">
        <f t="shared" si="38"/>
        <v>6.8870724856485654E-2</v>
      </c>
      <c r="U145" s="127">
        <f t="shared" si="38"/>
        <v>3.0835136625448425E-2</v>
      </c>
      <c r="V145" s="127">
        <f t="shared" si="38"/>
        <v>7.554033678320507E-2</v>
      </c>
      <c r="W145" s="127">
        <f t="shared" si="38"/>
        <v>-0.97902115429644521</v>
      </c>
      <c r="X145" s="127">
        <f t="shared" si="38"/>
        <v>2.495531675099916E-2</v>
      </c>
      <c r="Y145" s="127">
        <f t="shared" si="38"/>
        <v>3.6005358666696119</v>
      </c>
      <c r="Z145" s="127">
        <f t="shared" si="38"/>
        <v>3.7096046745381403E-2</v>
      </c>
      <c r="AA145" s="127">
        <f t="shared" si="38"/>
        <v>2.3596265931363836</v>
      </c>
      <c r="AB145" s="127">
        <f t="shared" si="38"/>
        <v>-0.52221486954606777</v>
      </c>
      <c r="AC145" s="127">
        <f t="shared" si="38"/>
        <v>-0.11134746773543969</v>
      </c>
      <c r="AD145" s="127">
        <f t="shared" si="38"/>
        <v>2.7303137894114017E-2</v>
      </c>
      <c r="AE145" s="127">
        <f t="shared" si="38"/>
        <v>3.0041816672211934E-2</v>
      </c>
      <c r="AF145" s="127">
        <f t="shared" si="38"/>
        <v>0.12896012647469846</v>
      </c>
    </row>
    <row r="146" spans="1:42" x14ac:dyDescent="0.25">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7"/>
      <c r="AF146" s="127"/>
    </row>
    <row r="147" spans="1:42" x14ac:dyDescent="0.25">
      <c r="A147" s="249" t="s">
        <v>496</v>
      </c>
    </row>
    <row r="148" spans="1:42" x14ac:dyDescent="0.25">
      <c r="A148" s="117"/>
      <c r="B148" s="117" t="s">
        <v>126</v>
      </c>
      <c r="C148" s="117" t="s">
        <v>484</v>
      </c>
      <c r="D148" s="117" t="s">
        <v>363</v>
      </c>
      <c r="E148" s="148">
        <f t="shared" ref="E148:AF148" si="39">IF((E61-E122-E144)&gt;0,0,-(E61-E122-E144))-E126</f>
        <v>0</v>
      </c>
      <c r="F148" s="148">
        <f t="shared" si="39"/>
        <v>4077.79452006877</v>
      </c>
      <c r="G148" s="148">
        <f t="shared" si="39"/>
        <v>0</v>
      </c>
      <c r="H148" s="148">
        <f t="shared" si="39"/>
        <v>0</v>
      </c>
      <c r="I148" s="148">
        <f t="shared" si="39"/>
        <v>0</v>
      </c>
      <c r="J148" s="148">
        <f t="shared" si="39"/>
        <v>0</v>
      </c>
      <c r="K148" s="148">
        <f t="shared" si="39"/>
        <v>0</v>
      </c>
      <c r="L148" s="148">
        <f t="shared" si="39"/>
        <v>713.15430266283147</v>
      </c>
      <c r="M148" s="148">
        <f t="shared" si="39"/>
        <v>0</v>
      </c>
      <c r="N148" s="148">
        <f t="shared" si="39"/>
        <v>0</v>
      </c>
      <c r="O148" s="148">
        <f t="shared" si="39"/>
        <v>0</v>
      </c>
      <c r="P148" s="148">
        <f t="shared" si="39"/>
        <v>0</v>
      </c>
      <c r="Q148" s="148">
        <f t="shared" si="39"/>
        <v>0</v>
      </c>
      <c r="R148" s="148">
        <f t="shared" si="39"/>
        <v>0</v>
      </c>
      <c r="S148" s="148">
        <f t="shared" si="39"/>
        <v>0</v>
      </c>
      <c r="T148" s="148">
        <f t="shared" si="39"/>
        <v>0</v>
      </c>
      <c r="U148" s="148">
        <f t="shared" si="39"/>
        <v>0</v>
      </c>
      <c r="V148" s="148">
        <f t="shared" si="39"/>
        <v>0</v>
      </c>
      <c r="W148" s="148">
        <f t="shared" si="39"/>
        <v>61785.88450853181</v>
      </c>
      <c r="X148" s="148">
        <f t="shared" si="39"/>
        <v>0</v>
      </c>
      <c r="Y148" s="148">
        <f t="shared" si="39"/>
        <v>802.77784713817846</v>
      </c>
      <c r="Z148" s="148">
        <f t="shared" si="39"/>
        <v>0</v>
      </c>
      <c r="AA148" s="148">
        <f t="shared" si="39"/>
        <v>12495.112930704392</v>
      </c>
      <c r="AB148" s="148">
        <f t="shared" si="39"/>
        <v>1323.8055682615113</v>
      </c>
      <c r="AC148" s="148">
        <f t="shared" si="39"/>
        <v>23.172315053978195</v>
      </c>
      <c r="AD148" s="148">
        <f t="shared" si="39"/>
        <v>0</v>
      </c>
      <c r="AE148" s="148">
        <f t="shared" si="39"/>
        <v>0</v>
      </c>
      <c r="AF148" s="148">
        <f t="shared" si="39"/>
        <v>0</v>
      </c>
      <c r="AH148" t="s">
        <v>485</v>
      </c>
    </row>
    <row r="149" spans="1:42" x14ac:dyDescent="0.25">
      <c r="A149" s="117"/>
      <c r="B149" s="117" t="s">
        <v>128</v>
      </c>
      <c r="C149" s="117" t="s">
        <v>484</v>
      </c>
      <c r="D149" s="117" t="s">
        <v>363</v>
      </c>
      <c r="E149" s="148">
        <f t="shared" ref="E149:AF149" si="40">IF((E62-E132)&gt;0,0,-(E62-E132))</f>
        <v>82.758268049922265</v>
      </c>
      <c r="F149" s="148">
        <f t="shared" si="40"/>
        <v>0</v>
      </c>
      <c r="G149" s="148">
        <f t="shared" si="40"/>
        <v>91.034094854914329</v>
      </c>
      <c r="H149" s="148">
        <f t="shared" si="40"/>
        <v>0</v>
      </c>
      <c r="I149" s="148">
        <f t="shared" si="40"/>
        <v>0</v>
      </c>
      <c r="J149" s="148">
        <f t="shared" si="40"/>
        <v>0</v>
      </c>
      <c r="K149" s="148">
        <f t="shared" si="40"/>
        <v>0</v>
      </c>
      <c r="L149" s="148">
        <f t="shared" si="40"/>
        <v>4390.9593047345088</v>
      </c>
      <c r="M149" s="148">
        <f t="shared" si="40"/>
        <v>0</v>
      </c>
      <c r="N149" s="148">
        <f t="shared" si="40"/>
        <v>0</v>
      </c>
      <c r="O149" s="148">
        <f t="shared" si="40"/>
        <v>0</v>
      </c>
      <c r="P149" s="148">
        <f t="shared" si="40"/>
        <v>0</v>
      </c>
      <c r="Q149" s="148">
        <f t="shared" si="40"/>
        <v>0</v>
      </c>
      <c r="R149" s="148">
        <f t="shared" si="40"/>
        <v>0</v>
      </c>
      <c r="S149" s="148">
        <f t="shared" si="40"/>
        <v>0</v>
      </c>
      <c r="T149" s="148">
        <f t="shared" si="40"/>
        <v>0</v>
      </c>
      <c r="U149" s="148">
        <f t="shared" si="40"/>
        <v>0</v>
      </c>
      <c r="V149" s="148">
        <f t="shared" si="40"/>
        <v>0</v>
      </c>
      <c r="W149" s="148">
        <f t="shared" si="40"/>
        <v>1602.3873244756542</v>
      </c>
      <c r="X149" s="148">
        <f t="shared" si="40"/>
        <v>0</v>
      </c>
      <c r="Y149" s="148">
        <f t="shared" si="40"/>
        <v>0</v>
      </c>
      <c r="Z149" s="148">
        <f t="shared" si="40"/>
        <v>0</v>
      </c>
      <c r="AA149" s="148">
        <f t="shared" si="40"/>
        <v>87465.423136740021</v>
      </c>
      <c r="AB149" s="148">
        <f t="shared" si="40"/>
        <v>0</v>
      </c>
      <c r="AC149" s="148">
        <f t="shared" si="40"/>
        <v>0</v>
      </c>
      <c r="AD149" s="148">
        <f t="shared" si="40"/>
        <v>0</v>
      </c>
      <c r="AE149" s="148">
        <f t="shared" si="40"/>
        <v>0</v>
      </c>
      <c r="AF149" s="148">
        <f t="shared" si="40"/>
        <v>0</v>
      </c>
      <c r="AH149" t="s">
        <v>485</v>
      </c>
    </row>
    <row r="151" spans="1:42" x14ac:dyDescent="0.25">
      <c r="B151" t="s">
        <v>126</v>
      </c>
      <c r="C151" t="s">
        <v>497</v>
      </c>
      <c r="D151" t="s">
        <v>363</v>
      </c>
      <c r="E151" s="333">
        <f>E144+E122</f>
        <v>115.64023044508797</v>
      </c>
      <c r="F151" s="333">
        <f>F144+F122</f>
        <v>7978.633875790676</v>
      </c>
      <c r="G151" s="333">
        <f t="shared" ref="G151:AF151" si="41">G144+G122</f>
        <v>127.20425348959677</v>
      </c>
      <c r="H151" s="333">
        <f t="shared" si="41"/>
        <v>6526.7346063207642</v>
      </c>
      <c r="I151" s="333">
        <f t="shared" si="41"/>
        <v>2953.7351258826548</v>
      </c>
      <c r="J151" s="333">
        <f t="shared" si="41"/>
        <v>975.03117774471161</v>
      </c>
      <c r="K151" s="333">
        <f t="shared" si="41"/>
        <v>9654.5754986385036</v>
      </c>
      <c r="L151" s="333">
        <f t="shared" si="41"/>
        <v>7153.3799980671647</v>
      </c>
      <c r="M151" s="333">
        <f t="shared" si="41"/>
        <v>14928.655823380945</v>
      </c>
      <c r="N151" s="333">
        <f t="shared" si="41"/>
        <v>9385.6448344370874</v>
      </c>
      <c r="O151" s="333">
        <f t="shared" si="41"/>
        <v>731.10509046610184</v>
      </c>
      <c r="P151" s="333">
        <f t="shared" si="41"/>
        <v>195140.34022764227</v>
      </c>
      <c r="Q151" s="333">
        <f t="shared" si="41"/>
        <v>4910.0148186395345</v>
      </c>
      <c r="R151" s="333">
        <f t="shared" si="41"/>
        <v>6060.9466903022749</v>
      </c>
      <c r="S151" s="333">
        <f t="shared" si="41"/>
        <v>11780.081420845507</v>
      </c>
      <c r="T151" s="333">
        <f t="shared" si="41"/>
        <v>73190.480655162901</v>
      </c>
      <c r="U151" s="333">
        <f t="shared" si="41"/>
        <v>38963.522596013885</v>
      </c>
      <c r="V151" s="333">
        <f t="shared" si="41"/>
        <v>13314.850121064856</v>
      </c>
      <c r="W151" s="333">
        <f t="shared" si="41"/>
        <v>124895.74095788816</v>
      </c>
      <c r="X151" s="333">
        <f t="shared" si="41"/>
        <v>49569.570298097024</v>
      </c>
      <c r="Y151" s="333">
        <f t="shared" si="41"/>
        <v>11126.777847138179</v>
      </c>
      <c r="Z151" s="333">
        <f t="shared" si="41"/>
        <v>23390.000835412891</v>
      </c>
      <c r="AA151" s="333">
        <f t="shared" si="41"/>
        <v>29122.112930704392</v>
      </c>
      <c r="AB151" s="333">
        <f t="shared" si="41"/>
        <v>27341.907524643299</v>
      </c>
      <c r="AC151" s="333">
        <f t="shared" si="41"/>
        <v>231.2804608901759</v>
      </c>
      <c r="AD151" s="333">
        <f t="shared" si="41"/>
        <v>49028.093459090684</v>
      </c>
      <c r="AE151" s="333">
        <f t="shared" si="41"/>
        <v>45179.773169621789</v>
      </c>
      <c r="AF151" s="333">
        <f t="shared" si="41"/>
        <v>122035.56869144134</v>
      </c>
    </row>
    <row r="152" spans="1:42" x14ac:dyDescent="0.25">
      <c r="B152" t="s">
        <v>126</v>
      </c>
      <c r="C152" t="s">
        <v>498</v>
      </c>
      <c r="D152" t="s">
        <v>363</v>
      </c>
      <c r="E152" s="98">
        <f t="shared" ref="E152:AF152" si="42">E61</f>
        <v>5910</v>
      </c>
      <c r="F152" s="98">
        <f t="shared" si="42"/>
        <v>3073</v>
      </c>
      <c r="G152" s="98">
        <f t="shared" si="42"/>
        <v>996</v>
      </c>
      <c r="H152" s="98">
        <f t="shared" si="42"/>
        <v>68980</v>
      </c>
      <c r="I152" s="98">
        <f t="shared" si="42"/>
        <v>17187</v>
      </c>
      <c r="J152" s="98">
        <f t="shared" si="42"/>
        <v>87381</v>
      </c>
      <c r="K152" s="98">
        <f t="shared" si="42"/>
        <v>31525</v>
      </c>
      <c r="L152" s="98">
        <f t="shared" si="42"/>
        <v>0</v>
      </c>
      <c r="M152" s="98">
        <f t="shared" si="42"/>
        <v>85630</v>
      </c>
      <c r="N152" s="98">
        <f t="shared" si="42"/>
        <v>29498</v>
      </c>
      <c r="O152" s="98">
        <f t="shared" si="42"/>
        <v>2600</v>
      </c>
      <c r="P152" s="98">
        <f t="shared" si="42"/>
        <v>2476426</v>
      </c>
      <c r="Q152" s="98">
        <f t="shared" si="42"/>
        <v>82468</v>
      </c>
      <c r="R152" s="98">
        <f t="shared" si="42"/>
        <v>34999</v>
      </c>
      <c r="S152" s="98">
        <f t="shared" si="42"/>
        <v>55264</v>
      </c>
      <c r="T152" s="98">
        <f t="shared" si="42"/>
        <v>172024</v>
      </c>
      <c r="U152" s="98">
        <f t="shared" si="42"/>
        <v>160828</v>
      </c>
      <c r="V152" s="98">
        <f t="shared" si="42"/>
        <v>29588</v>
      </c>
      <c r="W152" s="98">
        <f t="shared" si="42"/>
        <v>0</v>
      </c>
      <c r="X152" s="98">
        <f t="shared" si="42"/>
        <v>242581</v>
      </c>
      <c r="Y152" s="98">
        <f t="shared" si="42"/>
        <v>10324</v>
      </c>
      <c r="Z152" s="98">
        <f t="shared" si="42"/>
        <v>89012</v>
      </c>
      <c r="AA152" s="98">
        <f t="shared" si="42"/>
        <v>16627</v>
      </c>
      <c r="AB152" s="98">
        <f t="shared" si="42"/>
        <v>19429</v>
      </c>
      <c r="AC152" s="98">
        <f t="shared" si="42"/>
        <v>0</v>
      </c>
      <c r="AD152" s="98">
        <f t="shared" si="42"/>
        <v>223477</v>
      </c>
      <c r="AE152" s="98">
        <f t="shared" si="42"/>
        <v>190737</v>
      </c>
      <c r="AF152" s="98">
        <f t="shared" si="42"/>
        <v>204414</v>
      </c>
    </row>
    <row r="153" spans="1:42" x14ac:dyDescent="0.25">
      <c r="B153" t="s">
        <v>126</v>
      </c>
      <c r="C153" t="s">
        <v>484</v>
      </c>
      <c r="D153" t="s">
        <v>363</v>
      </c>
      <c r="E153" s="149">
        <f>IF(E148+E126&lt;0,0,E148+E126)</f>
        <v>0</v>
      </c>
      <c r="F153" s="149">
        <f t="shared" ref="F153:AF153" si="43">IF(F148+F126&lt;0,0,F148+F126)</f>
        <v>4905.633875790676</v>
      </c>
      <c r="G153" s="149">
        <f t="shared" si="43"/>
        <v>0</v>
      </c>
      <c r="H153" s="149">
        <f t="shared" si="43"/>
        <v>0</v>
      </c>
      <c r="I153" s="149">
        <f t="shared" si="43"/>
        <v>0</v>
      </c>
      <c r="J153" s="149">
        <f t="shared" si="43"/>
        <v>0</v>
      </c>
      <c r="K153" s="149">
        <f t="shared" si="43"/>
        <v>0</v>
      </c>
      <c r="L153" s="149">
        <f>IF(L148+L126&lt;0,0,L148+L126)</f>
        <v>7153.3799980671647</v>
      </c>
      <c r="M153" s="149">
        <f t="shared" si="43"/>
        <v>0</v>
      </c>
      <c r="N153" s="149">
        <f t="shared" si="43"/>
        <v>0</v>
      </c>
      <c r="O153" s="149">
        <f t="shared" si="43"/>
        <v>0</v>
      </c>
      <c r="P153" s="149">
        <f t="shared" si="43"/>
        <v>0</v>
      </c>
      <c r="Q153" s="149">
        <f t="shared" si="43"/>
        <v>0</v>
      </c>
      <c r="R153" s="149">
        <f t="shared" si="43"/>
        <v>0</v>
      </c>
      <c r="S153" s="149">
        <f t="shared" si="43"/>
        <v>0</v>
      </c>
      <c r="T153" s="149">
        <f t="shared" si="43"/>
        <v>0</v>
      </c>
      <c r="U153" s="149">
        <f t="shared" si="43"/>
        <v>0</v>
      </c>
      <c r="V153" s="149">
        <f t="shared" si="43"/>
        <v>0</v>
      </c>
      <c r="W153" s="149">
        <f t="shared" si="43"/>
        <v>124895.74095788816</v>
      </c>
      <c r="X153" s="149">
        <f t="shared" si="43"/>
        <v>0</v>
      </c>
      <c r="Y153" s="149">
        <f t="shared" si="43"/>
        <v>802.77784713817846</v>
      </c>
      <c r="Z153" s="149">
        <f t="shared" si="43"/>
        <v>0</v>
      </c>
      <c r="AA153" s="149">
        <f t="shared" si="43"/>
        <v>12495.112930704392</v>
      </c>
      <c r="AB153" s="149">
        <f t="shared" si="43"/>
        <v>7912.9075246432985</v>
      </c>
      <c r="AC153" s="149">
        <f t="shared" si="43"/>
        <v>231.2804608901759</v>
      </c>
      <c r="AD153" s="149">
        <f t="shared" si="43"/>
        <v>0</v>
      </c>
      <c r="AE153" s="149">
        <f t="shared" si="43"/>
        <v>0</v>
      </c>
      <c r="AF153" s="149">
        <f t="shared" si="43"/>
        <v>0</v>
      </c>
      <c r="AH153" s="121" t="s">
        <v>499</v>
      </c>
      <c r="AP153" s="140" t="s">
        <v>500</v>
      </c>
    </row>
    <row r="154" spans="1:42" x14ac:dyDescent="0.25">
      <c r="B154" t="s">
        <v>126</v>
      </c>
      <c r="C154" t="s">
        <v>501</v>
      </c>
      <c r="D154" t="s">
        <v>460</v>
      </c>
      <c r="E154" s="101">
        <f>E151/(E152+E153)</f>
        <v>1.9566874863805071E-2</v>
      </c>
      <c r="F154" s="101">
        <f t="shared" ref="F154:AF154" si="44">F151/(F152+F153)</f>
        <v>1</v>
      </c>
      <c r="G154" s="101">
        <f t="shared" si="44"/>
        <v>0.12771511394537827</v>
      </c>
      <c r="H154" s="101">
        <f t="shared" si="44"/>
        <v>9.4617782057419025E-2</v>
      </c>
      <c r="I154" s="101">
        <f t="shared" si="44"/>
        <v>0.17185867957657849</v>
      </c>
      <c r="J154" s="101">
        <f t="shared" si="44"/>
        <v>1.115838886880113E-2</v>
      </c>
      <c r="K154" s="101">
        <f>K151/(K152+K153)</f>
        <v>0.30625140360471065</v>
      </c>
      <c r="L154" s="101">
        <f t="shared" si="44"/>
        <v>1</v>
      </c>
      <c r="M154" s="101">
        <f t="shared" si="44"/>
        <v>0.17433908470607198</v>
      </c>
      <c r="N154" s="101">
        <f t="shared" si="44"/>
        <v>0.31817902347403509</v>
      </c>
      <c r="O154" s="101">
        <f t="shared" si="44"/>
        <v>0.28119426556388533</v>
      </c>
      <c r="P154" s="101">
        <f t="shared" si="44"/>
        <v>7.8799180846769609E-2</v>
      </c>
      <c r="Q154" s="101">
        <f t="shared" si="44"/>
        <v>5.9538424827078801E-2</v>
      </c>
      <c r="R154" s="101">
        <f t="shared" si="44"/>
        <v>0.173174853290159</v>
      </c>
      <c r="S154" s="101">
        <f t="shared" si="44"/>
        <v>0.21316012993712918</v>
      </c>
      <c r="T154" s="101">
        <f t="shared" si="44"/>
        <v>0.42546668287659223</v>
      </c>
      <c r="U154" s="101">
        <f t="shared" si="44"/>
        <v>0.24226827788702143</v>
      </c>
      <c r="V154" s="101">
        <f t="shared" si="44"/>
        <v>0.45000845346305446</v>
      </c>
      <c r="W154" s="101">
        <f t="shared" si="44"/>
        <v>1</v>
      </c>
      <c r="X154" s="101">
        <f t="shared" si="44"/>
        <v>0.2043423446110661</v>
      </c>
      <c r="Y154" s="101">
        <f t="shared" si="44"/>
        <v>1</v>
      </c>
      <c r="Z154" s="101">
        <f t="shared" si="44"/>
        <v>0.26277356800670576</v>
      </c>
      <c r="AA154" s="101">
        <f t="shared" si="44"/>
        <v>1</v>
      </c>
      <c r="AB154" s="101">
        <f t="shared" si="44"/>
        <v>1</v>
      </c>
      <c r="AC154" s="101">
        <f t="shared" si="44"/>
        <v>1</v>
      </c>
      <c r="AD154" s="101">
        <f t="shared" si="44"/>
        <v>0.21938764821028869</v>
      </c>
      <c r="AE154" s="101">
        <f t="shared" si="44"/>
        <v>0.23686947561103397</v>
      </c>
      <c r="AF154" s="101">
        <f t="shared" si="44"/>
        <v>0.5970020091160162</v>
      </c>
      <c r="AH154" s="121" t="s">
        <v>502</v>
      </c>
      <c r="AP154" s="141" t="s">
        <v>503</v>
      </c>
    </row>
    <row r="156" spans="1:42" x14ac:dyDescent="0.25">
      <c r="B156" t="s">
        <v>128</v>
      </c>
      <c r="C156" t="s">
        <v>497</v>
      </c>
      <c r="D156" t="s">
        <v>363</v>
      </c>
      <c r="E156" s="98">
        <f>E132</f>
        <v>82.758268049922265</v>
      </c>
      <c r="F156" s="98">
        <f t="shared" ref="F156:AF156" si="45">F132</f>
        <v>30196.139286763144</v>
      </c>
      <c r="G156" s="98">
        <f t="shared" si="45"/>
        <v>91.034094854914329</v>
      </c>
      <c r="H156" s="98">
        <f t="shared" si="45"/>
        <v>4670.8766487376088</v>
      </c>
      <c r="I156" s="98">
        <f t="shared" si="45"/>
        <v>2089.6450157331451</v>
      </c>
      <c r="J156" s="98">
        <f t="shared" si="45"/>
        <v>694.32480053078962</v>
      </c>
      <c r="K156" s="98">
        <f t="shared" si="45"/>
        <v>8113.0886543180713</v>
      </c>
      <c r="L156" s="98">
        <f t="shared" si="45"/>
        <v>5093.9593047345088</v>
      </c>
      <c r="M156" s="98">
        <f t="shared" si="45"/>
        <v>10667.621253952835</v>
      </c>
      <c r="N156" s="98">
        <f t="shared" si="45"/>
        <v>6700.8948137735397</v>
      </c>
      <c r="O156" s="98">
        <f t="shared" si="45"/>
        <v>521.65338273285658</v>
      </c>
      <c r="P156" s="98">
        <f t="shared" si="45"/>
        <v>140742.54583147611</v>
      </c>
      <c r="Q156" s="98">
        <f t="shared" si="45"/>
        <v>3501.6840444131271</v>
      </c>
      <c r="R156" s="98">
        <f t="shared" si="45"/>
        <v>4315.1100643018108</v>
      </c>
      <c r="S156" s="98">
        <f t="shared" si="45"/>
        <v>9338.1699345498837</v>
      </c>
      <c r="T156" s="98">
        <f t="shared" si="45"/>
        <v>52215.675087860465</v>
      </c>
      <c r="U156" s="98">
        <f t="shared" si="45"/>
        <v>27694.741204127014</v>
      </c>
      <c r="V156" s="98">
        <f t="shared" si="45"/>
        <v>9498.0519145396484</v>
      </c>
      <c r="W156" s="98">
        <f t="shared" si="45"/>
        <v>22066.387324475654</v>
      </c>
      <c r="X156" s="98">
        <f t="shared" si="45"/>
        <v>35285.279357105464</v>
      </c>
      <c r="Y156" s="98">
        <f t="shared" si="45"/>
        <v>7939.1066736742268</v>
      </c>
      <c r="Z156" s="98">
        <f t="shared" si="45"/>
        <v>18057.851685495614</v>
      </c>
      <c r="AA156" s="98">
        <f t="shared" si="45"/>
        <v>154894.42313674002</v>
      </c>
      <c r="AB156" s="98">
        <f t="shared" si="45"/>
        <v>19390.157129318664</v>
      </c>
      <c r="AC156" s="98">
        <f t="shared" si="45"/>
        <v>165.51653609984433</v>
      </c>
      <c r="AD156" s="98">
        <f t="shared" si="45"/>
        <v>34976.41260763818</v>
      </c>
      <c r="AE156" s="98">
        <f t="shared" si="45"/>
        <v>32201.708713663498</v>
      </c>
      <c r="AF156" s="98">
        <f t="shared" si="45"/>
        <v>87116.996946773113</v>
      </c>
    </row>
    <row r="157" spans="1:42" x14ac:dyDescent="0.25">
      <c r="B157" t="s">
        <v>128</v>
      </c>
      <c r="C157" t="s">
        <v>498</v>
      </c>
      <c r="D157" t="s">
        <v>363</v>
      </c>
      <c r="E157">
        <f t="shared" ref="E157:AF157" si="46">E62</f>
        <v>0</v>
      </c>
      <c r="F157">
        <f t="shared" si="46"/>
        <v>104833</v>
      </c>
      <c r="G157">
        <f t="shared" si="46"/>
        <v>0</v>
      </c>
      <c r="H157">
        <f t="shared" si="46"/>
        <v>9200</v>
      </c>
      <c r="I157">
        <f t="shared" si="46"/>
        <v>8424</v>
      </c>
      <c r="J157">
        <f t="shared" si="46"/>
        <v>25226</v>
      </c>
      <c r="K157">
        <f t="shared" si="46"/>
        <v>14925</v>
      </c>
      <c r="L157">
        <f t="shared" si="46"/>
        <v>703</v>
      </c>
      <c r="M157">
        <f t="shared" si="46"/>
        <v>47780</v>
      </c>
      <c r="N157">
        <f t="shared" si="46"/>
        <v>74810</v>
      </c>
      <c r="O157">
        <f t="shared" si="46"/>
        <v>600</v>
      </c>
      <c r="P157">
        <f t="shared" si="46"/>
        <v>480778</v>
      </c>
      <c r="Q157">
        <f t="shared" si="46"/>
        <v>72277</v>
      </c>
      <c r="R157">
        <f t="shared" si="46"/>
        <v>17269</v>
      </c>
      <c r="S157">
        <f t="shared" si="46"/>
        <v>54976</v>
      </c>
      <c r="T157">
        <f t="shared" si="46"/>
        <v>104030</v>
      </c>
      <c r="U157">
        <f t="shared" si="46"/>
        <v>152623</v>
      </c>
      <c r="V157">
        <f t="shared" si="46"/>
        <v>99662</v>
      </c>
      <c r="W157">
        <f t="shared" si="46"/>
        <v>20464</v>
      </c>
      <c r="X157">
        <f t="shared" si="46"/>
        <v>96854</v>
      </c>
      <c r="Y157">
        <f t="shared" si="46"/>
        <v>46032</v>
      </c>
      <c r="Z157">
        <f t="shared" si="46"/>
        <v>56876</v>
      </c>
      <c r="AA157">
        <f t="shared" si="46"/>
        <v>67429</v>
      </c>
      <c r="AB157">
        <f t="shared" si="46"/>
        <v>154058</v>
      </c>
      <c r="AC157">
        <f t="shared" si="46"/>
        <v>10662</v>
      </c>
      <c r="AD157">
        <f t="shared" si="46"/>
        <v>488520</v>
      </c>
      <c r="AE157">
        <f t="shared" si="46"/>
        <v>65147</v>
      </c>
      <c r="AF157">
        <f t="shared" si="46"/>
        <v>393069</v>
      </c>
    </row>
    <row r="158" spans="1:42" x14ac:dyDescent="0.25">
      <c r="B158" t="s">
        <v>128</v>
      </c>
      <c r="C158" t="s">
        <v>484</v>
      </c>
      <c r="D158" t="s">
        <v>363</v>
      </c>
      <c r="E158" s="149">
        <f>E149</f>
        <v>82.758268049922265</v>
      </c>
      <c r="F158" s="149">
        <f t="shared" ref="F158:AF158" si="47">F149</f>
        <v>0</v>
      </c>
      <c r="G158" s="149">
        <f t="shared" si="47"/>
        <v>91.034094854914329</v>
      </c>
      <c r="H158" s="149">
        <f t="shared" si="47"/>
        <v>0</v>
      </c>
      <c r="I158" s="149">
        <f t="shared" si="47"/>
        <v>0</v>
      </c>
      <c r="J158" s="149">
        <f t="shared" si="47"/>
        <v>0</v>
      </c>
      <c r="K158" s="149">
        <f t="shared" si="47"/>
        <v>0</v>
      </c>
      <c r="L158" s="149">
        <f t="shared" si="47"/>
        <v>4390.9593047345088</v>
      </c>
      <c r="M158" s="149">
        <f t="shared" si="47"/>
        <v>0</v>
      </c>
      <c r="N158" s="149">
        <f t="shared" si="47"/>
        <v>0</v>
      </c>
      <c r="O158" s="149">
        <f t="shared" si="47"/>
        <v>0</v>
      </c>
      <c r="P158" s="149">
        <f t="shared" si="47"/>
        <v>0</v>
      </c>
      <c r="Q158" s="149">
        <f t="shared" si="47"/>
        <v>0</v>
      </c>
      <c r="R158" s="149">
        <f t="shared" si="47"/>
        <v>0</v>
      </c>
      <c r="S158" s="149">
        <f t="shared" si="47"/>
        <v>0</v>
      </c>
      <c r="T158" s="149">
        <f t="shared" si="47"/>
        <v>0</v>
      </c>
      <c r="U158" s="149">
        <f t="shared" si="47"/>
        <v>0</v>
      </c>
      <c r="V158" s="149">
        <f t="shared" si="47"/>
        <v>0</v>
      </c>
      <c r="W158" s="149">
        <f t="shared" si="47"/>
        <v>1602.3873244756542</v>
      </c>
      <c r="X158" s="149">
        <f t="shared" si="47"/>
        <v>0</v>
      </c>
      <c r="Y158" s="149">
        <f t="shared" si="47"/>
        <v>0</v>
      </c>
      <c r="Z158" s="149">
        <f t="shared" si="47"/>
        <v>0</v>
      </c>
      <c r="AA158" s="149">
        <f t="shared" si="47"/>
        <v>87465.423136740021</v>
      </c>
      <c r="AB158" s="149">
        <f t="shared" si="47"/>
        <v>0</v>
      </c>
      <c r="AC158" s="149">
        <f t="shared" si="47"/>
        <v>0</v>
      </c>
      <c r="AD158" s="149">
        <f t="shared" si="47"/>
        <v>0</v>
      </c>
      <c r="AE158" s="149">
        <f t="shared" si="47"/>
        <v>0</v>
      </c>
      <c r="AF158" s="149">
        <f t="shared" si="47"/>
        <v>0</v>
      </c>
      <c r="AH158" s="121" t="s">
        <v>499</v>
      </c>
    </row>
    <row r="159" spans="1:42" x14ac:dyDescent="0.25">
      <c r="B159" t="s">
        <v>128</v>
      </c>
      <c r="C159" t="s">
        <v>504</v>
      </c>
      <c r="D159" t="s">
        <v>460</v>
      </c>
      <c r="E159" s="101">
        <f>IFERROR(E156/(E157+E158),"")</f>
        <v>1</v>
      </c>
      <c r="F159" s="101">
        <f t="shared" ref="F159:AF159" si="48">IFERROR(F156/(F157+F158),"")</f>
        <v>0.28804040032015821</v>
      </c>
      <c r="G159" s="101">
        <f t="shared" si="48"/>
        <v>1</v>
      </c>
      <c r="H159" s="101">
        <f t="shared" si="48"/>
        <v>0.50770398355843571</v>
      </c>
      <c r="I159" s="101">
        <f t="shared" si="48"/>
        <v>0.2480585251345139</v>
      </c>
      <c r="J159" s="101">
        <f t="shared" si="48"/>
        <v>2.7524173492856165E-2</v>
      </c>
      <c r="K159" s="101">
        <f t="shared" si="48"/>
        <v>0.54359052960255083</v>
      </c>
      <c r="L159" s="101">
        <f t="shared" si="48"/>
        <v>1</v>
      </c>
      <c r="M159" s="101">
        <f t="shared" si="48"/>
        <v>0.22326540924974539</v>
      </c>
      <c r="N159" s="101">
        <f t="shared" si="48"/>
        <v>8.9572180373927807E-2</v>
      </c>
      <c r="O159" s="101">
        <f t="shared" si="48"/>
        <v>0.86942230455476099</v>
      </c>
      <c r="P159" s="101">
        <f t="shared" si="48"/>
        <v>0.29273915576726911</v>
      </c>
      <c r="Q159" s="101">
        <f t="shared" si="48"/>
        <v>4.8448109971541808E-2</v>
      </c>
      <c r="R159" s="101">
        <f t="shared" si="48"/>
        <v>0.24987608224574734</v>
      </c>
      <c r="S159" s="101">
        <f t="shared" si="48"/>
        <v>0.16985902820412332</v>
      </c>
      <c r="T159" s="101">
        <f t="shared" si="48"/>
        <v>0.50192901170681981</v>
      </c>
      <c r="U159" s="101">
        <f t="shared" si="48"/>
        <v>0.18145850366017582</v>
      </c>
      <c r="V159" s="101">
        <f t="shared" si="48"/>
        <v>9.5302642075612051E-2</v>
      </c>
      <c r="W159" s="101">
        <f t="shared" si="48"/>
        <v>1</v>
      </c>
      <c r="X159" s="101">
        <f t="shared" si="48"/>
        <v>0.36431411564938426</v>
      </c>
      <c r="Y159" s="101">
        <f t="shared" si="48"/>
        <v>0.17246929687335391</v>
      </c>
      <c r="Z159" s="101">
        <f t="shared" si="48"/>
        <v>0.31749510664420166</v>
      </c>
      <c r="AA159" s="101">
        <f t="shared" si="48"/>
        <v>1</v>
      </c>
      <c r="AB159" s="101">
        <f t="shared" si="48"/>
        <v>0.12586270839111674</v>
      </c>
      <c r="AC159" s="101">
        <f t="shared" si="48"/>
        <v>1.5523966994920684E-2</v>
      </c>
      <c r="AD159" s="101">
        <f t="shared" si="48"/>
        <v>7.1596685105293906E-2</v>
      </c>
      <c r="AE159" s="101">
        <f t="shared" si="48"/>
        <v>0.49429304056462303</v>
      </c>
      <c r="AF159" s="101">
        <f t="shared" si="48"/>
        <v>0.22163283532095665</v>
      </c>
      <c r="AH159" s="121" t="s">
        <v>502</v>
      </c>
    </row>
    <row r="163" spans="1:35" x14ac:dyDescent="0.25">
      <c r="A163" s="134" t="s">
        <v>505</v>
      </c>
    </row>
    <row r="165" spans="1:35" ht="15.75" x14ac:dyDescent="0.25">
      <c r="A165" s="122" t="s">
        <v>506</v>
      </c>
      <c r="B165" s="122"/>
      <c r="C165" s="122"/>
      <c r="D165" s="121" t="s">
        <v>507</v>
      </c>
      <c r="E165" s="121" t="str">
        <f t="shared" ref="E165:AF165" si="49">IF(E79&gt;0,"Yes","")</f>
        <v/>
      </c>
      <c r="F165" s="121" t="str">
        <f t="shared" si="49"/>
        <v>Yes</v>
      </c>
      <c r="G165" s="121" t="str">
        <f t="shared" si="49"/>
        <v/>
      </c>
      <c r="H165" s="121" t="str">
        <f t="shared" si="49"/>
        <v>Yes</v>
      </c>
      <c r="I165" s="121" t="str">
        <f t="shared" si="49"/>
        <v>Yes</v>
      </c>
      <c r="J165" s="121" t="str">
        <f t="shared" si="49"/>
        <v>Yes</v>
      </c>
      <c r="K165" s="121" t="str">
        <f t="shared" si="49"/>
        <v>Yes</v>
      </c>
      <c r="L165" s="121" t="str">
        <f t="shared" si="49"/>
        <v/>
      </c>
      <c r="M165" s="121" t="str">
        <f t="shared" si="49"/>
        <v>Yes</v>
      </c>
      <c r="N165" s="121" t="str">
        <f t="shared" si="49"/>
        <v>Yes</v>
      </c>
      <c r="O165" s="121" t="str">
        <f t="shared" si="49"/>
        <v>Yes</v>
      </c>
      <c r="P165" s="121" t="str">
        <f t="shared" si="49"/>
        <v>Yes</v>
      </c>
      <c r="Q165" s="121" t="str">
        <f t="shared" si="49"/>
        <v>Yes</v>
      </c>
      <c r="R165" s="121" t="str">
        <f t="shared" si="49"/>
        <v>Yes</v>
      </c>
      <c r="S165" s="121" t="str">
        <f t="shared" si="49"/>
        <v>Yes</v>
      </c>
      <c r="T165" s="121" t="str">
        <f t="shared" si="49"/>
        <v>Yes</v>
      </c>
      <c r="U165" s="121" t="str">
        <f t="shared" si="49"/>
        <v>Yes</v>
      </c>
      <c r="V165" s="121" t="str">
        <f t="shared" si="49"/>
        <v>Yes</v>
      </c>
      <c r="W165" s="121" t="str">
        <f t="shared" si="49"/>
        <v>Yes</v>
      </c>
      <c r="X165" s="121" t="str">
        <f t="shared" si="49"/>
        <v>Yes</v>
      </c>
      <c r="Y165" s="121" t="str">
        <f t="shared" si="49"/>
        <v>Yes</v>
      </c>
      <c r="Z165" s="121" t="str">
        <f t="shared" si="49"/>
        <v>Yes</v>
      </c>
      <c r="AA165" s="121" t="str">
        <f t="shared" si="49"/>
        <v>Yes</v>
      </c>
      <c r="AB165" s="121" t="str">
        <f t="shared" si="49"/>
        <v>Yes</v>
      </c>
      <c r="AC165" s="121" t="str">
        <f t="shared" si="49"/>
        <v/>
      </c>
      <c r="AD165" s="121" t="str">
        <f t="shared" si="49"/>
        <v>Yes</v>
      </c>
      <c r="AE165" s="121" t="str">
        <f t="shared" si="49"/>
        <v>Yes</v>
      </c>
      <c r="AF165" s="121" t="str">
        <f t="shared" si="49"/>
        <v>Yes</v>
      </c>
    </row>
    <row r="166" spans="1:35" x14ac:dyDescent="0.25">
      <c r="E166" s="91" t="s">
        <v>162</v>
      </c>
      <c r="F166" s="91" t="s">
        <v>164</v>
      </c>
      <c r="G166" s="91" t="s">
        <v>166</v>
      </c>
      <c r="H166" s="91" t="s">
        <v>168</v>
      </c>
      <c r="I166" s="91" t="s">
        <v>170</v>
      </c>
      <c r="J166" s="91" t="s">
        <v>173</v>
      </c>
      <c r="K166" s="91" t="s">
        <v>175</v>
      </c>
      <c r="L166" s="91" t="s">
        <v>177</v>
      </c>
      <c r="M166" s="91" t="s">
        <v>179</v>
      </c>
      <c r="N166" s="91" t="s">
        <v>181</v>
      </c>
      <c r="O166" s="91" t="s">
        <v>183</v>
      </c>
      <c r="P166" s="91" t="s">
        <v>185</v>
      </c>
      <c r="Q166" s="91" t="s">
        <v>188</v>
      </c>
      <c r="R166" s="91" t="s">
        <v>190</v>
      </c>
      <c r="S166" s="91" t="s">
        <v>192</v>
      </c>
      <c r="T166" s="91" t="s">
        <v>194</v>
      </c>
      <c r="U166" s="91" t="s">
        <v>196</v>
      </c>
      <c r="V166" s="91" t="s">
        <v>198</v>
      </c>
      <c r="W166" s="91" t="s">
        <v>9</v>
      </c>
      <c r="X166" s="91" t="s">
        <v>201</v>
      </c>
      <c r="Y166" s="91" t="s">
        <v>203</v>
      </c>
      <c r="Z166" s="91" t="s">
        <v>205</v>
      </c>
      <c r="AA166" s="91" t="s">
        <v>207</v>
      </c>
      <c r="AB166" s="91" t="s">
        <v>210</v>
      </c>
      <c r="AC166" s="91" t="s">
        <v>212</v>
      </c>
      <c r="AD166" s="91" t="s">
        <v>214</v>
      </c>
      <c r="AE166" s="91" t="s">
        <v>217</v>
      </c>
      <c r="AF166" s="92" t="s">
        <v>219</v>
      </c>
    </row>
    <row r="167" spans="1:35" x14ac:dyDescent="0.25">
      <c r="D167" t="s">
        <v>508</v>
      </c>
      <c r="E167" s="275">
        <f t="shared" ref="E167:AF167" si="50">-SUM(E9:E14)/1000</f>
        <v>0</v>
      </c>
      <c r="F167" s="275">
        <f t="shared" si="50"/>
        <v>16.722999999999999</v>
      </c>
      <c r="G167" s="275">
        <f t="shared" si="50"/>
        <v>0</v>
      </c>
      <c r="H167" s="275">
        <f t="shared" si="50"/>
        <v>45.329000000000001</v>
      </c>
      <c r="I167" s="275">
        <f t="shared" si="50"/>
        <v>54.448999999999998</v>
      </c>
      <c r="J167" s="275">
        <f t="shared" si="50"/>
        <v>61.646999999999998</v>
      </c>
      <c r="K167" s="275">
        <f t="shared" si="50"/>
        <v>4.8579999999999997</v>
      </c>
      <c r="L167" s="275">
        <f t="shared" si="50"/>
        <v>0</v>
      </c>
      <c r="M167" s="275">
        <f t="shared" si="50"/>
        <v>0</v>
      </c>
      <c r="N167" s="275">
        <f t="shared" si="50"/>
        <v>52.954999999999998</v>
      </c>
      <c r="O167" s="275">
        <f t="shared" si="50"/>
        <v>8.0239999999999991</v>
      </c>
      <c r="P167" s="275">
        <f t="shared" si="50"/>
        <v>9761.9089999999997</v>
      </c>
      <c r="Q167" s="275">
        <f t="shared" si="50"/>
        <v>264.10300000000001</v>
      </c>
      <c r="R167" s="275">
        <f t="shared" si="50"/>
        <v>92.51</v>
      </c>
      <c r="S167" s="275">
        <f t="shared" si="50"/>
        <v>223.73699999999999</v>
      </c>
      <c r="T167" s="275">
        <f t="shared" si="50"/>
        <v>257.09100000000001</v>
      </c>
      <c r="U167" s="275">
        <f t="shared" si="50"/>
        <v>703.54</v>
      </c>
      <c r="V167" s="275">
        <f t="shared" si="50"/>
        <v>7.7789999999999999</v>
      </c>
      <c r="W167" s="275">
        <f t="shared" si="50"/>
        <v>1089.2339999999999</v>
      </c>
      <c r="X167" s="275">
        <f t="shared" si="50"/>
        <v>1161.268</v>
      </c>
      <c r="Y167" s="275">
        <f t="shared" si="50"/>
        <v>52.203000000000003</v>
      </c>
      <c r="Z167" s="275">
        <f t="shared" si="50"/>
        <v>123.372</v>
      </c>
      <c r="AA167" s="275">
        <f t="shared" si="50"/>
        <v>35.292000000000002</v>
      </c>
      <c r="AB167" s="275">
        <f t="shared" si="50"/>
        <v>39.121000000000002</v>
      </c>
      <c r="AC167" s="275">
        <f t="shared" si="50"/>
        <v>0</v>
      </c>
      <c r="AD167" s="275">
        <f t="shared" si="50"/>
        <v>545.69100000000003</v>
      </c>
      <c r="AE167" s="275">
        <f t="shared" si="50"/>
        <v>616.125</v>
      </c>
      <c r="AF167" s="275">
        <f t="shared" si="50"/>
        <v>266.68700000000001</v>
      </c>
      <c r="AH167" s="274" t="s">
        <v>509</v>
      </c>
      <c r="AI167" s="278" t="s">
        <v>510</v>
      </c>
    </row>
    <row r="168" spans="1:35" x14ac:dyDescent="0.25">
      <c r="D168" t="s">
        <v>511</v>
      </c>
      <c r="E168" s="275">
        <f t="shared" ref="E168:AF168" si="51">E85*E81</f>
        <v>0</v>
      </c>
      <c r="F168" s="275">
        <f t="shared" si="51"/>
        <v>0.97703095502716786</v>
      </c>
      <c r="G168" s="275">
        <f t="shared" si="51"/>
        <v>0</v>
      </c>
      <c r="H168" s="275">
        <f t="shared" si="51"/>
        <v>4.8397546383212191</v>
      </c>
      <c r="I168" s="275">
        <f t="shared" si="51"/>
        <v>4.3225289119443628</v>
      </c>
      <c r="J168" s="275">
        <f t="shared" si="51"/>
        <v>3.4861665204601073</v>
      </c>
      <c r="K168" s="275">
        <f t="shared" si="51"/>
        <v>0.81130886543180691</v>
      </c>
      <c r="L168" s="275">
        <f t="shared" si="51"/>
        <v>0</v>
      </c>
      <c r="M168" s="275">
        <f t="shared" si="51"/>
        <v>24.499549234634362</v>
      </c>
      <c r="N168" s="275">
        <f t="shared" si="51"/>
        <v>9.6419102985149365</v>
      </c>
      <c r="O168" s="275">
        <f t="shared" si="51"/>
        <v>1.4500702283590943</v>
      </c>
      <c r="P168" s="275">
        <f t="shared" si="51"/>
        <v>855.34618628319868</v>
      </c>
      <c r="Q168" s="275">
        <f t="shared" si="51"/>
        <v>42.15220003035521</v>
      </c>
      <c r="R168" s="275">
        <f t="shared" si="51"/>
        <v>6.551469472829341</v>
      </c>
      <c r="S168" s="275">
        <f t="shared" si="51"/>
        <v>20.666210019804168</v>
      </c>
      <c r="T168" s="275">
        <f t="shared" si="51"/>
        <v>18.11815167716945</v>
      </c>
      <c r="U168" s="275">
        <f t="shared" si="51"/>
        <v>50.867204368005567</v>
      </c>
      <c r="V168" s="275">
        <f t="shared" si="51"/>
        <v>12.656545215263757</v>
      </c>
      <c r="W168" s="275">
        <f t="shared" si="51"/>
        <v>45.276825374725171</v>
      </c>
      <c r="X168" s="275">
        <f t="shared" si="51"/>
        <v>78.844141107583525</v>
      </c>
      <c r="Y168" s="275">
        <f t="shared" si="51"/>
        <v>4.7407347982125128</v>
      </c>
      <c r="Z168" s="275">
        <f t="shared" si="51"/>
        <v>9.2445364932923546</v>
      </c>
      <c r="AA168" s="275">
        <f t="shared" si="51"/>
        <v>4.9018211932475975</v>
      </c>
      <c r="AB168" s="275">
        <f t="shared" si="51"/>
        <v>4.6665247962691963</v>
      </c>
      <c r="AC168" s="275">
        <f t="shared" si="51"/>
        <v>0</v>
      </c>
      <c r="AD168" s="275">
        <f t="shared" si="51"/>
        <v>52.434946507228524</v>
      </c>
      <c r="AE168" s="275">
        <f t="shared" si="51"/>
        <v>47.800329755103576</v>
      </c>
      <c r="AF168" s="275">
        <f t="shared" si="51"/>
        <v>28.600450095205431</v>
      </c>
      <c r="AH168" s="274"/>
    </row>
    <row r="169" spans="1:35" x14ac:dyDescent="0.25">
      <c r="A169" t="s">
        <v>388</v>
      </c>
      <c r="B169" t="s">
        <v>389</v>
      </c>
      <c r="C169" t="s">
        <v>470</v>
      </c>
      <c r="D169" t="s">
        <v>512</v>
      </c>
      <c r="E169" s="123" t="str">
        <f t="shared" ref="E169:AF169" si="52">IF(E9=0,"",(-E9/1000)/(E$81*E$85))</f>
        <v/>
      </c>
      <c r="F169" s="123" t="str">
        <f t="shared" si="52"/>
        <v/>
      </c>
      <c r="G169" s="123" t="str">
        <f t="shared" si="52"/>
        <v/>
      </c>
      <c r="H169" s="123" t="str">
        <f t="shared" si="52"/>
        <v/>
      </c>
      <c r="I169" s="123" t="str">
        <f t="shared" si="52"/>
        <v/>
      </c>
      <c r="J169" s="123" t="str">
        <f t="shared" si="52"/>
        <v/>
      </c>
      <c r="K169" s="123" t="str">
        <f t="shared" si="52"/>
        <v/>
      </c>
      <c r="L169" s="123" t="str">
        <f t="shared" si="52"/>
        <v/>
      </c>
      <c r="M169" s="123" t="str">
        <f t="shared" si="52"/>
        <v/>
      </c>
      <c r="N169" s="123" t="str">
        <f t="shared" si="52"/>
        <v/>
      </c>
      <c r="O169" s="123" t="str">
        <f t="shared" si="52"/>
        <v/>
      </c>
      <c r="P169" s="123" t="str">
        <f t="shared" si="52"/>
        <v/>
      </c>
      <c r="Q169" s="123" t="str">
        <f t="shared" si="52"/>
        <v/>
      </c>
      <c r="R169" s="123" t="str">
        <f t="shared" si="52"/>
        <v/>
      </c>
      <c r="S169" s="123" t="str">
        <f t="shared" si="52"/>
        <v/>
      </c>
      <c r="T169" s="123" t="str">
        <f t="shared" si="52"/>
        <v/>
      </c>
      <c r="U169" s="124">
        <f t="shared" si="52"/>
        <v>4.718167687449226E-4</v>
      </c>
      <c r="V169" s="123" t="str">
        <f t="shared" si="52"/>
        <v/>
      </c>
      <c r="W169" s="123" t="str">
        <f t="shared" si="52"/>
        <v/>
      </c>
      <c r="X169" s="123" t="str">
        <f t="shared" si="52"/>
        <v/>
      </c>
      <c r="Y169" s="123" t="str">
        <f t="shared" si="52"/>
        <v/>
      </c>
      <c r="Z169" s="123" t="str">
        <f t="shared" si="52"/>
        <v/>
      </c>
      <c r="AA169" s="123" t="str">
        <f t="shared" si="52"/>
        <v/>
      </c>
      <c r="AB169" s="123" t="str">
        <f t="shared" si="52"/>
        <v/>
      </c>
      <c r="AC169" s="123" t="str">
        <f t="shared" si="52"/>
        <v/>
      </c>
      <c r="AD169" s="123" t="str">
        <f t="shared" si="52"/>
        <v/>
      </c>
      <c r="AE169" s="123" t="str">
        <f t="shared" si="52"/>
        <v/>
      </c>
      <c r="AF169" s="123" t="str">
        <f t="shared" si="52"/>
        <v/>
      </c>
      <c r="AH169" s="124">
        <f>PERCENTILE(E169:AF169,0.75)</f>
        <v>4.718167687449226E-4</v>
      </c>
      <c r="AI169" s="124">
        <f>PERCENTILE(E169:AF169,0.9)</f>
        <v>4.718167687449226E-4</v>
      </c>
    </row>
    <row r="170" spans="1:35" x14ac:dyDescent="0.25">
      <c r="A170" t="s">
        <v>388</v>
      </c>
      <c r="B170" t="s">
        <v>390</v>
      </c>
      <c r="C170" t="s">
        <v>470</v>
      </c>
      <c r="D170" t="s">
        <v>512</v>
      </c>
      <c r="E170" s="123" t="str">
        <f t="shared" ref="E170:L174" si="53">IF(E10=0,"",(-E10/1000)/(E$81*E$85))</f>
        <v/>
      </c>
      <c r="F170" s="124">
        <f t="shared" si="53"/>
        <v>0.51994258460917886</v>
      </c>
      <c r="G170" s="124" t="str">
        <f t="shared" si="53"/>
        <v/>
      </c>
      <c r="H170" s="124" t="str">
        <f t="shared" si="53"/>
        <v/>
      </c>
      <c r="I170" s="124">
        <f t="shared" si="53"/>
        <v>0.37987021797880682</v>
      </c>
      <c r="J170" s="124" t="str">
        <f t="shared" si="53"/>
        <v/>
      </c>
      <c r="K170" s="124" t="str">
        <f t="shared" si="53"/>
        <v/>
      </c>
      <c r="L170" s="124" t="str">
        <f t="shared" si="53"/>
        <v/>
      </c>
      <c r="M170" s="124">
        <f>IF(M10=0,0,(-M10/1000)/(M$81*M$85))</f>
        <v>0</v>
      </c>
      <c r="N170" s="124" t="str">
        <f t="shared" ref="N170:AF170" si="54">IF(N10=0,"",(-N10/1000)/(N$81*N$85))</f>
        <v/>
      </c>
      <c r="O170" s="124" t="str">
        <f t="shared" si="54"/>
        <v/>
      </c>
      <c r="P170" s="124" t="str">
        <f t="shared" si="54"/>
        <v/>
      </c>
      <c r="Q170" s="124">
        <f t="shared" si="54"/>
        <v>0.15156978747014552</v>
      </c>
      <c r="R170" s="124">
        <f t="shared" si="54"/>
        <v>4.6038526356704716</v>
      </c>
      <c r="S170" s="124">
        <f t="shared" si="54"/>
        <v>1.4565321832670137</v>
      </c>
      <c r="T170" s="124">
        <f t="shared" si="54"/>
        <v>5.2229389446630234</v>
      </c>
      <c r="U170" s="124">
        <f t="shared" si="54"/>
        <v>4.7397926226833684</v>
      </c>
      <c r="V170" s="124">
        <f t="shared" si="54"/>
        <v>0.61462270056275303</v>
      </c>
      <c r="W170" s="124">
        <f t="shared" si="54"/>
        <v>1.5137766270658288</v>
      </c>
      <c r="X170" s="124">
        <f t="shared" si="54"/>
        <v>4.4273296036504766</v>
      </c>
      <c r="Y170" s="124" t="str">
        <f t="shared" si="54"/>
        <v/>
      </c>
      <c r="Z170" s="124">
        <f t="shared" si="54"/>
        <v>3.0030710593379708</v>
      </c>
      <c r="AA170" s="124" t="str">
        <f t="shared" si="54"/>
        <v/>
      </c>
      <c r="AB170" s="124" t="str">
        <f t="shared" si="54"/>
        <v/>
      </c>
      <c r="AC170" s="124" t="str">
        <f t="shared" si="54"/>
        <v/>
      </c>
      <c r="AD170" s="124">
        <f t="shared" si="54"/>
        <v>1.2831137339050205</v>
      </c>
      <c r="AE170" s="124">
        <f t="shared" si="54"/>
        <v>4.2302846243107854</v>
      </c>
      <c r="AF170" s="124">
        <f t="shared" si="54"/>
        <v>0.9390761302914763</v>
      </c>
      <c r="AH170" s="124">
        <f t="shared" ref="AH170:AH174" si="55">PERCENTILE(E170:AF170,0.75)</f>
        <v>4.3288071139806306</v>
      </c>
      <c r="AI170" s="124">
        <f t="shared" ref="AI170:AI174" si="56">PERCENTILE(E170:AF170,0.9)</f>
        <v>4.6854166278782099</v>
      </c>
    </row>
    <row r="171" spans="1:35" x14ac:dyDescent="0.25">
      <c r="A171" t="s">
        <v>388</v>
      </c>
      <c r="B171" t="s">
        <v>391</v>
      </c>
      <c r="C171" t="s">
        <v>470</v>
      </c>
      <c r="D171" t="s">
        <v>512</v>
      </c>
      <c r="E171" s="123" t="str">
        <f t="shared" si="53"/>
        <v/>
      </c>
      <c r="F171" s="124">
        <f t="shared" si="53"/>
        <v>16.596198837476052</v>
      </c>
      <c r="G171" s="124" t="str">
        <f t="shared" si="53"/>
        <v/>
      </c>
      <c r="H171" s="124">
        <f t="shared" si="53"/>
        <v>9.3659706715469806</v>
      </c>
      <c r="I171" s="124">
        <f t="shared" si="53"/>
        <v>12.216690987093092</v>
      </c>
      <c r="J171" s="124">
        <f t="shared" si="53"/>
        <v>16.227853623163544</v>
      </c>
      <c r="K171" s="124">
        <f t="shared" si="53"/>
        <v>5.9878551892988403</v>
      </c>
      <c r="L171" s="124" t="str">
        <f t="shared" si="53"/>
        <v/>
      </c>
      <c r="M171" s="124">
        <f>IF(M11=0,0,(-M11/1000)/(M$81*M$85))</f>
        <v>0</v>
      </c>
      <c r="N171" s="124">
        <f t="shared" ref="N171:AF171" si="57">IF(N11=0,"",(-N11/1000)/(N$81*N$85))</f>
        <v>5.4921689126434021</v>
      </c>
      <c r="O171" s="124">
        <f t="shared" si="57"/>
        <v>5.5335250962844693</v>
      </c>
      <c r="P171" s="124">
        <f t="shared" si="57"/>
        <v>11.41281642047084</v>
      </c>
      <c r="Q171" s="124">
        <f t="shared" si="57"/>
        <v>6.1138920344468737</v>
      </c>
      <c r="R171" s="124">
        <f t="shared" si="57"/>
        <v>9.5166435955434849</v>
      </c>
      <c r="S171" s="124">
        <f t="shared" si="57"/>
        <v>9.3125444779460196</v>
      </c>
      <c r="T171" s="124">
        <f t="shared" si="57"/>
        <v>8.9667535019433533</v>
      </c>
      <c r="U171" s="124">
        <f t="shared" si="57"/>
        <v>9.0628530843727848</v>
      </c>
      <c r="V171" s="124" t="str">
        <f t="shared" si="57"/>
        <v/>
      </c>
      <c r="W171" s="110">
        <f t="shared" si="57"/>
        <v>22.5434312488212</v>
      </c>
      <c r="X171" s="124">
        <f t="shared" si="57"/>
        <v>10.301323453974181</v>
      </c>
      <c r="Y171" s="124">
        <f t="shared" si="57"/>
        <v>4.2932163190554489</v>
      </c>
      <c r="Z171" s="110">
        <f t="shared" si="57"/>
        <v>10.342324903944363</v>
      </c>
      <c r="AA171" s="110">
        <f t="shared" si="57"/>
        <v>7.1997730248944549</v>
      </c>
      <c r="AB171" s="124">
        <f t="shared" si="57"/>
        <v>8.3833262883927127</v>
      </c>
      <c r="AC171" s="124" t="str">
        <f t="shared" si="57"/>
        <v/>
      </c>
      <c r="AD171" s="124">
        <f t="shared" si="57"/>
        <v>9.1238960248399934</v>
      </c>
      <c r="AE171" s="124">
        <f t="shared" si="57"/>
        <v>8.6592708067208832</v>
      </c>
      <c r="AF171" s="124">
        <f t="shared" si="57"/>
        <v>8.3854974030707599</v>
      </c>
      <c r="AH171" s="124">
        <f t="shared" si="55"/>
        <v>10.321824178959272</v>
      </c>
      <c r="AI171" s="124">
        <f t="shared" si="56"/>
        <v>15.425621095949456</v>
      </c>
    </row>
    <row r="172" spans="1:35" x14ac:dyDescent="0.25">
      <c r="A172" t="s">
        <v>388</v>
      </c>
      <c r="B172" t="s">
        <v>392</v>
      </c>
      <c r="C172" t="s">
        <v>470</v>
      </c>
      <c r="D172" t="s">
        <v>512</v>
      </c>
      <c r="E172" s="123" t="str">
        <f t="shared" si="53"/>
        <v/>
      </c>
      <c r="F172" s="124" t="str">
        <f t="shared" si="53"/>
        <v/>
      </c>
      <c r="G172" s="124" t="str">
        <f t="shared" si="53"/>
        <v/>
      </c>
      <c r="H172" s="124" t="str">
        <f t="shared" si="53"/>
        <v/>
      </c>
      <c r="I172" s="124" t="str">
        <f t="shared" si="53"/>
        <v/>
      </c>
      <c r="J172" s="124" t="str">
        <f t="shared" si="53"/>
        <v/>
      </c>
      <c r="K172" s="124" t="str">
        <f t="shared" si="53"/>
        <v/>
      </c>
      <c r="L172" s="124" t="str">
        <f t="shared" si="53"/>
        <v/>
      </c>
      <c r="M172" s="124" t="str">
        <f>IF(M12=0,"",(-M12/1000)/(M$81*M$85))</f>
        <v/>
      </c>
      <c r="N172" s="124" t="str">
        <f t="shared" ref="N172:AF172" si="58">IF(N12=0,"",(-N12/1000)/(N$81*N$85))</f>
        <v/>
      </c>
      <c r="O172" s="124" t="str">
        <f t="shared" si="58"/>
        <v/>
      </c>
      <c r="P172" s="124" t="str">
        <f t="shared" si="58"/>
        <v/>
      </c>
      <c r="Q172" s="124" t="str">
        <f t="shared" si="58"/>
        <v/>
      </c>
      <c r="R172" s="124" t="str">
        <f t="shared" si="58"/>
        <v/>
      </c>
      <c r="S172" s="124">
        <f t="shared" si="58"/>
        <v>5.714642398718791E-2</v>
      </c>
      <c r="T172" s="124" t="str">
        <f t="shared" si="58"/>
        <v/>
      </c>
      <c r="U172" s="124" t="str">
        <f t="shared" si="58"/>
        <v/>
      </c>
      <c r="V172" s="124" t="str">
        <f t="shared" si="58"/>
        <v/>
      </c>
      <c r="W172" s="124" t="str">
        <f t="shared" si="58"/>
        <v/>
      </c>
      <c r="X172" s="124" t="str">
        <f t="shared" si="58"/>
        <v/>
      </c>
      <c r="Y172" s="124" t="str">
        <f t="shared" si="58"/>
        <v/>
      </c>
      <c r="Z172" s="124" t="str">
        <f t="shared" si="58"/>
        <v/>
      </c>
      <c r="AA172" s="124" t="str">
        <f t="shared" si="58"/>
        <v/>
      </c>
      <c r="AB172" s="124" t="str">
        <f t="shared" si="58"/>
        <v/>
      </c>
      <c r="AC172" s="124" t="str">
        <f t="shared" si="58"/>
        <v/>
      </c>
      <c r="AD172" s="124" t="str">
        <f t="shared" si="58"/>
        <v/>
      </c>
      <c r="AE172" s="124" t="str">
        <f t="shared" si="58"/>
        <v/>
      </c>
      <c r="AF172" s="124" t="str">
        <f t="shared" si="58"/>
        <v/>
      </c>
      <c r="AH172" s="124">
        <f t="shared" si="55"/>
        <v>5.714642398718791E-2</v>
      </c>
      <c r="AI172" s="124">
        <f t="shared" si="56"/>
        <v>5.714642398718791E-2</v>
      </c>
    </row>
    <row r="173" spans="1:35" x14ac:dyDescent="0.25">
      <c r="A173" t="s">
        <v>388</v>
      </c>
      <c r="B173" t="s">
        <v>393</v>
      </c>
      <c r="C173" t="s">
        <v>470</v>
      </c>
      <c r="D173" t="s">
        <v>512</v>
      </c>
      <c r="E173" s="123" t="str">
        <f t="shared" si="53"/>
        <v/>
      </c>
      <c r="F173" s="124" t="str">
        <f t="shared" si="53"/>
        <v/>
      </c>
      <c r="G173" s="124" t="str">
        <f t="shared" si="53"/>
        <v/>
      </c>
      <c r="H173" s="124" t="str">
        <f t="shared" si="53"/>
        <v/>
      </c>
      <c r="I173" s="124" t="str">
        <f t="shared" si="53"/>
        <v/>
      </c>
      <c r="J173" s="124">
        <f t="shared" si="53"/>
        <v>1.4554669061907946</v>
      </c>
      <c r="K173" s="124" t="str">
        <f t="shared" si="53"/>
        <v/>
      </c>
      <c r="L173" s="124" t="str">
        <f t="shared" si="53"/>
        <v/>
      </c>
      <c r="M173" s="124" t="str">
        <f>IF(M13=0,"",(-M13/1000)/(M$81*M$85))</f>
        <v/>
      </c>
      <c r="N173" s="124" t="str">
        <f t="shared" ref="N173:AF173" si="59">IF(N13=0,"",(-N13/1000)/(N$81*N$85))</f>
        <v/>
      </c>
      <c r="O173" s="124" t="str">
        <f t="shared" si="59"/>
        <v/>
      </c>
      <c r="P173" s="124" t="str">
        <f t="shared" si="59"/>
        <v/>
      </c>
      <c r="Q173" s="124" t="str">
        <f t="shared" si="59"/>
        <v/>
      </c>
      <c r="R173" s="124" t="str">
        <f t="shared" si="59"/>
        <v/>
      </c>
      <c r="S173" s="124" t="str">
        <f t="shared" si="59"/>
        <v/>
      </c>
      <c r="T173" s="124" t="str">
        <f t="shared" si="59"/>
        <v/>
      </c>
      <c r="U173" s="124">
        <f t="shared" si="59"/>
        <v>2.7797871291888356E-2</v>
      </c>
      <c r="V173" s="124" t="str">
        <f t="shared" si="59"/>
        <v/>
      </c>
      <c r="W173" s="124" t="str">
        <f t="shared" si="59"/>
        <v/>
      </c>
      <c r="X173" s="124" t="str">
        <f t="shared" si="59"/>
        <v/>
      </c>
      <c r="Y173" s="124" t="str">
        <f t="shared" si="59"/>
        <v/>
      </c>
      <c r="Z173" s="124" t="str">
        <f t="shared" si="59"/>
        <v/>
      </c>
      <c r="AA173" s="124" t="str">
        <f t="shared" si="59"/>
        <v/>
      </c>
      <c r="AB173" s="124" t="str">
        <f t="shared" si="59"/>
        <v/>
      </c>
      <c r="AC173" s="124" t="str">
        <f t="shared" si="59"/>
        <v/>
      </c>
      <c r="AD173" s="124" t="str">
        <f t="shared" si="59"/>
        <v/>
      </c>
      <c r="AE173" s="124" t="str">
        <f t="shared" si="59"/>
        <v/>
      </c>
      <c r="AF173" s="124" t="str">
        <f t="shared" si="59"/>
        <v/>
      </c>
      <c r="AH173" s="124">
        <f t="shared" si="55"/>
        <v>1.0985496474660679</v>
      </c>
      <c r="AI173" s="124">
        <f t="shared" si="56"/>
        <v>1.3127000027009037</v>
      </c>
    </row>
    <row r="174" spans="1:35" x14ac:dyDescent="0.25">
      <c r="A174" t="s">
        <v>388</v>
      </c>
      <c r="B174" t="s">
        <v>394</v>
      </c>
      <c r="C174" t="s">
        <v>470</v>
      </c>
      <c r="D174" t="s">
        <v>512</v>
      </c>
      <c r="E174" s="123" t="str">
        <f t="shared" si="53"/>
        <v/>
      </c>
      <c r="F174" s="124" t="str">
        <f t="shared" si="53"/>
        <v/>
      </c>
      <c r="G174" s="124" t="str">
        <f t="shared" si="53"/>
        <v/>
      </c>
      <c r="H174" s="124" t="str">
        <f t="shared" si="53"/>
        <v/>
      </c>
      <c r="I174" s="124" t="str">
        <f t="shared" si="53"/>
        <v/>
      </c>
      <c r="J174" s="124" t="str">
        <f t="shared" si="53"/>
        <v/>
      </c>
      <c r="K174" s="124" t="str">
        <f t="shared" si="53"/>
        <v/>
      </c>
      <c r="L174" s="124" t="str">
        <f t="shared" si="53"/>
        <v/>
      </c>
      <c r="M174" s="124" t="str">
        <f>IF(M14=0,"",(-M14/1000)/(M$81*M$85))</f>
        <v/>
      </c>
      <c r="N174" s="124" t="str">
        <f t="shared" ref="N174:AF174" si="60">IF(N14=0,"",(-N14/1000)/(N$81*N$85))</f>
        <v/>
      </c>
      <c r="O174" s="124" t="str">
        <f t="shared" si="60"/>
        <v/>
      </c>
      <c r="P174" s="124" t="str">
        <f t="shared" si="60"/>
        <v/>
      </c>
      <c r="Q174" s="124" t="str">
        <f t="shared" si="60"/>
        <v/>
      </c>
      <c r="R174" s="124" t="str">
        <f t="shared" si="60"/>
        <v/>
      </c>
      <c r="S174" s="124" t="str">
        <f t="shared" si="60"/>
        <v/>
      </c>
      <c r="T174" s="124" t="str">
        <f t="shared" si="60"/>
        <v/>
      </c>
      <c r="U174" s="124" t="str">
        <f t="shared" si="60"/>
        <v/>
      </c>
      <c r="V174" s="124" t="str">
        <f t="shared" si="60"/>
        <v/>
      </c>
      <c r="W174" s="124" t="str">
        <f t="shared" si="60"/>
        <v/>
      </c>
      <c r="X174" s="124" t="str">
        <f t="shared" si="60"/>
        <v/>
      </c>
      <c r="Y174" s="124">
        <f t="shared" si="60"/>
        <v>6.7183677964877928</v>
      </c>
      <c r="Z174" s="124" t="str">
        <f t="shared" si="60"/>
        <v/>
      </c>
      <c r="AA174" s="124" t="str">
        <f t="shared" si="60"/>
        <v/>
      </c>
      <c r="AB174" s="124" t="str">
        <f t="shared" si="60"/>
        <v/>
      </c>
      <c r="AC174" s="124" t="str">
        <f t="shared" si="60"/>
        <v/>
      </c>
      <c r="AD174" s="124" t="str">
        <f t="shared" si="60"/>
        <v/>
      </c>
      <c r="AE174" s="124" t="str">
        <f t="shared" si="60"/>
        <v/>
      </c>
      <c r="AF174" s="124" t="str">
        <f t="shared" si="60"/>
        <v/>
      </c>
      <c r="AH174" s="124">
        <f t="shared" si="55"/>
        <v>6.7183677964877928</v>
      </c>
      <c r="AI174" s="124">
        <f t="shared" si="56"/>
        <v>6.7183677964877928</v>
      </c>
    </row>
    <row r="176" spans="1:35" x14ac:dyDescent="0.25">
      <c r="A176" t="s">
        <v>388</v>
      </c>
      <c r="B176" t="s">
        <v>396</v>
      </c>
      <c r="C176" t="s">
        <v>472</v>
      </c>
      <c r="D176" t="s">
        <v>512</v>
      </c>
      <c r="E176" s="124" t="str">
        <f>IF(E26=0,"",((E26/1000)*(1-E31))/(E$81*E$85))</f>
        <v/>
      </c>
      <c r="F176" s="124">
        <f t="shared" ref="F176:AF176" si="61">IF(F26=0,"",((F26/1000)*(1-F31))/(F$81*F$85))</f>
        <v>0</v>
      </c>
      <c r="G176" s="124" t="str">
        <f t="shared" si="61"/>
        <v/>
      </c>
      <c r="H176" s="124">
        <f t="shared" si="61"/>
        <v>0</v>
      </c>
      <c r="I176" s="124">
        <f>IF(I26=0,"",((I26/1000)*(1-I31))/(I$81*I$85))</f>
        <v>5.2163907886639089</v>
      </c>
      <c r="J176" s="124">
        <f t="shared" si="61"/>
        <v>2.2749917290104835</v>
      </c>
      <c r="K176" s="124">
        <f t="shared" si="61"/>
        <v>0</v>
      </c>
      <c r="L176" s="124" t="str">
        <f t="shared" si="61"/>
        <v/>
      </c>
      <c r="M176" s="124" t="str">
        <f t="shared" si="61"/>
        <v/>
      </c>
      <c r="N176" s="124">
        <f t="shared" si="61"/>
        <v>0</v>
      </c>
      <c r="O176" s="124">
        <f t="shared" si="61"/>
        <v>1.6240592724015361</v>
      </c>
      <c r="P176" s="124">
        <f>IF(P26=0,"",((P26/1000)*(1-P31))/(P$81*P$85))</f>
        <v>1.2624923303772864</v>
      </c>
      <c r="Q176" s="124">
        <f t="shared" si="61"/>
        <v>0.8227328579534583</v>
      </c>
      <c r="R176" s="124">
        <f t="shared" si="61"/>
        <v>4.8222769152820515</v>
      </c>
      <c r="S176" s="124">
        <f t="shared" si="61"/>
        <v>2.9585976306931672</v>
      </c>
      <c r="T176" s="124">
        <f t="shared" si="61"/>
        <v>6.3684752206482393</v>
      </c>
      <c r="U176" s="124">
        <f t="shared" si="61"/>
        <v>3.7460285535143747</v>
      </c>
      <c r="V176" s="124">
        <f t="shared" si="61"/>
        <v>0</v>
      </c>
      <c r="W176" s="124">
        <f t="shared" si="61"/>
        <v>0</v>
      </c>
      <c r="X176" s="124">
        <f t="shared" si="61"/>
        <v>3.1532463478898531</v>
      </c>
      <c r="Y176" s="124">
        <f t="shared" si="61"/>
        <v>2.0798463570916685</v>
      </c>
      <c r="Z176" s="124">
        <f t="shared" si="61"/>
        <v>5.1063674240727703</v>
      </c>
      <c r="AA176" s="124">
        <f t="shared" si="61"/>
        <v>2.3803397839303098</v>
      </c>
      <c r="AB176" s="124">
        <f t="shared" si="61"/>
        <v>2.9375178743203727</v>
      </c>
      <c r="AC176" s="124" t="str">
        <f t="shared" si="61"/>
        <v/>
      </c>
      <c r="AD176" s="124">
        <f t="shared" si="61"/>
        <v>1.2276354661890618</v>
      </c>
      <c r="AE176" s="124">
        <f t="shared" si="61"/>
        <v>4.680846369602941</v>
      </c>
      <c r="AF176" s="124">
        <f t="shared" si="61"/>
        <v>1.5230179894022791</v>
      </c>
      <c r="AH176" s="121" t="s">
        <v>513</v>
      </c>
    </row>
    <row r="177" spans="1:32" x14ac:dyDescent="0.25">
      <c r="A177" t="s">
        <v>388</v>
      </c>
      <c r="B177" t="s">
        <v>366</v>
      </c>
      <c r="C177" t="s">
        <v>472</v>
      </c>
      <c r="D177" t="s">
        <v>454</v>
      </c>
      <c r="E177" s="123" t="str">
        <f t="shared" ref="E177:AF177" si="62">IF(E85&gt;0,1,"")</f>
        <v/>
      </c>
      <c r="F177" s="123">
        <f t="shared" si="62"/>
        <v>1</v>
      </c>
      <c r="G177" s="123" t="str">
        <f t="shared" si="62"/>
        <v/>
      </c>
      <c r="H177" s="123">
        <f t="shared" si="62"/>
        <v>1</v>
      </c>
      <c r="I177" s="123">
        <f t="shared" si="62"/>
        <v>1</v>
      </c>
      <c r="J177" s="123">
        <f t="shared" si="62"/>
        <v>1</v>
      </c>
      <c r="K177" s="123">
        <f t="shared" si="62"/>
        <v>1</v>
      </c>
      <c r="L177" s="123" t="str">
        <f t="shared" si="62"/>
        <v/>
      </c>
      <c r="M177" s="123">
        <f t="shared" si="62"/>
        <v>1</v>
      </c>
      <c r="N177" s="123">
        <f t="shared" si="62"/>
        <v>1</v>
      </c>
      <c r="O177" s="123">
        <f t="shared" si="62"/>
        <v>1</v>
      </c>
      <c r="P177" s="123">
        <f t="shared" si="62"/>
        <v>1</v>
      </c>
      <c r="Q177" s="123">
        <f t="shared" si="62"/>
        <v>1</v>
      </c>
      <c r="R177" s="123">
        <f t="shared" si="62"/>
        <v>1</v>
      </c>
      <c r="S177" s="123">
        <f t="shared" si="62"/>
        <v>1</v>
      </c>
      <c r="T177" s="123">
        <f t="shared" si="62"/>
        <v>1</v>
      </c>
      <c r="U177" s="123">
        <f t="shared" si="62"/>
        <v>1</v>
      </c>
      <c r="V177" s="123">
        <f t="shared" si="62"/>
        <v>1</v>
      </c>
      <c r="W177" s="123">
        <f t="shared" si="62"/>
        <v>1</v>
      </c>
      <c r="X177" s="123">
        <f t="shared" si="62"/>
        <v>1</v>
      </c>
      <c r="Y177" s="123">
        <f t="shared" si="62"/>
        <v>1</v>
      </c>
      <c r="Z177" s="123">
        <f t="shared" si="62"/>
        <v>1</v>
      </c>
      <c r="AA177" s="123">
        <f t="shared" si="62"/>
        <v>1</v>
      </c>
      <c r="AB177" s="123">
        <f t="shared" si="62"/>
        <v>1</v>
      </c>
      <c r="AC177" s="123" t="str">
        <f t="shared" si="62"/>
        <v/>
      </c>
      <c r="AD177" s="123">
        <f t="shared" si="62"/>
        <v>1</v>
      </c>
      <c r="AE177" s="123">
        <f t="shared" si="62"/>
        <v>1</v>
      </c>
      <c r="AF177" s="123">
        <f t="shared" si="62"/>
        <v>1</v>
      </c>
    </row>
    <row r="180" spans="1:32" x14ac:dyDescent="0.25">
      <c r="A180" t="s">
        <v>388</v>
      </c>
      <c r="B180" t="s">
        <v>514</v>
      </c>
      <c r="D180" t="s">
        <v>515</v>
      </c>
      <c r="E180" s="271" t="str">
        <f>IF(E177="","",SUM(E169:E174))</f>
        <v/>
      </c>
      <c r="F180" s="272">
        <f>IF(F177="","",SUM(F169:F174))</f>
        <v>17.116141422085231</v>
      </c>
      <c r="G180" s="272" t="str">
        <f t="shared" ref="G180:AF180" si="63">IF(G177="","",SUM(G169:G174))</f>
        <v/>
      </c>
      <c r="H180" s="272">
        <f t="shared" si="63"/>
        <v>9.3659706715469806</v>
      </c>
      <c r="I180" s="272">
        <f t="shared" si="63"/>
        <v>12.596561205071898</v>
      </c>
      <c r="J180" s="272">
        <f t="shared" si="63"/>
        <v>17.683320529354337</v>
      </c>
      <c r="K180" s="272">
        <f t="shared" si="63"/>
        <v>5.9878551892988403</v>
      </c>
      <c r="L180" s="272" t="str">
        <f t="shared" si="63"/>
        <v/>
      </c>
      <c r="M180" s="272">
        <f t="shared" si="63"/>
        <v>0</v>
      </c>
      <c r="N180" s="272">
        <f t="shared" si="63"/>
        <v>5.4921689126434021</v>
      </c>
      <c r="O180" s="272">
        <f t="shared" si="63"/>
        <v>5.5335250962844693</v>
      </c>
      <c r="P180" s="272">
        <f t="shared" si="63"/>
        <v>11.41281642047084</v>
      </c>
      <c r="Q180" s="272">
        <f t="shared" si="63"/>
        <v>6.2654618219170191</v>
      </c>
      <c r="R180" s="272">
        <f t="shared" si="63"/>
        <v>14.120496231213956</v>
      </c>
      <c r="S180" s="272">
        <f t="shared" si="63"/>
        <v>10.826223085200221</v>
      </c>
      <c r="T180" s="272">
        <f t="shared" si="63"/>
        <v>14.189692446606376</v>
      </c>
      <c r="U180" s="272">
        <f t="shared" si="63"/>
        <v>13.830915395116786</v>
      </c>
      <c r="V180" s="272">
        <f t="shared" si="63"/>
        <v>0.61462270056275303</v>
      </c>
      <c r="W180" s="272">
        <f t="shared" si="63"/>
        <v>24.05720787588703</v>
      </c>
      <c r="X180" s="272">
        <f t="shared" si="63"/>
        <v>14.728653057624658</v>
      </c>
      <c r="Y180" s="272">
        <f t="shared" si="63"/>
        <v>11.011584115543242</v>
      </c>
      <c r="Z180" s="272">
        <f t="shared" si="63"/>
        <v>13.345395963282334</v>
      </c>
      <c r="AA180" s="272">
        <f t="shared" si="63"/>
        <v>7.1997730248944549</v>
      </c>
      <c r="AB180" s="272">
        <f t="shared" si="63"/>
        <v>8.3833262883927127</v>
      </c>
      <c r="AC180" s="272" t="str">
        <f t="shared" si="63"/>
        <v/>
      </c>
      <c r="AD180" s="272">
        <f t="shared" si="63"/>
        <v>10.407009758745014</v>
      </c>
      <c r="AE180" s="272">
        <f t="shared" si="63"/>
        <v>12.889555431031669</v>
      </c>
      <c r="AF180" s="272">
        <f t="shared" si="63"/>
        <v>9.324573533362237</v>
      </c>
    </row>
    <row r="181" spans="1:32" x14ac:dyDescent="0.25">
      <c r="A181" t="s">
        <v>388</v>
      </c>
      <c r="B181" t="s">
        <v>516</v>
      </c>
      <c r="D181" t="s">
        <v>515</v>
      </c>
      <c r="E181" s="123" t="str">
        <f t="shared" ref="E181:AF181" si="64">IF(SUM(E9:E14)=0,"",(-SUM(E9:E14)/1000)/E79)</f>
        <v/>
      </c>
      <c r="F181" s="124">
        <f t="shared" si="64"/>
        <v>23.761544480282364</v>
      </c>
      <c r="G181" s="124" t="str">
        <f t="shared" si="64"/>
        <v/>
      </c>
      <c r="H181" s="124">
        <f t="shared" si="64"/>
        <v>6.4582141185914184</v>
      </c>
      <c r="I181" s="124">
        <f t="shared" si="64"/>
        <v>13.745731074298652</v>
      </c>
      <c r="J181" s="124">
        <f t="shared" si="64"/>
        <v>26.45001666447035</v>
      </c>
      <c r="K181" s="124">
        <f t="shared" si="64"/>
        <v>2.1042703829851424</v>
      </c>
      <c r="L181" s="124" t="str">
        <f t="shared" si="64"/>
        <v/>
      </c>
      <c r="M181" s="124" t="str">
        <f t="shared" si="64"/>
        <v/>
      </c>
      <c r="N181" s="124">
        <f t="shared" si="64"/>
        <v>8.0671974347668591</v>
      </c>
      <c r="O181" s="124">
        <f t="shared" si="64"/>
        <v>8.9952947145970139</v>
      </c>
      <c r="P181" s="124">
        <f t="shared" si="64"/>
        <v>11.57634755643571</v>
      </c>
      <c r="Q181" s="124">
        <f t="shared" si="64"/>
        <v>8.2824100566735641</v>
      </c>
      <c r="R181" s="124">
        <f t="shared" si="64"/>
        <v>14.037623393687635</v>
      </c>
      <c r="S181" s="124">
        <f t="shared" si="64"/>
        <v>13.772759054506102</v>
      </c>
      <c r="T181" s="124">
        <f t="shared" si="64"/>
        <v>14.194087207303475</v>
      </c>
      <c r="U181" s="124">
        <f t="shared" si="64"/>
        <v>15.093716061048168</v>
      </c>
      <c r="V181" s="124">
        <f t="shared" si="64"/>
        <v>1.1640384562167609</v>
      </c>
      <c r="W181" s="124">
        <f t="shared" si="64"/>
        <v>15.945611386864536</v>
      </c>
      <c r="X181" s="124">
        <f t="shared" si="64"/>
        <v>14.654645298574314</v>
      </c>
      <c r="Y181" s="124">
        <f t="shared" si="64"/>
        <v>15.732894951772302</v>
      </c>
      <c r="Z181" s="124">
        <f t="shared" si="64"/>
        <v>17.0144452438667</v>
      </c>
      <c r="AA181" s="124">
        <f t="shared" si="64"/>
        <v>10.97823611625298</v>
      </c>
      <c r="AB181" s="124">
        <f t="shared" si="64"/>
        <v>9.376992716994252</v>
      </c>
      <c r="AC181" s="124" t="str">
        <f t="shared" si="64"/>
        <v/>
      </c>
      <c r="AD181" s="124">
        <f t="shared" si="64"/>
        <v>11.27796069150215</v>
      </c>
      <c r="AE181" s="124">
        <f t="shared" si="64"/>
        <v>13.308097057741271</v>
      </c>
      <c r="AF181" s="124">
        <f t="shared" si="64"/>
        <v>11.062001087230808</v>
      </c>
    </row>
    <row r="182" spans="1:32" x14ac:dyDescent="0.25">
      <c r="A182" t="s">
        <v>388</v>
      </c>
      <c r="B182" t="s">
        <v>517</v>
      </c>
      <c r="D182" t="s">
        <v>460</v>
      </c>
      <c r="E182" s="130" t="str">
        <f t="shared" ref="E182:AF182" si="65">IFERROR(IF(-E11=0,"",-E11/E42), "")</f>
        <v/>
      </c>
      <c r="F182" s="130">
        <f t="shared" si="65"/>
        <v>0.78935838769350597</v>
      </c>
      <c r="G182" s="130" t="str">
        <f t="shared" si="65"/>
        <v/>
      </c>
      <c r="H182" s="130">
        <f t="shared" si="65"/>
        <v>0.83747182500092376</v>
      </c>
      <c r="I182" s="130">
        <f t="shared" si="65"/>
        <v>0.71709668658337855</v>
      </c>
      <c r="J182" s="130">
        <f t="shared" si="65"/>
        <v>0.5599180506344148</v>
      </c>
      <c r="K182" s="130">
        <f t="shared" si="65"/>
        <v>1.3298658636736929</v>
      </c>
      <c r="L182" s="130" t="str">
        <f t="shared" si="65"/>
        <v/>
      </c>
      <c r="M182" s="130" t="str">
        <f t="shared" si="65"/>
        <v/>
      </c>
      <c r="N182" s="130">
        <f t="shared" si="65"/>
        <v>0.66549791383903889</v>
      </c>
      <c r="O182" s="130">
        <f t="shared" si="65"/>
        <v>0.74049464747139171</v>
      </c>
      <c r="P182" s="130">
        <f t="shared" si="65"/>
        <v>0.74631544407253192</v>
      </c>
      <c r="Q182" s="130">
        <f t="shared" si="65"/>
        <v>0.76381203598049818</v>
      </c>
      <c r="R182" s="130">
        <f t="shared" si="65"/>
        <v>0.81495327102803738</v>
      </c>
      <c r="S182" s="130">
        <f t="shared" si="65"/>
        <v>0.77234711977590675</v>
      </c>
      <c r="T182" s="130">
        <f t="shared" si="65"/>
        <v>0.77583679161035524</v>
      </c>
      <c r="U182" s="130">
        <f t="shared" si="65"/>
        <v>0.80849601102776758</v>
      </c>
      <c r="V182" s="130" t="str">
        <f t="shared" si="65"/>
        <v/>
      </c>
      <c r="W182" s="130">
        <f t="shared" si="65"/>
        <v>0.83386435565751182</v>
      </c>
      <c r="X182" s="130">
        <f t="shared" si="65"/>
        <v>0.8883588965610778</v>
      </c>
      <c r="Y182" s="130">
        <f t="shared" si="65"/>
        <v>0.84099830585512991</v>
      </c>
      <c r="Z182" s="130">
        <f t="shared" si="65"/>
        <v>0.73455746773202213</v>
      </c>
      <c r="AA182" s="130">
        <f t="shared" si="65"/>
        <v>0.64538073293833664</v>
      </c>
      <c r="AB182" s="130">
        <f t="shared" si="65"/>
        <v>0.63267781479444962</v>
      </c>
      <c r="AC182" s="130" t="str">
        <f t="shared" si="65"/>
        <v/>
      </c>
      <c r="AD182" s="130">
        <f t="shared" si="65"/>
        <v>0.38913457776534194</v>
      </c>
      <c r="AE182" s="130">
        <f t="shared" si="65"/>
        <v>0.87786131642294352</v>
      </c>
      <c r="AF182" s="130">
        <f t="shared" si="65"/>
        <v>0.75906543061784504</v>
      </c>
    </row>
    <row r="183" spans="1:32" x14ac:dyDescent="0.25">
      <c r="E183" s="615"/>
      <c r="F183" s="615"/>
      <c r="G183" s="615"/>
      <c r="H183" s="615"/>
      <c r="I183" s="615"/>
      <c r="J183" s="615"/>
      <c r="K183" s="615"/>
      <c r="L183" s="615"/>
      <c r="M183" s="615"/>
      <c r="N183" s="615"/>
      <c r="O183" s="615"/>
      <c r="P183" s="615"/>
      <c r="Q183" s="615"/>
      <c r="R183" s="615"/>
      <c r="S183" s="615"/>
      <c r="T183" s="615"/>
      <c r="U183" s="615"/>
      <c r="V183" s="615"/>
      <c r="W183" s="615"/>
      <c r="X183" s="615"/>
      <c r="Y183" s="615"/>
      <c r="Z183" s="615"/>
      <c r="AA183" s="615"/>
      <c r="AB183" s="615"/>
      <c r="AC183" s="615"/>
      <c r="AD183" s="615"/>
      <c r="AE183" s="615"/>
      <c r="AF183" s="615"/>
    </row>
    <row r="184" spans="1:32" x14ac:dyDescent="0.25">
      <c r="C184" s="121" t="s">
        <v>1633</v>
      </c>
      <c r="D184" s="121" t="s">
        <v>323</v>
      </c>
      <c r="E184" s="616" t="str">
        <f>IFERROR(E81*E85*E176,"")</f>
        <v/>
      </c>
      <c r="F184" s="616">
        <f t="shared" ref="F184:AF184" si="66">IFERROR(F81*F85*F176,"")</f>
        <v>0</v>
      </c>
      <c r="G184" s="616" t="str">
        <f t="shared" si="66"/>
        <v/>
      </c>
      <c r="H184" s="616">
        <f t="shared" si="66"/>
        <v>0</v>
      </c>
      <c r="I184" s="616">
        <f t="shared" si="66"/>
        <v>22.548000000000002</v>
      </c>
      <c r="J184" s="616">
        <f t="shared" si="66"/>
        <v>7.9310000000000009</v>
      </c>
      <c r="K184" s="616">
        <f t="shared" si="66"/>
        <v>0</v>
      </c>
      <c r="L184" s="616" t="str">
        <f t="shared" si="66"/>
        <v/>
      </c>
      <c r="M184" s="616" t="str">
        <f t="shared" si="66"/>
        <v/>
      </c>
      <c r="N184" s="616">
        <f t="shared" si="66"/>
        <v>0</v>
      </c>
      <c r="O184" s="616">
        <f t="shared" si="66"/>
        <v>2.355</v>
      </c>
      <c r="P184" s="616">
        <f t="shared" si="66"/>
        <v>1079.8679999999999</v>
      </c>
      <c r="Q184" s="616">
        <f t="shared" si="66"/>
        <v>34.679999999999993</v>
      </c>
      <c r="R184" s="616">
        <f t="shared" si="66"/>
        <v>31.593000000000004</v>
      </c>
      <c r="S184" s="616">
        <f t="shared" si="66"/>
        <v>61.143000000000008</v>
      </c>
      <c r="T184" s="616">
        <f t="shared" si="66"/>
        <v>115.38499999999998</v>
      </c>
      <c r="U184" s="616">
        <f t="shared" si="66"/>
        <v>190.54999999999998</v>
      </c>
      <c r="V184" s="616">
        <f t="shared" si="66"/>
        <v>0</v>
      </c>
      <c r="W184" s="616">
        <f t="shared" si="66"/>
        <v>0</v>
      </c>
      <c r="X184" s="616">
        <f t="shared" si="66"/>
        <v>248.61499999999998</v>
      </c>
      <c r="Y184" s="616">
        <f t="shared" si="66"/>
        <v>9.8600000000000012</v>
      </c>
      <c r="Z184" s="616">
        <f t="shared" si="66"/>
        <v>47.206000000000003</v>
      </c>
      <c r="AA184" s="616">
        <f t="shared" si="66"/>
        <v>11.667999999999999</v>
      </c>
      <c r="AB184" s="616">
        <f t="shared" si="66"/>
        <v>13.708</v>
      </c>
      <c r="AC184" s="616" t="str">
        <f t="shared" si="66"/>
        <v/>
      </c>
      <c r="AD184" s="616">
        <f t="shared" si="66"/>
        <v>64.371000000000009</v>
      </c>
      <c r="AE184" s="616">
        <f t="shared" si="66"/>
        <v>223.74600000000001</v>
      </c>
      <c r="AF184" s="616">
        <f t="shared" si="66"/>
        <v>43.558999999999997</v>
      </c>
    </row>
    <row r="185" spans="1:32" x14ac:dyDescent="0.25">
      <c r="C185" s="121" t="s">
        <v>1632</v>
      </c>
      <c r="D185" s="121" t="s">
        <v>323</v>
      </c>
      <c r="E185" s="616">
        <f>E213/1000</f>
        <v>0</v>
      </c>
      <c r="F185" s="616">
        <f t="shared" ref="F185:AF185" si="67">F213/1000</f>
        <v>3.35</v>
      </c>
      <c r="G185" s="616">
        <f t="shared" si="67"/>
        <v>0</v>
      </c>
      <c r="H185" s="616">
        <f t="shared" si="67"/>
        <v>18.141999999999999</v>
      </c>
      <c r="I185" s="616">
        <f t="shared" si="67"/>
        <v>1.087</v>
      </c>
      <c r="J185" s="616">
        <f t="shared" si="67"/>
        <v>9.89</v>
      </c>
      <c r="K185" s="616">
        <f t="shared" si="67"/>
        <v>2.6539999999999999</v>
      </c>
      <c r="L185" s="616">
        <f t="shared" si="67"/>
        <v>0</v>
      </c>
      <c r="M185" s="616">
        <f t="shared" si="67"/>
        <v>0</v>
      </c>
      <c r="N185" s="616">
        <f t="shared" si="67"/>
        <v>22.913</v>
      </c>
      <c r="O185" s="616">
        <f t="shared" si="67"/>
        <v>0</v>
      </c>
      <c r="P185" s="616">
        <f t="shared" si="67"/>
        <v>3295.1849999999999</v>
      </c>
      <c r="Q185" s="616">
        <f t="shared" si="67"/>
        <v>50.485999999999997</v>
      </c>
      <c r="R185" s="616">
        <f t="shared" si="67"/>
        <v>5.2510000000000003</v>
      </c>
      <c r="S185" s="616">
        <f t="shared" si="67"/>
        <v>27.059000000000001</v>
      </c>
      <c r="T185" s="616">
        <f t="shared" si="67"/>
        <v>1.528</v>
      </c>
      <c r="U185" s="616">
        <f t="shared" si="67"/>
        <v>74.53</v>
      </c>
      <c r="V185" s="616">
        <f t="shared" si="67"/>
        <v>3.26</v>
      </c>
      <c r="W185" s="616">
        <f t="shared" si="67"/>
        <v>444.59500000000003</v>
      </c>
      <c r="X185" s="616">
        <f t="shared" si="67"/>
        <v>162.33000000000001</v>
      </c>
      <c r="Y185" s="616">
        <f t="shared" si="67"/>
        <v>0.59099999999999997</v>
      </c>
      <c r="Z185" s="616">
        <f t="shared" si="67"/>
        <v>2.7850000000000001</v>
      </c>
      <c r="AA185" s="616">
        <f t="shared" si="67"/>
        <v>2.5449999999999999</v>
      </c>
      <c r="AB185" s="616">
        <f t="shared" si="67"/>
        <v>2.3540000000000001</v>
      </c>
      <c r="AC185" s="616">
        <f t="shared" si="67"/>
        <v>0</v>
      </c>
      <c r="AD185" s="616">
        <f t="shared" si="67"/>
        <v>150.23099999999999</v>
      </c>
      <c r="AE185" s="616">
        <f t="shared" si="67"/>
        <v>2.1150000000000002</v>
      </c>
      <c r="AF185" s="616">
        <f t="shared" si="67"/>
        <v>66.793000000000006</v>
      </c>
    </row>
    <row r="186" spans="1:32" x14ac:dyDescent="0.25">
      <c r="C186" s="617" t="s">
        <v>1632</v>
      </c>
      <c r="D186" s="617" t="s">
        <v>449</v>
      </c>
      <c r="E186" s="618">
        <f>IF(E185=0,0,E185/(E81*E85))</f>
        <v>0</v>
      </c>
      <c r="F186" s="618">
        <f t="shared" ref="F186:AF186" si="68">IF(F185=0,0,F185/(F81*F85))</f>
        <v>3.4287552331510809</v>
      </c>
      <c r="G186" s="618">
        <f t="shared" si="68"/>
        <v>0</v>
      </c>
      <c r="H186" s="618">
        <f t="shared" si="68"/>
        <v>3.7485371378853563</v>
      </c>
      <c r="I186" s="618">
        <f t="shared" si="68"/>
        <v>0.25147315891776068</v>
      </c>
      <c r="J186" s="618">
        <f t="shared" si="68"/>
        <v>2.8369270205413795</v>
      </c>
      <c r="K186" s="618">
        <f t="shared" si="68"/>
        <v>3.2712572400986257</v>
      </c>
      <c r="L186" s="618">
        <f t="shared" si="68"/>
        <v>0</v>
      </c>
      <c r="M186" s="618">
        <f t="shared" si="68"/>
        <v>0</v>
      </c>
      <c r="N186" s="618">
        <f t="shared" si="68"/>
        <v>2.3763963043225056</v>
      </c>
      <c r="O186" s="618">
        <f t="shared" si="68"/>
        <v>0</v>
      </c>
      <c r="P186" s="618">
        <f t="shared" si="68"/>
        <v>3.8524576982318934</v>
      </c>
      <c r="Q186" s="618">
        <f t="shared" si="68"/>
        <v>1.1977073548626962</v>
      </c>
      <c r="R186" s="618">
        <f t="shared" si="68"/>
        <v>0.80149957529028748</v>
      </c>
      <c r="S186" s="618">
        <f t="shared" si="68"/>
        <v>1.3093353824465011</v>
      </c>
      <c r="T186" s="618">
        <f t="shared" si="68"/>
        <v>8.4335313404259746E-2</v>
      </c>
      <c r="U186" s="618">
        <f t="shared" si="68"/>
        <v>1.4651876572732951</v>
      </c>
      <c r="V186" s="618">
        <f t="shared" si="68"/>
        <v>0.25757423882691538</v>
      </c>
      <c r="W186" s="618">
        <f t="shared" si="68"/>
        <v>9.8194826231828909</v>
      </c>
      <c r="X186" s="618">
        <f t="shared" si="68"/>
        <v>2.0588720698789693</v>
      </c>
      <c r="Y186" s="618">
        <f t="shared" si="68"/>
        <v>0.12466421876685355</v>
      </c>
      <c r="Z186" s="618">
        <f t="shared" si="68"/>
        <v>0.30125901953231932</v>
      </c>
      <c r="AA186" s="618">
        <f t="shared" si="68"/>
        <v>0.5191947848905244</v>
      </c>
      <c r="AB186" s="618">
        <f t="shared" si="68"/>
        <v>0.50444390692662366</v>
      </c>
      <c r="AC186" s="618">
        <f t="shared" si="68"/>
        <v>0</v>
      </c>
      <c r="AD186" s="618">
        <f t="shared" si="68"/>
        <v>2.8650930344572698</v>
      </c>
      <c r="AE186" s="618">
        <f t="shared" si="68"/>
        <v>4.4246556683517117E-2</v>
      </c>
      <c r="AF186" s="618">
        <f t="shared" si="68"/>
        <v>2.3353828271114221</v>
      </c>
    </row>
    <row r="187" spans="1:32" x14ac:dyDescent="0.25">
      <c r="C187" s="121" t="s">
        <v>1631</v>
      </c>
      <c r="D187" s="121"/>
      <c r="E187" t="str">
        <f>IF(SUM(E184:E185)=0,"",SUM(E184:E185)/(E26/1000))</f>
        <v/>
      </c>
      <c r="F187" s="217">
        <f t="shared" ref="F187:AF187" si="69">IF(SUM(F184:F185)=0,"",SUM(F184:F185)/(F26/1000))</f>
        <v>1</v>
      </c>
      <c r="G187" s="217" t="str">
        <f t="shared" si="69"/>
        <v/>
      </c>
      <c r="H187" s="217">
        <f t="shared" si="69"/>
        <v>1</v>
      </c>
      <c r="I187" s="217">
        <f t="shared" si="69"/>
        <v>1</v>
      </c>
      <c r="J187" s="217">
        <f t="shared" si="69"/>
        <v>1</v>
      </c>
      <c r="K187" s="217">
        <f t="shared" si="69"/>
        <v>1</v>
      </c>
      <c r="L187" s="217" t="str">
        <f t="shared" si="69"/>
        <v/>
      </c>
      <c r="M187" s="217" t="str">
        <f t="shared" si="69"/>
        <v/>
      </c>
      <c r="N187" s="217">
        <f t="shared" si="69"/>
        <v>1</v>
      </c>
      <c r="O187" s="217">
        <f t="shared" si="69"/>
        <v>1</v>
      </c>
      <c r="P187" s="217">
        <f t="shared" si="69"/>
        <v>1</v>
      </c>
      <c r="Q187" s="217">
        <f t="shared" si="69"/>
        <v>1</v>
      </c>
      <c r="R187" s="217">
        <f t="shared" si="69"/>
        <v>1</v>
      </c>
      <c r="S187" s="217">
        <f t="shared" si="69"/>
        <v>1.0000000000000002</v>
      </c>
      <c r="T187" s="217">
        <f t="shared" si="69"/>
        <v>0.99999999999999989</v>
      </c>
      <c r="U187" s="217">
        <f t="shared" si="69"/>
        <v>1</v>
      </c>
      <c r="V187" s="217">
        <f t="shared" si="69"/>
        <v>1</v>
      </c>
      <c r="W187" s="217">
        <f t="shared" si="69"/>
        <v>1</v>
      </c>
      <c r="X187" s="217">
        <f t="shared" si="69"/>
        <v>1</v>
      </c>
      <c r="Y187" s="217">
        <f t="shared" si="69"/>
        <v>1</v>
      </c>
      <c r="Z187" s="217">
        <f t="shared" si="69"/>
        <v>1</v>
      </c>
      <c r="AA187" s="217">
        <f t="shared" si="69"/>
        <v>1</v>
      </c>
      <c r="AB187" s="217">
        <f t="shared" si="69"/>
        <v>1</v>
      </c>
      <c r="AC187" s="217" t="str">
        <f t="shared" si="69"/>
        <v/>
      </c>
      <c r="AD187" s="217">
        <f t="shared" si="69"/>
        <v>1</v>
      </c>
      <c r="AE187" s="217">
        <f t="shared" si="69"/>
        <v>1.0000000000000002</v>
      </c>
      <c r="AF187" s="217">
        <f t="shared" si="69"/>
        <v>1</v>
      </c>
    </row>
    <row r="188" spans="1:32" x14ac:dyDescent="0.25">
      <c r="C188" s="121" t="s">
        <v>1637</v>
      </c>
      <c r="D188" s="121"/>
      <c r="E188" s="180">
        <v>0</v>
      </c>
      <c r="F188" s="180">
        <v>0</v>
      </c>
      <c r="G188" s="180">
        <v>0</v>
      </c>
      <c r="H188" s="180">
        <v>0</v>
      </c>
      <c r="I188" s="180">
        <v>17.056000000000001</v>
      </c>
      <c r="J188" s="180">
        <v>7.93</v>
      </c>
      <c r="K188" s="180">
        <v>0</v>
      </c>
      <c r="L188" s="180">
        <v>0</v>
      </c>
      <c r="M188" s="180">
        <v>0</v>
      </c>
      <c r="N188" s="180">
        <v>0</v>
      </c>
      <c r="O188" s="180">
        <v>2.355</v>
      </c>
      <c r="P188" s="180">
        <v>10.093</v>
      </c>
      <c r="Q188" s="180">
        <v>4.6619999999999999</v>
      </c>
      <c r="R188" s="180">
        <v>11.808</v>
      </c>
      <c r="S188" s="180">
        <v>18.248000000000001</v>
      </c>
      <c r="T188" s="180">
        <v>63.423999999999999</v>
      </c>
      <c r="U188" s="180">
        <v>48.103000000000002</v>
      </c>
      <c r="V188" s="180">
        <v>0</v>
      </c>
      <c r="W188" s="180">
        <v>0</v>
      </c>
      <c r="X188" s="180">
        <v>57.680999999999997</v>
      </c>
      <c r="Y188" s="180">
        <v>6.9690000000000003</v>
      </c>
      <c r="Z188" s="180">
        <v>27.198</v>
      </c>
      <c r="AA188" s="180">
        <v>4.1050000000000004</v>
      </c>
      <c r="AB188" s="180">
        <v>11.648</v>
      </c>
      <c r="AC188" s="180">
        <v>0</v>
      </c>
      <c r="AD188" s="180">
        <v>3.778</v>
      </c>
      <c r="AE188" s="180">
        <v>103.554</v>
      </c>
      <c r="AF188" s="182">
        <v>22.021999999999998</v>
      </c>
    </row>
    <row r="189" spans="1:32" x14ac:dyDescent="0.25">
      <c r="C189" s="617" t="s">
        <v>1638</v>
      </c>
      <c r="D189" s="617" t="s">
        <v>449</v>
      </c>
      <c r="E189" s="622">
        <f>IF(E188=0,0,E188/(E81*E85))</f>
        <v>0</v>
      </c>
      <c r="F189" s="622">
        <f t="shared" ref="F189:AF189" si="70">IF(F188=0,0,F188/(F81*F85))</f>
        <v>0</v>
      </c>
      <c r="G189" s="622">
        <f t="shared" si="70"/>
        <v>0</v>
      </c>
      <c r="H189" s="622">
        <f t="shared" si="70"/>
        <v>0</v>
      </c>
      <c r="I189" s="622">
        <f t="shared" si="70"/>
        <v>3.9458382690904568</v>
      </c>
      <c r="J189" s="622">
        <f t="shared" si="70"/>
        <v>2.2747048809800949</v>
      </c>
      <c r="K189" s="622">
        <f t="shared" si="70"/>
        <v>0</v>
      </c>
      <c r="L189" s="622">
        <f t="shared" si="70"/>
        <v>0</v>
      </c>
      <c r="M189" s="622">
        <f t="shared" si="70"/>
        <v>0</v>
      </c>
      <c r="N189" s="622">
        <f t="shared" si="70"/>
        <v>0</v>
      </c>
      <c r="O189" s="622">
        <f t="shared" si="70"/>
        <v>1.6240592724015361</v>
      </c>
      <c r="P189" s="622">
        <f t="shared" si="70"/>
        <v>1.1799900627204391E-2</v>
      </c>
      <c r="Q189" s="622">
        <f t="shared" si="70"/>
        <v>0.11059920945152893</v>
      </c>
      <c r="R189" s="622">
        <f t="shared" si="70"/>
        <v>1.8023437411974317</v>
      </c>
      <c r="S189" s="622">
        <f t="shared" si="70"/>
        <v>0.88298725225927599</v>
      </c>
      <c r="T189" s="622">
        <f t="shared" si="70"/>
        <v>3.5005778254919964</v>
      </c>
      <c r="U189" s="622">
        <f t="shared" si="70"/>
        <v>0.94565841778904225</v>
      </c>
      <c r="V189" s="622">
        <f t="shared" si="70"/>
        <v>0</v>
      </c>
      <c r="W189" s="622">
        <f t="shared" si="70"/>
        <v>0</v>
      </c>
      <c r="X189" s="622">
        <f t="shared" si="70"/>
        <v>0.73158257785183767</v>
      </c>
      <c r="Y189" s="622">
        <f t="shared" si="70"/>
        <v>1.4700252801796996</v>
      </c>
      <c r="Z189" s="622">
        <f t="shared" si="70"/>
        <v>2.9420620514326825</v>
      </c>
      <c r="AA189" s="622">
        <f t="shared" si="70"/>
        <v>0.83744384753461798</v>
      </c>
      <c r="AB189" s="622">
        <f t="shared" si="70"/>
        <v>2.4960758827023417</v>
      </c>
      <c r="AC189" s="622">
        <f t="shared" si="70"/>
        <v>0</v>
      </c>
      <c r="AD189" s="622">
        <f t="shared" si="70"/>
        <v>7.2051184403881793E-2</v>
      </c>
      <c r="AE189" s="622">
        <f t="shared" si="70"/>
        <v>2.1663867285129697</v>
      </c>
      <c r="AF189" s="622">
        <f t="shared" si="70"/>
        <v>0.76998788224286574</v>
      </c>
    </row>
    <row r="191" spans="1:32" ht="15.75" x14ac:dyDescent="0.25">
      <c r="A191" s="122" t="s">
        <v>518</v>
      </c>
      <c r="B191" s="122"/>
      <c r="C191" s="122"/>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row>
    <row r="192" spans="1:32" x14ac:dyDescent="0.25">
      <c r="E192" s="91" t="s">
        <v>162</v>
      </c>
      <c r="F192" s="91" t="s">
        <v>164</v>
      </c>
      <c r="G192" s="91" t="s">
        <v>166</v>
      </c>
      <c r="H192" s="91" t="s">
        <v>168</v>
      </c>
      <c r="I192" s="91" t="s">
        <v>170</v>
      </c>
      <c r="J192" s="91" t="s">
        <v>173</v>
      </c>
      <c r="K192" s="91" t="s">
        <v>175</v>
      </c>
      <c r="L192" s="91" t="s">
        <v>177</v>
      </c>
      <c r="M192" s="91" t="s">
        <v>179</v>
      </c>
      <c r="N192" s="91" t="s">
        <v>181</v>
      </c>
      <c r="O192" s="91" t="s">
        <v>183</v>
      </c>
      <c r="P192" s="91" t="s">
        <v>185</v>
      </c>
      <c r="Q192" s="91" t="s">
        <v>188</v>
      </c>
      <c r="R192" s="91" t="s">
        <v>190</v>
      </c>
      <c r="S192" s="91" t="s">
        <v>192</v>
      </c>
      <c r="T192" s="91" t="s">
        <v>194</v>
      </c>
      <c r="U192" s="91" t="s">
        <v>196</v>
      </c>
      <c r="V192" s="91" t="s">
        <v>198</v>
      </c>
      <c r="W192" s="91" t="s">
        <v>9</v>
      </c>
      <c r="X192" s="91" t="s">
        <v>201</v>
      </c>
      <c r="Y192" s="91" t="s">
        <v>203</v>
      </c>
      <c r="Z192" s="91" t="s">
        <v>205</v>
      </c>
      <c r="AA192" s="91" t="s">
        <v>207</v>
      </c>
      <c r="AB192" s="91" t="s">
        <v>210</v>
      </c>
      <c r="AC192" s="91" t="s">
        <v>212</v>
      </c>
      <c r="AD192" s="91" t="s">
        <v>214</v>
      </c>
      <c r="AE192" s="91" t="s">
        <v>217</v>
      </c>
      <c r="AF192" s="92" t="s">
        <v>219</v>
      </c>
    </row>
    <row r="193" spans="1:32" x14ac:dyDescent="0.25">
      <c r="A193" t="s">
        <v>388</v>
      </c>
      <c r="B193" t="s">
        <v>389</v>
      </c>
      <c r="C193" t="s">
        <v>470</v>
      </c>
      <c r="D193" t="s">
        <v>512</v>
      </c>
      <c r="E193" s="123" t="str">
        <f t="shared" ref="E193:E198" si="71">IF(E169="","",IF(E169&lt;$AI169,E169,$AI169))</f>
        <v/>
      </c>
      <c r="F193" s="123" t="str">
        <f t="shared" ref="F193:K193" si="72">IF(F169="","",IF(F169&lt;$AI169,F169,$AI169))</f>
        <v/>
      </c>
      <c r="G193" s="123" t="str">
        <f t="shared" si="72"/>
        <v/>
      </c>
      <c r="H193" s="123" t="str">
        <f t="shared" si="72"/>
        <v/>
      </c>
      <c r="I193" s="123" t="str">
        <f t="shared" si="72"/>
        <v/>
      </c>
      <c r="J193" s="123" t="str">
        <f t="shared" si="72"/>
        <v/>
      </c>
      <c r="K193" s="123" t="str">
        <f t="shared" si="72"/>
        <v/>
      </c>
      <c r="L193" s="123" t="str">
        <f t="shared" ref="L193:AF193" si="73">IF(L169="","",IF(L169&lt;$AI169,L169,$AI169))</f>
        <v/>
      </c>
      <c r="M193" s="123" t="str">
        <f t="shared" si="73"/>
        <v/>
      </c>
      <c r="N193" s="123" t="str">
        <f t="shared" si="73"/>
        <v/>
      </c>
      <c r="O193" s="123" t="str">
        <f t="shared" si="73"/>
        <v/>
      </c>
      <c r="P193" s="123" t="str">
        <f t="shared" si="73"/>
        <v/>
      </c>
      <c r="Q193" s="123" t="str">
        <f t="shared" si="73"/>
        <v/>
      </c>
      <c r="R193" s="123" t="str">
        <f t="shared" si="73"/>
        <v/>
      </c>
      <c r="S193" s="123" t="str">
        <f t="shared" si="73"/>
        <v/>
      </c>
      <c r="T193" s="123" t="str">
        <f t="shared" si="73"/>
        <v/>
      </c>
      <c r="U193" s="124">
        <f t="shared" si="73"/>
        <v>4.718167687449226E-4</v>
      </c>
      <c r="V193" s="123" t="str">
        <f t="shared" si="73"/>
        <v/>
      </c>
      <c r="W193" s="123" t="str">
        <f t="shared" si="73"/>
        <v/>
      </c>
      <c r="X193" s="123" t="str">
        <f t="shared" si="73"/>
        <v/>
      </c>
      <c r="Y193" s="123" t="str">
        <f t="shared" si="73"/>
        <v/>
      </c>
      <c r="Z193" s="123" t="str">
        <f t="shared" si="73"/>
        <v/>
      </c>
      <c r="AA193" s="123" t="str">
        <f t="shared" si="73"/>
        <v/>
      </c>
      <c r="AB193" s="123" t="str">
        <f t="shared" si="73"/>
        <v/>
      </c>
      <c r="AC193" s="123" t="str">
        <f t="shared" si="73"/>
        <v/>
      </c>
      <c r="AD193" s="123" t="str">
        <f t="shared" si="73"/>
        <v/>
      </c>
      <c r="AE193" s="123" t="str">
        <f t="shared" si="73"/>
        <v/>
      </c>
      <c r="AF193" s="123" t="str">
        <f t="shared" si="73"/>
        <v/>
      </c>
    </row>
    <row r="194" spans="1:32" x14ac:dyDescent="0.25">
      <c r="A194" t="s">
        <v>388</v>
      </c>
      <c r="B194" t="s">
        <v>390</v>
      </c>
      <c r="C194" t="s">
        <v>470</v>
      </c>
      <c r="D194" t="s">
        <v>512</v>
      </c>
      <c r="E194" s="123" t="str">
        <f t="shared" si="71"/>
        <v/>
      </c>
      <c r="F194" s="124">
        <f>IF(F170="","",IF(F170&lt;$AI170,F170,$AI170))</f>
        <v>0.51994258460917886</v>
      </c>
      <c r="G194" s="124" t="str">
        <f t="shared" ref="G194:K194" si="74">IF(G170="","",IF(G170&lt;$AI170,G170,$AI170))</f>
        <v/>
      </c>
      <c r="H194" s="124" t="str">
        <f t="shared" si="74"/>
        <v/>
      </c>
      <c r="I194" s="124">
        <f t="shared" si="74"/>
        <v>0.37987021797880682</v>
      </c>
      <c r="J194" s="124" t="str">
        <f t="shared" si="74"/>
        <v/>
      </c>
      <c r="K194" s="124" t="str">
        <f t="shared" si="74"/>
        <v/>
      </c>
      <c r="L194" s="124" t="str">
        <f t="shared" ref="L194:AF194" si="75">IF(L170="","",IF(L170&lt;$AI170,L170,$AI170))</f>
        <v/>
      </c>
      <c r="M194" s="124">
        <f t="shared" si="75"/>
        <v>0</v>
      </c>
      <c r="N194" s="124" t="str">
        <f t="shared" si="75"/>
        <v/>
      </c>
      <c r="O194" s="124" t="str">
        <f t="shared" si="75"/>
        <v/>
      </c>
      <c r="P194" s="124" t="str">
        <f t="shared" si="75"/>
        <v/>
      </c>
      <c r="Q194" s="124">
        <f t="shared" si="75"/>
        <v>0.15156978747014552</v>
      </c>
      <c r="R194" s="124">
        <f t="shared" si="75"/>
        <v>4.6038526356704716</v>
      </c>
      <c r="S194" s="124">
        <f t="shared" si="75"/>
        <v>1.4565321832670137</v>
      </c>
      <c r="T194" s="124">
        <f t="shared" si="75"/>
        <v>4.6854166278782099</v>
      </c>
      <c r="U194" s="124">
        <f t="shared" si="75"/>
        <v>4.6854166278782099</v>
      </c>
      <c r="V194" s="124">
        <f t="shared" si="75"/>
        <v>0.61462270056275303</v>
      </c>
      <c r="W194" s="124">
        <f t="shared" si="75"/>
        <v>1.5137766270658288</v>
      </c>
      <c r="X194" s="124">
        <f t="shared" si="75"/>
        <v>4.4273296036504766</v>
      </c>
      <c r="Y194" s="124" t="str">
        <f t="shared" si="75"/>
        <v/>
      </c>
      <c r="Z194" s="124">
        <f t="shared" si="75"/>
        <v>3.0030710593379708</v>
      </c>
      <c r="AA194" s="124" t="str">
        <f t="shared" si="75"/>
        <v/>
      </c>
      <c r="AB194" s="124" t="str">
        <f t="shared" si="75"/>
        <v/>
      </c>
      <c r="AC194" s="124" t="str">
        <f t="shared" si="75"/>
        <v/>
      </c>
      <c r="AD194" s="124">
        <f t="shared" si="75"/>
        <v>1.2831137339050205</v>
      </c>
      <c r="AE194" s="124">
        <f t="shared" si="75"/>
        <v>4.2302846243107854</v>
      </c>
      <c r="AF194" s="124">
        <f t="shared" si="75"/>
        <v>0.9390761302914763</v>
      </c>
    </row>
    <row r="195" spans="1:32" x14ac:dyDescent="0.25">
      <c r="A195" t="s">
        <v>388</v>
      </c>
      <c r="B195" t="s">
        <v>391</v>
      </c>
      <c r="C195" t="s">
        <v>470</v>
      </c>
      <c r="D195" t="s">
        <v>512</v>
      </c>
      <c r="E195" s="123" t="str">
        <f t="shared" si="71"/>
        <v/>
      </c>
      <c r="F195" s="124">
        <f t="shared" ref="F195:K195" si="76">IF(F171="","",IF(F171&lt;$AI171,F171,$AI171))</f>
        <v>15.425621095949456</v>
      </c>
      <c r="G195" s="124" t="str">
        <f t="shared" si="76"/>
        <v/>
      </c>
      <c r="H195" s="124">
        <f t="shared" si="76"/>
        <v>9.3659706715469806</v>
      </c>
      <c r="I195" s="124">
        <f t="shared" si="76"/>
        <v>12.216690987093092</v>
      </c>
      <c r="J195" s="124">
        <f t="shared" si="76"/>
        <v>15.425621095949456</v>
      </c>
      <c r="K195" s="124">
        <f t="shared" si="76"/>
        <v>5.9878551892988403</v>
      </c>
      <c r="L195" s="124" t="str">
        <f t="shared" ref="L195:AF195" si="77">IF(L171="","",IF(L171&lt;$AI171,L171,$AI171))</f>
        <v/>
      </c>
      <c r="M195" s="124">
        <f t="shared" si="77"/>
        <v>0</v>
      </c>
      <c r="N195" s="124">
        <f t="shared" si="77"/>
        <v>5.4921689126434021</v>
      </c>
      <c r="O195" s="124">
        <f t="shared" si="77"/>
        <v>5.5335250962844693</v>
      </c>
      <c r="P195" s="124">
        <f t="shared" si="77"/>
        <v>11.41281642047084</v>
      </c>
      <c r="Q195" s="124">
        <f t="shared" si="77"/>
        <v>6.1138920344468737</v>
      </c>
      <c r="R195" s="124">
        <f t="shared" si="77"/>
        <v>9.5166435955434849</v>
      </c>
      <c r="S195" s="124">
        <f t="shared" si="77"/>
        <v>9.3125444779460196</v>
      </c>
      <c r="T195" s="124">
        <f t="shared" si="77"/>
        <v>8.9667535019433533</v>
      </c>
      <c r="U195" s="124">
        <f t="shared" si="77"/>
        <v>9.0628530843727848</v>
      </c>
      <c r="V195" s="124" t="str">
        <f t="shared" si="77"/>
        <v/>
      </c>
      <c r="W195" s="124">
        <f t="shared" si="77"/>
        <v>15.425621095949456</v>
      </c>
      <c r="X195" s="124">
        <f t="shared" si="77"/>
        <v>10.301323453974181</v>
      </c>
      <c r="Y195" s="124">
        <f t="shared" si="77"/>
        <v>4.2932163190554489</v>
      </c>
      <c r="Z195" s="124">
        <f t="shared" si="77"/>
        <v>10.342324903944363</v>
      </c>
      <c r="AA195" s="124">
        <f t="shared" si="77"/>
        <v>7.1997730248944549</v>
      </c>
      <c r="AB195" s="124">
        <f t="shared" si="77"/>
        <v>8.3833262883927127</v>
      </c>
      <c r="AC195" s="124" t="str">
        <f t="shared" si="77"/>
        <v/>
      </c>
      <c r="AD195" s="124">
        <f t="shared" si="77"/>
        <v>9.1238960248399934</v>
      </c>
      <c r="AE195" s="124">
        <f t="shared" si="77"/>
        <v>8.6592708067208832</v>
      </c>
      <c r="AF195" s="124">
        <f t="shared" si="77"/>
        <v>8.3854974030707599</v>
      </c>
    </row>
    <row r="196" spans="1:32" x14ac:dyDescent="0.25">
      <c r="A196" t="s">
        <v>388</v>
      </c>
      <c r="B196" t="s">
        <v>392</v>
      </c>
      <c r="C196" t="s">
        <v>470</v>
      </c>
      <c r="D196" t="s">
        <v>512</v>
      </c>
      <c r="E196" s="123" t="str">
        <f t="shared" si="71"/>
        <v/>
      </c>
      <c r="F196" s="124" t="str">
        <f t="shared" ref="F196:K196" si="78">IF(F172="","",IF(F172&lt;$AI172,F172,$AI172))</f>
        <v/>
      </c>
      <c r="G196" s="124" t="str">
        <f t="shared" si="78"/>
        <v/>
      </c>
      <c r="H196" s="124" t="str">
        <f t="shared" si="78"/>
        <v/>
      </c>
      <c r="I196" s="124" t="str">
        <f t="shared" si="78"/>
        <v/>
      </c>
      <c r="J196" s="124" t="str">
        <f t="shared" si="78"/>
        <v/>
      </c>
      <c r="K196" s="124" t="str">
        <f t="shared" si="78"/>
        <v/>
      </c>
      <c r="L196" s="124" t="str">
        <f t="shared" ref="L196:AF196" si="79">IF(L172="","",IF(L172&lt;$AI172,L172,$AI172))</f>
        <v/>
      </c>
      <c r="M196" s="124" t="str">
        <f t="shared" si="79"/>
        <v/>
      </c>
      <c r="N196" s="124" t="str">
        <f t="shared" si="79"/>
        <v/>
      </c>
      <c r="O196" s="124" t="str">
        <f t="shared" si="79"/>
        <v/>
      </c>
      <c r="P196" s="124" t="str">
        <f t="shared" si="79"/>
        <v/>
      </c>
      <c r="Q196" s="124" t="str">
        <f t="shared" si="79"/>
        <v/>
      </c>
      <c r="R196" s="124" t="str">
        <f t="shared" si="79"/>
        <v/>
      </c>
      <c r="S196" s="124">
        <f t="shared" si="79"/>
        <v>5.714642398718791E-2</v>
      </c>
      <c r="T196" s="124" t="str">
        <f t="shared" si="79"/>
        <v/>
      </c>
      <c r="U196" s="124" t="str">
        <f t="shared" si="79"/>
        <v/>
      </c>
      <c r="V196" s="124" t="str">
        <f t="shared" si="79"/>
        <v/>
      </c>
      <c r="W196" s="124" t="str">
        <f t="shared" si="79"/>
        <v/>
      </c>
      <c r="X196" s="124" t="str">
        <f t="shared" si="79"/>
        <v/>
      </c>
      <c r="Y196" s="124" t="str">
        <f t="shared" si="79"/>
        <v/>
      </c>
      <c r="Z196" s="124" t="str">
        <f t="shared" si="79"/>
        <v/>
      </c>
      <c r="AA196" s="124" t="str">
        <f t="shared" si="79"/>
        <v/>
      </c>
      <c r="AB196" s="124" t="str">
        <f t="shared" si="79"/>
        <v/>
      </c>
      <c r="AC196" s="124" t="str">
        <f t="shared" si="79"/>
        <v/>
      </c>
      <c r="AD196" s="124" t="str">
        <f t="shared" si="79"/>
        <v/>
      </c>
      <c r="AE196" s="124" t="str">
        <f t="shared" si="79"/>
        <v/>
      </c>
      <c r="AF196" s="124" t="str">
        <f t="shared" si="79"/>
        <v/>
      </c>
    </row>
    <row r="197" spans="1:32" x14ac:dyDescent="0.25">
      <c r="A197" t="s">
        <v>388</v>
      </c>
      <c r="B197" t="s">
        <v>393</v>
      </c>
      <c r="C197" t="s">
        <v>470</v>
      </c>
      <c r="D197" t="s">
        <v>512</v>
      </c>
      <c r="E197" s="123" t="str">
        <f t="shared" si="71"/>
        <v/>
      </c>
      <c r="F197" s="124" t="str">
        <f t="shared" ref="F197:K197" si="80">IF(F173="","",IF(F173&lt;$AI173,F173,$AI173))</f>
        <v/>
      </c>
      <c r="G197" s="124" t="str">
        <f t="shared" si="80"/>
        <v/>
      </c>
      <c r="H197" s="124" t="str">
        <f t="shared" si="80"/>
        <v/>
      </c>
      <c r="I197" s="124" t="str">
        <f t="shared" si="80"/>
        <v/>
      </c>
      <c r="J197" s="124">
        <f t="shared" si="80"/>
        <v>1.3127000027009037</v>
      </c>
      <c r="K197" s="124" t="str">
        <f t="shared" si="80"/>
        <v/>
      </c>
      <c r="L197" s="124" t="str">
        <f t="shared" ref="L197:AF197" si="81">IF(L173="","",IF(L173&lt;$AI173,L173,$AI173))</f>
        <v/>
      </c>
      <c r="M197" s="124" t="str">
        <f t="shared" si="81"/>
        <v/>
      </c>
      <c r="N197" s="124" t="str">
        <f t="shared" si="81"/>
        <v/>
      </c>
      <c r="O197" s="124" t="str">
        <f t="shared" si="81"/>
        <v/>
      </c>
      <c r="P197" s="124" t="str">
        <f t="shared" si="81"/>
        <v/>
      </c>
      <c r="Q197" s="124" t="str">
        <f t="shared" si="81"/>
        <v/>
      </c>
      <c r="R197" s="124" t="str">
        <f t="shared" si="81"/>
        <v/>
      </c>
      <c r="S197" s="124" t="str">
        <f t="shared" si="81"/>
        <v/>
      </c>
      <c r="T197" s="124" t="str">
        <f t="shared" si="81"/>
        <v/>
      </c>
      <c r="U197" s="124">
        <f t="shared" si="81"/>
        <v>2.7797871291888356E-2</v>
      </c>
      <c r="V197" s="124" t="str">
        <f t="shared" si="81"/>
        <v/>
      </c>
      <c r="W197" s="124" t="str">
        <f t="shared" si="81"/>
        <v/>
      </c>
      <c r="X197" s="124" t="str">
        <f t="shared" si="81"/>
        <v/>
      </c>
      <c r="Y197" s="124" t="str">
        <f t="shared" si="81"/>
        <v/>
      </c>
      <c r="Z197" s="124" t="str">
        <f t="shared" si="81"/>
        <v/>
      </c>
      <c r="AA197" s="124" t="str">
        <f t="shared" si="81"/>
        <v/>
      </c>
      <c r="AB197" s="124" t="str">
        <f t="shared" si="81"/>
        <v/>
      </c>
      <c r="AC197" s="124" t="str">
        <f t="shared" si="81"/>
        <v/>
      </c>
      <c r="AD197" s="124" t="str">
        <f t="shared" si="81"/>
        <v/>
      </c>
      <c r="AE197" s="124" t="str">
        <f t="shared" si="81"/>
        <v/>
      </c>
      <c r="AF197" s="124" t="str">
        <f t="shared" si="81"/>
        <v/>
      </c>
    </row>
    <row r="198" spans="1:32" x14ac:dyDescent="0.25">
      <c r="A198" t="s">
        <v>388</v>
      </c>
      <c r="B198" t="s">
        <v>394</v>
      </c>
      <c r="C198" t="s">
        <v>470</v>
      </c>
      <c r="D198" t="s">
        <v>512</v>
      </c>
      <c r="E198" s="123" t="str">
        <f t="shared" si="71"/>
        <v/>
      </c>
      <c r="F198" s="124" t="str">
        <f t="shared" ref="F198:K198" si="82">IF(F174="","",IF(F174&lt;$AI174,F174,$AI174))</f>
        <v/>
      </c>
      <c r="G198" s="124" t="str">
        <f t="shared" si="82"/>
        <v/>
      </c>
      <c r="H198" s="124" t="str">
        <f t="shared" si="82"/>
        <v/>
      </c>
      <c r="I198" s="124" t="str">
        <f t="shared" si="82"/>
        <v/>
      </c>
      <c r="J198" s="124" t="str">
        <f t="shared" si="82"/>
        <v/>
      </c>
      <c r="K198" s="124" t="str">
        <f t="shared" si="82"/>
        <v/>
      </c>
      <c r="L198" s="124" t="str">
        <f t="shared" ref="L198:AF198" si="83">IF(L174="","",IF(L174&lt;$AI174,L174,$AI174))</f>
        <v/>
      </c>
      <c r="M198" s="124" t="str">
        <f t="shared" si="83"/>
        <v/>
      </c>
      <c r="N198" s="124" t="str">
        <f t="shared" si="83"/>
        <v/>
      </c>
      <c r="O198" s="124" t="str">
        <f t="shared" si="83"/>
        <v/>
      </c>
      <c r="P198" s="124" t="str">
        <f t="shared" si="83"/>
        <v/>
      </c>
      <c r="Q198" s="124" t="str">
        <f t="shared" si="83"/>
        <v/>
      </c>
      <c r="R198" s="124" t="str">
        <f t="shared" si="83"/>
        <v/>
      </c>
      <c r="S198" s="124" t="str">
        <f t="shared" si="83"/>
        <v/>
      </c>
      <c r="T198" s="124" t="str">
        <f t="shared" si="83"/>
        <v/>
      </c>
      <c r="U198" s="124" t="str">
        <f t="shared" si="83"/>
        <v/>
      </c>
      <c r="V198" s="124" t="str">
        <f t="shared" si="83"/>
        <v/>
      </c>
      <c r="W198" s="124" t="str">
        <f t="shared" si="83"/>
        <v/>
      </c>
      <c r="X198" s="124" t="str">
        <f t="shared" si="83"/>
        <v/>
      </c>
      <c r="Y198" s="124">
        <f t="shared" si="83"/>
        <v>6.7183677964877928</v>
      </c>
      <c r="Z198" s="124" t="str">
        <f t="shared" si="83"/>
        <v/>
      </c>
      <c r="AA198" s="124" t="str">
        <f t="shared" si="83"/>
        <v/>
      </c>
      <c r="AB198" s="124" t="str">
        <f t="shared" si="83"/>
        <v/>
      </c>
      <c r="AC198" s="124" t="str">
        <f t="shared" si="83"/>
        <v/>
      </c>
      <c r="AD198" s="124" t="str">
        <f t="shared" si="83"/>
        <v/>
      </c>
      <c r="AE198" s="124" t="str">
        <f t="shared" si="83"/>
        <v/>
      </c>
      <c r="AF198" s="124" t="str">
        <f t="shared" si="83"/>
        <v/>
      </c>
    </row>
    <row r="200" spans="1:32" x14ac:dyDescent="0.25">
      <c r="A200" t="s">
        <v>388</v>
      </c>
      <c r="B200" t="s">
        <v>396</v>
      </c>
      <c r="C200" t="s">
        <v>472</v>
      </c>
      <c r="D200" t="s">
        <v>512</v>
      </c>
      <c r="E200" s="123" t="str">
        <f t="shared" ref="E200:AF200" si="84">IF(E45=0,"",(E45/1000)/(E$81*E$85))</f>
        <v/>
      </c>
      <c r="F200" s="124" t="str">
        <f t="shared" si="84"/>
        <v/>
      </c>
      <c r="G200" s="124" t="str">
        <f t="shared" si="84"/>
        <v/>
      </c>
      <c r="H200" s="124" t="str">
        <f t="shared" si="84"/>
        <v/>
      </c>
      <c r="I200" s="124" t="str">
        <f t="shared" si="84"/>
        <v/>
      </c>
      <c r="J200" s="124" t="str">
        <f t="shared" si="84"/>
        <v/>
      </c>
      <c r="K200" s="124" t="str">
        <f t="shared" si="84"/>
        <v/>
      </c>
      <c r="L200" s="124" t="str">
        <f t="shared" si="84"/>
        <v/>
      </c>
      <c r="M200" s="124" t="str">
        <f t="shared" si="84"/>
        <v/>
      </c>
      <c r="N200" s="124" t="str">
        <f t="shared" si="84"/>
        <v/>
      </c>
      <c r="O200" s="124" t="str">
        <f t="shared" si="84"/>
        <v/>
      </c>
      <c r="P200" s="124" t="str">
        <f t="shared" si="84"/>
        <v/>
      </c>
      <c r="Q200" s="124" t="str">
        <f t="shared" si="84"/>
        <v/>
      </c>
      <c r="R200" s="124" t="str">
        <f t="shared" si="84"/>
        <v/>
      </c>
      <c r="S200" s="124" t="str">
        <f t="shared" si="84"/>
        <v/>
      </c>
      <c r="T200" s="124" t="str">
        <f t="shared" si="84"/>
        <v/>
      </c>
      <c r="U200" s="124" t="str">
        <f t="shared" si="84"/>
        <v/>
      </c>
      <c r="V200" s="124" t="str">
        <f t="shared" si="84"/>
        <v/>
      </c>
      <c r="W200" s="124" t="str">
        <f t="shared" si="84"/>
        <v/>
      </c>
      <c r="X200" s="124" t="str">
        <f t="shared" si="84"/>
        <v/>
      </c>
      <c r="Y200" s="124" t="str">
        <f t="shared" si="84"/>
        <v/>
      </c>
      <c r="Z200" s="124" t="str">
        <f t="shared" si="84"/>
        <v/>
      </c>
      <c r="AA200" s="124" t="str">
        <f t="shared" si="84"/>
        <v/>
      </c>
      <c r="AB200" s="124" t="str">
        <f t="shared" si="84"/>
        <v/>
      </c>
      <c r="AC200" s="124" t="str">
        <f t="shared" si="84"/>
        <v/>
      </c>
      <c r="AD200" s="124" t="str">
        <f t="shared" si="84"/>
        <v/>
      </c>
      <c r="AE200" s="124" t="str">
        <f t="shared" si="84"/>
        <v/>
      </c>
      <c r="AF200" s="124" t="str">
        <f t="shared" si="84"/>
        <v/>
      </c>
    </row>
    <row r="201" spans="1:32" x14ac:dyDescent="0.25">
      <c r="A201" t="s">
        <v>388</v>
      </c>
      <c r="B201" t="s">
        <v>366</v>
      </c>
      <c r="C201" t="s">
        <v>472</v>
      </c>
      <c r="D201" t="s">
        <v>454</v>
      </c>
      <c r="E201" s="123">
        <v>1</v>
      </c>
      <c r="F201" s="123">
        <v>1</v>
      </c>
      <c r="G201" s="123">
        <v>1</v>
      </c>
      <c r="H201" s="123">
        <v>1</v>
      </c>
      <c r="I201" s="123">
        <v>1</v>
      </c>
      <c r="J201" s="123">
        <v>1</v>
      </c>
      <c r="K201" s="123">
        <v>1</v>
      </c>
      <c r="L201" s="123">
        <v>1</v>
      </c>
      <c r="M201" s="123">
        <v>1</v>
      </c>
      <c r="N201" s="123">
        <v>1</v>
      </c>
      <c r="O201" s="123">
        <v>1</v>
      </c>
      <c r="P201" s="123">
        <v>1</v>
      </c>
      <c r="Q201" s="123">
        <v>1</v>
      </c>
      <c r="R201" s="123">
        <v>1</v>
      </c>
      <c r="S201" s="123">
        <v>1</v>
      </c>
      <c r="T201" s="123">
        <v>1</v>
      </c>
      <c r="U201" s="123">
        <v>1</v>
      </c>
      <c r="V201" s="123">
        <v>1</v>
      </c>
      <c r="W201" s="123">
        <v>1</v>
      </c>
      <c r="X201" s="123">
        <v>1</v>
      </c>
      <c r="Y201" s="123">
        <v>1</v>
      </c>
      <c r="Z201" s="123">
        <v>1</v>
      </c>
      <c r="AA201" s="123">
        <v>1</v>
      </c>
      <c r="AB201" s="123">
        <v>1</v>
      </c>
      <c r="AC201" s="123">
        <v>1</v>
      </c>
      <c r="AD201" s="123">
        <v>1</v>
      </c>
      <c r="AE201" s="123">
        <v>1</v>
      </c>
      <c r="AF201" s="123">
        <v>1</v>
      </c>
    </row>
    <row r="204" spans="1:32" x14ac:dyDescent="0.25">
      <c r="A204" t="s">
        <v>388</v>
      </c>
      <c r="C204" t="s">
        <v>519</v>
      </c>
      <c r="D204" t="s">
        <v>515</v>
      </c>
      <c r="E204" s="271">
        <f>IF(E201="","",SUM(E193:E198))</f>
        <v>0</v>
      </c>
      <c r="F204" s="272">
        <f>IF(F201="","",SUM(F193:F198))</f>
        <v>15.945563680558635</v>
      </c>
      <c r="G204" s="272">
        <f t="shared" ref="G204:AF204" si="85">IF(G201="","",SUM(G193:G198))</f>
        <v>0</v>
      </c>
      <c r="H204" s="272">
        <f t="shared" si="85"/>
        <v>9.3659706715469806</v>
      </c>
      <c r="I204" s="272">
        <f t="shared" si="85"/>
        <v>12.596561205071898</v>
      </c>
      <c r="J204" s="272">
        <f t="shared" si="85"/>
        <v>16.73832109865036</v>
      </c>
      <c r="K204" s="272">
        <f t="shared" si="85"/>
        <v>5.9878551892988403</v>
      </c>
      <c r="L204" s="272">
        <f t="shared" si="85"/>
        <v>0</v>
      </c>
      <c r="M204" s="272">
        <f t="shared" si="85"/>
        <v>0</v>
      </c>
      <c r="N204" s="272">
        <f t="shared" si="85"/>
        <v>5.4921689126434021</v>
      </c>
      <c r="O204" s="272">
        <f t="shared" si="85"/>
        <v>5.5335250962844693</v>
      </c>
      <c r="P204" s="272">
        <f t="shared" si="85"/>
        <v>11.41281642047084</v>
      </c>
      <c r="Q204" s="272">
        <f t="shared" si="85"/>
        <v>6.2654618219170191</v>
      </c>
      <c r="R204" s="272">
        <f t="shared" si="85"/>
        <v>14.120496231213956</v>
      </c>
      <c r="S204" s="272">
        <f t="shared" si="85"/>
        <v>10.826223085200221</v>
      </c>
      <c r="T204" s="272">
        <f t="shared" si="85"/>
        <v>13.652170129821563</v>
      </c>
      <c r="U204" s="272">
        <f t="shared" si="85"/>
        <v>13.776539400311627</v>
      </c>
      <c r="V204" s="272">
        <f t="shared" si="85"/>
        <v>0.61462270056275303</v>
      </c>
      <c r="W204" s="272">
        <f t="shared" si="85"/>
        <v>16.939397723015286</v>
      </c>
      <c r="X204" s="272">
        <f t="shared" si="85"/>
        <v>14.728653057624658</v>
      </c>
      <c r="Y204" s="272">
        <f t="shared" si="85"/>
        <v>11.011584115543242</v>
      </c>
      <c r="Z204" s="272">
        <f t="shared" si="85"/>
        <v>13.345395963282334</v>
      </c>
      <c r="AA204" s="272">
        <f t="shared" si="85"/>
        <v>7.1997730248944549</v>
      </c>
      <c r="AB204" s="272">
        <f t="shared" si="85"/>
        <v>8.3833262883927127</v>
      </c>
      <c r="AC204" s="272">
        <f t="shared" si="85"/>
        <v>0</v>
      </c>
      <c r="AD204" s="272">
        <f t="shared" si="85"/>
        <v>10.407009758745014</v>
      </c>
      <c r="AE204" s="272">
        <f t="shared" si="85"/>
        <v>12.889555431031669</v>
      </c>
      <c r="AF204" s="272">
        <f t="shared" si="85"/>
        <v>9.324573533362237</v>
      </c>
    </row>
    <row r="205" spans="1:32" x14ac:dyDescent="0.25">
      <c r="C205" t="s">
        <v>520</v>
      </c>
      <c r="D205" t="s">
        <v>515</v>
      </c>
      <c r="E205" t="str">
        <f>E180</f>
        <v/>
      </c>
      <c r="F205" s="279">
        <f t="shared" ref="F205:AF205" si="86">F180</f>
        <v>17.116141422085231</v>
      </c>
      <c r="G205" s="279" t="str">
        <f t="shared" si="86"/>
        <v/>
      </c>
      <c r="H205" s="279">
        <f t="shared" si="86"/>
        <v>9.3659706715469806</v>
      </c>
      <c r="I205" s="279">
        <f t="shared" si="86"/>
        <v>12.596561205071898</v>
      </c>
      <c r="J205" s="279">
        <f t="shared" si="86"/>
        <v>17.683320529354337</v>
      </c>
      <c r="K205" s="279">
        <f t="shared" si="86"/>
        <v>5.9878551892988403</v>
      </c>
      <c r="L205" s="279" t="str">
        <f t="shared" si="86"/>
        <v/>
      </c>
      <c r="M205" s="279">
        <f t="shared" si="86"/>
        <v>0</v>
      </c>
      <c r="N205" s="279">
        <f t="shared" si="86"/>
        <v>5.4921689126434021</v>
      </c>
      <c r="O205" s="279">
        <f t="shared" si="86"/>
        <v>5.5335250962844693</v>
      </c>
      <c r="P205" s="279">
        <f t="shared" si="86"/>
        <v>11.41281642047084</v>
      </c>
      <c r="Q205" s="279">
        <f t="shared" si="86"/>
        <v>6.2654618219170191</v>
      </c>
      <c r="R205" s="279">
        <f t="shared" si="86"/>
        <v>14.120496231213956</v>
      </c>
      <c r="S205" s="279">
        <f t="shared" si="86"/>
        <v>10.826223085200221</v>
      </c>
      <c r="T205" s="279">
        <f t="shared" si="86"/>
        <v>14.189692446606376</v>
      </c>
      <c r="U205" s="279">
        <f t="shared" si="86"/>
        <v>13.830915395116786</v>
      </c>
      <c r="V205" s="279">
        <f t="shared" si="86"/>
        <v>0.61462270056275303</v>
      </c>
      <c r="W205" s="279">
        <f t="shared" si="86"/>
        <v>24.05720787588703</v>
      </c>
      <c r="X205" s="279">
        <f t="shared" si="86"/>
        <v>14.728653057624658</v>
      </c>
      <c r="Y205" s="279">
        <f t="shared" si="86"/>
        <v>11.011584115543242</v>
      </c>
      <c r="Z205" s="279">
        <f t="shared" si="86"/>
        <v>13.345395963282334</v>
      </c>
      <c r="AA205" s="279">
        <f t="shared" si="86"/>
        <v>7.1997730248944549</v>
      </c>
      <c r="AB205" s="279">
        <f t="shared" si="86"/>
        <v>8.3833262883927127</v>
      </c>
      <c r="AC205" s="279" t="str">
        <f t="shared" si="86"/>
        <v/>
      </c>
      <c r="AD205" s="279">
        <f t="shared" si="86"/>
        <v>10.407009758745014</v>
      </c>
      <c r="AE205" s="279">
        <f t="shared" si="86"/>
        <v>12.889555431031669</v>
      </c>
      <c r="AF205" s="279">
        <f t="shared" si="86"/>
        <v>9.324573533362237</v>
      </c>
    </row>
    <row r="210" spans="1:34" x14ac:dyDescent="0.25">
      <c r="C210" s="5"/>
    </row>
    <row r="211" spans="1:34" ht="15.75" x14ac:dyDescent="0.25">
      <c r="A211" s="131" t="s">
        <v>521</v>
      </c>
      <c r="B211" s="132"/>
      <c r="C211" s="5"/>
      <c r="E211" s="121" t="str">
        <f t="shared" ref="E211:AF211" si="87">IF(E85=0,"NO BOF","")</f>
        <v>NO BOF</v>
      </c>
      <c r="F211" s="121" t="str">
        <f t="shared" si="87"/>
        <v/>
      </c>
      <c r="G211" s="121" t="str">
        <f t="shared" si="87"/>
        <v>NO BOF</v>
      </c>
      <c r="H211" s="121" t="str">
        <f t="shared" si="87"/>
        <v/>
      </c>
      <c r="I211" s="121" t="str">
        <f t="shared" si="87"/>
        <v/>
      </c>
      <c r="J211" s="121" t="str">
        <f t="shared" si="87"/>
        <v/>
      </c>
      <c r="K211" s="121" t="str">
        <f t="shared" si="87"/>
        <v/>
      </c>
      <c r="L211" s="121" t="str">
        <f t="shared" si="87"/>
        <v>NO BOF</v>
      </c>
      <c r="M211" s="121" t="str">
        <f t="shared" si="87"/>
        <v/>
      </c>
      <c r="N211" s="121" t="str">
        <f t="shared" si="87"/>
        <v/>
      </c>
      <c r="O211" s="121" t="str">
        <f t="shared" si="87"/>
        <v/>
      </c>
      <c r="P211" s="121" t="str">
        <f t="shared" si="87"/>
        <v/>
      </c>
      <c r="Q211" s="121" t="str">
        <f t="shared" si="87"/>
        <v/>
      </c>
      <c r="R211" s="121" t="str">
        <f t="shared" si="87"/>
        <v/>
      </c>
      <c r="S211" s="121" t="str">
        <f t="shared" si="87"/>
        <v/>
      </c>
      <c r="T211" s="121" t="str">
        <f t="shared" si="87"/>
        <v/>
      </c>
      <c r="U211" s="121" t="str">
        <f t="shared" si="87"/>
        <v/>
      </c>
      <c r="V211" s="121" t="str">
        <f t="shared" si="87"/>
        <v/>
      </c>
      <c r="W211" s="121" t="str">
        <f t="shared" si="87"/>
        <v/>
      </c>
      <c r="X211" s="121" t="str">
        <f t="shared" si="87"/>
        <v/>
      </c>
      <c r="Y211" s="121" t="str">
        <f t="shared" si="87"/>
        <v/>
      </c>
      <c r="Z211" s="121" t="str">
        <f t="shared" si="87"/>
        <v/>
      </c>
      <c r="AA211" s="121" t="str">
        <f t="shared" si="87"/>
        <v/>
      </c>
      <c r="AB211" s="121" t="str">
        <f t="shared" si="87"/>
        <v/>
      </c>
      <c r="AC211" s="121" t="str">
        <f t="shared" si="87"/>
        <v>NO BOF</v>
      </c>
      <c r="AD211" s="121" t="str">
        <f t="shared" si="87"/>
        <v/>
      </c>
      <c r="AE211" s="121" t="str">
        <f t="shared" si="87"/>
        <v/>
      </c>
      <c r="AF211" s="121" t="str">
        <f t="shared" si="87"/>
        <v/>
      </c>
      <c r="AH211" s="121" t="s">
        <v>522</v>
      </c>
    </row>
    <row r="212" spans="1:34" x14ac:dyDescent="0.25">
      <c r="E212" s="91" t="s">
        <v>162</v>
      </c>
      <c r="F212" s="91" t="s">
        <v>164</v>
      </c>
      <c r="G212" s="91" t="s">
        <v>166</v>
      </c>
      <c r="H212" s="91" t="s">
        <v>168</v>
      </c>
      <c r="I212" s="91" t="s">
        <v>170</v>
      </c>
      <c r="J212" s="91" t="s">
        <v>173</v>
      </c>
      <c r="K212" s="91" t="s">
        <v>175</v>
      </c>
      <c r="L212" s="91" t="s">
        <v>177</v>
      </c>
      <c r="M212" s="91" t="s">
        <v>179</v>
      </c>
      <c r="N212" s="91" t="s">
        <v>181</v>
      </c>
      <c r="O212" s="91" t="s">
        <v>183</v>
      </c>
      <c r="P212" s="91" t="s">
        <v>185</v>
      </c>
      <c r="Q212" s="91" t="s">
        <v>188</v>
      </c>
      <c r="R212" s="91" t="s">
        <v>190</v>
      </c>
      <c r="S212" s="91" t="s">
        <v>192</v>
      </c>
      <c r="T212" s="91" t="s">
        <v>194</v>
      </c>
      <c r="U212" s="91" t="s">
        <v>196</v>
      </c>
      <c r="V212" s="91" t="s">
        <v>198</v>
      </c>
      <c r="W212" s="91" t="s">
        <v>9</v>
      </c>
      <c r="X212" s="91" t="s">
        <v>201</v>
      </c>
      <c r="Y212" s="91" t="s">
        <v>203</v>
      </c>
      <c r="Z212" s="91" t="s">
        <v>205</v>
      </c>
      <c r="AA212" s="91" t="s">
        <v>207</v>
      </c>
      <c r="AB212" s="91" t="s">
        <v>210</v>
      </c>
      <c r="AC212" s="91" t="s">
        <v>212</v>
      </c>
      <c r="AD212" s="91" t="s">
        <v>214</v>
      </c>
      <c r="AE212" s="91" t="s">
        <v>217</v>
      </c>
      <c r="AF212" s="92" t="s">
        <v>219</v>
      </c>
    </row>
    <row r="213" spans="1:34" x14ac:dyDescent="0.25">
      <c r="B213" t="s">
        <v>113</v>
      </c>
      <c r="D213" t="s">
        <v>363</v>
      </c>
      <c r="E213" s="123">
        <f t="shared" ref="E213:AF213" si="88">E54</f>
        <v>0</v>
      </c>
      <c r="F213" s="123">
        <f t="shared" si="88"/>
        <v>3350</v>
      </c>
      <c r="G213" s="123">
        <f t="shared" si="88"/>
        <v>0</v>
      </c>
      <c r="H213" s="123">
        <f t="shared" si="88"/>
        <v>18142</v>
      </c>
      <c r="I213" s="123">
        <f t="shared" si="88"/>
        <v>1087</v>
      </c>
      <c r="J213" s="123">
        <f t="shared" si="88"/>
        <v>9890</v>
      </c>
      <c r="K213" s="123">
        <f t="shared" si="88"/>
        <v>2654</v>
      </c>
      <c r="L213" s="123">
        <f t="shared" si="88"/>
        <v>0</v>
      </c>
      <c r="M213" s="123">
        <f t="shared" si="88"/>
        <v>0</v>
      </c>
      <c r="N213" s="123">
        <f t="shared" si="88"/>
        <v>22913</v>
      </c>
      <c r="O213" s="123">
        <f t="shared" si="88"/>
        <v>0</v>
      </c>
      <c r="P213" s="284">
        <f t="shared" si="88"/>
        <v>3295185</v>
      </c>
      <c r="Q213" s="123">
        <f t="shared" si="88"/>
        <v>50486</v>
      </c>
      <c r="R213" s="123">
        <f t="shared" si="88"/>
        <v>5251</v>
      </c>
      <c r="S213" s="123">
        <f t="shared" si="88"/>
        <v>27059</v>
      </c>
      <c r="T213" s="123">
        <f t="shared" si="88"/>
        <v>1528</v>
      </c>
      <c r="U213" s="123">
        <f t="shared" si="88"/>
        <v>74530</v>
      </c>
      <c r="V213" s="123">
        <f t="shared" si="88"/>
        <v>3260</v>
      </c>
      <c r="W213" s="123">
        <f t="shared" si="88"/>
        <v>444595</v>
      </c>
      <c r="X213" s="123">
        <f t="shared" si="88"/>
        <v>162330</v>
      </c>
      <c r="Y213" s="123">
        <f t="shared" si="88"/>
        <v>591</v>
      </c>
      <c r="Z213" s="123">
        <f t="shared" si="88"/>
        <v>2785</v>
      </c>
      <c r="AA213" s="123">
        <f t="shared" si="88"/>
        <v>2545</v>
      </c>
      <c r="AB213" s="123">
        <f t="shared" si="88"/>
        <v>2354</v>
      </c>
      <c r="AC213" s="123">
        <f t="shared" si="88"/>
        <v>0</v>
      </c>
      <c r="AD213" s="123">
        <f t="shared" si="88"/>
        <v>150231</v>
      </c>
      <c r="AE213" s="123">
        <f t="shared" si="88"/>
        <v>2115</v>
      </c>
      <c r="AF213" s="123">
        <f t="shared" si="88"/>
        <v>66793</v>
      </c>
    </row>
    <row r="214" spans="1:34" x14ac:dyDescent="0.25">
      <c r="B214" t="s">
        <v>115</v>
      </c>
      <c r="D214" t="s">
        <v>363</v>
      </c>
      <c r="E214" s="123">
        <f t="shared" ref="E214:AF214" si="89">E55</f>
        <v>0</v>
      </c>
      <c r="F214" s="123">
        <f t="shared" si="89"/>
        <v>0</v>
      </c>
      <c r="G214" s="123">
        <f t="shared" si="89"/>
        <v>0</v>
      </c>
      <c r="H214" s="123">
        <f t="shared" si="89"/>
        <v>0</v>
      </c>
      <c r="I214" s="123">
        <f t="shared" si="89"/>
        <v>0</v>
      </c>
      <c r="J214" s="123">
        <f t="shared" si="89"/>
        <v>0</v>
      </c>
      <c r="K214" s="123">
        <f t="shared" si="89"/>
        <v>0</v>
      </c>
      <c r="L214" s="123">
        <f t="shared" si="89"/>
        <v>0</v>
      </c>
      <c r="M214" s="123">
        <f t="shared" si="89"/>
        <v>0</v>
      </c>
      <c r="N214" s="123">
        <f t="shared" si="89"/>
        <v>51</v>
      </c>
      <c r="O214" s="123">
        <f t="shared" si="89"/>
        <v>0</v>
      </c>
      <c r="P214" s="123">
        <f t="shared" si="89"/>
        <v>0</v>
      </c>
      <c r="Q214" s="123">
        <f t="shared" si="89"/>
        <v>0</v>
      </c>
      <c r="R214" s="123">
        <f t="shared" si="89"/>
        <v>0</v>
      </c>
      <c r="S214" s="123">
        <f t="shared" si="89"/>
        <v>0</v>
      </c>
      <c r="T214" s="123">
        <f t="shared" si="89"/>
        <v>0</v>
      </c>
      <c r="U214" s="123">
        <f t="shared" si="89"/>
        <v>0</v>
      </c>
      <c r="V214" s="123">
        <f t="shared" si="89"/>
        <v>0</v>
      </c>
      <c r="W214" s="123">
        <f t="shared" si="89"/>
        <v>0</v>
      </c>
      <c r="X214" s="123">
        <f t="shared" si="89"/>
        <v>0</v>
      </c>
      <c r="Y214" s="123">
        <f t="shared" si="89"/>
        <v>0</v>
      </c>
      <c r="Z214" s="123">
        <f t="shared" si="89"/>
        <v>0</v>
      </c>
      <c r="AA214" s="123">
        <f t="shared" si="89"/>
        <v>0</v>
      </c>
      <c r="AB214" s="123">
        <f t="shared" si="89"/>
        <v>0</v>
      </c>
      <c r="AC214" s="123">
        <f t="shared" si="89"/>
        <v>0</v>
      </c>
      <c r="AD214" s="123">
        <f t="shared" si="89"/>
        <v>0</v>
      </c>
      <c r="AE214" s="123">
        <f t="shared" si="89"/>
        <v>0</v>
      </c>
      <c r="AF214" s="123">
        <f t="shared" si="89"/>
        <v>0</v>
      </c>
    </row>
    <row r="215" spans="1:34" x14ac:dyDescent="0.25">
      <c r="B215" t="s">
        <v>117</v>
      </c>
      <c r="D215" t="s">
        <v>363</v>
      </c>
      <c r="E215" s="123">
        <f t="shared" ref="E215:AF215" si="90">E56</f>
        <v>0</v>
      </c>
      <c r="F215" s="123">
        <f t="shared" si="90"/>
        <v>0</v>
      </c>
      <c r="G215" s="123">
        <f t="shared" si="90"/>
        <v>0</v>
      </c>
      <c r="H215" s="123">
        <f t="shared" si="90"/>
        <v>0</v>
      </c>
      <c r="I215" s="123">
        <f t="shared" si="90"/>
        <v>0</v>
      </c>
      <c r="J215" s="123">
        <f t="shared" si="90"/>
        <v>0</v>
      </c>
      <c r="K215" s="123">
        <f t="shared" si="90"/>
        <v>0</v>
      </c>
      <c r="L215" s="123">
        <f t="shared" si="90"/>
        <v>0</v>
      </c>
      <c r="M215" s="123">
        <f t="shared" si="90"/>
        <v>154213</v>
      </c>
      <c r="N215" s="123">
        <f t="shared" si="90"/>
        <v>10</v>
      </c>
      <c r="O215" s="123">
        <f t="shared" si="90"/>
        <v>0</v>
      </c>
      <c r="P215" s="123">
        <f t="shared" si="90"/>
        <v>30723</v>
      </c>
      <c r="Q215" s="123">
        <f t="shared" si="90"/>
        <v>114</v>
      </c>
      <c r="R215" s="123">
        <f t="shared" si="90"/>
        <v>652</v>
      </c>
      <c r="S215" s="123">
        <f t="shared" si="90"/>
        <v>281</v>
      </c>
      <c r="T215" s="123">
        <f t="shared" si="90"/>
        <v>18</v>
      </c>
      <c r="U215" s="123">
        <f t="shared" si="90"/>
        <v>17</v>
      </c>
      <c r="V215" s="123">
        <f t="shared" si="90"/>
        <v>0</v>
      </c>
      <c r="W215" s="123">
        <f t="shared" si="90"/>
        <v>0</v>
      </c>
      <c r="X215" s="123">
        <f t="shared" si="90"/>
        <v>260</v>
      </c>
      <c r="Y215" s="123">
        <f t="shared" si="90"/>
        <v>8</v>
      </c>
      <c r="Z215" s="123">
        <f t="shared" si="90"/>
        <v>0</v>
      </c>
      <c r="AA215" s="123">
        <f t="shared" si="90"/>
        <v>0</v>
      </c>
      <c r="AB215" s="123">
        <f t="shared" si="90"/>
        <v>0</v>
      </c>
      <c r="AC215" s="123">
        <f t="shared" si="90"/>
        <v>0</v>
      </c>
      <c r="AD215" s="123">
        <f t="shared" si="90"/>
        <v>35</v>
      </c>
      <c r="AE215" s="123">
        <f t="shared" si="90"/>
        <v>0</v>
      </c>
      <c r="AF215" s="123">
        <f t="shared" si="90"/>
        <v>0</v>
      </c>
    </row>
    <row r="216" spans="1:34" x14ac:dyDescent="0.25">
      <c r="B216" t="s">
        <v>119</v>
      </c>
      <c r="D216" t="s">
        <v>363</v>
      </c>
      <c r="E216" s="123">
        <f t="shared" ref="E216:AF216" si="91">E57</f>
        <v>0</v>
      </c>
      <c r="F216" s="123">
        <f t="shared" si="91"/>
        <v>0</v>
      </c>
      <c r="G216" s="123">
        <f t="shared" si="91"/>
        <v>0</v>
      </c>
      <c r="H216" s="123">
        <f t="shared" si="91"/>
        <v>0</v>
      </c>
      <c r="I216" s="123">
        <f t="shared" si="91"/>
        <v>0</v>
      </c>
      <c r="J216" s="123">
        <f t="shared" si="91"/>
        <v>0</v>
      </c>
      <c r="K216" s="123">
        <f t="shared" si="91"/>
        <v>0</v>
      </c>
      <c r="L216" s="123">
        <f t="shared" si="91"/>
        <v>0</v>
      </c>
      <c r="M216" s="123">
        <f t="shared" si="91"/>
        <v>130</v>
      </c>
      <c r="N216" s="123">
        <f t="shared" si="91"/>
        <v>0</v>
      </c>
      <c r="O216" s="123">
        <f t="shared" si="91"/>
        <v>0</v>
      </c>
      <c r="P216" s="123">
        <f t="shared" si="91"/>
        <v>0</v>
      </c>
      <c r="Q216" s="123">
        <f t="shared" si="91"/>
        <v>0</v>
      </c>
      <c r="R216" s="123">
        <f t="shared" si="91"/>
        <v>0</v>
      </c>
      <c r="S216" s="123">
        <f t="shared" si="91"/>
        <v>0</v>
      </c>
      <c r="T216" s="123">
        <f t="shared" si="91"/>
        <v>13</v>
      </c>
      <c r="U216" s="123">
        <f t="shared" si="91"/>
        <v>73</v>
      </c>
      <c r="V216" s="123">
        <f t="shared" si="91"/>
        <v>16</v>
      </c>
      <c r="W216" s="123">
        <f t="shared" si="91"/>
        <v>0</v>
      </c>
      <c r="X216" s="123">
        <f t="shared" si="91"/>
        <v>0</v>
      </c>
      <c r="Y216" s="123">
        <f t="shared" si="91"/>
        <v>0</v>
      </c>
      <c r="Z216" s="123">
        <f t="shared" si="91"/>
        <v>0</v>
      </c>
      <c r="AA216" s="123">
        <f t="shared" si="91"/>
        <v>0</v>
      </c>
      <c r="AB216" s="123">
        <f t="shared" si="91"/>
        <v>0</v>
      </c>
      <c r="AC216" s="123">
        <f t="shared" si="91"/>
        <v>0</v>
      </c>
      <c r="AD216" s="123">
        <f t="shared" si="91"/>
        <v>0</v>
      </c>
      <c r="AE216" s="123">
        <f t="shared" si="91"/>
        <v>0</v>
      </c>
      <c r="AF216" s="123">
        <f t="shared" si="91"/>
        <v>74</v>
      </c>
    </row>
    <row r="217" spans="1:34" x14ac:dyDescent="0.25">
      <c r="B217" t="s">
        <v>120</v>
      </c>
      <c r="D217" t="s">
        <v>363</v>
      </c>
      <c r="E217" s="142">
        <f t="shared" ref="E217:AF217" si="92">E58-E139</f>
        <v>0</v>
      </c>
      <c r="F217" s="142">
        <f t="shared" si="92"/>
        <v>12</v>
      </c>
      <c r="G217" s="142">
        <f t="shared" si="92"/>
        <v>0</v>
      </c>
      <c r="H217" s="142">
        <f t="shared" si="92"/>
        <v>71951</v>
      </c>
      <c r="I217" s="142">
        <f t="shared" si="92"/>
        <v>619</v>
      </c>
      <c r="J217" s="142">
        <f t="shared" si="92"/>
        <v>23523</v>
      </c>
      <c r="K217" s="142">
        <f t="shared" si="92"/>
        <v>2814</v>
      </c>
      <c r="L217" s="142">
        <f t="shared" si="92"/>
        <v>0</v>
      </c>
      <c r="M217" s="142">
        <f t="shared" si="92"/>
        <v>97348</v>
      </c>
      <c r="N217" s="142">
        <f t="shared" si="92"/>
        <v>9662</v>
      </c>
      <c r="O217" s="142">
        <f t="shared" si="92"/>
        <v>0</v>
      </c>
      <c r="P217" s="142">
        <f t="shared" si="92"/>
        <v>1928956</v>
      </c>
      <c r="Q217" s="142">
        <f t="shared" si="92"/>
        <v>52266</v>
      </c>
      <c r="R217" s="142">
        <f t="shared" si="92"/>
        <v>10469</v>
      </c>
      <c r="S217" s="142">
        <f t="shared" si="92"/>
        <v>24265</v>
      </c>
      <c r="T217" s="142">
        <f t="shared" si="92"/>
        <v>8927</v>
      </c>
      <c r="U217" s="142">
        <f t="shared" si="92"/>
        <v>47029</v>
      </c>
      <c r="V217" s="142">
        <f t="shared" si="92"/>
        <v>8759</v>
      </c>
      <c r="W217" s="143">
        <f t="shared" si="92"/>
        <v>894047.44472972222</v>
      </c>
      <c r="X217" s="142">
        <f t="shared" si="92"/>
        <v>129508</v>
      </c>
      <c r="Y217" s="142">
        <f t="shared" si="92"/>
        <v>848</v>
      </c>
      <c r="Z217" s="142">
        <f t="shared" si="92"/>
        <v>16346</v>
      </c>
      <c r="AA217" s="142">
        <f t="shared" si="92"/>
        <v>0</v>
      </c>
      <c r="AB217" s="142">
        <f t="shared" si="92"/>
        <v>0</v>
      </c>
      <c r="AC217" s="142">
        <f t="shared" si="92"/>
        <v>0</v>
      </c>
      <c r="AD217" s="142">
        <f t="shared" si="92"/>
        <v>107526</v>
      </c>
      <c r="AE217" s="142">
        <f t="shared" si="92"/>
        <v>67288</v>
      </c>
      <c r="AF217" s="142">
        <f t="shared" si="92"/>
        <v>8862</v>
      </c>
    </row>
    <row r="218" spans="1:34" x14ac:dyDescent="0.25">
      <c r="B218" t="s">
        <v>122</v>
      </c>
      <c r="D218" t="s">
        <v>363</v>
      </c>
      <c r="E218" s="123">
        <f t="shared" ref="E218:AF218" si="93">E59</f>
        <v>0</v>
      </c>
      <c r="F218" s="123">
        <f t="shared" si="93"/>
        <v>0</v>
      </c>
      <c r="G218" s="123">
        <f t="shared" si="93"/>
        <v>0</v>
      </c>
      <c r="H218" s="123">
        <f t="shared" si="93"/>
        <v>21130</v>
      </c>
      <c r="I218" s="123">
        <f t="shared" si="93"/>
        <v>924</v>
      </c>
      <c r="J218" s="123">
        <f t="shared" si="93"/>
        <v>0</v>
      </c>
      <c r="K218" s="123">
        <f t="shared" si="93"/>
        <v>0</v>
      </c>
      <c r="L218" s="123">
        <f t="shared" si="93"/>
        <v>0</v>
      </c>
      <c r="M218" s="123">
        <f t="shared" si="93"/>
        <v>54127</v>
      </c>
      <c r="N218" s="123">
        <f t="shared" si="93"/>
        <v>22488</v>
      </c>
      <c r="O218" s="123">
        <f t="shared" si="93"/>
        <v>0</v>
      </c>
      <c r="P218" s="123">
        <f t="shared" si="93"/>
        <v>617157</v>
      </c>
      <c r="Q218" s="123">
        <f t="shared" si="93"/>
        <v>30632</v>
      </c>
      <c r="R218" s="123">
        <f t="shared" si="93"/>
        <v>3222</v>
      </c>
      <c r="S218" s="123">
        <f t="shared" si="93"/>
        <v>18883</v>
      </c>
      <c r="T218" s="123">
        <f t="shared" si="93"/>
        <v>5516</v>
      </c>
      <c r="U218" s="123">
        <f t="shared" si="93"/>
        <v>51073</v>
      </c>
      <c r="V218" s="123">
        <f t="shared" si="93"/>
        <v>0</v>
      </c>
      <c r="W218" s="123">
        <f t="shared" si="93"/>
        <v>83377</v>
      </c>
      <c r="X218" s="123">
        <f t="shared" si="93"/>
        <v>146300</v>
      </c>
      <c r="Y218" s="123">
        <f t="shared" si="93"/>
        <v>581</v>
      </c>
      <c r="Z218" s="123">
        <f t="shared" si="93"/>
        <v>10998</v>
      </c>
      <c r="AA218" s="123">
        <f t="shared" si="93"/>
        <v>2250</v>
      </c>
      <c r="AB218" s="123">
        <f t="shared" si="93"/>
        <v>8208</v>
      </c>
      <c r="AC218" s="123">
        <f t="shared" si="93"/>
        <v>0</v>
      </c>
      <c r="AD218" s="123">
        <f t="shared" si="93"/>
        <v>159043</v>
      </c>
      <c r="AE218" s="123">
        <f t="shared" si="93"/>
        <v>76851</v>
      </c>
      <c r="AF218" s="123">
        <f t="shared" si="93"/>
        <v>217</v>
      </c>
    </row>
    <row r="219" spans="1:34" x14ac:dyDescent="0.25">
      <c r="B219" t="s">
        <v>124</v>
      </c>
      <c r="D219" t="s">
        <v>363</v>
      </c>
      <c r="E219" s="123">
        <f t="shared" ref="E219:AF219" si="94">E60</f>
        <v>0</v>
      </c>
      <c r="F219" s="123">
        <f t="shared" si="94"/>
        <v>4412</v>
      </c>
      <c r="G219" s="123">
        <f t="shared" si="94"/>
        <v>0</v>
      </c>
      <c r="H219" s="123">
        <f t="shared" si="94"/>
        <v>5818</v>
      </c>
      <c r="I219" s="123">
        <f t="shared" si="94"/>
        <v>12236</v>
      </c>
      <c r="J219" s="123">
        <f t="shared" si="94"/>
        <v>26917</v>
      </c>
      <c r="K219" s="123">
        <f t="shared" si="94"/>
        <v>205</v>
      </c>
      <c r="L219" s="123">
        <f t="shared" si="94"/>
        <v>0</v>
      </c>
      <c r="M219" s="123">
        <f t="shared" si="94"/>
        <v>283664</v>
      </c>
      <c r="N219" s="123">
        <f t="shared" si="94"/>
        <v>17130</v>
      </c>
      <c r="O219" s="123">
        <f t="shared" si="94"/>
        <v>3438</v>
      </c>
      <c r="P219" s="123">
        <f t="shared" si="94"/>
        <v>1222902</v>
      </c>
      <c r="Q219" s="123">
        <f t="shared" si="94"/>
        <v>59712</v>
      </c>
      <c r="R219" s="123">
        <f t="shared" si="94"/>
        <v>14629</v>
      </c>
      <c r="S219" s="123">
        <f t="shared" si="94"/>
        <v>13200</v>
      </c>
      <c r="T219" s="123">
        <f t="shared" si="94"/>
        <v>26744</v>
      </c>
      <c r="U219" s="123">
        <f t="shared" si="94"/>
        <v>36830</v>
      </c>
      <c r="V219" s="123">
        <f t="shared" si="94"/>
        <v>164616</v>
      </c>
      <c r="W219" s="123">
        <f t="shared" si="94"/>
        <v>203359</v>
      </c>
      <c r="X219" s="123">
        <f t="shared" si="94"/>
        <v>56845</v>
      </c>
      <c r="Y219" s="123">
        <f t="shared" si="94"/>
        <v>1658</v>
      </c>
      <c r="Z219" s="123">
        <f t="shared" si="94"/>
        <v>27828</v>
      </c>
      <c r="AA219" s="123">
        <f t="shared" si="94"/>
        <v>0</v>
      </c>
      <c r="AB219" s="123">
        <f t="shared" si="94"/>
        <v>21137</v>
      </c>
      <c r="AC219" s="123">
        <f t="shared" si="94"/>
        <v>0</v>
      </c>
      <c r="AD219" s="123">
        <f t="shared" si="94"/>
        <v>745252</v>
      </c>
      <c r="AE219" s="123">
        <f t="shared" si="94"/>
        <v>48706</v>
      </c>
      <c r="AF219" s="123">
        <f t="shared" si="94"/>
        <v>73871</v>
      </c>
    </row>
    <row r="220" spans="1:34" x14ac:dyDescent="0.25">
      <c r="B220" t="s">
        <v>126</v>
      </c>
      <c r="D220" t="s">
        <v>363</v>
      </c>
      <c r="E220" s="142">
        <f t="shared" ref="E220:AF220" si="95">E61-E144-E122+E148+E126</f>
        <v>5794.3597695549124</v>
      </c>
      <c r="F220" s="142">
        <f t="shared" si="95"/>
        <v>0</v>
      </c>
      <c r="G220" s="142">
        <f t="shared" si="95"/>
        <v>868.79574651040321</v>
      </c>
      <c r="H220" s="142">
        <f t="shared" si="95"/>
        <v>62453.265393679234</v>
      </c>
      <c r="I220" s="142">
        <f t="shared" si="95"/>
        <v>14233.264874117347</v>
      </c>
      <c r="J220" s="142">
        <f t="shared" si="95"/>
        <v>86405.968822255294</v>
      </c>
      <c r="K220" s="142">
        <f t="shared" si="95"/>
        <v>21870.424501361496</v>
      </c>
      <c r="L220" s="142">
        <f t="shared" si="95"/>
        <v>0</v>
      </c>
      <c r="M220" s="142">
        <f t="shared" si="95"/>
        <v>70701.344176619052</v>
      </c>
      <c r="N220" s="142">
        <f t="shared" si="95"/>
        <v>20112.355165562913</v>
      </c>
      <c r="O220" s="142">
        <f t="shared" si="95"/>
        <v>1868.894909533898</v>
      </c>
      <c r="P220" s="142">
        <f t="shared" si="95"/>
        <v>2281285.6597723579</v>
      </c>
      <c r="Q220" s="142">
        <f t="shared" si="95"/>
        <v>77557.985181360462</v>
      </c>
      <c r="R220" s="142">
        <f t="shared" si="95"/>
        <v>28938.053309697723</v>
      </c>
      <c r="S220" s="142">
        <f t="shared" si="95"/>
        <v>43483.918579154495</v>
      </c>
      <c r="T220" s="142">
        <f t="shared" si="95"/>
        <v>98833.519344837114</v>
      </c>
      <c r="U220" s="142">
        <f t="shared" si="95"/>
        <v>121864.47740398612</v>
      </c>
      <c r="V220" s="142">
        <f t="shared" si="95"/>
        <v>16273.149878935146</v>
      </c>
      <c r="W220" s="142">
        <f t="shared" si="95"/>
        <v>0</v>
      </c>
      <c r="X220" s="142">
        <f t="shared" si="95"/>
        <v>193011.42970190296</v>
      </c>
      <c r="Y220" s="646">
        <v>0</v>
      </c>
      <c r="Z220" s="142">
        <f t="shared" si="95"/>
        <v>65621.999164587105</v>
      </c>
      <c r="AA220" s="142">
        <f t="shared" si="95"/>
        <v>0</v>
      </c>
      <c r="AB220" s="142">
        <f t="shared" si="95"/>
        <v>0</v>
      </c>
      <c r="AC220" s="142">
        <f t="shared" si="95"/>
        <v>0</v>
      </c>
      <c r="AD220" s="142">
        <f t="shared" si="95"/>
        <v>174448.90654090932</v>
      </c>
      <c r="AE220" s="142">
        <f t="shared" si="95"/>
        <v>145557.22683037823</v>
      </c>
      <c r="AF220" s="142">
        <f t="shared" si="95"/>
        <v>82378.431308558662</v>
      </c>
      <c r="AH220" s="121" t="s">
        <v>523</v>
      </c>
    </row>
    <row r="221" spans="1:34" x14ac:dyDescent="0.25">
      <c r="B221" t="s">
        <v>128</v>
      </c>
      <c r="D221" t="s">
        <v>363</v>
      </c>
      <c r="E221" s="142">
        <f t="shared" ref="E221:AF221" si="96">E62-E132+E149</f>
        <v>0</v>
      </c>
      <c r="F221" s="142">
        <f t="shared" si="96"/>
        <v>74636.860713236849</v>
      </c>
      <c r="G221" s="142">
        <f t="shared" si="96"/>
        <v>0</v>
      </c>
      <c r="H221" s="142">
        <f t="shared" si="96"/>
        <v>4529.1233512623912</v>
      </c>
      <c r="I221" s="142">
        <f t="shared" si="96"/>
        <v>6334.3549842668544</v>
      </c>
      <c r="J221" s="142">
        <f t="shared" si="96"/>
        <v>24531.675199469209</v>
      </c>
      <c r="K221" s="142">
        <f t="shared" si="96"/>
        <v>6811.9113456819287</v>
      </c>
      <c r="L221" s="142">
        <f t="shared" si="96"/>
        <v>0</v>
      </c>
      <c r="M221" s="142">
        <f t="shared" si="96"/>
        <v>37112.378746047165</v>
      </c>
      <c r="N221" s="142">
        <f t="shared" si="96"/>
        <v>68109.105186226458</v>
      </c>
      <c r="O221" s="142">
        <f t="shared" si="96"/>
        <v>78.346617267143415</v>
      </c>
      <c r="P221" s="142">
        <f t="shared" si="96"/>
        <v>340035.45416852389</v>
      </c>
      <c r="Q221" s="142">
        <f t="shared" si="96"/>
        <v>68775.315955586877</v>
      </c>
      <c r="R221" s="142">
        <f t="shared" si="96"/>
        <v>12953.889935698189</v>
      </c>
      <c r="S221" s="142">
        <f t="shared" si="96"/>
        <v>45637.830065450114</v>
      </c>
      <c r="T221" s="142">
        <f t="shared" si="96"/>
        <v>51814.324912139535</v>
      </c>
      <c r="U221" s="142">
        <f t="shared" si="96"/>
        <v>124928.25879587299</v>
      </c>
      <c r="V221" s="142">
        <f t="shared" si="96"/>
        <v>90163.948085460346</v>
      </c>
      <c r="W221" s="142">
        <f t="shared" si="96"/>
        <v>0</v>
      </c>
      <c r="X221" s="142">
        <f t="shared" si="96"/>
        <v>61568.720642894536</v>
      </c>
      <c r="Y221" s="142">
        <f t="shared" si="96"/>
        <v>38092.893326325771</v>
      </c>
      <c r="Z221" s="142">
        <f t="shared" si="96"/>
        <v>38818.148314504389</v>
      </c>
      <c r="AA221" s="142">
        <f t="shared" si="96"/>
        <v>0</v>
      </c>
      <c r="AB221" s="142">
        <f t="shared" si="96"/>
        <v>134667.84287068134</v>
      </c>
      <c r="AC221" s="142">
        <f t="shared" si="96"/>
        <v>10496.483463900156</v>
      </c>
      <c r="AD221" s="142">
        <f t="shared" si="96"/>
        <v>453543.58739236183</v>
      </c>
      <c r="AE221" s="142">
        <f t="shared" si="96"/>
        <v>32945.291286336505</v>
      </c>
      <c r="AF221" s="142">
        <f t="shared" si="96"/>
        <v>305952.00305322686</v>
      </c>
    </row>
    <row r="222" spans="1:34" x14ac:dyDescent="0.25">
      <c r="B222" t="s">
        <v>130</v>
      </c>
      <c r="D222" t="s">
        <v>363</v>
      </c>
      <c r="E222" s="123">
        <f t="shared" ref="E222:AF222" si="97">E63</f>
        <v>0</v>
      </c>
      <c r="F222" s="123">
        <f t="shared" si="97"/>
        <v>0</v>
      </c>
      <c r="G222" s="123">
        <f t="shared" si="97"/>
        <v>0</v>
      </c>
      <c r="H222" s="123">
        <f t="shared" si="97"/>
        <v>0</v>
      </c>
      <c r="I222" s="123">
        <f t="shared" si="97"/>
        <v>0</v>
      </c>
      <c r="J222" s="123">
        <f t="shared" si="97"/>
        <v>35700</v>
      </c>
      <c r="K222" s="123">
        <f t="shared" si="97"/>
        <v>0</v>
      </c>
      <c r="L222" s="123">
        <f t="shared" si="97"/>
        <v>0</v>
      </c>
      <c r="M222" s="123">
        <f t="shared" si="97"/>
        <v>0</v>
      </c>
      <c r="N222" s="123">
        <f t="shared" si="97"/>
        <v>57</v>
      </c>
      <c r="O222" s="123">
        <f t="shared" si="97"/>
        <v>0</v>
      </c>
      <c r="P222" s="123">
        <f t="shared" si="97"/>
        <v>196349</v>
      </c>
      <c r="Q222" s="123">
        <f t="shared" si="97"/>
        <v>53476</v>
      </c>
      <c r="R222" s="123">
        <f t="shared" si="97"/>
        <v>7</v>
      </c>
      <c r="S222" s="123">
        <f t="shared" si="97"/>
        <v>7779</v>
      </c>
      <c r="T222" s="123">
        <f t="shared" si="97"/>
        <v>7443</v>
      </c>
      <c r="U222" s="123">
        <f t="shared" si="97"/>
        <v>5515</v>
      </c>
      <c r="V222" s="123">
        <f t="shared" si="97"/>
        <v>0</v>
      </c>
      <c r="W222" s="123">
        <f t="shared" si="97"/>
        <v>0</v>
      </c>
      <c r="X222" s="123">
        <f t="shared" si="97"/>
        <v>0</v>
      </c>
      <c r="Y222" s="123">
        <f t="shared" si="97"/>
        <v>0</v>
      </c>
      <c r="Z222" s="123">
        <f t="shared" si="97"/>
        <v>0</v>
      </c>
      <c r="AA222" s="123">
        <f t="shared" si="97"/>
        <v>0</v>
      </c>
      <c r="AB222" s="123">
        <f t="shared" si="97"/>
        <v>0</v>
      </c>
      <c r="AC222" s="123">
        <f t="shared" si="97"/>
        <v>0</v>
      </c>
      <c r="AD222" s="123">
        <f t="shared" si="97"/>
        <v>253881</v>
      </c>
      <c r="AE222" s="123">
        <f t="shared" si="97"/>
        <v>235</v>
      </c>
      <c r="AF222" s="123">
        <f t="shared" si="97"/>
        <v>7327</v>
      </c>
    </row>
    <row r="223" spans="1:34" x14ac:dyDescent="0.25">
      <c r="B223" t="s">
        <v>132</v>
      </c>
      <c r="D223" t="s">
        <v>363</v>
      </c>
      <c r="E223" s="123">
        <f t="shared" ref="E223:AF223" si="98">E64</f>
        <v>0</v>
      </c>
      <c r="F223" s="123">
        <f t="shared" si="98"/>
        <v>0</v>
      </c>
      <c r="G223" s="123">
        <f t="shared" si="98"/>
        <v>0</v>
      </c>
      <c r="H223" s="123">
        <f t="shared" si="98"/>
        <v>0</v>
      </c>
      <c r="I223" s="123">
        <f t="shared" si="98"/>
        <v>30</v>
      </c>
      <c r="J223" s="123">
        <f t="shared" si="98"/>
        <v>4113</v>
      </c>
      <c r="K223" s="123">
        <f t="shared" si="98"/>
        <v>4750</v>
      </c>
      <c r="L223" s="123">
        <f t="shared" si="98"/>
        <v>0</v>
      </c>
      <c r="M223" s="123">
        <f t="shared" si="98"/>
        <v>2051</v>
      </c>
      <c r="N223" s="123">
        <f t="shared" si="98"/>
        <v>0</v>
      </c>
      <c r="O223" s="123">
        <f t="shared" si="98"/>
        <v>95</v>
      </c>
      <c r="P223" s="123">
        <f t="shared" si="98"/>
        <v>4530</v>
      </c>
      <c r="Q223" s="123">
        <f t="shared" si="98"/>
        <v>214</v>
      </c>
      <c r="R223" s="123">
        <f t="shared" si="98"/>
        <v>113</v>
      </c>
      <c r="S223" s="123">
        <f t="shared" si="98"/>
        <v>113</v>
      </c>
      <c r="T223" s="123">
        <f t="shared" si="98"/>
        <v>1831</v>
      </c>
      <c r="U223" s="123">
        <f t="shared" si="98"/>
        <v>7278</v>
      </c>
      <c r="V223" s="123">
        <f t="shared" si="98"/>
        <v>3300</v>
      </c>
      <c r="W223" s="123">
        <f t="shared" si="98"/>
        <v>0</v>
      </c>
      <c r="X223" s="123">
        <f t="shared" si="98"/>
        <v>12887</v>
      </c>
      <c r="Y223" s="123">
        <f t="shared" si="98"/>
        <v>8</v>
      </c>
      <c r="Z223" s="123">
        <f t="shared" si="98"/>
        <v>111</v>
      </c>
      <c r="AA223" s="123">
        <f t="shared" si="98"/>
        <v>0</v>
      </c>
      <c r="AB223" s="123">
        <f t="shared" si="98"/>
        <v>180</v>
      </c>
      <c r="AC223" s="123">
        <f t="shared" si="98"/>
        <v>0</v>
      </c>
      <c r="AD223" s="123">
        <f t="shared" si="98"/>
        <v>547</v>
      </c>
      <c r="AE223" s="123">
        <f t="shared" si="98"/>
        <v>2646</v>
      </c>
      <c r="AF223" s="123">
        <f t="shared" si="98"/>
        <v>91</v>
      </c>
    </row>
    <row r="224" spans="1:34" x14ac:dyDescent="0.25">
      <c r="B224" t="s">
        <v>134</v>
      </c>
      <c r="D224" t="s">
        <v>363</v>
      </c>
      <c r="E224" s="123">
        <f t="shared" ref="E224:AF224" si="99">E65</f>
        <v>0</v>
      </c>
      <c r="F224" s="123">
        <f t="shared" si="99"/>
        <v>2322</v>
      </c>
      <c r="G224" s="123">
        <f t="shared" si="99"/>
        <v>307</v>
      </c>
      <c r="H224" s="123">
        <f t="shared" si="99"/>
        <v>506</v>
      </c>
      <c r="I224" s="123">
        <f t="shared" si="99"/>
        <v>841</v>
      </c>
      <c r="J224" s="123">
        <f t="shared" si="99"/>
        <v>17078</v>
      </c>
      <c r="K224" s="123">
        <f t="shared" si="99"/>
        <v>11368</v>
      </c>
      <c r="L224" s="123">
        <f t="shared" si="99"/>
        <v>0</v>
      </c>
      <c r="M224" s="123">
        <f t="shared" si="99"/>
        <v>10017</v>
      </c>
      <c r="N224" s="123">
        <f t="shared" si="99"/>
        <v>184</v>
      </c>
      <c r="O224" s="123">
        <f t="shared" si="99"/>
        <v>254</v>
      </c>
      <c r="P224" s="123">
        <f t="shared" si="99"/>
        <v>49643</v>
      </c>
      <c r="Q224" s="123">
        <f t="shared" si="99"/>
        <v>6717</v>
      </c>
      <c r="R224" s="123">
        <f t="shared" si="99"/>
        <v>842</v>
      </c>
      <c r="S224" s="123">
        <f t="shared" si="99"/>
        <v>303</v>
      </c>
      <c r="T224" s="123">
        <f t="shared" si="99"/>
        <v>5904</v>
      </c>
      <c r="U224" s="123">
        <f t="shared" si="99"/>
        <v>3667</v>
      </c>
      <c r="V224" s="123">
        <f t="shared" si="99"/>
        <v>18434</v>
      </c>
      <c r="W224" s="123">
        <f t="shared" si="99"/>
        <v>46654</v>
      </c>
      <c r="X224" s="123">
        <f t="shared" si="99"/>
        <v>37886</v>
      </c>
      <c r="Y224" s="123">
        <f t="shared" si="99"/>
        <v>473</v>
      </c>
      <c r="Z224" s="123">
        <f t="shared" si="99"/>
        <v>570</v>
      </c>
      <c r="AA224" s="123">
        <f t="shared" si="99"/>
        <v>701</v>
      </c>
      <c r="AB224" s="123">
        <f t="shared" si="99"/>
        <v>3110</v>
      </c>
      <c r="AC224" s="123">
        <f t="shared" si="99"/>
        <v>0</v>
      </c>
      <c r="AD224" s="123">
        <f t="shared" si="99"/>
        <v>13374</v>
      </c>
      <c r="AE224" s="123">
        <f t="shared" si="99"/>
        <v>357</v>
      </c>
      <c r="AF224" s="123">
        <f t="shared" si="99"/>
        <v>3635</v>
      </c>
    </row>
    <row r="225" spans="1:35" x14ac:dyDescent="0.25">
      <c r="B225" t="s">
        <v>1701</v>
      </c>
      <c r="D225" t="s">
        <v>363</v>
      </c>
      <c r="E225" s="123">
        <f t="shared" ref="E225:AF225" si="100">E66</f>
        <v>0</v>
      </c>
      <c r="F225" s="123">
        <f t="shared" si="100"/>
        <v>0</v>
      </c>
      <c r="G225" s="123">
        <f t="shared" si="100"/>
        <v>0</v>
      </c>
      <c r="H225" s="123">
        <f t="shared" si="100"/>
        <v>0</v>
      </c>
      <c r="I225" s="123">
        <f t="shared" si="100"/>
        <v>0</v>
      </c>
      <c r="J225" s="123">
        <f t="shared" si="100"/>
        <v>0</v>
      </c>
      <c r="K225" s="123">
        <f t="shared" si="100"/>
        <v>0</v>
      </c>
      <c r="L225" s="123">
        <f t="shared" si="100"/>
        <v>0</v>
      </c>
      <c r="M225" s="123">
        <f t="shared" si="100"/>
        <v>0</v>
      </c>
      <c r="N225" s="123">
        <f t="shared" si="100"/>
        <v>0</v>
      </c>
      <c r="O225" s="123">
        <f t="shared" si="100"/>
        <v>0</v>
      </c>
      <c r="P225" s="123">
        <f t="shared" si="100"/>
        <v>0</v>
      </c>
      <c r="Q225" s="123">
        <f t="shared" si="100"/>
        <v>0</v>
      </c>
      <c r="R225" s="123">
        <f t="shared" si="100"/>
        <v>0</v>
      </c>
      <c r="S225" s="123">
        <f t="shared" si="100"/>
        <v>0</v>
      </c>
      <c r="T225" s="123">
        <f t="shared" si="100"/>
        <v>0</v>
      </c>
      <c r="U225" s="123">
        <f t="shared" si="100"/>
        <v>0</v>
      </c>
      <c r="V225" s="123">
        <f t="shared" si="100"/>
        <v>0</v>
      </c>
      <c r="W225" s="123">
        <f t="shared" si="100"/>
        <v>0</v>
      </c>
      <c r="X225" s="123">
        <f t="shared" si="100"/>
        <v>0</v>
      </c>
      <c r="Y225" s="123">
        <f t="shared" si="100"/>
        <v>0</v>
      </c>
      <c r="Z225" s="123">
        <f t="shared" si="100"/>
        <v>0</v>
      </c>
      <c r="AA225" s="123">
        <f t="shared" si="100"/>
        <v>0</v>
      </c>
      <c r="AB225" s="123">
        <f t="shared" si="100"/>
        <v>0</v>
      </c>
      <c r="AC225" s="123">
        <f t="shared" si="100"/>
        <v>0</v>
      </c>
      <c r="AD225" s="123">
        <f t="shared" si="100"/>
        <v>0</v>
      </c>
      <c r="AE225" s="123">
        <f t="shared" si="100"/>
        <v>0</v>
      </c>
      <c r="AF225" s="123">
        <f t="shared" si="100"/>
        <v>0</v>
      </c>
    </row>
    <row r="226" spans="1:35" x14ac:dyDescent="0.25">
      <c r="B226" t="s">
        <v>137</v>
      </c>
      <c r="D226" t="s">
        <v>363</v>
      </c>
      <c r="E226" s="123">
        <f t="shared" ref="E226:AF226" si="101">E67</f>
        <v>0</v>
      </c>
      <c r="F226" s="123">
        <f t="shared" si="101"/>
        <v>0</v>
      </c>
      <c r="G226" s="123">
        <f t="shared" si="101"/>
        <v>0</v>
      </c>
      <c r="H226" s="123">
        <f t="shared" si="101"/>
        <v>0</v>
      </c>
      <c r="I226" s="123">
        <f t="shared" si="101"/>
        <v>0</v>
      </c>
      <c r="J226" s="123">
        <f t="shared" si="101"/>
        <v>0</v>
      </c>
      <c r="K226" s="123">
        <f t="shared" si="101"/>
        <v>0</v>
      </c>
      <c r="L226" s="123">
        <f t="shared" si="101"/>
        <v>0</v>
      </c>
      <c r="M226" s="123">
        <f t="shared" si="101"/>
        <v>0</v>
      </c>
      <c r="N226" s="123">
        <f t="shared" si="101"/>
        <v>0</v>
      </c>
      <c r="O226" s="123">
        <f t="shared" si="101"/>
        <v>0</v>
      </c>
      <c r="P226" s="123">
        <f t="shared" si="101"/>
        <v>0</v>
      </c>
      <c r="Q226" s="123">
        <f t="shared" si="101"/>
        <v>0</v>
      </c>
      <c r="R226" s="123">
        <f t="shared" si="101"/>
        <v>0</v>
      </c>
      <c r="S226" s="123">
        <f t="shared" si="101"/>
        <v>0</v>
      </c>
      <c r="T226" s="123">
        <f t="shared" si="101"/>
        <v>0</v>
      </c>
      <c r="U226" s="123">
        <f t="shared" si="101"/>
        <v>0</v>
      </c>
      <c r="V226" s="123">
        <f t="shared" si="101"/>
        <v>0</v>
      </c>
      <c r="W226" s="123">
        <f t="shared" si="101"/>
        <v>0</v>
      </c>
      <c r="X226" s="123">
        <f t="shared" si="101"/>
        <v>0</v>
      </c>
      <c r="Y226" s="123">
        <f t="shared" si="101"/>
        <v>0</v>
      </c>
      <c r="Z226" s="123">
        <f t="shared" si="101"/>
        <v>0</v>
      </c>
      <c r="AA226" s="123">
        <f t="shared" si="101"/>
        <v>0</v>
      </c>
      <c r="AB226" s="123">
        <f t="shared" si="101"/>
        <v>0</v>
      </c>
      <c r="AC226" s="123">
        <f t="shared" si="101"/>
        <v>0</v>
      </c>
      <c r="AD226" s="123">
        <f t="shared" si="101"/>
        <v>0</v>
      </c>
      <c r="AE226" s="123">
        <f t="shared" si="101"/>
        <v>0</v>
      </c>
      <c r="AF226" s="123">
        <f t="shared" si="101"/>
        <v>0</v>
      </c>
    </row>
    <row r="227" spans="1:35" x14ac:dyDescent="0.25">
      <c r="B227" t="s">
        <v>139</v>
      </c>
      <c r="D227" t="s">
        <v>363</v>
      </c>
      <c r="E227" s="123">
        <f t="shared" ref="E227:AF227" si="102">E68</f>
        <v>0</v>
      </c>
      <c r="F227" s="123">
        <f t="shared" si="102"/>
        <v>0</v>
      </c>
      <c r="G227" s="123">
        <f t="shared" si="102"/>
        <v>0</v>
      </c>
      <c r="H227" s="123">
        <f t="shared" si="102"/>
        <v>0</v>
      </c>
      <c r="I227" s="123">
        <f t="shared" si="102"/>
        <v>0</v>
      </c>
      <c r="J227" s="123">
        <f t="shared" si="102"/>
        <v>0</v>
      </c>
      <c r="K227" s="123">
        <f t="shared" si="102"/>
        <v>0</v>
      </c>
      <c r="L227" s="123">
        <f t="shared" si="102"/>
        <v>0</v>
      </c>
      <c r="M227" s="123">
        <f t="shared" si="102"/>
        <v>0</v>
      </c>
      <c r="N227" s="123">
        <f t="shared" si="102"/>
        <v>0</v>
      </c>
      <c r="O227" s="123">
        <f t="shared" si="102"/>
        <v>0</v>
      </c>
      <c r="P227" s="123">
        <f t="shared" si="102"/>
        <v>0</v>
      </c>
      <c r="Q227" s="123">
        <f t="shared" si="102"/>
        <v>0</v>
      </c>
      <c r="R227" s="123">
        <f t="shared" si="102"/>
        <v>59</v>
      </c>
      <c r="S227" s="123">
        <f t="shared" si="102"/>
        <v>26</v>
      </c>
      <c r="T227" s="123">
        <f t="shared" si="102"/>
        <v>0</v>
      </c>
      <c r="U227" s="123">
        <f t="shared" si="102"/>
        <v>64</v>
      </c>
      <c r="V227" s="123">
        <f t="shared" si="102"/>
        <v>0</v>
      </c>
      <c r="W227" s="123">
        <f t="shared" si="102"/>
        <v>0</v>
      </c>
      <c r="X227" s="123">
        <f t="shared" si="102"/>
        <v>1444</v>
      </c>
      <c r="Y227" s="123">
        <f t="shared" si="102"/>
        <v>0</v>
      </c>
      <c r="Z227" s="123">
        <f t="shared" si="102"/>
        <v>126</v>
      </c>
      <c r="AA227" s="123">
        <f t="shared" si="102"/>
        <v>0</v>
      </c>
      <c r="AB227" s="123">
        <f t="shared" si="102"/>
        <v>0</v>
      </c>
      <c r="AC227" s="123">
        <f t="shared" si="102"/>
        <v>0</v>
      </c>
      <c r="AD227" s="123">
        <f t="shared" si="102"/>
        <v>53909</v>
      </c>
      <c r="AE227" s="123">
        <f t="shared" si="102"/>
        <v>359</v>
      </c>
      <c r="AF227" s="123">
        <f t="shared" si="102"/>
        <v>0</v>
      </c>
    </row>
    <row r="228" spans="1:35" x14ac:dyDescent="0.25">
      <c r="D228" t="s">
        <v>524</v>
      </c>
      <c r="E228" s="273">
        <f>SUM(E213:E227)/1000</f>
        <v>5.7943597695549123</v>
      </c>
      <c r="F228" s="273">
        <f t="shared" ref="F228:AF228" si="103">SUM(F213:F227)/1000</f>
        <v>84.732860713236846</v>
      </c>
      <c r="G228" s="273">
        <f t="shared" si="103"/>
        <v>1.1757957465104032</v>
      </c>
      <c r="H228" s="273">
        <f t="shared" si="103"/>
        <v>184.52938874494163</v>
      </c>
      <c r="I228" s="273">
        <f t="shared" si="103"/>
        <v>36.304619858384207</v>
      </c>
      <c r="J228" s="273">
        <f t="shared" si="103"/>
        <v>228.15864402172448</v>
      </c>
      <c r="K228" s="273">
        <f t="shared" si="103"/>
        <v>50.473335847043423</v>
      </c>
      <c r="L228" s="273">
        <f t="shared" si="103"/>
        <v>0</v>
      </c>
      <c r="M228" s="273">
        <f t="shared" si="103"/>
        <v>709.36372292266628</v>
      </c>
      <c r="N228" s="273">
        <f t="shared" si="103"/>
        <v>160.71646035178938</v>
      </c>
      <c r="O228" s="273">
        <f t="shared" si="103"/>
        <v>5.7342415268010409</v>
      </c>
      <c r="P228" s="273">
        <f t="shared" si="103"/>
        <v>9966.7661139408829</v>
      </c>
      <c r="Q228" s="273">
        <f t="shared" si="103"/>
        <v>399.95030113694736</v>
      </c>
      <c r="R228" s="273">
        <f t="shared" si="103"/>
        <v>77.135943245395922</v>
      </c>
      <c r="S228" s="273">
        <f t="shared" si="103"/>
        <v>181.03074864460461</v>
      </c>
      <c r="T228" s="273">
        <f t="shared" si="103"/>
        <v>208.57184425697665</v>
      </c>
      <c r="U228" s="273">
        <f t="shared" si="103"/>
        <v>472.86873619985914</v>
      </c>
      <c r="V228" s="273">
        <f t="shared" si="103"/>
        <v>304.82209796439548</v>
      </c>
      <c r="W228" s="273">
        <f t="shared" si="103"/>
        <v>1672.0324447297221</v>
      </c>
      <c r="X228" s="273">
        <f t="shared" si="103"/>
        <v>802.04015034479744</v>
      </c>
      <c r="Y228" s="273">
        <f t="shared" si="103"/>
        <v>42.259893326325773</v>
      </c>
      <c r="Z228" s="273">
        <f t="shared" si="103"/>
        <v>163.20414747909149</v>
      </c>
      <c r="AA228" s="273">
        <f t="shared" si="103"/>
        <v>5.4960000000000004</v>
      </c>
      <c r="AB228" s="273">
        <f t="shared" si="103"/>
        <v>169.65684287068134</v>
      </c>
      <c r="AC228" s="273">
        <f t="shared" si="103"/>
        <v>10.496483463900157</v>
      </c>
      <c r="AD228" s="273">
        <f t="shared" si="103"/>
        <v>2111.7904939332711</v>
      </c>
      <c r="AE228" s="273">
        <f t="shared" si="103"/>
        <v>377.05951811671474</v>
      </c>
      <c r="AF228" s="273">
        <f t="shared" si="103"/>
        <v>549.20043436178548</v>
      </c>
    </row>
    <row r="229" spans="1:35" x14ac:dyDescent="0.25">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row>
    <row r="230" spans="1:35" x14ac:dyDescent="0.25">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row>
    <row r="231" spans="1:35" ht="15.75" x14ac:dyDescent="0.25">
      <c r="A231" s="131" t="s">
        <v>525</v>
      </c>
      <c r="B231" s="132"/>
    </row>
    <row r="232" spans="1:35" x14ac:dyDescent="0.25">
      <c r="E232" s="91" t="s">
        <v>162</v>
      </c>
      <c r="F232" s="91" t="s">
        <v>164</v>
      </c>
      <c r="G232" s="91" t="s">
        <v>166</v>
      </c>
      <c r="H232" s="91" t="s">
        <v>168</v>
      </c>
      <c r="I232" s="91" t="s">
        <v>170</v>
      </c>
      <c r="J232" s="91" t="s">
        <v>173</v>
      </c>
      <c r="K232" s="91" t="s">
        <v>175</v>
      </c>
      <c r="L232" s="91" t="s">
        <v>177</v>
      </c>
      <c r="M232" s="91" t="s">
        <v>179</v>
      </c>
      <c r="N232" s="91" t="s">
        <v>181</v>
      </c>
      <c r="O232" s="91" t="s">
        <v>183</v>
      </c>
      <c r="P232" s="91" t="s">
        <v>185</v>
      </c>
      <c r="Q232" s="91" t="s">
        <v>188</v>
      </c>
      <c r="R232" s="91" t="s">
        <v>190</v>
      </c>
      <c r="S232" s="91" t="s">
        <v>192</v>
      </c>
      <c r="T232" s="91" t="s">
        <v>194</v>
      </c>
      <c r="U232" s="91" t="s">
        <v>196</v>
      </c>
      <c r="V232" s="91" t="s">
        <v>198</v>
      </c>
      <c r="W232" s="91" t="s">
        <v>9</v>
      </c>
      <c r="X232" s="91" t="s">
        <v>201</v>
      </c>
      <c r="Y232" s="91" t="s">
        <v>203</v>
      </c>
      <c r="Z232" s="91" t="s">
        <v>205</v>
      </c>
      <c r="AA232" s="91" t="s">
        <v>207</v>
      </c>
      <c r="AB232" s="91" t="s">
        <v>210</v>
      </c>
      <c r="AC232" s="91" t="s">
        <v>212</v>
      </c>
      <c r="AD232" s="91" t="s">
        <v>214</v>
      </c>
      <c r="AE232" s="91" t="s">
        <v>217</v>
      </c>
      <c r="AF232" s="92" t="s">
        <v>219</v>
      </c>
      <c r="AH232" s="274" t="s">
        <v>509</v>
      </c>
      <c r="AI232" s="278" t="s">
        <v>510</v>
      </c>
    </row>
    <row r="233" spans="1:35" x14ac:dyDescent="0.25">
      <c r="A233" t="s">
        <v>526</v>
      </c>
      <c r="B233" t="s">
        <v>113</v>
      </c>
      <c r="C233" t="s">
        <v>470</v>
      </c>
      <c r="D233" t="s">
        <v>512</v>
      </c>
      <c r="E233" s="123" t="str">
        <f>_xlfn.IFS((E$81*E$85)=0,"",E213=0,"",E213&gt;0,(E213/1000)/(E$81*E$85))</f>
        <v/>
      </c>
      <c r="F233" s="124">
        <f>_xlfn.IFS((F$81*F$85)=0,"",F213=0,"",F213&gt;0,(F213/1000)/(F$81*F$85))</f>
        <v>3.4287552331510809</v>
      </c>
      <c r="G233" s="124" t="str">
        <f t="array" ref="G233">_xlfn.IFS((G$81*G$85)=0,"",G213=0,"",G213&gt;0,(G213/1000)/(G$81*G$85))</f>
        <v/>
      </c>
      <c r="H233" s="124">
        <f t="array" ref="H233">_xlfn.IFS((H$81*H$85)=0,"",H213=0,"",H213&gt;0,(H213/1000)/(H$81*H$85))</f>
        <v>3.7485371378853563</v>
      </c>
      <c r="I233" s="124">
        <f t="array" ref="I233">_xlfn.IFS((I$81*I$85)=0,"",I213=0,"",I213&gt;0,(I213/1000)/(I$81*I$85))</f>
        <v>0.25147315891776068</v>
      </c>
      <c r="J233" s="124">
        <f t="array" ref="J233">_xlfn.IFS((J$81*J$85)=0,"",J213=0,"",J213&gt;0,(J213/1000)/(J$81*J$85))</f>
        <v>2.8369270205413795</v>
      </c>
      <c r="K233" s="124">
        <f t="array" ref="K233">_xlfn.IFS((K$81*K$85)=0,"",K213=0,"",K213&gt;0,(K213/1000)/(K$81*K$85))</f>
        <v>3.2712572400986257</v>
      </c>
      <c r="L233" s="124" t="str">
        <f t="array" ref="L233">_xlfn.IFS((L$81*L$85)=0,"",L213=0,"",L213&gt;0,(L213/1000)/(L$81*L$85))</f>
        <v/>
      </c>
      <c r="M233" s="124" t="str">
        <f t="array" ref="M233">_xlfn.IFS((M$81*M$85)=0,"",M213=0,"",M213&gt;0,(M213/1000)/(M$81*M$85))</f>
        <v/>
      </c>
      <c r="N233" s="124">
        <f t="array" ref="N233">_xlfn.IFS((N$81*N$85)=0,"",N213=0,"",N213&gt;0,(N213/1000)/(N$81*N$85))</f>
        <v>2.3763963043225056</v>
      </c>
      <c r="O233" s="124" t="str">
        <f t="array" ref="O233">_xlfn.IFS((O$81*O$85)=0,"",O213=0,"",O213&gt;0,(O213/1000)/(O$81*O$85))</f>
        <v/>
      </c>
      <c r="P233" s="124">
        <f t="array" ref="P233">_xlfn.IFS((P$81*P$85)=0,"",P213=0,"",P213&gt;0,(P213/1000)/(P$81*P$85))</f>
        <v>3.8524576982318934</v>
      </c>
      <c r="Q233" s="124">
        <f t="array" ref="Q233">_xlfn.IFS((Q$81*Q$85)=0,"",Q213=0,"",Q213&gt;0,(Q213/1000)/(Q$81*Q$85))</f>
        <v>1.1977073548626962</v>
      </c>
      <c r="R233" s="124">
        <f t="array" ref="R233">_xlfn.IFS((R$81*R$85)=0,"",R213=0,"",R213&gt;0,(R213/1000)/(R$81*R$85))</f>
        <v>0.80149957529028748</v>
      </c>
      <c r="S233" s="124">
        <f t="array" ref="S233">_xlfn.IFS((S$81*S$85)=0,"",S213=0,"",S213&gt;0,(S213/1000)/(S$81*S$85))</f>
        <v>1.3093353824465011</v>
      </c>
      <c r="T233" s="124">
        <f t="array" ref="T233">_xlfn.IFS((T$81*T$85)=0,"",T213=0,"",T213&gt;0,(T213/1000)/(T$81*T$85))</f>
        <v>8.4335313404259746E-2</v>
      </c>
      <c r="U233" s="124">
        <f t="array" ref="U233">_xlfn.IFS((U$81*U$85)=0,"",U213=0,"",U213&gt;0,(U213/1000)/(U$81*U$85))</f>
        <v>1.4651876572732951</v>
      </c>
      <c r="V233" s="124">
        <f t="array" ref="V233">_xlfn.IFS((V$81*V$85)=0,"",V213=0,"",V213&gt;0,(V213/1000)/(V$81*V$85))</f>
        <v>0.25757423882691538</v>
      </c>
      <c r="W233" s="124">
        <f t="array" ref="W233">_xlfn.IFS((W$81*W$85)=0,"",W213=0,"",W213&gt;0,(W213/1000)/(W$81*W$85))</f>
        <v>9.8194826231828909</v>
      </c>
      <c r="X233" s="124">
        <f t="array" ref="X233">_xlfn.IFS((X$81*X$85)=0,"",X213=0,"",X213&gt;0,(X213/1000)/(X$81*X$85))</f>
        <v>2.0588720698789693</v>
      </c>
      <c r="Y233" s="124">
        <f t="array" ref="Y233">_xlfn.IFS((Y$81*Y$85)=0,"",Y213=0,"",Y213&gt;0,(Y213/1000)/(Y$81*Y$85))</f>
        <v>0.12466421876685355</v>
      </c>
      <c r="Z233" s="124">
        <f t="array" ref="Z233">_xlfn.IFS((Z$81*Z$85)=0,"",Z213=0,"",Z213&gt;0,(Z213/1000)/(Z$81*Z$85))</f>
        <v>0.30125901953231932</v>
      </c>
      <c r="AA233" s="124">
        <f t="array" ref="AA233">_xlfn.IFS((AA$81*AA$85)=0,"",AA213=0,"",AA213&gt;0,(AA213/1000)/(AA$81*AA$85))</f>
        <v>0.5191947848905244</v>
      </c>
      <c r="AB233" s="124">
        <f t="array" ref="AB233">_xlfn.IFS((AB$81*AB$85)=0,"",AB213=0,"",AB213&gt;0,(AB213/1000)/(AB$81*AB$85))</f>
        <v>0.50444390692662366</v>
      </c>
      <c r="AC233" s="124" t="str">
        <f t="array" ref="AC233">_xlfn.IFS((AC$81*AC$85)=0,"",AC213=0,"",AC213&gt;0,(AC213/1000)/(AC$81*AC$85))</f>
        <v/>
      </c>
      <c r="AD233" s="124">
        <f t="array" ref="AD233">_xlfn.IFS((AD$81*AD$85)=0,"",AD213=0,"",AD213&gt;0,(AD213/1000)/(AD$81*AD$85))</f>
        <v>2.8650930344572698</v>
      </c>
      <c r="AE233" s="124">
        <f t="array" ref="AE233">_xlfn.IFS((AE$81*AE$85)=0,"",AE213=0,"",AE213&gt;0,(AE213/1000)/(AE$81*AE$85))</f>
        <v>4.4246556683517117E-2</v>
      </c>
      <c r="AF233" s="124">
        <f t="array" ref="AF233">_xlfn.IFS((AF$81*AF$85)=0,"",AF213=0,"",AF213&gt;0,(AF213/1000)/(AF$81*AF$85))</f>
        <v>2.3353828271114221</v>
      </c>
      <c r="AH233" s="124">
        <f>PERCENTILE(E233:AF233,0.75)</f>
        <v>2.8580515309782974</v>
      </c>
      <c r="AI233" s="124">
        <f>PERCENTILE(E233:AF233,0.9)</f>
        <v>3.7165589474119294</v>
      </c>
    </row>
    <row r="234" spans="1:35" x14ac:dyDescent="0.25">
      <c r="A234" t="s">
        <v>526</v>
      </c>
      <c r="B234" t="s">
        <v>115</v>
      </c>
      <c r="C234" t="s">
        <v>470</v>
      </c>
      <c r="D234" t="s">
        <v>512</v>
      </c>
      <c r="E234" s="123" t="str">
        <f t="array" ref="E234">_xlfn.IFS((E$81*E$85)=0,"",E214=0,"",E214&gt;0,(E214/1000)/(E$81*E$85))</f>
        <v/>
      </c>
      <c r="F234" s="124" t="str">
        <f t="array" ref="F234">_xlfn.IFS((F$81*F$85)=0,"",F214=0,"",F214&gt;0,(F214/1000)/(F$81*F$85))</f>
        <v/>
      </c>
      <c r="G234" s="124" t="str">
        <f t="array" ref="G234">_xlfn.IFS((G$81*G$85)=0,"",G214=0,"",G214&gt;0,(G214/1000)/(G$81*G$85))</f>
        <v/>
      </c>
      <c r="H234" s="124" t="str">
        <f t="array" ref="H234">_xlfn.IFS((H$81*H$85)=0,"",H214=0,"",H214&gt;0,(H214/1000)/(H$81*H$85))</f>
        <v/>
      </c>
      <c r="I234" s="124" t="str">
        <f t="array" ref="I234">_xlfn.IFS((I$81*I$85)=0,"",I214=0,"",I214&gt;0,(I214/1000)/(I$81*I$85))</f>
        <v/>
      </c>
      <c r="J234" s="124" t="str">
        <f t="array" ref="J234">_xlfn.IFS((J$81*J$85)=0,"",J214=0,"",J214&gt;0,(J214/1000)/(J$81*J$85))</f>
        <v/>
      </c>
      <c r="K234" s="124" t="str">
        <f t="array" ref="K234">_xlfn.IFS((K$81*K$85)=0,"",K214=0,"",K214&gt;0,(K214/1000)/(K$81*K$85))</f>
        <v/>
      </c>
      <c r="L234" s="124" t="str">
        <f t="array" ref="L234">_xlfn.IFS((L$81*L$85)=0,"",L214=0,"",L214&gt;0,(L214/1000)/(L$81*L$85))</f>
        <v/>
      </c>
      <c r="M234" s="124" t="str">
        <f t="array" ref="M234">_xlfn.IFS((M$81*M$85)=0,"",M214=0,"",M214&gt;0,(M214/1000)/(M$81*M$85))</f>
        <v/>
      </c>
      <c r="N234" s="124">
        <f t="array" ref="N234">_xlfn.IFS((N$81*N$85)=0,"",N214=0,"",N214&gt;0,(N214/1000)/(N$81*N$85))</f>
        <v>5.2894082625779149E-3</v>
      </c>
      <c r="O234" s="124" t="str">
        <f t="array" ref="O234">_xlfn.IFS((O$81*O$85)=0,"",O214=0,"",O214&gt;0,(O214/1000)/(O$81*O$85))</f>
        <v/>
      </c>
      <c r="P234" s="124" t="str">
        <f t="array" ref="P234">_xlfn.IFS((P$81*P$85)=0,"",P214=0,"",P214&gt;0,(P214/1000)/(P$81*P$85))</f>
        <v/>
      </c>
      <c r="Q234" s="124" t="str">
        <f t="array" ref="Q234">_xlfn.IFS((Q$81*Q$85)=0,"",Q214=0,"",Q214&gt;0,(Q214/1000)/(Q$81*Q$85))</f>
        <v/>
      </c>
      <c r="R234" s="124" t="str">
        <f t="array" ref="R234">_xlfn.IFS((R$81*R$85)=0,"",R214=0,"",R214&gt;0,(R214/1000)/(R$81*R$85))</f>
        <v/>
      </c>
      <c r="S234" s="124" t="str">
        <f t="array" ref="S234">_xlfn.IFS((S$81*S$85)=0,"",S214=0,"",S214&gt;0,(S214/1000)/(S$81*S$85))</f>
        <v/>
      </c>
      <c r="T234" s="124" t="str">
        <f t="array" ref="T234">_xlfn.IFS((T$81*T$85)=0,"",T214=0,"",T214&gt;0,(T214/1000)/(T$81*T$85))</f>
        <v/>
      </c>
      <c r="U234" s="124" t="str">
        <f t="array" ref="U234">_xlfn.IFS((U$81*U$85)=0,"",U214=0,"",U214&gt;0,(U214/1000)/(U$81*U$85))</f>
        <v/>
      </c>
      <c r="V234" s="124" t="str">
        <f t="array" ref="V234">_xlfn.IFS((V$81*V$85)=0,"",V214=0,"",V214&gt;0,(V214/1000)/(V$81*V$85))</f>
        <v/>
      </c>
      <c r="W234" s="124" t="str">
        <f t="array" ref="W234">_xlfn.IFS((W$81*W$85)=0,"",W214=0,"",W214&gt;0,(W214/1000)/(W$81*W$85))</f>
        <v/>
      </c>
      <c r="X234" s="124" t="str">
        <f t="array" ref="X234">_xlfn.IFS((X$81*X$85)=0,"",X214=0,"",X214&gt;0,(X214/1000)/(X$81*X$85))</f>
        <v/>
      </c>
      <c r="Y234" s="124" t="str">
        <f t="array" ref="Y234">_xlfn.IFS((Y$81*Y$85)=0,"",Y214=0,"",Y214&gt;0,(Y214/1000)/(Y$81*Y$85))</f>
        <v/>
      </c>
      <c r="Z234" s="124" t="str">
        <f t="array" ref="Z234">_xlfn.IFS((Z$81*Z$85)=0,"",Z214=0,"",Z214&gt;0,(Z214/1000)/(Z$81*Z$85))</f>
        <v/>
      </c>
      <c r="AA234" s="124" t="str">
        <f t="array" ref="AA234">_xlfn.IFS((AA$81*AA$85)=0,"",AA214=0,"",AA214&gt;0,(AA214/1000)/(AA$81*AA$85))</f>
        <v/>
      </c>
      <c r="AB234" s="124" t="str">
        <f t="array" ref="AB234">_xlfn.IFS((AB$81*AB$85)=0,"",AB214=0,"",AB214&gt;0,(AB214/1000)/(AB$81*AB$85))</f>
        <v/>
      </c>
      <c r="AC234" s="124" t="str">
        <f t="array" ref="AC234">_xlfn.IFS((AC$81*AC$85)=0,"",AC214=0,"",AC214&gt;0,(AC214/1000)/(AC$81*AC$85))</f>
        <v/>
      </c>
      <c r="AD234" s="124" t="str">
        <f t="array" ref="AD234">_xlfn.IFS((AD$81*AD$85)=0,"",AD214=0,"",AD214&gt;0,(AD214/1000)/(AD$81*AD$85))</f>
        <v/>
      </c>
      <c r="AE234" s="124" t="str">
        <f t="array" ref="AE234">_xlfn.IFS((AE$81*AE$85)=0,"",AE214=0,"",AE214&gt;0,(AE214/1000)/(AE$81*AE$85))</f>
        <v/>
      </c>
      <c r="AF234" s="124" t="str">
        <f t="array" ref="AF234">_xlfn.IFS((AF$81*AF$85)=0,"",AF214=0,"",AF214&gt;0,(AF214/1000)/(AF$81*AF$85))</f>
        <v/>
      </c>
      <c r="AH234" s="124">
        <f t="shared" ref="AH234:AH244" si="104">PERCENTILE(E234:AF234,0.75)</f>
        <v>5.2894082625779149E-3</v>
      </c>
      <c r="AI234" s="124">
        <f t="shared" ref="AI234:AI244" si="105">PERCENTILE(E234:AF234,0.9)</f>
        <v>5.2894082625779149E-3</v>
      </c>
    </row>
    <row r="235" spans="1:35" x14ac:dyDescent="0.25">
      <c r="A235" t="s">
        <v>526</v>
      </c>
      <c r="B235" t="s">
        <v>117</v>
      </c>
      <c r="C235" t="s">
        <v>470</v>
      </c>
      <c r="D235" t="s">
        <v>512</v>
      </c>
      <c r="E235" s="123" t="str">
        <f t="array" ref="E235">_xlfn.IFS((E$81*E$85)=0,"",E215=0,"",E215&gt;0,(E215/1000)/(E$81*E$85))</f>
        <v/>
      </c>
      <c r="F235" s="124" t="str">
        <f t="array" ref="F235">_xlfn.IFS((F$81*F$85)=0,"",F215=0,"",F215&gt;0,(F215/1000)/(F$81*F$85))</f>
        <v/>
      </c>
      <c r="G235" s="124" t="str">
        <f t="array" ref="G235">_xlfn.IFS((G$81*G$85)=0,"",G215=0,"",G215&gt;0,(G215/1000)/(G$81*G$85))</f>
        <v/>
      </c>
      <c r="H235" s="124" t="str">
        <f t="array" ref="H235">_xlfn.IFS((H$81*H$85)=0,"",H215=0,"",H215&gt;0,(H215/1000)/(H$81*H$85))</f>
        <v/>
      </c>
      <c r="I235" s="124" t="str">
        <f t="array" ref="I235">_xlfn.IFS((I$81*I$85)=0,"",I215=0,"",I215&gt;0,(I215/1000)/(I$81*I$85))</f>
        <v/>
      </c>
      <c r="J235" s="124" t="str">
        <f t="array" ref="J235">_xlfn.IFS((J$81*J$85)=0,"",J215=0,"",J215&gt;0,(J215/1000)/(J$81*J$85))</f>
        <v/>
      </c>
      <c r="K235" s="124" t="str">
        <f t="array" ref="K235">_xlfn.IFS((K$81*K$85)=0,"",K215=0,"",K215&gt;0,(K215/1000)/(K$81*K$85))</f>
        <v/>
      </c>
      <c r="L235" s="124" t="str">
        <f t="array" ref="L235">_xlfn.IFS((L$81*L$85)=0,"",L215=0,"",L215&gt;0,(L215/1000)/(L$81*L$85))</f>
        <v/>
      </c>
      <c r="M235" s="124">
        <f t="array" ref="M235">_xlfn.IFS((M$81*M$85)=0,"",M215=0,"",M215&gt;0,(M215/1000)/(M$81*M$85))</f>
        <v>6.2945239736081824</v>
      </c>
      <c r="N235" s="124">
        <f t="array" ref="N235">_xlfn.IFS((N$81*N$85)=0,"",N215=0,"",N215&gt;0,(N215/1000)/(N$81*N$85))</f>
        <v>1.0371388750152776E-3</v>
      </c>
      <c r="O235" s="124" t="str">
        <f t="array" ref="O235">_xlfn.IFS((O$81*O$85)=0,"",O215=0,"",O215&gt;0,(O215/1000)/(O$81*O$85))</f>
        <v/>
      </c>
      <c r="P235" s="124">
        <f t="array" ref="P235">_xlfn.IFS((P$81*P$85)=0,"",P215=0,"",P215&gt;0,(P215/1000)/(P$81*P$85))</f>
        <v>3.591878995042113E-2</v>
      </c>
      <c r="Q235" s="124">
        <f t="array" ref="Q235">_xlfn.IFS((Q$81*Q$85)=0,"",Q215=0,"",Q215&gt;0,(Q215/1000)/(Q$81*Q$85))</f>
        <v>2.7044851732034103E-3</v>
      </c>
      <c r="R235" s="124">
        <f t="array" ref="R235">_xlfn.IFS((R$81*R$85)=0,"",R215=0,"",R215&gt;0,(R215/1000)/(R$81*R$85))</f>
        <v>9.9519657796470651E-2</v>
      </c>
      <c r="S235" s="124">
        <f t="array" ref="S235">_xlfn.IFS((S$81*S$85)=0,"",S215=0,"",S215&gt;0,(S215/1000)/(S$81*S$85))</f>
        <v>1.3597074632006607E-2</v>
      </c>
      <c r="T235" s="124">
        <f t="array" ref="T235">_xlfn.IFS((T$81*T$85)=0,"",T215=0,"",T215&gt;0,(T215/1000)/(T$81*T$85))</f>
        <v>9.9347882282504931E-4</v>
      </c>
      <c r="U235" s="124">
        <f t="array" ref="U235">_xlfn.IFS((U$81*U$85)=0,"",U215=0,"",U215&gt;0,(U215/1000)/(U$81*U$85))</f>
        <v>3.3420354452765353E-4</v>
      </c>
      <c r="V235" s="124" t="str">
        <f t="array" ref="V235">_xlfn.IFS((V$81*V$85)=0,"",V215=0,"",V215&gt;0,(V215/1000)/(V$81*V$85))</f>
        <v/>
      </c>
      <c r="W235" s="124" t="str">
        <f t="array" ref="W235">_xlfn.IFS((W$81*W$85)=0,"",W215=0,"",W215&gt;0,(W215/1000)/(W$81*W$85))</f>
        <v/>
      </c>
      <c r="X235" s="124">
        <f t="array" ref="X235">_xlfn.IFS((X$81*X$85)=0,"",X215=0,"",X215&gt;0,(X215/1000)/(X$81*X$85))</f>
        <v>3.2976451559695186E-3</v>
      </c>
      <c r="Y235" s="124">
        <f t="array" ref="Y235">_xlfn.IFS((Y$81*Y$85)=0,"",Y215=0,"",Y215&gt;0,(Y215/1000)/(Y$81*Y$85))</f>
        <v>1.6875021152873578E-3</v>
      </c>
      <c r="Z235" s="124" t="str">
        <f t="array" ref="Z235">_xlfn.IFS((Z$81*Z$85)=0,"",Z215=0,"",Z215&gt;0,(Z215/1000)/(Z$81*Z$85))</f>
        <v/>
      </c>
      <c r="AA235" s="124" t="str">
        <f t="array" ref="AA235">_xlfn.IFS((AA$81*AA$85)=0,"",AA215=0,"",AA215&gt;0,(AA215/1000)/(AA$81*AA$85))</f>
        <v/>
      </c>
      <c r="AB235" s="124" t="str">
        <f t="array" ref="AB235">_xlfn.IFS((AB$81*AB$85)=0,"",AB215=0,"",AB215&gt;0,(AB215/1000)/(AB$81*AB$85))</f>
        <v/>
      </c>
      <c r="AC235" s="124" t="str">
        <f t="array" ref="AC235">_xlfn.IFS((AC$81*AC$85)=0,"",AC215=0,"",AC215&gt;0,(AC215/1000)/(AC$81*AC$85))</f>
        <v/>
      </c>
      <c r="AD235" s="124">
        <f t="array" ref="AD235">_xlfn.IFS((AD$81*AD$85)=0,"",AD215=0,"",AD215&gt;0,(AD215/1000)/(AD$81*AD$85))</f>
        <v>6.6749376763786735E-4</v>
      </c>
      <c r="AE235" s="124" t="str">
        <f t="array" ref="AE235">_xlfn.IFS((AE$81*AE$85)=0,"",AE215=0,"",AE215&gt;0,(AE215/1000)/(AE$81*AE$85))</f>
        <v/>
      </c>
      <c r="AF235" s="124" t="str">
        <f t="array" ref="AF235">_xlfn.IFS((AF$81*AF$85)=0,"",AF215=0,"",AF215&gt;0,(AF215/1000)/(AF$81*AF$85))</f>
        <v/>
      </c>
      <c r="AH235" s="124">
        <f t="shared" si="104"/>
        <v>2.4757932291213869E-2</v>
      </c>
      <c r="AI235" s="124">
        <f t="shared" si="105"/>
        <v>9.9519657796470651E-2</v>
      </c>
    </row>
    <row r="236" spans="1:35" x14ac:dyDescent="0.25">
      <c r="A236" t="s">
        <v>526</v>
      </c>
      <c r="B236" t="s">
        <v>119</v>
      </c>
      <c r="C236" t="s">
        <v>470</v>
      </c>
      <c r="D236" t="s">
        <v>512</v>
      </c>
      <c r="E236" s="123" t="str">
        <f t="array" ref="E236">_xlfn.IFS((E$81*E$85)=0,"",E216=0,"",E216&gt;0,(E216/1000)/(E$81*E$85))</f>
        <v/>
      </c>
      <c r="F236" s="124" t="str">
        <f t="array" ref="F236">_xlfn.IFS((F$81*F$85)=0,"",F216=0,"",F216&gt;0,(F216/1000)/(F$81*F$85))</f>
        <v/>
      </c>
      <c r="G236" s="124" t="str">
        <f t="array" ref="G236">_xlfn.IFS((G$81*G$85)=0,"",G216=0,"",G216&gt;0,(G216/1000)/(G$81*G$85))</f>
        <v/>
      </c>
      <c r="H236" s="124" t="str">
        <f t="array" ref="H236">_xlfn.IFS((H$81*H$85)=0,"",H216=0,"",H216&gt;0,(H216/1000)/(H$81*H$85))</f>
        <v/>
      </c>
      <c r="I236" s="124" t="str">
        <f t="array" ref="I236">_xlfn.IFS((I$81*I$85)=0,"",I216=0,"",I216&gt;0,(I216/1000)/(I$81*I$85))</f>
        <v/>
      </c>
      <c r="J236" s="124" t="str">
        <f t="array" ref="J236">_xlfn.IFS((J$81*J$85)=0,"",J216=0,"",J216&gt;0,(J216/1000)/(J$81*J$85))</f>
        <v/>
      </c>
      <c r="K236" s="124" t="str">
        <f t="array" ref="K236">_xlfn.IFS((K$81*K$85)=0,"",K216=0,"",K216&gt;0,(K216/1000)/(K$81*K$85))</f>
        <v/>
      </c>
      <c r="L236" s="124" t="str">
        <f t="array" ref="L236">_xlfn.IFS((L$81*L$85)=0,"",L216=0,"",L216&gt;0,(L216/1000)/(L$81*L$85))</f>
        <v/>
      </c>
      <c r="M236" s="124">
        <f t="array" ref="M236">_xlfn.IFS((M$81*M$85)=0,"",M216=0,"",M216&gt;0,(M216/1000)/(M$81*M$85))</f>
        <v>5.3062200759278651E-3</v>
      </c>
      <c r="N236" s="124" t="str">
        <f t="array" ref="N236">_xlfn.IFS((N$81*N$85)=0,"",N216=0,"",N216&gt;0,(N216/1000)/(N$81*N$85))</f>
        <v/>
      </c>
      <c r="O236" s="124" t="str">
        <f t="array" ref="O236">_xlfn.IFS((O$81*O$85)=0,"",O216=0,"",O216&gt;0,(O216/1000)/(O$81*O$85))</f>
        <v/>
      </c>
      <c r="P236" s="124" t="str">
        <f t="array" ref="P236">_xlfn.IFS((P$81*P$85)=0,"",P216=0,"",P216&gt;0,(P216/1000)/(P$81*P$85))</f>
        <v/>
      </c>
      <c r="Q236" s="124" t="str">
        <f t="array" ref="Q236">_xlfn.IFS((Q$81*Q$85)=0,"",Q216=0,"",Q216&gt;0,(Q216/1000)/(Q$81*Q$85))</f>
        <v/>
      </c>
      <c r="R236" s="124" t="str">
        <f t="array" ref="R236">_xlfn.IFS((R$81*R$85)=0,"",R216=0,"",R216&gt;0,(R216/1000)/(R$81*R$85))</f>
        <v/>
      </c>
      <c r="S236" s="124" t="str">
        <f t="array" ref="S236">_xlfn.IFS((S$81*S$85)=0,"",S216=0,"",S216&gt;0,(S216/1000)/(S$81*S$85))</f>
        <v/>
      </c>
      <c r="T236" s="124">
        <f t="array" ref="T236">_xlfn.IFS((T$81*T$85)=0,"",T216=0,"",T216&gt;0,(T216/1000)/(T$81*T$85))</f>
        <v>7.1751248315142448E-4</v>
      </c>
      <c r="U236" s="124">
        <f t="array" ref="U236">_xlfn.IFS((U$81*U$85)=0,"",U216=0,"",U216&gt;0,(U216/1000)/(U$81*U$85))</f>
        <v>1.4351093382658062E-3</v>
      </c>
      <c r="V236" s="124">
        <f t="array" ref="V236">_xlfn.IFS((V$81*V$85)=0,"",V216=0,"",V216&gt;0,(V216/1000)/(V$81*V$85))</f>
        <v>1.2641680433222841E-3</v>
      </c>
      <c r="W236" s="124" t="str">
        <f t="array" ref="W236">_xlfn.IFS((W$81*W$85)=0,"",W216=0,"",W216&gt;0,(W216/1000)/(W$81*W$85))</f>
        <v/>
      </c>
      <c r="X236" s="124" t="str">
        <f t="array" ref="X236">_xlfn.IFS((X$81*X$85)=0,"",X216=0,"",X216&gt;0,(X216/1000)/(X$81*X$85))</f>
        <v/>
      </c>
      <c r="Y236" s="124" t="str">
        <f t="array" ref="Y236">_xlfn.IFS((Y$81*Y$85)=0,"",Y216=0,"",Y216&gt;0,(Y216/1000)/(Y$81*Y$85))</f>
        <v/>
      </c>
      <c r="Z236" s="124" t="str">
        <f t="array" ref="Z236">_xlfn.IFS((Z$81*Z$85)=0,"",Z216=0,"",Z216&gt;0,(Z216/1000)/(Z$81*Z$85))</f>
        <v/>
      </c>
      <c r="AA236" s="124" t="str">
        <f t="array" ref="AA236">_xlfn.IFS((AA$81*AA$85)=0,"",AA216=0,"",AA216&gt;0,(AA216/1000)/(AA$81*AA$85))</f>
        <v/>
      </c>
      <c r="AB236" s="124" t="str">
        <f t="array" ref="AB236">_xlfn.IFS((AB$81*AB$85)=0,"",AB216=0,"",AB216&gt;0,(AB216/1000)/(AB$81*AB$85))</f>
        <v/>
      </c>
      <c r="AC236" s="124" t="str">
        <f t="array" ref="AC236">_xlfn.IFS((AC$81*AC$85)=0,"",AC216=0,"",AC216&gt;0,(AC216/1000)/(AC$81*AC$85))</f>
        <v/>
      </c>
      <c r="AD236" s="124" t="str">
        <f t="array" ref="AD236">_xlfn.IFS((AD$81*AD$85)=0,"",AD216=0,"",AD216&gt;0,(AD216/1000)/(AD$81*AD$85))</f>
        <v/>
      </c>
      <c r="AE236" s="124" t="str">
        <f t="array" ref="AE236">_xlfn.IFS((AE$81*AE$85)=0,"",AE216=0,"",AE216&gt;0,(AE216/1000)/(AE$81*AE$85))</f>
        <v/>
      </c>
      <c r="AF236" s="124">
        <f t="array" ref="AF236">_xlfn.IFS((AF$81*AF$85)=0,"",AF216=0,"",AF216&gt;0,(AF216/1000)/(AF$81*AF$85))</f>
        <v>2.5873718684030545E-3</v>
      </c>
      <c r="AH236" s="124">
        <f t="shared" si="104"/>
        <v>2.5873718684030545E-3</v>
      </c>
      <c r="AI236" s="124">
        <f t="shared" si="105"/>
        <v>4.2186807929179403E-3</v>
      </c>
    </row>
    <row r="237" spans="1:35" x14ac:dyDescent="0.25">
      <c r="A237" t="s">
        <v>526</v>
      </c>
      <c r="B237" t="s">
        <v>120</v>
      </c>
      <c r="C237" t="s">
        <v>470</v>
      </c>
      <c r="D237" t="s">
        <v>512</v>
      </c>
      <c r="E237" s="123" t="str">
        <f t="array" ref="E237">_xlfn.IFS((E$81*E$85)=0,"",E217=0,"",E217&gt;0,(E217/1000)/(E$81*E$85))</f>
        <v/>
      </c>
      <c r="F237" s="124">
        <f t="array" ref="F237">_xlfn.IFS((F$81*F$85)=0,"",F217=0,"",F217&gt;0,(F217/1000)/(F$81*F$85))</f>
        <v>1.2282108297854618E-2</v>
      </c>
      <c r="G237" s="124" t="str">
        <f t="array" ref="G237">_xlfn.IFS((G$81*G$85)=0,"",G217=0,"",G217&gt;0,(G217/1000)/(G$81*G$85))</f>
        <v/>
      </c>
      <c r="H237" s="124">
        <f t="array" ref="H237">_xlfn.IFS((H$81*H$85)=0,"",H217=0,"",H217&gt;0,(H217/1000)/(H$81*H$85))</f>
        <v>14.866662749861606</v>
      </c>
      <c r="I237" s="124">
        <f t="array" ref="I237">_xlfn.IFS((I$81*I$85)=0,"",I217=0,"",I217&gt;0,(I217/1000)/(I$81*I$85))</f>
        <v>0.14320320641222986</v>
      </c>
      <c r="J237" s="124">
        <f t="array" ref="J237">_xlfn.IFS((J$81*J$85)=0,"",J217=0,"",J217&gt;0,(J217/1000)/(J$81*J$85))</f>
        <v>6.7475262188265788</v>
      </c>
      <c r="K237" s="124">
        <f t="array" ref="K237">_xlfn.IFS((K$81*K$85)=0,"",K217=0,"",K217&gt;0,(K217/1000)/(K$81*K$85))</f>
        <v>3.4684694324180607</v>
      </c>
      <c r="L237" s="124" t="str">
        <f t="array" ref="L237">_xlfn.IFS((L$81*L$85)=0,"",L217=0,"",L217&gt;0,(L217/1000)/(L$81*L$85))</f>
        <v/>
      </c>
      <c r="M237" s="124">
        <f t="array" ref="M237">_xlfn.IFS((M$81*M$85)=0,"",M217=0,"",M217&gt;0,(M217/1000)/(M$81*M$85))</f>
        <v>3.9734608611648135</v>
      </c>
      <c r="N237" s="124">
        <f t="array" ref="N237">_xlfn.IFS((N$81*N$85)=0,"",N217=0,"",N217&gt;0,(N217/1000)/(N$81*N$85))</f>
        <v>1.0020835810397613</v>
      </c>
      <c r="O237" s="124" t="str">
        <f t="array" ref="O237">_xlfn.IFS((O$81*O$85)=0,"",O217=0,"",O217&gt;0,(O217/1000)/(O$81*O$85))</f>
        <v/>
      </c>
      <c r="P237" s="124" cm="1">
        <f t="array" ref="P237">_xlfn.IFS((P$81*P$85)=0,"",P217=0,"",P217&gt;0,(P217/1000)/(P$81*P$85))</f>
        <v>2.255175776701642</v>
      </c>
      <c r="Q237" s="124">
        <f t="array" ref="Q237">_xlfn.IFS((Q$81*Q$85)=0,"",Q217=0,"",Q217&gt;0,(Q217/1000)/(Q$81*Q$85))</f>
        <v>1.2399352812513107</v>
      </c>
      <c r="R237" s="124">
        <f t="array" ref="R237">_xlfn.IFS((R$81*R$85)=0,"",R217=0,"",R217&gt;0,(R217/1000)/(R$81*R$85))</f>
        <v>1.597962112685968</v>
      </c>
      <c r="S237" s="124">
        <f t="array" ref="S237">_xlfn.IFS((S$81*S$85)=0,"",S217=0,"",S217&gt;0,(S217/1000)/(S$81*S$85))</f>
        <v>1.174138846781638</v>
      </c>
      <c r="T237" s="124">
        <f t="array" ref="T237">_xlfn.IFS((T$81*T$85)=0,"",T217=0,"",T217&gt;0,(T217/1000)/(T$81*T$85))</f>
        <v>0.49271030285328976</v>
      </c>
      <c r="U237" s="124">
        <f t="array" ref="U237">_xlfn.IFS((U$81*U$85)=0,"",U217=0,"",U217&gt;0,(U217/1000)/(U$81*U$85))</f>
        <v>0.92454461738770699</v>
      </c>
      <c r="V237" s="124">
        <f t="array" ref="V237">_xlfn.IFS((V$81*V$85)=0,"",V217=0,"",V217&gt;0,(V217/1000)/(V$81*V$85))</f>
        <v>0.69205299321624292</v>
      </c>
      <c r="W237" s="124">
        <f t="array" ref="W237">_xlfn.IFS((W$81*W$85)=0,"",W217=0,"",W217&gt;0,(W217/1000)/(W$81*W$85))</f>
        <v>19.746248490928988</v>
      </c>
      <c r="X237" s="124">
        <f t="array" ref="X237">_xlfn.IFS((X$81*X$85)=0,"",X217=0,"",X217&gt;0,(X217/1000)/(X$81*X$85))</f>
        <v>1.642582418689617</v>
      </c>
      <c r="Y237" s="124">
        <f t="array" ref="Y237">_xlfn.IFS((Y$81*Y$85)=0,"",Y217=0,"",Y217&gt;0,(Y217/1000)/(Y$81*Y$85))</f>
        <v>0.1788752242204599</v>
      </c>
      <c r="Z237" s="124">
        <f t="array" ref="Z237">_xlfn.IFS((Z$81*Z$85)=0,"",Z217=0,"",Z217&gt;0,(Z217/1000)/(Z$81*Z$85))</f>
        <v>1.7681795092550416</v>
      </c>
      <c r="AA237" s="124" t="str">
        <f t="array" ref="AA237">_xlfn.IFS((AA$81*AA$85)=0,"",AA217=0,"",AA217&gt;0,(AA217/1000)/(AA$81*AA$85))</f>
        <v/>
      </c>
      <c r="AB237" s="124" t="str">
        <f t="array" ref="AB237">_xlfn.IFS((AB$81*AB$85)=0,"",AB217=0,"",AB217&gt;0,(AB217/1000)/(AB$81*AB$85))</f>
        <v/>
      </c>
      <c r="AC237" s="124" t="str">
        <f t="array" ref="AC237">_xlfn.IFS((AC$81*AC$85)=0,"",AC217=0,"",AC217&gt;0,(AC217/1000)/(AC$81*AC$85))</f>
        <v/>
      </c>
      <c r="AD237" s="124">
        <f t="array" ref="AD237">_xlfn.IFS((AD$81*AD$85)=0,"",AD217=0,"",AD217&gt;0,(AD217/1000)/(AD$81*AD$85))</f>
        <v>2.0506552816865522</v>
      </c>
      <c r="AE237" s="124">
        <f t="array" ref="AE237">_xlfn.IFS((AE$81*AE$85)=0,"",AE217=0,"",AE217&gt;0,(AE217/1000)/(AE$81*AE$85))</f>
        <v>1.4076890336267136</v>
      </c>
      <c r="AF237" s="124">
        <f t="array" ref="AF237">_xlfn.IFS((AF$81*AF$85)=0,"",AF217=0,"",AF217&gt;0,(AF217/1000)/(AF$81*AF$85))</f>
        <v>0.30985526348361986</v>
      </c>
      <c r="AH237" s="124">
        <f t="shared" si="104"/>
        <v>2.255175776701642</v>
      </c>
      <c r="AI237" s="124">
        <f t="shared" si="105"/>
        <v>6.7475262188265788</v>
      </c>
    </row>
    <row r="238" spans="1:35" x14ac:dyDescent="0.25">
      <c r="A238" t="s">
        <v>526</v>
      </c>
      <c r="B238" t="s">
        <v>122</v>
      </c>
      <c r="C238" t="s">
        <v>470</v>
      </c>
      <c r="D238" t="s">
        <v>512</v>
      </c>
      <c r="E238" s="123" t="str">
        <f t="array" ref="E238">_xlfn.IFS((E$81*E$85)=0,"",E218=0,"",E218&gt;0,(E218/1000)/(E$81*E$85))</f>
        <v/>
      </c>
      <c r="F238" s="124" t="str">
        <f t="array" ref="F238">_xlfn.IFS((F$81*F$85)=0,"",F218=0,"",F218&gt;0,(F218/1000)/(F$81*F$85))</f>
        <v/>
      </c>
      <c r="G238" s="124" t="str">
        <f t="array" ref="G238">_xlfn.IFS((G$81*G$85)=0,"",G218=0,"",G218&gt;0,(G218/1000)/(G$81*G$85))</f>
        <v/>
      </c>
      <c r="H238" s="124">
        <f t="array" ref="H238">_xlfn.IFS((H$81*H$85)=0,"",H218=0,"",H218&gt;0,(H218/1000)/(H$81*H$85))</f>
        <v>4.3659238079328393</v>
      </c>
      <c r="I238" s="124">
        <f t="array" ref="I238">_xlfn.IFS((I$81*I$85)=0,"",I218=0,"",I218&gt;0,(I218/1000)/(I$81*I$85))</f>
        <v>0.21376375238271472</v>
      </c>
      <c r="J238" s="124" t="str">
        <f t="array" ref="J238">_xlfn.IFS((J$81*J$85)=0,"",J218=0,"",J218&gt;0,(J218/1000)/(J$81*J$85))</f>
        <v/>
      </c>
      <c r="K238" s="124" t="str">
        <f t="array" ref="K238">_xlfn.IFS((K$81*K$85)=0,"",K218=0,"",K218&gt;0,(K218/1000)/(K$81*K$85))</f>
        <v/>
      </c>
      <c r="L238" s="124" t="str">
        <f t="array" ref="L238">_xlfn.IFS((L$81*L$85)=0,"",L218=0,"",L218&gt;0,(L218/1000)/(L$81*L$85))</f>
        <v/>
      </c>
      <c r="M238" s="124">
        <f t="array" ref="M238">_xlfn.IFS((M$81*M$85)=0,"",M218=0,"",M218&gt;0,(M218/1000)/(M$81*M$85))</f>
        <v>2.2093059542288271</v>
      </c>
      <c r="N238" s="124">
        <f t="array" ref="N238">_xlfn.IFS((N$81*N$85)=0,"",N218=0,"",N218&gt;0,(N218/1000)/(N$81*N$85))</f>
        <v>2.3323179021343559</v>
      </c>
      <c r="O238" s="124" t="str">
        <f t="array" ref="O238">_xlfn.IFS((O$81*O$85)=0,"",O218=0,"",O218&gt;0,(O218/1000)/(O$81*O$85))</f>
        <v/>
      </c>
      <c r="P238" s="124">
        <f t="array" ref="P238">_xlfn.IFS((P$81*P$85)=0,"",P218=0,"",P218&gt;0,(P218/1000)/(P$81*P$85))</f>
        <v>0.72152890829124949</v>
      </c>
      <c r="Q238" s="124">
        <f t="array" ref="Q238">_xlfn.IFS((Q$81*Q$85)=0,"",Q218=0,"",Q218&gt;0,(Q218/1000)/(Q$81*Q$85))</f>
        <v>0.72669991075058649</v>
      </c>
      <c r="R238" s="124">
        <f t="array" ref="R238">_xlfn.IFS((R$81*R$85)=0,"",R218=0,"",R218&gt;0,(R218/1000)/(R$81*R$85))</f>
        <v>0.49179806352795774</v>
      </c>
      <c r="S238" s="124">
        <f t="array" ref="S238">_xlfn.IFS((S$81*S$85)=0,"",S218=0,"",S218&gt;0,(S218/1000)/(S$81*S$85))</f>
        <v>0.91371373763765384</v>
      </c>
      <c r="T238" s="124">
        <f t="array" ref="T238">_xlfn.IFS((T$81*T$85)=0,"",T218=0,"",T218&gt;0,(T218/1000)/(T$81*T$85))</f>
        <v>0.30444606592794293</v>
      </c>
      <c r="U238" s="124">
        <f t="array" ref="U238">_xlfn.IFS((U$81*U$85)=0,"",U218=0,"",U218&gt;0,(U218/1000)/(U$81*U$85))</f>
        <v>1.0040457429212264</v>
      </c>
      <c r="V238" s="124" t="str">
        <f t="array" ref="V238">_xlfn.IFS((V$81*V$85)=0,"",V218=0,"",V218&gt;0,(V218/1000)/(V$81*V$85))</f>
        <v/>
      </c>
      <c r="W238" s="124">
        <f t="array" ref="W238">_xlfn.IFS((W$81*W$85)=0,"",W218=0,"",W218&gt;0,(W218/1000)/(W$81*W$85))</f>
        <v>1.8414939499389777</v>
      </c>
      <c r="X238" s="124">
        <f t="array" ref="X238">_xlfn.IFS((X$81*X$85)=0,"",X218=0,"",X218&gt;0,(X218/1000)/(X$81*X$85))</f>
        <v>1.8555595627628485</v>
      </c>
      <c r="Y238" s="124">
        <f t="array" ref="Y238">_xlfn.IFS((Y$81*Y$85)=0,"",Y218=0,"",Y218&gt;0,(Y218/1000)/(Y$81*Y$85))</f>
        <v>0.12255484112274434</v>
      </c>
      <c r="Z238" s="124">
        <f t="array" ref="Z238">_xlfn.IFS((Z$81*Z$85)=0,"",Z218=0,"",Z218&gt;0,(Z218/1000)/(Z$81*Z$85))</f>
        <v>1.189675654153123</v>
      </c>
      <c r="AA238" s="124">
        <f t="array" ref="AA238">_xlfn.IFS((AA$81*AA$85)=0,"",AA218=0,"",AA218&gt;0,(AA218/1000)/(AA$81*AA$85))</f>
        <v>0.45901307112128875</v>
      </c>
      <c r="AB238" s="124">
        <f t="array" ref="AB238">_xlfn.IFS((AB$81*AB$85)=0,"",AB218=0,"",AB218&gt;0,(AB218/1000)/(AB$81*AB$85))</f>
        <v>1.7589106151460183</v>
      </c>
      <c r="AC238" s="124" t="str">
        <f t="array" ref="AC238">_xlfn.IFS((AC$81*AC$85)=0,"",AC218=0,"",AC218&gt;0,(AC218/1000)/(AC$81*AC$85))</f>
        <v/>
      </c>
      <c r="AD238" s="124">
        <f t="array" ref="AD238">_xlfn.IFS((AD$81*AD$85)=0,"",AD218=0,"",AD218&gt;0,(AD218/1000)/(AD$81*AD$85))</f>
        <v>3.0331488938979811</v>
      </c>
      <c r="AE238" s="124">
        <f t="array" ref="AE238">_xlfn.IFS((AE$81*AE$85)=0,"",AE218=0,"",AE218&gt;0,(AE218/1000)/(AE$81*AE$85))</f>
        <v>1.6077504149810748</v>
      </c>
      <c r="AF238" s="124">
        <f t="array" ref="AF238">_xlfn.IFS((AF$81*AF$85)=0,"",AF218=0,"",AF218&gt;0,(AF218/1000)/(AF$81*AF$85))</f>
        <v>7.5872931816684166E-3</v>
      </c>
      <c r="AH238" s="124">
        <f t="shared" si="104"/>
        <v>1.8485267563509131</v>
      </c>
      <c r="AI238" s="124">
        <f t="shared" si="105"/>
        <v>2.4724841004870806</v>
      </c>
    </row>
    <row r="239" spans="1:35" x14ac:dyDescent="0.25">
      <c r="A239" t="s">
        <v>526</v>
      </c>
      <c r="B239" t="s">
        <v>124</v>
      </c>
      <c r="C239" t="s">
        <v>470</v>
      </c>
      <c r="D239" t="s">
        <v>512</v>
      </c>
      <c r="E239" s="123" t="str">
        <f t="array" ref="E239">_xlfn.IFS((E$81*E$85)=0,"",E219=0,"",E219&gt;0,(E219/1000)/(E$81*E$85))</f>
        <v/>
      </c>
      <c r="F239" s="124">
        <f t="array" ref="F239">_xlfn.IFS((F$81*F$85)=0,"",F219=0,"",F219&gt;0,(F219/1000)/(F$81*F$85))</f>
        <v>4.5157218175112144</v>
      </c>
      <c r="G239" s="124" t="str">
        <f t="array" ref="G239">_xlfn.IFS((G$81*G$85)=0,"",G219=0,"",G219&gt;0,(G219/1000)/(G$81*G$85))</f>
        <v/>
      </c>
      <c r="H239" s="124">
        <f t="array" ref="H239">_xlfn.IFS((H$81*H$85)=0,"",H219=0,"",H219&gt;0,(H219/1000)/(H$81*H$85))</f>
        <v>1.2021270570067799</v>
      </c>
      <c r="I239" s="124">
        <f t="array" ref="I239">_xlfn.IFS((I$81*I$85)=0,"",I219=0,"",I219&gt;0,(I219/1000)/(I$81*I$85))</f>
        <v>2.8307502967044345</v>
      </c>
      <c r="J239" s="124">
        <f t="array" ref="J239">_xlfn.IFS((J$81*J$85)=0,"",J219=0,"",J219&gt;0,(J219/1000)/(J$81*J$85))</f>
        <v>7.7210884339648445</v>
      </c>
      <c r="K239" s="124">
        <f t="array" ref="K239">_xlfn.IFS((K$81*K$85)=0,"",K219=0,"",K219&gt;0,(K219/1000)/(K$81*K$85))</f>
        <v>0.25267812140927587</v>
      </c>
      <c r="L239" s="124" t="str">
        <f t="array" ref="L239">_xlfn.IFS((L$81*L$85)=0,"",L219=0,"",L219&gt;0,(L219/1000)/(L$81*L$85))</f>
        <v/>
      </c>
      <c r="M239" s="124">
        <f t="array" ref="M239">_xlfn.IFS((M$81*M$85)=0,"",M219=0,"",M219&gt;0,(M219/1000)/(M$81*M$85))</f>
        <v>11.578335473984628</v>
      </c>
      <c r="N239" s="124">
        <f t="array" ref="N239">_xlfn.IFS((N$81*N$85)=0,"",N219=0,"",N219&gt;0,(N219/1000)/(N$81*N$85))</f>
        <v>1.7766188929011704</v>
      </c>
      <c r="O239" s="124">
        <f t="array" ref="O239">_xlfn.IFS((O$81*O$85)=0,"",O219=0,"",O219&gt;0,(O219/1000)/(O$81*O$85))</f>
        <v>2.3709196511747268</v>
      </c>
      <c r="P239" s="124">
        <f t="array" ref="P239">_xlfn.IFS((P$81*P$85)=0,"",P219=0,"",P219&gt;0,(P219/1000)/(P$81*P$85))</f>
        <v>1.4297158502734078</v>
      </c>
      <c r="Q239" s="124">
        <f t="array" ref="Q239">_xlfn.IFS((Q$81*Q$85)=0,"",Q219=0,"",Q219&gt;0,(Q219/1000)/(Q$81*Q$85))</f>
        <v>1.4165808654589651</v>
      </c>
      <c r="R239" s="124">
        <f t="array" ref="R239">_xlfn.IFS((R$81*R$85)=0,"",R219=0,"",R219&gt;0,(R219/1000)/(R$81*R$85))</f>
        <v>2.2329341624303209</v>
      </c>
      <c r="S239" s="124">
        <f t="array" ref="S239">_xlfn.IFS((S$81*S$85)=0,"",S219=0,"",S219&gt;0,(S219/1000)/(S$81*S$85))</f>
        <v>0.63872379054265904</v>
      </c>
      <c r="T239" s="124">
        <f t="array" ref="T239">_xlfn.IFS((T$81*T$85)=0,"",T219=0,"",T219&gt;0,(T219/1000)/(T$81*T$85))</f>
        <v>1.4760887576462844</v>
      </c>
      <c r="U239" s="124">
        <f t="array" ref="U239">_xlfn.IFS((U$81*U$85)=0,"",U219=0,"",U219&gt;0,(U219/1000)/(U$81*U$85))</f>
        <v>0.72404214970314584</v>
      </c>
      <c r="V239" s="124">
        <f t="array" ref="V239">_xlfn.IFS((V$81*V$85)=0,"",V219=0,"",V219&gt;0,(V219/1000)/(V$81*V$85))</f>
        <v>13.006392913721321</v>
      </c>
      <c r="W239" s="124">
        <f t="array" ref="W239">_xlfn.IFS((W$81*W$85)=0,"",W219=0,"",W219&gt;0,(W219/1000)/(W$81*W$85))</f>
        <v>4.4914588935274793</v>
      </c>
      <c r="X239" s="124">
        <f t="array" ref="X239">_xlfn.IFS((X$81*X$85)=0,"",X219=0,"",X219&gt;0,(X219/1000)/(X$81*X$85))</f>
        <v>0.72097938035033571</v>
      </c>
      <c r="Y239" s="124">
        <f t="array" ref="Y239">_xlfn.IFS((Y$81*Y$85)=0,"",Y219=0,"",Y219&gt;0,(Y219/1000)/(Y$81*Y$85))</f>
        <v>0.34973481339330487</v>
      </c>
      <c r="Z239" s="124">
        <f t="array" ref="Z239">_xlfn.IFS((Z$81*Z$85)=0,"",Z219=0,"",Z219&gt;0,(Z219/1000)/(Z$81*Z$85))</f>
        <v>3.0102104113268875</v>
      </c>
      <c r="AA239" s="124" t="str">
        <f t="array" ref="AA239">_xlfn.IFS((AA$81*AA$85)=0,"",AA219=0,"",AA219&gt;0,(AA219/1000)/(AA$81*AA$85))</f>
        <v/>
      </c>
      <c r="AB239" s="124">
        <f t="array" ref="AB239">_xlfn.IFS((AB$81*AB$85)=0,"",AB219=0,"",AB219&gt;0,(AB219/1000)/(AB$81*AB$85))</f>
        <v>4.5294948431215145</v>
      </c>
      <c r="AC239" s="124" t="str">
        <f t="array" ref="AC239">_xlfn.IFS((AC$81*AC$85)=0,"",AC219=0,"",AC219&gt;0,(AC219/1000)/(AC$81*AC$85))</f>
        <v/>
      </c>
      <c r="AD239" s="124">
        <f t="array" ref="AD239">_xlfn.IFS((AD$81*AD$85)=0,"",AD219=0,"",AD219&gt;0,(AD219/1000)/(AD$81*AD$85))</f>
        <v>14.212887580561597</v>
      </c>
      <c r="AE239" s="124">
        <f t="array" ref="AE239">_xlfn.IFS((AE$81*AE$85)=0,"",AE219=0,"",AE219&gt;0,(AE219/1000)/(AE$81*AE$85))</f>
        <v>1.0189469455448628</v>
      </c>
      <c r="AF239" s="124">
        <f t="array" ref="AF239">_xlfn.IFS((AF$81*AF$85)=0,"",AF219=0,"",AF219&gt;0,(AF219/1000)/(AF$81*AF$85))</f>
        <v>2.5828614498757032</v>
      </c>
      <c r="AH239" s="124">
        <f t="shared" si="104"/>
        <v>4.5035903555193464</v>
      </c>
      <c r="AI239" s="124">
        <f t="shared" si="105"/>
        <v>10.806886065980674</v>
      </c>
    </row>
    <row r="240" spans="1:35" x14ac:dyDescent="0.25">
      <c r="A240" t="s">
        <v>526</v>
      </c>
      <c r="B240" t="s">
        <v>126</v>
      </c>
      <c r="C240" t="s">
        <v>470</v>
      </c>
      <c r="D240" t="s">
        <v>512</v>
      </c>
      <c r="E240" s="123" t="str">
        <f t="array" ref="E240">_xlfn.IFS((E$81*E$85)=0,"",E220=0,"",E220&gt;0,(E220/1000)/(E$81*E$85))</f>
        <v/>
      </c>
      <c r="F240" s="124" t="str">
        <f t="array" ref="F240">_xlfn.IFS((F$81*F$85)=0,"",F220=0,"",F220&gt;0,(F220/1000)/(F$81*F$85))</f>
        <v/>
      </c>
      <c r="G240" s="124" t="str">
        <f t="array" ref="G240">_xlfn.IFS((G$81*G$85)=0,"",G220=0,"",G220&gt;0,(G220/1000)/(G$81*G$85))</f>
        <v/>
      </c>
      <c r="H240" s="124">
        <f t="array" ref="H240">_xlfn.IFS((H$81*H$85)=0,"",H220=0,"",H220&gt;0,(H220/1000)/(H$81*H$85))</f>
        <v>12.904221403947576</v>
      </c>
      <c r="I240" s="124">
        <f t="array" ref="I240">_xlfn.IFS((I$81*I$85)=0,"",I220=0,"",I220&gt;0,(I220/1000)/(I$81*I$85))</f>
        <v>3.2928096408532594</v>
      </c>
      <c r="J240" s="124">
        <f t="array" ref="J240">_xlfn.IFS((J$81*J$85)=0,"",J220=0,"",J220&gt;0,(J220/1000)/(J$81*J$85))</f>
        <v>24.785381970466332</v>
      </c>
      <c r="K240" s="124">
        <f t="array" ref="K240">_xlfn.IFS((K$81*K$85)=0,"",K220=0,"",K220&gt;0,(K220/1000)/(K$81*K$85))</f>
        <v>26.956964767938651</v>
      </c>
      <c r="L240" s="124" t="str">
        <f t="array" ref="L240">_xlfn.IFS((L$81*L$85)=0,"",L220=0,"",L220&gt;0,(L220/1000)/(L$81*L$85))</f>
        <v/>
      </c>
      <c r="M240" s="124">
        <f t="array" ref="M240">_xlfn.IFS((M$81*M$85)=0,"",M220=0,"",M220&gt;0,(M220/1000)/(M$81*M$85))</f>
        <v>2.8858222451158584</v>
      </c>
      <c r="N240" s="124">
        <f t="array" ref="N240">_xlfn.IFS((N$81*N$85)=0,"",N220=0,"",N220&gt;0,(N220/1000)/(N$81*N$85))</f>
        <v>2.0859305410319626</v>
      </c>
      <c r="O240" s="124">
        <f t="array" ref="O240">_xlfn.IFS((O$81*O$85)=0,"",O220=0,"",O220&gt;0,(O220/1000)/(O$81*O$85))</f>
        <v>1.2888306186719989</v>
      </c>
      <c r="P240" s="124">
        <f t="array" ref="P240">_xlfn.IFS((P$81*P$85)=0,"",P220=0,"",P220&gt;0,(P220/1000)/(P$81*P$85))</f>
        <v>2.6670904674111</v>
      </c>
      <c r="Q240" s="124">
        <f t="array" ref="Q240">_xlfn.IFS((Q$81*Q$85)=0,"",Q220=0,"",Q220&gt;0,(Q220/1000)/(Q$81*Q$85))</f>
        <v>1.8399510612852559</v>
      </c>
      <c r="R240" s="124">
        <f t="array" ref="R240">_xlfn.IFS((R$81*R$85)=0,"",R220=0,"",R220&gt;0,(R220/1000)/(R$81*R$85))</f>
        <v>4.4170324580937761</v>
      </c>
      <c r="S240" s="124">
        <f t="array" ref="S240">_xlfn.IFS((S$81*S$85)=0,"",S220=0,"",S220&gt;0,(S220/1000)/(S$81*S$85))</f>
        <v>2.1041070683731755</v>
      </c>
      <c r="T240" s="124">
        <f t="array" ref="T240">_xlfn.IFS((T$81*T$85)=0,"",T220=0,"",T220&gt;0,(T220/1000)/(T$81*T$85))</f>
        <v>5.4549449141314179</v>
      </c>
      <c r="U240" s="124">
        <f t="array" ref="U240">_xlfn.IFS((U$81*U$85)=0,"",U220=0,"",U220&gt;0,(U220/1000)/(U$81*U$85))</f>
        <v>2.3957376647307238</v>
      </c>
      <c r="V240" s="124">
        <f t="array" ref="V240">_xlfn.IFS((V$81*V$85)=0,"",V220=0,"",V220&gt;0,(V220/1000)/(V$81*V$85))</f>
        <v>1.2857497525714818</v>
      </c>
      <c r="W240" s="124" t="str">
        <f t="array" ref="W240">_xlfn.IFS((W$81*W$85)=0,"",W220=0,"",W220&gt;0,(W220/1000)/(W$81*W$85))</f>
        <v/>
      </c>
      <c r="X240" s="124">
        <f t="array" ref="X240">_xlfn.IFS((X$81*X$85)=0,"",X220=0,"",X220&gt;0,(X220/1000)/(X$81*X$85))</f>
        <v>2.4480123315508906</v>
      </c>
      <c r="Y240" s="124" t="str" cm="1">
        <f t="array" ref="Y240">_xlfn.IFS((Y$81*Y$85)=0,"",Y220=0,"",Y220&gt;0,(Y220/1000)/(Y$81*Y$85))</f>
        <v/>
      </c>
      <c r="Z240" s="124">
        <f t="array" ref="Z240">_xlfn.IFS((Z$81*Z$85)=0,"",Z220=0,"",Z220&gt;0,(Z220/1000)/(Z$81*Z$85))</f>
        <v>7.0984628826119165</v>
      </c>
      <c r="AA240" s="124" t="str">
        <f t="array" ref="AA240">_xlfn.IFS((AA$81*AA$85)=0,"",AA220=0,"",AA220&gt;0,(AA220/1000)/(AA$81*AA$85))</f>
        <v/>
      </c>
      <c r="AB240" s="124" t="str">
        <f t="array" ref="AB240">_xlfn.IFS((AB$81*AB$85)=0,"",AB220=0,"",AB220&gt;0,(AB220/1000)/(AB$81*AB$85))</f>
        <v/>
      </c>
      <c r="AC240" s="124" t="str">
        <f t="array" ref="AC240">_xlfn.IFS((AC$81*AC$85)=0,"",AC220=0,"",AC220&gt;0,(AC220/1000)/(AC$81*AC$85))</f>
        <v/>
      </c>
      <c r="AD240" s="124">
        <f t="array" ref="AD240">_xlfn.IFS((AD$81*AD$85)=0,"",AD220=0,"",AD220&gt;0,(AD220/1000)/(AD$81*AD$85))</f>
        <v>3.3269587967799361</v>
      </c>
      <c r="AE240" s="124">
        <f t="array" ref="AE240">_xlfn.IFS((AE$81*AE$85)=0,"",AE220=0,"",AE220&gt;0,(AE220/1000)/(AE$81*AE$85))</f>
        <v>3.0451092612982924</v>
      </c>
      <c r="AF240" s="124">
        <f t="array" ref="AF240">_xlfn.IFS((AF$81*AF$85)=0,"",AF220=0,"",AF220&gt;0,(AF220/1000)/(AF$81*AF$85))</f>
        <v>2.8803194017694338</v>
      </c>
      <c r="AH240" s="124">
        <f t="shared" si="104"/>
        <v>4.935988686112597</v>
      </c>
      <c r="AI240" s="124">
        <f t="shared" si="105"/>
        <v>15.280453517251319</v>
      </c>
    </row>
    <row r="241" spans="1:35" x14ac:dyDescent="0.25">
      <c r="A241" t="s">
        <v>526</v>
      </c>
      <c r="B241" t="s">
        <v>128</v>
      </c>
      <c r="C241" t="s">
        <v>470</v>
      </c>
      <c r="D241" t="s">
        <v>512</v>
      </c>
      <c r="E241" s="123" t="str">
        <f t="array" ref="E241">_xlfn.IFS((E$81*E$85)=0,"",E221=0,"",E221&gt;0,(E221/1000)/(E$81*E$85))</f>
        <v/>
      </c>
      <c r="F241" s="124">
        <f t="array" ref="F241">_xlfn.IFS((F$81*F$85)=0,"",F221=0,"",F221&gt;0,(F221/1000)/(F$81*F$85))</f>
        <v>76.391500524322126</v>
      </c>
      <c r="G241" s="124" t="str">
        <f t="array" ref="G241">_xlfn.IFS((G$81*G$85)=0,"",G221=0,"",G221&gt;0,(G221/1000)/(G$81*G$85))</f>
        <v/>
      </c>
      <c r="H241" s="124">
        <f t="array" ref="H241">_xlfn.IFS((H$81*H$85)=0,"",H221=0,"",H221&gt;0,(H221/1000)/(H$81*H$85))</f>
        <v>0.935816728269808</v>
      </c>
      <c r="I241" s="124">
        <f t="array" ref="I241">_xlfn.IFS((I$81*I$85)=0,"",I221=0,"",I221&gt;0,(I221/1000)/(I$81*I$85))</f>
        <v>1.4654280198712495</v>
      </c>
      <c r="J241" s="124">
        <f t="array" ref="J241">_xlfn.IFS((J$81*J$85)=0,"",J221=0,"",J221&gt;0,(J221/1000)/(J$81*J$85))</f>
        <v>7.0368627130959585</v>
      </c>
      <c r="K241" s="124">
        <f>_xlfn.IFS((K$81*K$85)=0,"",K221=0,"",K221&gt;0,(K221/1000)/(K$81*K$85))</f>
        <v>8.3961998147972796</v>
      </c>
      <c r="L241" s="124" t="str">
        <f t="array" ref="L241">_xlfn.IFS((L$81*L$85)=0,"",L221=0,"",L221&gt;0,(L221/1000)/(L$81*L$85))</f>
        <v/>
      </c>
      <c r="M241" s="124">
        <f t="array" ref="M241">_xlfn.IFS((M$81*M$85)=0,"",M221=0,"",M221&gt;0,(M221/1000)/(M$81*M$85))</f>
        <v>1.5148188397516464</v>
      </c>
      <c r="N241" s="124">
        <f t="array" ref="N241">_xlfn.IFS((N$81*N$85)=0,"",N221=0,"",N221&gt;0,(N221/1000)/(N$81*N$85))</f>
        <v>7.0638600731140109</v>
      </c>
      <c r="O241" s="124">
        <f t="array" ref="O241">_xlfn.IFS((O$81*O$85)=0,"",O221=0,"",O221&gt;0,(O221/1000)/(O$81*O$85))</f>
        <v>5.4029533008067329E-2</v>
      </c>
      <c r="P241" s="124">
        <f t="array" ref="P241">_xlfn.IFS((P$81*P$85)=0,"",P221=0,"",P221&gt;0,(P221/1000)/(P$81*P$85))</f>
        <v>0.39754132259138958</v>
      </c>
      <c r="Q241" s="124">
        <f t="array" ref="Q241">_xlfn.IFS((Q$81*Q$85)=0,"",Q221=0,"",Q221&gt;0,(Q221/1000)/(Q$81*Q$85))</f>
        <v>1.6315949323181107</v>
      </c>
      <c r="R241" s="124">
        <f t="array" ref="R241">_xlfn.IFS((R$81*R$85)=0,"",R221=0,"",R221&gt;0,(R221/1000)/(R$81*R$85))</f>
        <v>1.9772495299598605</v>
      </c>
      <c r="S241" s="124">
        <f t="array" ref="S241">_xlfn.IFS((S$81*S$85)=0,"",S221=0,"",S221&gt;0,(S221/1000)/(S$81*S$85))</f>
        <v>2.2083308948140932</v>
      </c>
      <c r="T241" s="124">
        <f t="array" ref="T241">_xlfn.IFS((T$81*T$85)=0,"",T221=0,"",T221&gt;0,(T221/1000)/(T$81*T$85))</f>
        <v>2.8598019177326117</v>
      </c>
      <c r="U241" s="124">
        <f t="array" ref="U241">_xlfn.IFS((U$81*U$85)=0,"",U221=0,"",U221&gt;0,(U221/1000)/(U$81*U$85))</f>
        <v>2.4559686412499273</v>
      </c>
      <c r="V241" s="124">
        <f t="array" ref="V241">_xlfn.IFS((V$81*V$85)=0,"",V221=0,"",V221&gt;0,(V221/1000)/(V$81*V$85))</f>
        <v>7.1238988643380257</v>
      </c>
      <c r="W241" s="124" t="str">
        <f t="array" ref="W241">_xlfn.IFS((W$81*W$85)=0,"",W221=0,"",W221&gt;0,(W221/1000)/(W$81*W$85))</f>
        <v/>
      </c>
      <c r="X241" s="124">
        <f t="array" ref="X241">_xlfn.IFS((X$81*X$85)=0,"",X221=0,"",X221&gt;0,(X221/1000)/(X$81*X$85))</f>
        <v>0.78089151302800641</v>
      </c>
      <c r="Y241" s="124">
        <f t="array" ref="Y241">_xlfn.IFS((Y$81*Y$85)=0,"",Y221=0,"",Y221&gt;0,(Y221/1000)/(Y$81*Y$85))</f>
        <v>8.0352297581988008</v>
      </c>
      <c r="Z241" s="124">
        <f t="array" ref="Z241">_xlfn.IFS((Z$81*Z$85)=0,"",Z221=0,"",Z221&gt;0,(Z221/1000)/(Z$81*Z$85))</f>
        <v>4.1990367329578984</v>
      </c>
      <c r="AA241" s="124" t="str">
        <f t="array" ref="AA241">_xlfn.IFS((AA$81*AA$85)=0,"",AA221=0,"",AA221&gt;0,(AA221/1000)/(AA$81*AA$85))</f>
        <v/>
      </c>
      <c r="AB241" s="124">
        <f t="array" ref="AB241">_xlfn.IFS((AB$81*AB$85)=0,"",AB221=0,"",AB221&gt;0,(AB221/1000)/(AB$81*AB$85))</f>
        <v>28.858272215406611</v>
      </c>
      <c r="AC241" s="124" t="str">
        <f t="array" ref="AC241">_xlfn.IFS((AC$81*AC$85)=0,"",AC221=0,"",AC221&gt;0,(AC221/1000)/(AC$81*AC$85))</f>
        <v/>
      </c>
      <c r="AD241" s="124">
        <f t="array" ref="AD241">_xlfn.IFS((AD$81*AD$85)=0,"",AD221=0,"",AD221&gt;0,(AD221/1000)/(AD$81*AD$85))</f>
        <v>8.6496433696149122</v>
      </c>
      <c r="AE241" s="124">
        <f t="array" ref="AE241">_xlfn.IFS((AE$81*AE$85)=0,"",AE221=0,"",AE221&gt;0,(AE221/1000)/(AE$81*AE$85))</f>
        <v>0.68922728054651095</v>
      </c>
      <c r="AF241" s="124">
        <f t="array" ref="AF241">_xlfn.IFS((AF$81*AF$85)=0,"",AF221=0,"",AF221&gt;0,(AF221/1000)/(AF$81*AF$85))</f>
        <v>10.697454132182225</v>
      </c>
      <c r="AH241" s="124">
        <f t="shared" si="104"/>
        <v>7.807397034733607</v>
      </c>
      <c r="AI241" s="124">
        <f t="shared" si="105"/>
        <v>10.492673055925497</v>
      </c>
    </row>
    <row r="242" spans="1:35" x14ac:dyDescent="0.25">
      <c r="A242" t="s">
        <v>526</v>
      </c>
      <c r="B242" t="s">
        <v>130</v>
      </c>
      <c r="C242" t="s">
        <v>470</v>
      </c>
      <c r="D242" t="s">
        <v>512</v>
      </c>
      <c r="E242" s="123" t="str">
        <f t="array" ref="E242">_xlfn.IFS((E$81*E$85)=0,"",E222=0,"",E222&gt;0,(E222/1000)/(E$81*E$85))</f>
        <v/>
      </c>
      <c r="F242" s="124" t="str">
        <f t="array" ref="F242">_xlfn.IFS((F$81*F$85)=0,"",F222=0,"",F222&gt;0,(F222/1000)/(F$81*F$85))</f>
        <v/>
      </c>
      <c r="G242" s="124" t="str">
        <f t="array" ref="G242">_xlfn.IFS((G$81*G$85)=0,"",G222=0,"",G222&gt;0,(G222/1000)/(G$81*G$85))</f>
        <v/>
      </c>
      <c r="H242" s="124" t="str">
        <f t="array" ref="H242">_xlfn.IFS((H$81*H$85)=0,"",H222=0,"",H222&gt;0,(H222/1000)/(H$81*H$85))</f>
        <v/>
      </c>
      <c r="I242" s="124" t="str">
        <f t="array" ref="I242">_xlfn.IFS((I$81*I$85)=0,"",I222=0,"",I222&gt;0,(I222/1000)/(I$81*I$85))</f>
        <v/>
      </c>
      <c r="J242" s="124">
        <f t="array" ref="J242">_xlfn.IFS((J$81*J$85)=0,"",J222=0,"",J222&gt;0,(J222/1000)/(J$81*J$85))</f>
        <v>10.240474684866253</v>
      </c>
      <c r="K242" s="124" t="str">
        <f t="array" ref="K242">_xlfn.IFS((K$81*K$85)=0,"",K222=0,"",K222&gt;0,(K222/1000)/(K$81*K$85))</f>
        <v/>
      </c>
      <c r="L242" s="124" t="str">
        <f t="array" ref="L242">_xlfn.IFS((L$81*L$85)=0,"",L222=0,"",L222&gt;0,(L222/1000)/(L$81*L$85))</f>
        <v/>
      </c>
      <c r="M242" s="124" t="str">
        <f t="array" ref="M242">_xlfn.IFS((M$81*M$85)=0,"",M222=0,"",M222&gt;0,(M222/1000)/(M$81*M$85))</f>
        <v/>
      </c>
      <c r="N242" s="124">
        <f t="array" ref="N242">_xlfn.IFS((N$81*N$85)=0,"",N222=0,"",N222&gt;0,(N222/1000)/(N$81*N$85))</f>
        <v>5.9116915875870825E-3</v>
      </c>
      <c r="O242" s="124" t="str">
        <f t="array" ref="O242">_xlfn.IFS((O$81*O$85)=0,"",O222=0,"",O222&gt;0,(O222/1000)/(O$81*O$85))</f>
        <v/>
      </c>
      <c r="P242" s="124">
        <f t="array" ref="P242">_xlfn.IFS((P$81*P$85)=0,"",P222=0,"",P222&gt;0,(P222/1000)/(P$81*P$85))</f>
        <v>0.22955500725759981</v>
      </c>
      <c r="Q242" s="124">
        <f t="array" ref="Q242">_xlfn.IFS((Q$81*Q$85)=0,"",Q222=0,"",Q222&gt;0,(Q222/1000)/(Q$81*Q$85))</f>
        <v>1.2686407817739085</v>
      </c>
      <c r="R242" s="124">
        <f t="array" ref="R242">_xlfn.IFS((R$81*R$85)=0,"",R222=0,"",R222&gt;0,(R222/1000)/(R$81*R$85))</f>
        <v>1.0684625837044394E-3</v>
      </c>
      <c r="S242" s="124">
        <f t="array" ref="S242">_xlfn.IFS((S$81*S$85)=0,"",S222=0,"",S222&gt;0,(S222/1000)/(S$81*S$85))</f>
        <v>0.37641154292661705</v>
      </c>
      <c r="T242" s="124">
        <f t="array" ref="T242">_xlfn.IFS((T$81*T$85)=0,"",T222=0,"",T222&gt;0,(T222/1000)/(T$81*T$85))</f>
        <v>0.4108034932381579</v>
      </c>
      <c r="U242" s="124">
        <f t="array" ref="U242">_xlfn.IFS((U$81*U$85)=0,"",U222=0,"",U222&gt;0,(U222/1000)/(U$81*U$85))</f>
        <v>0.108419561651177</v>
      </c>
      <c r="V242" s="124" t="str">
        <f t="array" ref="V242">_xlfn.IFS((V$81*V$85)=0,"",V222=0,"",V222&gt;0,(V222/1000)/(V$81*V$85))</f>
        <v/>
      </c>
      <c r="W242" s="124" t="str">
        <f t="array" ref="W242">_xlfn.IFS((W$81*W$85)=0,"",W222=0,"",W222&gt;0,(W222/1000)/(W$81*W$85))</f>
        <v/>
      </c>
      <c r="X242" s="124" t="str">
        <f t="array" ref="X242">_xlfn.IFS((X$81*X$85)=0,"",X222=0,"",X222&gt;0,(X222/1000)/(X$81*X$85))</f>
        <v/>
      </c>
      <c r="Y242" s="124" t="str">
        <f t="array" ref="Y242">_xlfn.IFS((Y$81*Y$85)=0,"",Y222=0,"",Y222&gt;0,(Y222/1000)/(Y$81*Y$85))</f>
        <v/>
      </c>
      <c r="Z242" s="124" t="str">
        <f t="array" ref="Z242">_xlfn.IFS((Z$81*Z$85)=0,"",Z222=0,"",Z222&gt;0,(Z222/1000)/(Z$81*Z$85))</f>
        <v/>
      </c>
      <c r="AA242" s="124" t="str">
        <f t="array" ref="AA242">_xlfn.IFS((AA$81*AA$85)=0,"",AA222=0,"",AA222&gt;0,(AA222/1000)/(AA$81*AA$85))</f>
        <v/>
      </c>
      <c r="AB242" s="124" t="str">
        <f t="array" ref="AB242">_xlfn.IFS((AB$81*AB$85)=0,"",AB222=0,"",AB222&gt;0,(AB222/1000)/(AB$81*AB$85))</f>
        <v/>
      </c>
      <c r="AC242" s="124" t="str">
        <f t="array" ref="AC242">_xlfn.IFS((AC$81*AC$85)=0,"",AC222=0,"",AC222&gt;0,(AC222/1000)/(AC$81*AC$85))</f>
        <v/>
      </c>
      <c r="AD242" s="124">
        <f t="array" ref="AD242">_xlfn.IFS((AD$81*AD$85)=0,"",AD222=0,"",AD222&gt;0,(AD222/1000)/(AD$81*AD$85))</f>
        <v>4.8418281491905546</v>
      </c>
      <c r="AE242" s="124">
        <f t="array" ref="AE242">_xlfn.IFS((AE$81*AE$85)=0,"",AE222=0,"",AE222&gt;0,(AE222/1000)/(AE$81*AE$85))</f>
        <v>4.9162840759463455E-3</v>
      </c>
      <c r="AF242" s="124">
        <f t="array" ref="AF242">_xlfn.IFS((AF$81*AF$85)=0,"",AF222=0,"",AF222&gt;0,(AF222/1000)/(AF$81*AF$85))</f>
        <v>0.25618477945661056</v>
      </c>
      <c r="AH242" s="124">
        <f t="shared" si="104"/>
        <v>0.83972213750603319</v>
      </c>
      <c r="AI242" s="124">
        <f t="shared" si="105"/>
        <v>4.8418281491905546</v>
      </c>
    </row>
    <row r="243" spans="1:35" x14ac:dyDescent="0.25">
      <c r="A243" t="s">
        <v>526</v>
      </c>
      <c r="B243" t="s">
        <v>132</v>
      </c>
      <c r="C243" t="s">
        <v>470</v>
      </c>
      <c r="D243" t="s">
        <v>512</v>
      </c>
      <c r="E243" s="123" t="str">
        <f t="array" ref="E243">_xlfn.IFS((E$81*E$85)=0,"",E223=0,"",E223&gt;0,(E223/1000)/(E$81*E$85))</f>
        <v/>
      </c>
      <c r="F243" s="124" t="str">
        <f t="array" ref="F243">_xlfn.IFS((F$81*F$85)=0,"",F223=0,"",F223&gt;0,(F223/1000)/(F$81*F$85))</f>
        <v/>
      </c>
      <c r="G243" s="124" t="str">
        <f t="array" ref="G243">_xlfn.IFS((G$81*G$85)=0,"",G223=0,"",G223&gt;0,(G223/1000)/(G$81*G$85))</f>
        <v/>
      </c>
      <c r="H243" s="124" t="str">
        <f t="array" ref="H243">_xlfn.IFS((H$81*H$85)=0,"",H223=0,"",H223&gt;0,(H223/1000)/(H$81*H$85))</f>
        <v/>
      </c>
      <c r="I243" s="124">
        <f t="array" ref="I243">_xlfn.IFS((I$81*I$85)=0,"",I223=0,"",I223&gt;0,(I223/1000)/(I$81*I$85))</f>
        <v>6.9403815708673601E-3</v>
      </c>
      <c r="J243" s="124">
        <f t="array" ref="J243">_xlfn.IFS((J$81*J$85)=0,"",J223=0,"",J223&gt;0,(J223/1000)/(J$81*J$85))</f>
        <v>1.1798059489875323</v>
      </c>
      <c r="K243" s="124">
        <f t="array" ref="K243">_xlfn.IFS((K$81*K$85)=0,"",K223=0,"",K223&gt;0,(K223/1000)/(K$81*K$85))</f>
        <v>5.8547369594832226</v>
      </c>
      <c r="L243" s="124" t="str">
        <f t="array" ref="L243">_xlfn.IFS((L$81*L$85)=0,"",L223=0,"",L223&gt;0,(L223/1000)/(L$81*L$85))</f>
        <v/>
      </c>
      <c r="M243" s="124">
        <f t="array" ref="M243">_xlfn.IFS((M$81*M$85)=0,"",M223=0,"",M223&gt;0,(M223/1000)/(M$81*M$85))</f>
        <v>8.3715825967138849E-2</v>
      </c>
      <c r="N243" s="124" t="str">
        <f t="array" ref="N243">_xlfn.IFS((N$81*N$85)=0,"",N223=0,"",N223&gt;0,(N223/1000)/(N$81*N$85))</f>
        <v/>
      </c>
      <c r="O243" s="124">
        <f t="array" ref="O243">_xlfn.IFS((O$81*O$85)=0,"",O223=0,"",O223&gt;0,(O223/1000)/(O$81*O$85))</f>
        <v>6.551406831343777E-2</v>
      </c>
      <c r="P243" s="124">
        <f t="array" ref="P243">_xlfn.IFS((P$81*P$85)=0,"",P223=0,"",P223&gt;0,(P223/1000)/(P$81*P$85))</f>
        <v>5.2961012425677099E-3</v>
      </c>
      <c r="Q243" s="124">
        <f t="array" ref="Q243">_xlfn.IFS((Q$81*Q$85)=0,"",Q223=0,"",Q223&gt;0,(Q223/1000)/(Q$81*Q$85))</f>
        <v>5.0768405882941209E-3</v>
      </c>
      <c r="R243" s="124">
        <f t="array" ref="R243">_xlfn.IFS((R$81*R$85)=0,"",R223=0,"",R223&gt;0,(R223/1000)/(R$81*R$85))</f>
        <v>1.724803885122881E-2</v>
      </c>
      <c r="S243" s="124">
        <f t="array" ref="S243">_xlfn.IFS((S$81*S$85)=0,"",S223=0,"",S223&gt;0,(S223/1000)/(S$81*S$85))</f>
        <v>5.4678627523727635E-3</v>
      </c>
      <c r="T243" s="124">
        <f t="array" ref="T243">_xlfn.IFS((T$81*T$85)=0,"",T223=0,"",T223&gt;0,(T223/1000)/(T$81*T$85))</f>
        <v>0.10105887358848141</v>
      </c>
      <c r="U243" s="124">
        <f t="array" ref="U243">_xlfn.IFS((U$81*U$85)=0,"",U223=0,"",U223&gt;0,(U223/1000)/(U$81*U$85))</f>
        <v>0.14307843512189777</v>
      </c>
      <c r="V243" s="124">
        <f t="array" ref="V243">_xlfn.IFS((V$81*V$85)=0,"",V223=0,"",V223&gt;0,(V223/1000)/(V$81*V$85))</f>
        <v>0.26073465893522108</v>
      </c>
      <c r="W243" s="124" t="str">
        <f t="array" ref="W243">_xlfn.IFS((W$81*W$85)=0,"",W223=0,"",W223&gt;0,(W223/1000)/(W$81*W$85))</f>
        <v/>
      </c>
      <c r="X243" s="124">
        <f t="array" ref="X243">_xlfn.IFS((X$81*X$85)=0,"",X223=0,"",X223&gt;0,(X223/1000)/(X$81*X$85))</f>
        <v>0.16344905048068917</v>
      </c>
      <c r="Y243" s="124">
        <f t="array" ref="Y243">_xlfn.IFS((Y$81*Y$85)=0,"",Y223=0,"",Y223&gt;0,(Y223/1000)/(Y$81*Y$85))</f>
        <v>1.6875021152873578E-3</v>
      </c>
      <c r="Z243" s="124">
        <f t="array" ref="Z243">_xlfn.IFS((Z$81*Z$85)=0,"",Z223=0,"",Z223&gt;0,(Z223/1000)/(Z$81*Z$85))</f>
        <v>1.2007091981359944E-2</v>
      </c>
      <c r="AA243" s="124" t="str">
        <f t="array" ref="AA243">_xlfn.IFS((AA$81*AA$85)=0,"",AA223=0,"",AA223&gt;0,(AA223/1000)/(AA$81*AA$85))</f>
        <v/>
      </c>
      <c r="AB243" s="124">
        <f t="array" ref="AB243">_xlfn.IFS((AB$81*AB$85)=0,"",AB223=0,"",AB223&gt;0,(AB223/1000)/(AB$81*AB$85))</f>
        <v>3.8572601209342507E-2</v>
      </c>
      <c r="AC243" s="124" t="str">
        <f t="array" ref="AC243">_xlfn.IFS((AC$81*AC$85)=0,"",AC223=0,"",AC223&gt;0,(AC223/1000)/(AC$81*AC$85))</f>
        <v/>
      </c>
      <c r="AD243" s="124">
        <f t="array" ref="AD243">_xlfn.IFS((AD$81*AD$85)=0,"",AD223=0,"",AD223&gt;0,(AD223/1000)/(AD$81*AD$85))</f>
        <v>1.0431974025654669E-2</v>
      </c>
      <c r="AE243" s="124">
        <f t="array" ref="AE243">_xlfn.IFS((AE$81*AE$85)=0,"",AE223=0,"",AE223&gt;0,(AE223/1000)/(AE$81*AE$85))</f>
        <v>5.535526665937885E-2</v>
      </c>
      <c r="AF243" s="124">
        <f t="array" ref="AF243">_xlfn.IFS((AF$81*AF$85)=0,"",AF223=0,"",AF223&gt;0,(AF223/1000)/(AF$81*AF$85))</f>
        <v>3.181768108441594E-3</v>
      </c>
      <c r="AH243" s="124">
        <f t="shared" si="104"/>
        <v>0.1220686543551896</v>
      </c>
      <c r="AI243" s="124">
        <f t="shared" si="105"/>
        <v>0.44454891694568266</v>
      </c>
    </row>
    <row r="244" spans="1:35" x14ac:dyDescent="0.25">
      <c r="A244" t="s">
        <v>526</v>
      </c>
      <c r="B244" t="s">
        <v>134</v>
      </c>
      <c r="C244" t="s">
        <v>470</v>
      </c>
      <c r="D244" t="s">
        <v>512</v>
      </c>
      <c r="E244" s="123" t="str">
        <f t="array" ref="E244">_xlfn.IFS((E$81*E$85)=0,"",E224=0,"",E224&gt;0,(E224/1000)/(E$81*E$85))</f>
        <v/>
      </c>
      <c r="F244" s="124">
        <f t="array" ref="F244">_xlfn.IFS((F$81*F$85)=0,"",F224=0,"",F224&gt;0,(F224/1000)/(F$81*F$85))</f>
        <v>2.3765879556348684</v>
      </c>
      <c r="G244" s="124" t="str">
        <f t="array" ref="G244">_xlfn.IFS((G$81*G$85)=0,"",G224=0,"",G224&gt;0,(G224/1000)/(G$81*G$85))</f>
        <v/>
      </c>
      <c r="H244" s="124">
        <f t="array" ref="H244">_xlfn.IFS((H$81*H$85)=0,"",H224=0,"",H224&gt;0,(H224/1000)/(H$81*H$85))</f>
        <v>0.10455075470014277</v>
      </c>
      <c r="I244" s="124">
        <f t="array" ref="I244">_xlfn.IFS((I$81*I$85)=0,"",I224=0,"",I224&gt;0,(I224/1000)/(I$81*I$85))</f>
        <v>0.19456203003664835</v>
      </c>
      <c r="J244" s="124">
        <f t="array" ref="J244">_xlfn.IFS((J$81*J$85)=0,"",J224=0,"",J224&gt;0,(J224/1000)/(J$81*J$85))</f>
        <v>4.8987906629732736</v>
      </c>
      <c r="K244" s="124">
        <f t="array" ref="K244">_xlfn.IFS((K$81*K$85)=0,"",K224=0,"",K224&gt;0,(K224/1000)/(K$81*K$85))</f>
        <v>14.011926264295846</v>
      </c>
      <c r="L244" s="124" t="str">
        <f t="array" ref="L244">_xlfn.IFS((L$81*L$85)=0,"",L224=0,"",L224&gt;0,(L224/1000)/(L$81*L$85))</f>
        <v/>
      </c>
      <c r="M244" s="124">
        <f t="array" ref="M244">_xlfn.IFS((M$81*M$85)=0,"",M224=0,"",M224&gt;0,(M224/1000)/(M$81*M$85))</f>
        <v>0.40886466538899552</v>
      </c>
      <c r="N244" s="124">
        <f t="array" ref="N244">_xlfn.IFS((N$81*N$85)=0,"",N224=0,"",N224&gt;0,(N224/1000)/(N$81*N$85))</f>
        <v>1.9083355300281105E-2</v>
      </c>
      <c r="O244" s="124">
        <f t="array" ref="O244">_xlfn.IFS((O$81*O$85)=0,"",O224=0,"",O224&gt;0,(O224/1000)/(O$81*O$85))</f>
        <v>0.17516393001698097</v>
      </c>
      <c r="P244" s="124">
        <f t="array" ref="P244">_xlfn.IFS((P$81*P$85)=0,"",P224=0,"",P224&gt;0,(P224/1000)/(P$81*P$85))</f>
        <v>5.8038488738363973E-2</v>
      </c>
      <c r="Q244" s="124">
        <f t="array" ref="Q244">_xlfn.IFS((Q$81*Q$85)=0,"",Q224=0,"",Q224&gt;0,(Q224/1000)/(Q$81*Q$85))</f>
        <v>0.15935111323164303</v>
      </c>
      <c r="R244" s="124">
        <f t="array" ref="R244">_xlfn.IFS((R$81*R$85)=0,"",R224=0,"",R224&gt;0,(R224/1000)/(R$81*R$85))</f>
        <v>0.1285207850684483</v>
      </c>
      <c r="S244" s="124">
        <f t="array" ref="S244">_xlfn.IFS((S$81*S$85)=0,"",S224=0,"",S224&gt;0,(S224/1000)/(S$81*S$85))</f>
        <v>1.4661614282911038E-2</v>
      </c>
      <c r="T244" s="124">
        <f t="array" ref="T244">_xlfn.IFS((T$81*T$85)=0,"",T224=0,"",T224&gt;0,(T224/1000)/(T$81*T$85))</f>
        <v>0.32586105388661618</v>
      </c>
      <c r="U244" s="124">
        <f t="array" ref="U244">_xlfn.IFS((U$81*U$85)=0,"",U224=0,"",U224&gt;0,(U224/1000)/(U$81*U$85))</f>
        <v>7.2089670457817959E-2</v>
      </c>
      <c r="V244" s="124">
        <f t="array" ref="V244">_xlfn.IFS((V$81*V$85)=0,"",V224=0,"",V224&gt;0,(V224/1000)/(V$81*V$85))</f>
        <v>1.4564796069126866</v>
      </c>
      <c r="W244" s="124">
        <f t="array" ref="W244">_xlfn.IFS((W$81*W$85)=0,"",W224=0,"",W224&gt;0,(W224/1000)/(W$81*W$85))</f>
        <v>1.0304167664997912</v>
      </c>
      <c r="X244" s="124">
        <f t="array" ref="X244">_xlfn.IFS((X$81*X$85)=0,"",X224=0,"",X224&gt;0,(X224/1000)/(X$81*X$85))</f>
        <v>0.48051763222715843</v>
      </c>
      <c r="Y244" s="124">
        <f t="array" ref="Y244">_xlfn.IFS((Y$81*Y$85)=0,"",Y224=0,"",Y224&gt;0,(Y224/1000)/(Y$81*Y$85))</f>
        <v>9.9773562566365021E-2</v>
      </c>
      <c r="Z244" s="124">
        <f t="array" ref="Z244">_xlfn.IFS((Z$81*Z$85)=0,"",Z224=0,"",Z224&gt;0,(Z224/1000)/(Z$81*Z$85))</f>
        <v>6.1658039904280787E-2</v>
      </c>
      <c r="AA244" s="124">
        <f t="array" ref="AA244">_xlfn.IFS((AA$81*AA$85)=0,"",AA224=0,"",AA224&gt;0,(AA224/1000)/(AA$81*AA$85))</f>
        <v>0.14300807238045485</v>
      </c>
      <c r="AB244" s="124">
        <f t="array" ref="AB244">_xlfn.IFS((AB$81*AB$85)=0,"",AB224=0,"",AB224&gt;0,(AB224/1000)/(AB$81*AB$85))</f>
        <v>0.66644883200586225</v>
      </c>
      <c r="AC244" s="124" t="str">
        <f t="array" ref="AC244">_xlfn.IFS((AC$81*AC$85)=0,"",AC224=0,"",AC224&gt;0,(AC224/1000)/(AC$81*AC$85))</f>
        <v/>
      </c>
      <c r="AD244" s="124">
        <f t="array" ref="AD244">_xlfn.IFS((AD$81*AD$85)=0,"",AD224=0,"",AD224&gt;0,(AD224/1000)/(AD$81*AD$85))</f>
        <v>0.25505890423968108</v>
      </c>
      <c r="AE244" s="124">
        <f t="array" ref="AE244">_xlfn.IFS((AE$81*AE$85)=0,"",AE224=0,"",AE224&gt;0,(AE224/1000)/(AE$81*AE$85))</f>
        <v>7.4685677238844487E-3</v>
      </c>
      <c r="AF244" s="124">
        <f t="array" ref="AF244">_xlfn.IFS((AF$81*AF$85)=0,"",AF224=0,"",AF224&gt;0,(AF224/1000)/(AF$81*AF$85))</f>
        <v>0.12709590191412301</v>
      </c>
      <c r="AH244" s="124">
        <f t="shared" si="104"/>
        <v>0.52700043217183434</v>
      </c>
      <c r="AI244" s="124">
        <f t="shared" si="105"/>
        <v>2.1005554510182129</v>
      </c>
    </row>
    <row r="245" spans="1:35" x14ac:dyDescent="0.25">
      <c r="A245" t="s">
        <v>526</v>
      </c>
      <c r="B245" t="s">
        <v>1701</v>
      </c>
      <c r="C245" t="s">
        <v>470</v>
      </c>
      <c r="D245" t="s">
        <v>512</v>
      </c>
      <c r="E245" s="123" t="str">
        <f t="array" ref="E245">_xlfn.IFS((E$81*E$85)=0,"",E225=0,"",E225&gt;0,(E225/1000)/(E$81*E$85))</f>
        <v/>
      </c>
      <c r="F245" s="124" t="str">
        <f t="array" ref="F245">_xlfn.IFS((F$81*F$85)=0,"",F225=0,"",F225&gt;0,(F225/1000)/(F$81*F$85))</f>
        <v/>
      </c>
      <c r="G245" s="124" t="str">
        <f t="array" ref="G245">_xlfn.IFS((G$81*G$85)=0,"",G225=0,"",G225&gt;0,(G225/1000)/(G$81*G$85))</f>
        <v/>
      </c>
      <c r="H245" s="124" t="str">
        <f t="array" ref="H245">_xlfn.IFS((H$81*H$85)=0,"",H225=0,"",H225&gt;0,(H225/1000)/(H$81*H$85))</f>
        <v/>
      </c>
      <c r="I245" s="124" t="str">
        <f t="array" ref="I245">_xlfn.IFS((I$81*I$85)=0,"",I225=0,"",I225&gt;0,(I225/1000)/(I$81*I$85))</f>
        <v/>
      </c>
      <c r="J245" s="124" t="str">
        <f t="array" ref="J245">_xlfn.IFS((J$81*J$85)=0,"",J225=0,"",J225&gt;0,(J225/1000)/(J$81*J$85))</f>
        <v/>
      </c>
      <c r="K245" s="124" t="str">
        <f t="array" ref="K245">_xlfn.IFS((K$81*K$85)=0,"",K225=0,"",K225&gt;0,(K225/1000)/(K$81*K$85))</f>
        <v/>
      </c>
      <c r="L245" s="124" t="str">
        <f t="array" ref="L245">_xlfn.IFS((L$81*L$85)=0,"",L225=0,"",L225&gt;0,(L225/1000)/(L$81*L$85))</f>
        <v/>
      </c>
      <c r="M245" s="124" t="str">
        <f t="array" ref="M245">_xlfn.IFS((M$81*M$85)=0,"",M225=0,"",M225&gt;0,(M225/1000)/(M$81*M$85))</f>
        <v/>
      </c>
      <c r="N245" s="124" t="str">
        <f t="array" ref="N245">_xlfn.IFS((N$81*N$85)=0,"",N225=0,"",N225&gt;0,(N225/1000)/(N$81*N$85))</f>
        <v/>
      </c>
      <c r="O245" s="124" t="str">
        <f t="array" ref="O245">_xlfn.IFS((O$81*O$85)=0,"",O225=0,"",O225&gt;0,(O225/1000)/(O$81*O$85))</f>
        <v/>
      </c>
      <c r="P245" s="124" t="str">
        <f t="array" ref="P245">_xlfn.IFS((P$81*P$85)=0,"",P225=0,"",P225&gt;0,(P225/1000)/(P$81*P$85))</f>
        <v/>
      </c>
      <c r="Q245" s="124" t="str">
        <f t="array" ref="Q245">_xlfn.IFS((Q$81*Q$85)=0,"",Q225=0,"",Q225&gt;0,(Q225/1000)/(Q$81*Q$85))</f>
        <v/>
      </c>
      <c r="R245" s="124" t="str">
        <f t="array" ref="R245">_xlfn.IFS((R$81*R$85)=0,"",R225=0,"",R225&gt;0,(R225/1000)/(R$81*R$85))</f>
        <v/>
      </c>
      <c r="S245" s="124" t="str">
        <f t="array" ref="S245">_xlfn.IFS((S$81*S$85)=0,"",S225=0,"",S225&gt;0,(S225/1000)/(S$81*S$85))</f>
        <v/>
      </c>
      <c r="T245" s="124" t="str">
        <f t="array" ref="T245">_xlfn.IFS((T$81*T$85)=0,"",T225=0,"",T225&gt;0,(T225/1000)/(T$81*T$85))</f>
        <v/>
      </c>
      <c r="U245" s="124" t="str">
        <f t="array" ref="U245">_xlfn.IFS((U$81*U$85)=0,"",U225=0,"",U225&gt;0,(U225/1000)/(U$81*U$85))</f>
        <v/>
      </c>
      <c r="V245" s="124" t="str">
        <f t="array" ref="V245">_xlfn.IFS((V$81*V$85)=0,"",V225=0,"",V225&gt;0,(V225/1000)/(V$81*V$85))</f>
        <v/>
      </c>
      <c r="W245" s="124" t="str">
        <f t="array" ref="W245">_xlfn.IFS((W$81*W$85)=0,"",W225=0,"",W225&gt;0,(W225/1000)/(W$81*W$85))</f>
        <v/>
      </c>
      <c r="X245" s="124" t="str">
        <f t="array" ref="X245">_xlfn.IFS((X$81*X$85)=0,"",X225=0,"",X225&gt;0,(X225/1000)/(X$81*X$85))</f>
        <v/>
      </c>
      <c r="Y245" s="124" t="str">
        <f t="array" ref="Y245">_xlfn.IFS((Y$81*Y$85)=0,"",Y225=0,"",Y225&gt;0,(Y225/1000)/(Y$81*Y$85))</f>
        <v/>
      </c>
      <c r="Z245" s="124" t="str">
        <f t="array" ref="Z245">_xlfn.IFS((Z$81*Z$85)=0,"",Z225=0,"",Z225&gt;0,(Z225/1000)/(Z$81*Z$85))</f>
        <v/>
      </c>
      <c r="AA245" s="124" t="str">
        <f t="array" ref="AA245">_xlfn.IFS((AA$81*AA$85)=0,"",AA225=0,"",AA225&gt;0,(AA225/1000)/(AA$81*AA$85))</f>
        <v/>
      </c>
      <c r="AB245" s="124" t="str">
        <f t="array" ref="AB245">_xlfn.IFS((AB$81*AB$85)=0,"",AB225=0,"",AB225&gt;0,(AB225/1000)/(AB$81*AB$85))</f>
        <v/>
      </c>
      <c r="AC245" s="124" t="str">
        <f t="array" ref="AC245">_xlfn.IFS((AC$81*AC$85)=0,"",AC225=0,"",AC225&gt;0,(AC225/1000)/(AC$81*AC$85))</f>
        <v/>
      </c>
      <c r="AD245" s="124" t="str">
        <f t="array" ref="AD245">_xlfn.IFS((AD$81*AD$85)=0,"",AD225=0,"",AD225&gt;0,(AD225/1000)/(AD$81*AD$85))</f>
        <v/>
      </c>
      <c r="AE245" s="124" t="str">
        <f t="array" ref="AE245">_xlfn.IFS((AE$81*AE$85)=0,"",AE225=0,"",AE225&gt;0,(AE225/1000)/(AE$81*AE$85))</f>
        <v/>
      </c>
      <c r="AF245" s="124" t="str">
        <f t="array" ref="AF245">_xlfn.IFS((AF$81*AF$85)=0,"",AF225=0,"",AF225&gt;0,(AF225/1000)/(AF$81*AF$85))</f>
        <v/>
      </c>
      <c r="AH245" s="124"/>
      <c r="AI245" s="124"/>
    </row>
    <row r="246" spans="1:35" x14ac:dyDescent="0.25">
      <c r="A246" t="s">
        <v>526</v>
      </c>
      <c r="B246" t="s">
        <v>137</v>
      </c>
      <c r="C246" t="s">
        <v>470</v>
      </c>
      <c r="D246" t="s">
        <v>512</v>
      </c>
      <c r="E246" s="123" t="str">
        <f t="array" ref="E246">_xlfn.IFS((E$81*E$85)=0,"",E226=0,"",E226&gt;0,(E226/1000)/(E$81*E$85))</f>
        <v/>
      </c>
      <c r="F246" s="124" t="str">
        <f t="array" ref="F246">_xlfn.IFS((F$81*F$85)=0,"",F226=0,"",F226&gt;0,(F226/1000)/(F$81*F$85))</f>
        <v/>
      </c>
      <c r="G246" s="124" t="str">
        <f t="array" ref="G246">_xlfn.IFS((G$81*G$85)=0,"",G226=0,"",G226&gt;0,(G226/1000)/(G$81*G$85))</f>
        <v/>
      </c>
      <c r="H246" s="124" t="str">
        <f t="array" ref="H246">_xlfn.IFS((H$81*H$85)=0,"",H226=0,"",H226&gt;0,(H226/1000)/(H$81*H$85))</f>
        <v/>
      </c>
      <c r="I246" s="124" t="str">
        <f t="array" ref="I246">_xlfn.IFS((I$81*I$85)=0,"",I226=0,"",I226&gt;0,(I226/1000)/(I$81*I$85))</f>
        <v/>
      </c>
      <c r="J246" s="124" t="str">
        <f t="array" ref="J246">_xlfn.IFS((J$81*J$85)=0,"",J226=0,"",J226&gt;0,(J226/1000)/(J$81*J$85))</f>
        <v/>
      </c>
      <c r="K246" s="124" t="str">
        <f t="array" ref="K246">_xlfn.IFS((K$81*K$85)=0,"",K226=0,"",K226&gt;0,(K226/1000)/(K$81*K$85))</f>
        <v/>
      </c>
      <c r="L246" s="124" t="str">
        <f t="array" ref="L246">_xlfn.IFS((L$81*L$85)=0,"",L226=0,"",L226&gt;0,(L226/1000)/(L$81*L$85))</f>
        <v/>
      </c>
      <c r="M246" s="124" t="str">
        <f t="array" ref="M246">_xlfn.IFS((M$81*M$85)=0,"",M226=0,"",M226&gt;0,(M226/1000)/(M$81*M$85))</f>
        <v/>
      </c>
      <c r="N246" s="124" t="str">
        <f t="array" ref="N246">_xlfn.IFS((N$81*N$85)=0,"",N226=0,"",N226&gt;0,(N226/1000)/(N$81*N$85))</f>
        <v/>
      </c>
      <c r="O246" s="124" t="str">
        <f t="array" ref="O246">_xlfn.IFS((O$81*O$85)=0,"",O226=0,"",O226&gt;0,(O226/1000)/(O$81*O$85))</f>
        <v/>
      </c>
      <c r="P246" s="124" t="str">
        <f t="array" ref="P246">_xlfn.IFS((P$81*P$85)=0,"",P226=0,"",P226&gt;0,(P226/1000)/(P$81*P$85))</f>
        <v/>
      </c>
      <c r="Q246" s="124" t="str">
        <f t="array" ref="Q246">_xlfn.IFS((Q$81*Q$85)=0,"",Q226=0,"",Q226&gt;0,(Q226/1000)/(Q$81*Q$85))</f>
        <v/>
      </c>
      <c r="R246" s="124" t="str">
        <f t="array" ref="R246">_xlfn.IFS((R$81*R$85)=0,"",R226=0,"",R226&gt;0,(R226/1000)/(R$81*R$85))</f>
        <v/>
      </c>
      <c r="S246" s="124" t="str">
        <f t="array" ref="S246">_xlfn.IFS((S$81*S$85)=0,"",S226=0,"",S226&gt;0,(S226/1000)/(S$81*S$85))</f>
        <v/>
      </c>
      <c r="T246" s="124" t="str">
        <f t="array" ref="T246">_xlfn.IFS((T$81*T$85)=0,"",T226=0,"",T226&gt;0,(T226/1000)/(T$81*T$85))</f>
        <v/>
      </c>
      <c r="U246" s="124" t="str">
        <f t="array" ref="U246">_xlfn.IFS((U$81*U$85)=0,"",U226=0,"",U226&gt;0,(U226/1000)/(U$81*U$85))</f>
        <v/>
      </c>
      <c r="V246" s="124" t="str">
        <f t="array" ref="V246">_xlfn.IFS((V$81*V$85)=0,"",V226=0,"",V226&gt;0,(V226/1000)/(V$81*V$85))</f>
        <v/>
      </c>
      <c r="W246" s="124" t="str">
        <f t="array" ref="W246">_xlfn.IFS((W$81*W$85)=0,"",W226=0,"",W226&gt;0,(W226/1000)/(W$81*W$85))</f>
        <v/>
      </c>
      <c r="X246" s="124" t="str">
        <f t="array" ref="X246">_xlfn.IFS((X$81*X$85)=0,"",X226=0,"",X226&gt;0,(X226/1000)/(X$81*X$85))</f>
        <v/>
      </c>
      <c r="Y246" s="124" t="str">
        <f t="array" ref="Y246">_xlfn.IFS((Y$81*Y$85)=0,"",Y226=0,"",Y226&gt;0,(Y226/1000)/(Y$81*Y$85))</f>
        <v/>
      </c>
      <c r="Z246" s="124" t="str">
        <f t="array" ref="Z246">_xlfn.IFS((Z$81*Z$85)=0,"",Z226=0,"",Z226&gt;0,(Z226/1000)/(Z$81*Z$85))</f>
        <v/>
      </c>
      <c r="AA246" s="124" t="str">
        <f t="array" ref="AA246">_xlfn.IFS((AA$81*AA$85)=0,"",AA226=0,"",AA226&gt;0,(AA226/1000)/(AA$81*AA$85))</f>
        <v/>
      </c>
      <c r="AB246" s="124" t="str">
        <f t="array" ref="AB246">_xlfn.IFS((AB$81*AB$85)=0,"",AB226=0,"",AB226&gt;0,(AB226/1000)/(AB$81*AB$85))</f>
        <v/>
      </c>
      <c r="AC246" s="124" t="str">
        <f t="array" ref="AC246">_xlfn.IFS((AC$81*AC$85)=0,"",AC226=0,"",AC226&gt;0,(AC226/1000)/(AC$81*AC$85))</f>
        <v/>
      </c>
      <c r="AD246" s="124" t="str">
        <f t="array" ref="AD246">_xlfn.IFS((AD$81*AD$85)=0,"",AD226=0,"",AD226&gt;0,(AD226/1000)/(AD$81*AD$85))</f>
        <v/>
      </c>
      <c r="AE246" s="124" t="str">
        <f t="array" ref="AE246">_xlfn.IFS((AE$81*AE$85)=0,"",AE226=0,"",AE226&gt;0,(AE226/1000)/(AE$81*AE$85))</f>
        <v/>
      </c>
      <c r="AF246" s="124" t="str">
        <f t="array" ref="AF246">_xlfn.IFS((AF$81*AF$85)=0,"",AF226=0,"",AF226&gt;0,(AF226/1000)/(AF$81*AF$85))</f>
        <v/>
      </c>
      <c r="AH246" s="124"/>
      <c r="AI246" s="124"/>
    </row>
    <row r="247" spans="1:35" x14ac:dyDescent="0.25">
      <c r="A247" t="s">
        <v>526</v>
      </c>
      <c r="B247" t="s">
        <v>139</v>
      </c>
      <c r="C247" t="s">
        <v>470</v>
      </c>
      <c r="D247" t="s">
        <v>512</v>
      </c>
      <c r="E247" s="123" t="str">
        <f t="array" ref="E247">_xlfn.IFS((E$81*E$85)=0,"",E227=0,"",E227&gt;0,(E227/1000)/(E$81*E$85))</f>
        <v/>
      </c>
      <c r="F247" s="124" t="str">
        <f t="array" ref="F247">_xlfn.IFS((F$81*F$85)=0,"",F227=0,"",F227&gt;0,(F227/1000)/(F$81*F$85))</f>
        <v/>
      </c>
      <c r="G247" s="124" t="str">
        <f t="array" ref="G247">_xlfn.IFS((G$81*G$85)=0,"",G227=0,"",G227&gt;0,(G227/1000)/(G$81*G$85))</f>
        <v/>
      </c>
      <c r="H247" s="124" t="str">
        <f t="array" ref="H247">_xlfn.IFS((H$81*H$85)=0,"",H227=0,"",H227&gt;0,(H227/1000)/(H$81*H$85))</f>
        <v/>
      </c>
      <c r="I247" s="124" t="str">
        <f t="array" ref="I247">_xlfn.IFS((I$81*I$85)=0,"",I227=0,"",I227&gt;0,(I227/1000)/(I$81*I$85))</f>
        <v/>
      </c>
      <c r="J247" s="124" t="str">
        <f t="array" ref="J247">_xlfn.IFS((J$81*J$85)=0,"",J227=0,"",J227&gt;0,(J227/1000)/(J$81*J$85))</f>
        <v/>
      </c>
      <c r="K247" s="124" t="str">
        <f t="array" ref="K247">_xlfn.IFS((K$81*K$85)=0,"",K227=0,"",K227&gt;0,(K227/1000)/(K$81*K$85))</f>
        <v/>
      </c>
      <c r="L247" s="124" t="str">
        <f t="array" ref="L247">_xlfn.IFS((L$81*L$85)=0,"",L227=0,"",L227&gt;0,(L227/1000)/(L$81*L$85))</f>
        <v/>
      </c>
      <c r="M247" s="124" t="str">
        <f t="array" ref="M247">_xlfn.IFS((M$81*M$85)=0,"",M227=0,"",M227&gt;0,(M227/1000)/(M$81*M$85))</f>
        <v/>
      </c>
      <c r="N247" s="124" t="str">
        <f t="array" ref="N247">_xlfn.IFS((N$81*N$85)=0,"",N227=0,"",N227&gt;0,(N227/1000)/(N$81*N$85))</f>
        <v/>
      </c>
      <c r="O247" s="124" t="str">
        <f t="array" ref="O247">_xlfn.IFS((O$81*O$85)=0,"",O227=0,"",O227&gt;0,(O227/1000)/(O$81*O$85))</f>
        <v/>
      </c>
      <c r="P247" s="124" t="str">
        <f t="array" ref="P247">_xlfn.IFS((P$81*P$85)=0,"",P227=0,"",P227&gt;0,(P227/1000)/(P$81*P$85))</f>
        <v/>
      </c>
      <c r="Q247" s="124" t="str">
        <f t="array" ref="Q247">_xlfn.IFS((Q$81*Q$85)=0,"",Q227=0,"",Q227&gt;0,(Q227/1000)/(Q$81*Q$85))</f>
        <v/>
      </c>
      <c r="R247" s="124">
        <f t="array" ref="R247">_xlfn.IFS((R$81*R$85)=0,"",R227=0,"",R227&gt;0,(R227/1000)/(R$81*R$85))</f>
        <v>9.0056132055088469E-3</v>
      </c>
      <c r="S247" s="124">
        <f t="array" ref="S247">_xlfn.IFS((S$81*S$85)=0,"",S227=0,"",S227&gt;0,(S227/1000)/(S$81*S$85))</f>
        <v>1.2580923147052375E-3</v>
      </c>
      <c r="T247" s="124" t="str">
        <f t="array" ref="T247">_xlfn.IFS((T$81*T$85)=0,"",T227=0,"",T227&gt;0,(T227/1000)/(T$81*T$85))</f>
        <v/>
      </c>
      <c r="U247" s="124">
        <f t="array" ref="U247">_xlfn.IFS((U$81*U$85)=0,"",U227=0,"",U227&gt;0,(U227/1000)/(U$81*U$85))</f>
        <v>1.2581780499864603E-3</v>
      </c>
      <c r="V247" s="124" t="str">
        <f t="array" ref="V247">_xlfn.IFS((V$81*V$85)=0,"",V227=0,"",V227&gt;0,(V227/1000)/(V$81*V$85))</f>
        <v/>
      </c>
      <c r="W247" s="124" t="str">
        <f t="array" ref="W247">_xlfn.IFS((W$81*W$85)=0,"",W227=0,"",W227&gt;0,(W227/1000)/(W$81*W$85))</f>
        <v/>
      </c>
      <c r="X247" s="124">
        <f t="array" ref="X247">_xlfn.IFS((X$81*X$85)=0,"",X227=0,"",X227&gt;0,(X227/1000)/(X$81*X$85))</f>
        <v>1.8314613866230709E-2</v>
      </c>
      <c r="Y247" s="124" t="str">
        <f t="array" ref="Y247">_xlfn.IFS((Y$81*Y$85)=0,"",Y227=0,"",Y227&gt;0,(Y227/1000)/(Y$81*Y$85))</f>
        <v/>
      </c>
      <c r="Z247" s="124">
        <f t="array" ref="Z247">_xlfn.IFS((Z$81*Z$85)=0,"",Z227=0,"",Z227&gt;0,(Z227/1000)/(Z$81*Z$85))</f>
        <v>1.3629671978841016E-2</v>
      </c>
      <c r="AA247" s="124" t="str">
        <f t="array" ref="AA247">_xlfn.IFS((AA$81*AA$85)=0,"",AA227=0,"",AA227&gt;0,(AA227/1000)/(AA$81*AA$85))</f>
        <v/>
      </c>
      <c r="AB247" s="124" t="str">
        <f t="array" ref="AB247">_xlfn.IFS((AB$81*AB$85)=0,"",AB227=0,"",AB227&gt;0,(AB227/1000)/(AB$81*AB$85))</f>
        <v/>
      </c>
      <c r="AC247" s="124" t="str">
        <f t="array" ref="AC247">_xlfn.IFS((AC$81*AC$85)=0,"",AC227=0,"",AC227&gt;0,(AC227/1000)/(AC$81*AC$85))</f>
        <v/>
      </c>
      <c r="AD247" s="124">
        <f>_xlfn.IFS((AD$81*AD$85)=0,"",AD227=0,"",AD227&gt;0,(AD227/1000)/(AD$81*AD$85))</f>
        <v>1.0281120434168511</v>
      </c>
      <c r="AE247" s="124">
        <f t="array" ref="AE247">_xlfn.IFS((AE$81*AE$85)=0,"",AE227=0,"",AE227&gt;0,(AE227/1000)/(AE$81*AE$85))</f>
        <v>7.5104084394244175E-3</v>
      </c>
      <c r="AF247" s="124" t="str">
        <f t="array" ref="AF247">_xlfn.IFS((AF$81*AF$85)=0,"",AF227=0,"",AF227&gt;0,(AF227/1000)/(AF$81*AF$85))</f>
        <v/>
      </c>
      <c r="AH247" s="124"/>
      <c r="AI247" s="124"/>
    </row>
    <row r="248" spans="1:35" x14ac:dyDescent="0.25">
      <c r="A248" t="s">
        <v>526</v>
      </c>
      <c r="B248" t="s">
        <v>366</v>
      </c>
      <c r="C248" t="s">
        <v>472</v>
      </c>
      <c r="D248" t="s">
        <v>454</v>
      </c>
      <c r="E248" s="123">
        <v>1</v>
      </c>
      <c r="F248" s="123">
        <v>1</v>
      </c>
      <c r="G248" s="123">
        <v>1</v>
      </c>
      <c r="H248" s="123">
        <v>1</v>
      </c>
      <c r="I248" s="123">
        <v>1</v>
      </c>
      <c r="J248" s="123">
        <v>1</v>
      </c>
      <c r="K248" s="123">
        <v>1</v>
      </c>
      <c r="L248" s="123">
        <v>1</v>
      </c>
      <c r="M248" s="123">
        <v>1</v>
      </c>
      <c r="N248" s="123">
        <v>1</v>
      </c>
      <c r="O248" s="123">
        <v>1</v>
      </c>
      <c r="P248" s="123">
        <v>1</v>
      </c>
      <c r="Q248" s="123">
        <v>1</v>
      </c>
      <c r="R248" s="123">
        <v>1</v>
      </c>
      <c r="S248" s="123">
        <v>1</v>
      </c>
      <c r="T248" s="123">
        <v>1</v>
      </c>
      <c r="U248" s="123">
        <v>1</v>
      </c>
      <c r="V248" s="123">
        <v>1</v>
      </c>
      <c r="W248" s="123">
        <v>1</v>
      </c>
      <c r="X248" s="123">
        <v>1</v>
      </c>
      <c r="Y248" s="123">
        <v>1</v>
      </c>
      <c r="Z248" s="123">
        <v>1</v>
      </c>
      <c r="AA248" s="123">
        <v>1</v>
      </c>
      <c r="AB248" s="123">
        <v>1</v>
      </c>
      <c r="AC248" s="123">
        <v>1</v>
      </c>
      <c r="AD248" s="123">
        <v>1</v>
      </c>
      <c r="AE248" s="123">
        <v>1</v>
      </c>
      <c r="AF248" s="123">
        <v>1</v>
      </c>
    </row>
    <row r="250" spans="1:35" x14ac:dyDescent="0.25">
      <c r="C250" t="s">
        <v>527</v>
      </c>
      <c r="E250" s="102">
        <f>SUM(E233:E247)</f>
        <v>0</v>
      </c>
      <c r="F250" s="102">
        <f>SUM(F233:F247)</f>
        <v>86.724847638917154</v>
      </c>
      <c r="G250" s="102">
        <f t="shared" ref="G250:AF250" si="106">SUM(G233:G247)</f>
        <v>0</v>
      </c>
      <c r="H250" s="102">
        <f t="shared" si="106"/>
        <v>38.127839639604105</v>
      </c>
      <c r="I250" s="102">
        <f t="shared" si="106"/>
        <v>8.3989304867491636</v>
      </c>
      <c r="J250" s="102">
        <f t="shared" si="106"/>
        <v>65.446857653722148</v>
      </c>
      <c r="K250" s="102">
        <f t="shared" si="106"/>
        <v>62.212232600440963</v>
      </c>
      <c r="L250" s="102">
        <f t="shared" si="106"/>
        <v>0</v>
      </c>
      <c r="M250" s="102">
        <f t="shared" si="106"/>
        <v>28.954154059286022</v>
      </c>
      <c r="N250" s="102">
        <f t="shared" si="106"/>
        <v>16.668528888569231</v>
      </c>
      <c r="O250" s="102">
        <f t="shared" si="106"/>
        <v>3.9544578011852121</v>
      </c>
      <c r="P250" s="102">
        <f t="shared" si="106"/>
        <v>11.652318410689634</v>
      </c>
      <c r="Q250" s="102">
        <f t="shared" si="106"/>
        <v>9.4882426266939763</v>
      </c>
      <c r="R250" s="102">
        <f t="shared" si="106"/>
        <v>11.773838459493533</v>
      </c>
      <c r="S250" s="102">
        <f t="shared" si="106"/>
        <v>8.7597459075043318</v>
      </c>
      <c r="T250" s="102">
        <f t="shared" si="106"/>
        <v>11.511761683715038</v>
      </c>
      <c r="U250" s="102">
        <f t="shared" si="106"/>
        <v>9.2961416314296983</v>
      </c>
      <c r="V250" s="102">
        <f t="shared" si="106"/>
        <v>24.084147196565215</v>
      </c>
      <c r="W250" s="102">
        <f t="shared" si="106"/>
        <v>36.929100724078125</v>
      </c>
      <c r="X250" s="102">
        <f t="shared" si="106"/>
        <v>10.172476217990717</v>
      </c>
      <c r="Y250" s="102">
        <f t="shared" si="106"/>
        <v>8.9142074224991035</v>
      </c>
      <c r="Z250" s="102">
        <f t="shared" si="106"/>
        <v>17.654119013701667</v>
      </c>
      <c r="AA250" s="102">
        <f t="shared" si="106"/>
        <v>1.121215928392268</v>
      </c>
      <c r="AB250" s="102">
        <f t="shared" si="106"/>
        <v>36.356143013815974</v>
      </c>
      <c r="AC250" s="102">
        <f t="shared" si="106"/>
        <v>0</v>
      </c>
      <c r="AD250" s="102">
        <f t="shared" si="106"/>
        <v>40.274485521638638</v>
      </c>
      <c r="AE250" s="102">
        <f t="shared" si="106"/>
        <v>7.8882200195796051</v>
      </c>
      <c r="AF250" s="102">
        <f t="shared" si="106"/>
        <v>19.202510188951649</v>
      </c>
    </row>
    <row r="251" spans="1:35" x14ac:dyDescent="0.25">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row>
    <row r="253" spans="1:35" ht="15.75" x14ac:dyDescent="0.25">
      <c r="A253" s="131" t="s">
        <v>528</v>
      </c>
      <c r="B253" s="132"/>
    </row>
    <row r="254" spans="1:35" ht="15.75" x14ac:dyDescent="0.25">
      <c r="A254" s="277"/>
      <c r="B254" s="277"/>
    </row>
    <row r="255" spans="1:35" ht="15.75" x14ac:dyDescent="0.25">
      <c r="A255" s="134" t="s">
        <v>529</v>
      </c>
      <c r="B255" s="277"/>
    </row>
    <row r="256" spans="1:35" x14ac:dyDescent="0.25">
      <c r="E256" s="91" t="s">
        <v>162</v>
      </c>
      <c r="F256" s="91" t="s">
        <v>164</v>
      </c>
      <c r="G256" s="91" t="s">
        <v>166</v>
      </c>
      <c r="H256" s="91" t="s">
        <v>168</v>
      </c>
      <c r="I256" s="91" t="s">
        <v>170</v>
      </c>
      <c r="J256" s="91" t="s">
        <v>173</v>
      </c>
      <c r="K256" s="91" t="s">
        <v>175</v>
      </c>
      <c r="L256" s="91" t="s">
        <v>177</v>
      </c>
      <c r="M256" s="91" t="s">
        <v>179</v>
      </c>
      <c r="N256" s="91" t="s">
        <v>181</v>
      </c>
      <c r="O256" s="91" t="s">
        <v>183</v>
      </c>
      <c r="P256" s="91" t="s">
        <v>185</v>
      </c>
      <c r="Q256" s="91" t="s">
        <v>188</v>
      </c>
      <c r="R256" s="91" t="s">
        <v>190</v>
      </c>
      <c r="S256" s="91" t="s">
        <v>192</v>
      </c>
      <c r="T256" s="91" t="s">
        <v>194</v>
      </c>
      <c r="U256" s="91" t="s">
        <v>196</v>
      </c>
      <c r="V256" s="91" t="s">
        <v>198</v>
      </c>
      <c r="W256" s="91" t="s">
        <v>9</v>
      </c>
      <c r="X256" s="91" t="s">
        <v>201</v>
      </c>
      <c r="Y256" s="91" t="s">
        <v>203</v>
      </c>
      <c r="Z256" s="91" t="s">
        <v>205</v>
      </c>
      <c r="AA256" s="91" t="s">
        <v>207</v>
      </c>
      <c r="AB256" s="91" t="s">
        <v>210</v>
      </c>
      <c r="AC256" s="91" t="s">
        <v>212</v>
      </c>
      <c r="AD256" s="91" t="s">
        <v>214</v>
      </c>
      <c r="AE256" s="91" t="s">
        <v>217</v>
      </c>
      <c r="AF256" s="92" t="s">
        <v>219</v>
      </c>
    </row>
    <row r="257" spans="1:32" x14ac:dyDescent="0.25">
      <c r="A257" t="s">
        <v>526</v>
      </c>
      <c r="B257" t="s">
        <v>113</v>
      </c>
      <c r="C257" t="s">
        <v>470</v>
      </c>
      <c r="D257" t="s">
        <v>512</v>
      </c>
      <c r="E257" s="123" t="str">
        <f>IF(E233="","",IF(E233&lt;$AI233,E233,$AI233))</f>
        <v/>
      </c>
      <c r="F257" s="124">
        <f>IF(F233="","",IF(F233&lt;$AI233,F233,$AI233))</f>
        <v>3.4287552331510809</v>
      </c>
      <c r="G257" s="124" t="str">
        <f t="shared" ref="F257:AF266" si="107">IF(G233="","",IF(G233&lt;$AI233,G233,$AI233))</f>
        <v/>
      </c>
      <c r="H257" s="124">
        <f t="shared" si="107"/>
        <v>3.7165589474119294</v>
      </c>
      <c r="I257" s="124">
        <f t="shared" si="107"/>
        <v>0.25147315891776068</v>
      </c>
      <c r="J257" s="124">
        <f t="shared" si="107"/>
        <v>2.8369270205413795</v>
      </c>
      <c r="K257" s="124">
        <f t="shared" si="107"/>
        <v>3.2712572400986257</v>
      </c>
      <c r="L257" s="124" t="str">
        <f t="shared" si="107"/>
        <v/>
      </c>
      <c r="M257" s="124" t="str">
        <f t="shared" si="107"/>
        <v/>
      </c>
      <c r="N257" s="124">
        <f t="shared" si="107"/>
        <v>2.3763963043225056</v>
      </c>
      <c r="O257" s="124" t="str">
        <f t="shared" si="107"/>
        <v/>
      </c>
      <c r="P257" s="124">
        <f t="shared" si="107"/>
        <v>3.7165589474119294</v>
      </c>
      <c r="Q257" s="124">
        <f t="shared" si="107"/>
        <v>1.1977073548626962</v>
      </c>
      <c r="R257" s="124">
        <f t="shared" si="107"/>
        <v>0.80149957529028748</v>
      </c>
      <c r="S257" s="124">
        <f t="shared" si="107"/>
        <v>1.3093353824465011</v>
      </c>
      <c r="T257" s="124">
        <f t="shared" si="107"/>
        <v>8.4335313404259746E-2</v>
      </c>
      <c r="U257" s="124">
        <f t="shared" si="107"/>
        <v>1.4651876572732951</v>
      </c>
      <c r="V257" s="124">
        <f t="shared" si="107"/>
        <v>0.25757423882691538</v>
      </c>
      <c r="W257" s="124">
        <f t="shared" si="107"/>
        <v>3.7165589474119294</v>
      </c>
      <c r="X257" s="124">
        <f t="shared" si="107"/>
        <v>2.0588720698789693</v>
      </c>
      <c r="Y257" s="124">
        <f t="shared" si="107"/>
        <v>0.12466421876685355</v>
      </c>
      <c r="Z257" s="124">
        <f t="shared" si="107"/>
        <v>0.30125901953231932</v>
      </c>
      <c r="AA257" s="124">
        <f t="shared" si="107"/>
        <v>0.5191947848905244</v>
      </c>
      <c r="AB257" s="124">
        <f t="shared" si="107"/>
        <v>0.50444390692662366</v>
      </c>
      <c r="AC257" s="124" t="str">
        <f t="shared" si="107"/>
        <v/>
      </c>
      <c r="AD257" s="124">
        <f>AD233</f>
        <v>2.8650930344572698</v>
      </c>
      <c r="AE257" s="124">
        <f t="shared" si="107"/>
        <v>4.4246556683517117E-2</v>
      </c>
      <c r="AF257" s="124">
        <f t="shared" si="107"/>
        <v>2.3353828271114221</v>
      </c>
    </row>
    <row r="258" spans="1:32" x14ac:dyDescent="0.25">
      <c r="A258" t="s">
        <v>526</v>
      </c>
      <c r="B258" t="s">
        <v>115</v>
      </c>
      <c r="C258" t="s">
        <v>470</v>
      </c>
      <c r="D258" t="s">
        <v>512</v>
      </c>
      <c r="E258" s="123" t="str">
        <f t="shared" ref="E258:T271" si="108">IF(E234="","",IF(E234&lt;$AI234,E234,$AI234))</f>
        <v/>
      </c>
      <c r="F258" s="124" t="str">
        <f t="shared" si="108"/>
        <v/>
      </c>
      <c r="G258" s="124" t="str">
        <f t="shared" si="108"/>
        <v/>
      </c>
      <c r="H258" s="124" t="str">
        <f t="shared" si="108"/>
        <v/>
      </c>
      <c r="I258" s="124" t="str">
        <f t="shared" si="108"/>
        <v/>
      </c>
      <c r="J258" s="124" t="str">
        <f t="shared" si="108"/>
        <v/>
      </c>
      <c r="K258" s="124" t="str">
        <f t="shared" si="108"/>
        <v/>
      </c>
      <c r="L258" s="124" t="str">
        <f t="shared" si="108"/>
        <v/>
      </c>
      <c r="M258" s="124" t="str">
        <f t="shared" si="108"/>
        <v/>
      </c>
      <c r="N258" s="124">
        <f t="shared" si="108"/>
        <v>5.2894082625779149E-3</v>
      </c>
      <c r="O258" s="124" t="str">
        <f t="shared" si="108"/>
        <v/>
      </c>
      <c r="P258" s="124" t="str">
        <f t="shared" si="108"/>
        <v/>
      </c>
      <c r="Q258" s="124" t="str">
        <f t="shared" si="108"/>
        <v/>
      </c>
      <c r="R258" s="124" t="str">
        <f t="shared" si="108"/>
        <v/>
      </c>
      <c r="S258" s="124" t="str">
        <f t="shared" si="108"/>
        <v/>
      </c>
      <c r="T258" s="124" t="str">
        <f t="shared" si="108"/>
        <v/>
      </c>
      <c r="U258" s="124" t="str">
        <f t="shared" si="107"/>
        <v/>
      </c>
      <c r="V258" s="124" t="str">
        <f t="shared" si="107"/>
        <v/>
      </c>
      <c r="W258" s="124" t="str">
        <f t="shared" si="107"/>
        <v/>
      </c>
      <c r="X258" s="124" t="str">
        <f t="shared" si="107"/>
        <v/>
      </c>
      <c r="Y258" s="124" t="str">
        <f t="shared" si="107"/>
        <v/>
      </c>
      <c r="Z258" s="124" t="str">
        <f t="shared" si="107"/>
        <v/>
      </c>
      <c r="AA258" s="124" t="str">
        <f t="shared" si="107"/>
        <v/>
      </c>
      <c r="AB258" s="124" t="str">
        <f t="shared" si="107"/>
        <v/>
      </c>
      <c r="AC258" s="124" t="str">
        <f t="shared" si="107"/>
        <v/>
      </c>
      <c r="AD258" s="124" t="str">
        <f t="shared" ref="AD258:AD270" si="109">AD234</f>
        <v/>
      </c>
      <c r="AE258" s="124" t="str">
        <f t="shared" si="107"/>
        <v/>
      </c>
      <c r="AF258" s="124" t="str">
        <f t="shared" si="107"/>
        <v/>
      </c>
    </row>
    <row r="259" spans="1:32" x14ac:dyDescent="0.25">
      <c r="A259" t="s">
        <v>526</v>
      </c>
      <c r="B259" t="s">
        <v>117</v>
      </c>
      <c r="C259" t="s">
        <v>470</v>
      </c>
      <c r="D259" t="s">
        <v>512</v>
      </c>
      <c r="E259" s="123" t="str">
        <f t="shared" si="108"/>
        <v/>
      </c>
      <c r="F259" s="124" t="str">
        <f t="shared" si="107"/>
        <v/>
      </c>
      <c r="G259" s="124" t="str">
        <f t="shared" si="107"/>
        <v/>
      </c>
      <c r="H259" s="124" t="str">
        <f t="shared" si="107"/>
        <v/>
      </c>
      <c r="I259" s="124" t="str">
        <f t="shared" si="107"/>
        <v/>
      </c>
      <c r="J259" s="124" t="str">
        <f t="shared" si="107"/>
        <v/>
      </c>
      <c r="K259" s="124" t="str">
        <f t="shared" si="107"/>
        <v/>
      </c>
      <c r="L259" s="124" t="str">
        <f t="shared" si="107"/>
        <v/>
      </c>
      <c r="M259" s="124">
        <f t="shared" si="107"/>
        <v>9.9519657796470651E-2</v>
      </c>
      <c r="N259" s="124">
        <f t="shared" si="107"/>
        <v>1.0371388750152776E-3</v>
      </c>
      <c r="O259" s="124" t="str">
        <f t="shared" si="107"/>
        <v/>
      </c>
      <c r="P259" s="124">
        <f t="shared" si="107"/>
        <v>3.591878995042113E-2</v>
      </c>
      <c r="Q259" s="124">
        <f t="shared" si="107"/>
        <v>2.7044851732034103E-3</v>
      </c>
      <c r="R259" s="124">
        <f t="shared" si="107"/>
        <v>9.9519657796470651E-2</v>
      </c>
      <c r="S259" s="124">
        <f t="shared" si="107"/>
        <v>1.3597074632006607E-2</v>
      </c>
      <c r="T259" s="124">
        <f t="shared" si="107"/>
        <v>9.9347882282504931E-4</v>
      </c>
      <c r="U259" s="124">
        <f t="shared" si="107"/>
        <v>3.3420354452765353E-4</v>
      </c>
      <c r="V259" s="124" t="str">
        <f t="shared" si="107"/>
        <v/>
      </c>
      <c r="W259" s="124" t="str">
        <f t="shared" si="107"/>
        <v/>
      </c>
      <c r="X259" s="124">
        <f t="shared" si="107"/>
        <v>3.2976451559695186E-3</v>
      </c>
      <c r="Y259" s="124">
        <f t="shared" si="107"/>
        <v>1.6875021152873578E-3</v>
      </c>
      <c r="Z259" s="124" t="str">
        <f t="shared" si="107"/>
        <v/>
      </c>
      <c r="AA259" s="124" t="str">
        <f t="shared" si="107"/>
        <v/>
      </c>
      <c r="AB259" s="124" t="str">
        <f t="shared" si="107"/>
        <v/>
      </c>
      <c r="AC259" s="124" t="str">
        <f t="shared" si="107"/>
        <v/>
      </c>
      <c r="AD259" s="124">
        <f t="shared" si="109"/>
        <v>6.6749376763786735E-4</v>
      </c>
      <c r="AE259" s="124" t="str">
        <f t="shared" si="107"/>
        <v/>
      </c>
      <c r="AF259" s="124" t="str">
        <f t="shared" si="107"/>
        <v/>
      </c>
    </row>
    <row r="260" spans="1:32" x14ac:dyDescent="0.25">
      <c r="A260" t="s">
        <v>526</v>
      </c>
      <c r="B260" t="s">
        <v>119</v>
      </c>
      <c r="C260" t="s">
        <v>470</v>
      </c>
      <c r="D260" t="s">
        <v>512</v>
      </c>
      <c r="E260" s="123" t="str">
        <f t="shared" si="108"/>
        <v/>
      </c>
      <c r="F260" s="124" t="str">
        <f t="shared" si="107"/>
        <v/>
      </c>
      <c r="G260" s="124" t="str">
        <f t="shared" si="107"/>
        <v/>
      </c>
      <c r="H260" s="124" t="str">
        <f t="shared" si="107"/>
        <v/>
      </c>
      <c r="I260" s="124" t="str">
        <f t="shared" si="107"/>
        <v/>
      </c>
      <c r="J260" s="124" t="str">
        <f t="shared" si="107"/>
        <v/>
      </c>
      <c r="K260" s="124" t="str">
        <f t="shared" si="107"/>
        <v/>
      </c>
      <c r="L260" s="124" t="str">
        <f t="shared" si="107"/>
        <v/>
      </c>
      <c r="M260" s="124">
        <f t="shared" si="107"/>
        <v>4.2186807929179403E-3</v>
      </c>
      <c r="N260" s="124" t="str">
        <f t="shared" si="107"/>
        <v/>
      </c>
      <c r="O260" s="124" t="str">
        <f t="shared" si="107"/>
        <v/>
      </c>
      <c r="P260" s="124" t="str">
        <f t="shared" si="107"/>
        <v/>
      </c>
      <c r="Q260" s="124" t="str">
        <f t="shared" si="107"/>
        <v/>
      </c>
      <c r="R260" s="124" t="str">
        <f t="shared" si="107"/>
        <v/>
      </c>
      <c r="S260" s="124" t="str">
        <f t="shared" si="107"/>
        <v/>
      </c>
      <c r="T260" s="124">
        <f t="shared" si="107"/>
        <v>7.1751248315142448E-4</v>
      </c>
      <c r="U260" s="124">
        <f t="shared" si="107"/>
        <v>1.4351093382658062E-3</v>
      </c>
      <c r="V260" s="124">
        <f t="shared" si="107"/>
        <v>1.2641680433222841E-3</v>
      </c>
      <c r="W260" s="124" t="str">
        <f t="shared" si="107"/>
        <v/>
      </c>
      <c r="X260" s="124" t="str">
        <f t="shared" si="107"/>
        <v/>
      </c>
      <c r="Y260" s="124" t="str">
        <f t="shared" si="107"/>
        <v/>
      </c>
      <c r="Z260" s="124" t="str">
        <f t="shared" si="107"/>
        <v/>
      </c>
      <c r="AA260" s="124" t="str">
        <f t="shared" si="107"/>
        <v/>
      </c>
      <c r="AB260" s="124" t="str">
        <f t="shared" si="107"/>
        <v/>
      </c>
      <c r="AC260" s="124" t="str">
        <f t="shared" si="107"/>
        <v/>
      </c>
      <c r="AD260" s="124" t="str">
        <f t="shared" si="109"/>
        <v/>
      </c>
      <c r="AE260" s="124" t="str">
        <f t="shared" si="107"/>
        <v/>
      </c>
      <c r="AF260" s="124">
        <f t="shared" si="107"/>
        <v>2.5873718684030545E-3</v>
      </c>
    </row>
    <row r="261" spans="1:32" x14ac:dyDescent="0.25">
      <c r="A261" t="s">
        <v>526</v>
      </c>
      <c r="B261" t="s">
        <v>120</v>
      </c>
      <c r="C261" t="s">
        <v>470</v>
      </c>
      <c r="D261" t="s">
        <v>512</v>
      </c>
      <c r="E261" s="123" t="str">
        <f t="shared" si="108"/>
        <v/>
      </c>
      <c r="F261" s="124">
        <f t="shared" si="107"/>
        <v>1.2282108297854618E-2</v>
      </c>
      <c r="G261" s="124" t="str">
        <f t="shared" si="107"/>
        <v/>
      </c>
      <c r="H261" s="124">
        <f t="shared" si="107"/>
        <v>6.7475262188265788</v>
      </c>
      <c r="I261" s="124">
        <f t="shared" si="107"/>
        <v>0.14320320641222986</v>
      </c>
      <c r="J261" s="124">
        <f t="shared" si="107"/>
        <v>6.7475262188265788</v>
      </c>
      <c r="K261" s="124">
        <f t="shared" si="107"/>
        <v>3.4684694324180607</v>
      </c>
      <c r="L261" s="124" t="str">
        <f t="shared" si="107"/>
        <v/>
      </c>
      <c r="M261" s="124">
        <f t="shared" si="107"/>
        <v>3.9734608611648135</v>
      </c>
      <c r="N261" s="124">
        <f t="shared" si="107"/>
        <v>1.0020835810397613</v>
      </c>
      <c r="O261" s="124" t="str">
        <f t="shared" si="107"/>
        <v/>
      </c>
      <c r="P261" s="124">
        <f>IF(P237="","",IF(P237&lt;$AI237,P237,$AI237))</f>
        <v>2.255175776701642</v>
      </c>
      <c r="Q261" s="124">
        <f t="shared" si="107"/>
        <v>1.2399352812513107</v>
      </c>
      <c r="R261" s="124">
        <f t="shared" si="107"/>
        <v>1.597962112685968</v>
      </c>
      <c r="S261" s="124">
        <f t="shared" si="107"/>
        <v>1.174138846781638</v>
      </c>
      <c r="T261" s="124">
        <f t="shared" si="107"/>
        <v>0.49271030285328976</v>
      </c>
      <c r="U261" s="124">
        <f t="shared" si="107"/>
        <v>0.92454461738770699</v>
      </c>
      <c r="V261" s="124">
        <f t="shared" si="107"/>
        <v>0.69205299321624292</v>
      </c>
      <c r="W261" s="124">
        <f t="shared" si="107"/>
        <v>6.7475262188265788</v>
      </c>
      <c r="X261" s="124">
        <f t="shared" si="107"/>
        <v>1.642582418689617</v>
      </c>
      <c r="Y261" s="124">
        <f t="shared" si="107"/>
        <v>0.1788752242204599</v>
      </c>
      <c r="Z261" s="124">
        <f t="shared" si="107"/>
        <v>1.7681795092550416</v>
      </c>
      <c r="AA261" s="124" t="str">
        <f t="shared" si="107"/>
        <v/>
      </c>
      <c r="AB261" s="124" t="str">
        <f t="shared" si="107"/>
        <v/>
      </c>
      <c r="AC261" s="124" t="str">
        <f t="shared" si="107"/>
        <v/>
      </c>
      <c r="AD261" s="124">
        <f t="shared" si="109"/>
        <v>2.0506552816865522</v>
      </c>
      <c r="AE261" s="124">
        <f t="shared" si="107"/>
        <v>1.4076890336267136</v>
      </c>
      <c r="AF261" s="124">
        <f t="shared" si="107"/>
        <v>0.30985526348361986</v>
      </c>
    </row>
    <row r="262" spans="1:32" x14ac:dyDescent="0.25">
      <c r="A262" t="s">
        <v>526</v>
      </c>
      <c r="B262" t="s">
        <v>122</v>
      </c>
      <c r="C262" t="s">
        <v>470</v>
      </c>
      <c r="D262" t="s">
        <v>512</v>
      </c>
      <c r="E262" s="123" t="str">
        <f t="shared" si="108"/>
        <v/>
      </c>
      <c r="F262" s="124" t="str">
        <f t="shared" si="107"/>
        <v/>
      </c>
      <c r="G262" s="124" t="str">
        <f t="shared" si="107"/>
        <v/>
      </c>
      <c r="H262" s="124">
        <f t="shared" si="107"/>
        <v>2.4724841004870806</v>
      </c>
      <c r="I262" s="124">
        <f t="shared" si="107"/>
        <v>0.21376375238271472</v>
      </c>
      <c r="J262" s="124" t="str">
        <f t="shared" si="107"/>
        <v/>
      </c>
      <c r="K262" s="124" t="str">
        <f t="shared" si="107"/>
        <v/>
      </c>
      <c r="L262" s="124" t="str">
        <f t="shared" si="107"/>
        <v/>
      </c>
      <c r="M262" s="124">
        <f t="shared" si="107"/>
        <v>2.2093059542288271</v>
      </c>
      <c r="N262" s="124">
        <f t="shared" si="107"/>
        <v>2.3323179021343559</v>
      </c>
      <c r="O262" s="124" t="str">
        <f t="shared" si="107"/>
        <v/>
      </c>
      <c r="P262" s="124">
        <f t="shared" si="107"/>
        <v>0.72152890829124949</v>
      </c>
      <c r="Q262" s="124">
        <f t="shared" si="107"/>
        <v>0.72669991075058649</v>
      </c>
      <c r="R262" s="124">
        <f t="shared" si="107"/>
        <v>0.49179806352795774</v>
      </c>
      <c r="S262" s="124">
        <f t="shared" si="107"/>
        <v>0.91371373763765384</v>
      </c>
      <c r="T262" s="124">
        <f t="shared" si="107"/>
        <v>0.30444606592794293</v>
      </c>
      <c r="U262" s="124">
        <f t="shared" si="107"/>
        <v>1.0040457429212264</v>
      </c>
      <c r="V262" s="124" t="str">
        <f t="shared" si="107"/>
        <v/>
      </c>
      <c r="W262" s="124">
        <f t="shared" si="107"/>
        <v>1.8414939499389777</v>
      </c>
      <c r="X262" s="124">
        <f t="shared" si="107"/>
        <v>1.8555595627628485</v>
      </c>
      <c r="Y262" s="124">
        <f t="shared" si="107"/>
        <v>0.12255484112274434</v>
      </c>
      <c r="Z262" s="124">
        <f t="shared" si="107"/>
        <v>1.189675654153123</v>
      </c>
      <c r="AA262" s="124">
        <f t="shared" si="107"/>
        <v>0.45901307112128875</v>
      </c>
      <c r="AB262" s="124">
        <f t="shared" si="107"/>
        <v>1.7589106151460183</v>
      </c>
      <c r="AC262" s="124" t="str">
        <f t="shared" si="107"/>
        <v/>
      </c>
      <c r="AD262" s="124">
        <f t="shared" si="109"/>
        <v>3.0331488938979811</v>
      </c>
      <c r="AE262" s="124">
        <f t="shared" si="107"/>
        <v>1.6077504149810748</v>
      </c>
      <c r="AF262" s="124">
        <f t="shared" si="107"/>
        <v>7.5872931816684166E-3</v>
      </c>
    </row>
    <row r="263" spans="1:32" x14ac:dyDescent="0.25">
      <c r="A263" t="s">
        <v>526</v>
      </c>
      <c r="B263" t="s">
        <v>124</v>
      </c>
      <c r="C263" t="s">
        <v>470</v>
      </c>
      <c r="D263" t="s">
        <v>512</v>
      </c>
      <c r="E263" s="123" t="str">
        <f t="shared" si="108"/>
        <v/>
      </c>
      <c r="F263" s="124">
        <f t="shared" si="107"/>
        <v>4.5157218175112144</v>
      </c>
      <c r="G263" s="124" t="str">
        <f t="shared" si="107"/>
        <v/>
      </c>
      <c r="H263" s="124">
        <f t="shared" si="107"/>
        <v>1.2021270570067799</v>
      </c>
      <c r="I263" s="124">
        <f t="shared" si="107"/>
        <v>2.8307502967044345</v>
      </c>
      <c r="J263" s="124">
        <f t="shared" si="107"/>
        <v>7.7210884339648445</v>
      </c>
      <c r="K263" s="124">
        <f t="shared" si="107"/>
        <v>0.25267812140927587</v>
      </c>
      <c r="L263" s="124" t="str">
        <f t="shared" si="107"/>
        <v/>
      </c>
      <c r="M263" s="124">
        <f t="shared" si="107"/>
        <v>10.806886065980674</v>
      </c>
      <c r="N263" s="124">
        <f t="shared" si="107"/>
        <v>1.7766188929011704</v>
      </c>
      <c r="O263" s="124">
        <f t="shared" si="107"/>
        <v>2.3709196511747268</v>
      </c>
      <c r="P263" s="124">
        <f t="shared" si="107"/>
        <v>1.4297158502734078</v>
      </c>
      <c r="Q263" s="124">
        <f t="shared" si="107"/>
        <v>1.4165808654589651</v>
      </c>
      <c r="R263" s="124">
        <f t="shared" si="107"/>
        <v>2.2329341624303209</v>
      </c>
      <c r="S263" s="124">
        <f t="shared" si="107"/>
        <v>0.63872379054265904</v>
      </c>
      <c r="T263" s="124">
        <f t="shared" si="107"/>
        <v>1.4760887576462844</v>
      </c>
      <c r="U263" s="124">
        <f t="shared" si="107"/>
        <v>0.72404214970314584</v>
      </c>
      <c r="V263" s="124">
        <f t="shared" si="107"/>
        <v>10.806886065980674</v>
      </c>
      <c r="W263" s="124">
        <f t="shared" si="107"/>
        <v>4.4914588935274793</v>
      </c>
      <c r="X263" s="124">
        <f t="shared" si="107"/>
        <v>0.72097938035033571</v>
      </c>
      <c r="Y263" s="124">
        <f t="shared" si="107"/>
        <v>0.34973481339330487</v>
      </c>
      <c r="Z263" s="124">
        <f t="shared" si="107"/>
        <v>3.0102104113268875</v>
      </c>
      <c r="AA263" s="124" t="str">
        <f t="shared" si="107"/>
        <v/>
      </c>
      <c r="AB263" s="124">
        <f t="shared" si="107"/>
        <v>4.5294948431215145</v>
      </c>
      <c r="AC263" s="124" t="str">
        <f t="shared" si="107"/>
        <v/>
      </c>
      <c r="AD263" s="124">
        <f t="shared" si="109"/>
        <v>14.212887580561597</v>
      </c>
      <c r="AE263" s="124">
        <f t="shared" si="107"/>
        <v>1.0189469455448628</v>
      </c>
      <c r="AF263" s="124">
        <f t="shared" si="107"/>
        <v>2.5828614498757032</v>
      </c>
    </row>
    <row r="264" spans="1:32" x14ac:dyDescent="0.25">
      <c r="A264" t="s">
        <v>526</v>
      </c>
      <c r="B264" t="s">
        <v>126</v>
      </c>
      <c r="C264" t="s">
        <v>470</v>
      </c>
      <c r="D264" t="s">
        <v>512</v>
      </c>
      <c r="E264" s="123" t="str">
        <f t="shared" si="108"/>
        <v/>
      </c>
      <c r="F264" s="124" t="str">
        <f t="shared" si="107"/>
        <v/>
      </c>
      <c r="G264" s="124" t="str">
        <f t="shared" si="107"/>
        <v/>
      </c>
      <c r="H264" s="124">
        <f t="shared" si="107"/>
        <v>12.904221403947576</v>
      </c>
      <c r="I264" s="124">
        <f t="shared" si="107"/>
        <v>3.2928096408532594</v>
      </c>
      <c r="J264" s="124">
        <f t="shared" si="107"/>
        <v>15.280453517251319</v>
      </c>
      <c r="K264" s="124">
        <f t="shared" si="107"/>
        <v>15.280453517251319</v>
      </c>
      <c r="L264" s="124" t="str">
        <f t="shared" si="107"/>
        <v/>
      </c>
      <c r="M264" s="124">
        <f t="shared" si="107"/>
        <v>2.8858222451158584</v>
      </c>
      <c r="N264" s="124">
        <f t="shared" si="107"/>
        <v>2.0859305410319626</v>
      </c>
      <c r="O264" s="124">
        <f t="shared" si="107"/>
        <v>1.2888306186719989</v>
      </c>
      <c r="P264" s="124">
        <f t="shared" si="107"/>
        <v>2.6670904674111</v>
      </c>
      <c r="Q264" s="124">
        <f t="shared" si="107"/>
        <v>1.8399510612852559</v>
      </c>
      <c r="R264" s="124">
        <f t="shared" si="107"/>
        <v>4.4170324580937761</v>
      </c>
      <c r="S264" s="124">
        <f t="shared" si="107"/>
        <v>2.1041070683731755</v>
      </c>
      <c r="T264" s="124">
        <f t="shared" si="107"/>
        <v>5.4549449141314179</v>
      </c>
      <c r="U264" s="124">
        <f t="shared" si="107"/>
        <v>2.3957376647307238</v>
      </c>
      <c r="V264" s="124">
        <f t="shared" si="107"/>
        <v>1.2857497525714818</v>
      </c>
      <c r="W264" s="124" t="str">
        <f t="shared" si="107"/>
        <v/>
      </c>
      <c r="X264" s="124">
        <f t="shared" si="107"/>
        <v>2.4480123315508906</v>
      </c>
      <c r="Y264" s="124" t="str">
        <f t="shared" si="107"/>
        <v/>
      </c>
      <c r="Z264" s="124">
        <f t="shared" si="107"/>
        <v>7.0984628826119165</v>
      </c>
      <c r="AA264" s="124" t="str">
        <f t="shared" si="107"/>
        <v/>
      </c>
      <c r="AB264" s="124" t="str">
        <f t="shared" si="107"/>
        <v/>
      </c>
      <c r="AC264" s="124" t="str">
        <f t="shared" si="107"/>
        <v/>
      </c>
      <c r="AD264" s="124">
        <f t="shared" si="109"/>
        <v>3.3269587967799361</v>
      </c>
      <c r="AE264" s="124">
        <f t="shared" si="107"/>
        <v>3.0451092612982924</v>
      </c>
      <c r="AF264" s="124">
        <f t="shared" si="107"/>
        <v>2.8803194017694338</v>
      </c>
    </row>
    <row r="265" spans="1:32" x14ac:dyDescent="0.25">
      <c r="A265" t="s">
        <v>526</v>
      </c>
      <c r="B265" t="s">
        <v>128</v>
      </c>
      <c r="C265" t="s">
        <v>470</v>
      </c>
      <c r="D265" t="s">
        <v>512</v>
      </c>
      <c r="E265" s="123" t="str">
        <f t="shared" si="108"/>
        <v/>
      </c>
      <c r="F265" s="124">
        <f t="shared" si="107"/>
        <v>10.492673055925497</v>
      </c>
      <c r="G265" s="124" t="str">
        <f t="shared" si="107"/>
        <v/>
      </c>
      <c r="H265" s="124">
        <f t="shared" si="107"/>
        <v>0.935816728269808</v>
      </c>
      <c r="I265" s="124">
        <f t="shared" si="107"/>
        <v>1.4654280198712495</v>
      </c>
      <c r="J265" s="124">
        <f t="shared" si="107"/>
        <v>7.0368627130959585</v>
      </c>
      <c r="K265" s="124">
        <f t="shared" si="107"/>
        <v>8.3961998147972796</v>
      </c>
      <c r="L265" s="124" t="str">
        <f t="shared" si="107"/>
        <v/>
      </c>
      <c r="M265" s="124">
        <f t="shared" si="107"/>
        <v>1.5148188397516464</v>
      </c>
      <c r="N265" s="124">
        <f t="shared" si="107"/>
        <v>7.0638600731140109</v>
      </c>
      <c r="O265" s="124">
        <f t="shared" si="107"/>
        <v>5.4029533008067329E-2</v>
      </c>
      <c r="P265" s="124">
        <f t="shared" si="107"/>
        <v>0.39754132259138958</v>
      </c>
      <c r="Q265" s="124">
        <f t="shared" si="107"/>
        <v>1.6315949323181107</v>
      </c>
      <c r="R265" s="124">
        <f t="shared" si="107"/>
        <v>1.9772495299598605</v>
      </c>
      <c r="S265" s="124">
        <f t="shared" si="107"/>
        <v>2.2083308948140932</v>
      </c>
      <c r="T265" s="124">
        <f t="shared" si="107"/>
        <v>2.8598019177326117</v>
      </c>
      <c r="U265" s="124">
        <f t="shared" si="107"/>
        <v>2.4559686412499273</v>
      </c>
      <c r="V265" s="124">
        <f t="shared" si="107"/>
        <v>7.1238988643380257</v>
      </c>
      <c r="W265" s="124" t="str">
        <f t="shared" si="107"/>
        <v/>
      </c>
      <c r="X265" s="124">
        <f t="shared" si="107"/>
        <v>0.78089151302800641</v>
      </c>
      <c r="Y265" s="124">
        <f t="shared" si="107"/>
        <v>8.0352297581988008</v>
      </c>
      <c r="Z265" s="124">
        <f t="shared" si="107"/>
        <v>4.1990367329578984</v>
      </c>
      <c r="AA265" s="124" t="str">
        <f t="shared" si="107"/>
        <v/>
      </c>
      <c r="AB265" s="124">
        <f t="shared" si="107"/>
        <v>10.492673055925497</v>
      </c>
      <c r="AC265" s="124" t="str">
        <f t="shared" si="107"/>
        <v/>
      </c>
      <c r="AD265" s="124">
        <f t="shared" si="109"/>
        <v>8.6496433696149122</v>
      </c>
      <c r="AE265" s="124">
        <f t="shared" si="107"/>
        <v>0.68922728054651095</v>
      </c>
      <c r="AF265" s="124">
        <f t="shared" si="107"/>
        <v>10.492673055925497</v>
      </c>
    </row>
    <row r="266" spans="1:32" x14ac:dyDescent="0.25">
      <c r="A266" t="s">
        <v>526</v>
      </c>
      <c r="B266" t="s">
        <v>130</v>
      </c>
      <c r="C266" t="s">
        <v>470</v>
      </c>
      <c r="D266" t="s">
        <v>512</v>
      </c>
      <c r="E266" s="123" t="str">
        <f t="shared" si="108"/>
        <v/>
      </c>
      <c r="F266" s="124" t="str">
        <f t="shared" si="107"/>
        <v/>
      </c>
      <c r="G266" s="124" t="str">
        <f t="shared" si="107"/>
        <v/>
      </c>
      <c r="H266" s="124" t="str">
        <f t="shared" si="107"/>
        <v/>
      </c>
      <c r="I266" s="124" t="str">
        <f t="shared" si="107"/>
        <v/>
      </c>
      <c r="J266" s="124">
        <f t="shared" si="107"/>
        <v>4.8418281491905546</v>
      </c>
      <c r="K266" s="124" t="str">
        <f t="shared" si="107"/>
        <v/>
      </c>
      <c r="L266" s="124" t="str">
        <f t="shared" si="107"/>
        <v/>
      </c>
      <c r="M266" s="124" t="str">
        <f t="shared" si="107"/>
        <v/>
      </c>
      <c r="N266" s="124">
        <f t="shared" si="107"/>
        <v>5.9116915875870825E-3</v>
      </c>
      <c r="O266" s="124" t="str">
        <f t="shared" si="107"/>
        <v/>
      </c>
      <c r="P266" s="124">
        <f t="shared" si="107"/>
        <v>0.22955500725759981</v>
      </c>
      <c r="Q266" s="124">
        <f t="shared" si="107"/>
        <v>1.2686407817739085</v>
      </c>
      <c r="R266" s="124">
        <f t="shared" si="107"/>
        <v>1.0684625837044394E-3</v>
      </c>
      <c r="S266" s="124">
        <f t="shared" si="107"/>
        <v>0.37641154292661705</v>
      </c>
      <c r="T266" s="124">
        <f t="shared" si="107"/>
        <v>0.4108034932381579</v>
      </c>
      <c r="U266" s="124">
        <f t="shared" si="107"/>
        <v>0.108419561651177</v>
      </c>
      <c r="V266" s="124" t="str">
        <f t="shared" si="107"/>
        <v/>
      </c>
      <c r="W266" s="124" t="str">
        <f t="shared" si="107"/>
        <v/>
      </c>
      <c r="X266" s="124" t="str">
        <f t="shared" si="107"/>
        <v/>
      </c>
      <c r="Y266" s="124" t="str">
        <f t="shared" si="107"/>
        <v/>
      </c>
      <c r="Z266" s="124" t="str">
        <f t="shared" si="107"/>
        <v/>
      </c>
      <c r="AA266" s="124" t="str">
        <f t="shared" si="107"/>
        <v/>
      </c>
      <c r="AB266" s="124" t="str">
        <f t="shared" si="107"/>
        <v/>
      </c>
      <c r="AC266" s="124" t="str">
        <f t="shared" si="107"/>
        <v/>
      </c>
      <c r="AD266" s="124">
        <f t="shared" si="109"/>
        <v>4.8418281491905546</v>
      </c>
      <c r="AE266" s="124">
        <f t="shared" si="107"/>
        <v>4.9162840759463455E-3</v>
      </c>
      <c r="AF266" s="124">
        <f t="shared" si="107"/>
        <v>0.25618477945661056</v>
      </c>
    </row>
    <row r="267" spans="1:32" x14ac:dyDescent="0.25">
      <c r="A267" t="s">
        <v>526</v>
      </c>
      <c r="B267" t="s">
        <v>132</v>
      </c>
      <c r="C267" t="s">
        <v>470</v>
      </c>
      <c r="D267" t="s">
        <v>512</v>
      </c>
      <c r="E267" s="123" t="str">
        <f t="shared" si="108"/>
        <v/>
      </c>
      <c r="F267" s="124" t="str">
        <f t="shared" ref="F267:AF271" si="110">IF(F243="","",IF(F243&lt;$AI243,F243,$AI243))</f>
        <v/>
      </c>
      <c r="G267" s="124" t="str">
        <f t="shared" si="110"/>
        <v/>
      </c>
      <c r="H267" s="124" t="str">
        <f t="shared" si="110"/>
        <v/>
      </c>
      <c r="I267" s="124">
        <f t="shared" si="110"/>
        <v>6.9403815708673601E-3</v>
      </c>
      <c r="J267" s="124">
        <f t="shared" si="110"/>
        <v>0.44454891694568266</v>
      </c>
      <c r="K267" s="124">
        <f t="shared" si="110"/>
        <v>0.44454891694568266</v>
      </c>
      <c r="L267" s="124" t="str">
        <f t="shared" si="110"/>
        <v/>
      </c>
      <c r="M267" s="124">
        <f t="shared" si="110"/>
        <v>8.3715825967138849E-2</v>
      </c>
      <c r="N267" s="124" t="str">
        <f t="shared" si="110"/>
        <v/>
      </c>
      <c r="O267" s="124">
        <f t="shared" si="110"/>
        <v>6.551406831343777E-2</v>
      </c>
      <c r="P267" s="124">
        <f t="shared" si="110"/>
        <v>5.2961012425677099E-3</v>
      </c>
      <c r="Q267" s="124">
        <f t="shared" si="110"/>
        <v>5.0768405882941209E-3</v>
      </c>
      <c r="R267" s="124">
        <f t="shared" si="110"/>
        <v>1.724803885122881E-2</v>
      </c>
      <c r="S267" s="124">
        <f t="shared" si="110"/>
        <v>5.4678627523727635E-3</v>
      </c>
      <c r="T267" s="124">
        <f t="shared" si="110"/>
        <v>0.10105887358848141</v>
      </c>
      <c r="U267" s="124">
        <f t="shared" si="110"/>
        <v>0.14307843512189777</v>
      </c>
      <c r="V267" s="124">
        <f t="shared" si="110"/>
        <v>0.26073465893522108</v>
      </c>
      <c r="W267" s="124" t="str">
        <f t="shared" si="110"/>
        <v/>
      </c>
      <c r="X267" s="124">
        <f t="shared" si="110"/>
        <v>0.16344905048068917</v>
      </c>
      <c r="Y267" s="124">
        <f t="shared" si="110"/>
        <v>1.6875021152873578E-3</v>
      </c>
      <c r="Z267" s="124">
        <f t="shared" si="110"/>
        <v>1.2007091981359944E-2</v>
      </c>
      <c r="AA267" s="124" t="str">
        <f t="shared" si="110"/>
        <v/>
      </c>
      <c r="AB267" s="124">
        <f t="shared" si="110"/>
        <v>3.8572601209342507E-2</v>
      </c>
      <c r="AC267" s="124" t="str">
        <f t="shared" si="110"/>
        <v/>
      </c>
      <c r="AD267" s="124">
        <f t="shared" si="109"/>
        <v>1.0431974025654669E-2</v>
      </c>
      <c r="AE267" s="124">
        <f t="shared" si="110"/>
        <v>5.535526665937885E-2</v>
      </c>
      <c r="AF267" s="124">
        <f t="shared" si="110"/>
        <v>3.181768108441594E-3</v>
      </c>
    </row>
    <row r="268" spans="1:32" x14ac:dyDescent="0.25">
      <c r="A268" t="s">
        <v>526</v>
      </c>
      <c r="B268" t="s">
        <v>134</v>
      </c>
      <c r="C268" t="s">
        <v>470</v>
      </c>
      <c r="D268" t="s">
        <v>512</v>
      </c>
      <c r="E268" s="123" t="str">
        <f t="shared" si="108"/>
        <v/>
      </c>
      <c r="F268" s="124">
        <f t="shared" si="110"/>
        <v>2.1005554510182129</v>
      </c>
      <c r="G268" s="124" t="str">
        <f t="shared" si="110"/>
        <v/>
      </c>
      <c r="H268" s="124">
        <f t="shared" si="110"/>
        <v>0.10455075470014277</v>
      </c>
      <c r="I268" s="124">
        <f t="shared" si="110"/>
        <v>0.19456203003664835</v>
      </c>
      <c r="J268" s="124">
        <f t="shared" si="110"/>
        <v>2.1005554510182129</v>
      </c>
      <c r="K268" s="124">
        <f t="shared" si="110"/>
        <v>2.1005554510182129</v>
      </c>
      <c r="L268" s="124" t="str">
        <f t="shared" si="110"/>
        <v/>
      </c>
      <c r="M268" s="124">
        <f t="shared" si="110"/>
        <v>0.40886466538899552</v>
      </c>
      <c r="N268" s="124">
        <f t="shared" si="110"/>
        <v>1.9083355300281105E-2</v>
      </c>
      <c r="O268" s="124">
        <f t="shared" si="110"/>
        <v>0.17516393001698097</v>
      </c>
      <c r="P268" s="124">
        <f t="shared" si="110"/>
        <v>5.8038488738363973E-2</v>
      </c>
      <c r="Q268" s="124">
        <f t="shared" si="110"/>
        <v>0.15935111323164303</v>
      </c>
      <c r="R268" s="124">
        <f t="shared" si="110"/>
        <v>0.1285207850684483</v>
      </c>
      <c r="S268" s="124">
        <f t="shared" si="110"/>
        <v>1.4661614282911038E-2</v>
      </c>
      <c r="T268" s="124">
        <f t="shared" si="110"/>
        <v>0.32586105388661618</v>
      </c>
      <c r="U268" s="124">
        <f t="shared" si="110"/>
        <v>7.2089670457817959E-2</v>
      </c>
      <c r="V268" s="124">
        <f t="shared" si="110"/>
        <v>1.4564796069126866</v>
      </c>
      <c r="W268" s="124">
        <f t="shared" si="110"/>
        <v>1.0304167664997912</v>
      </c>
      <c r="X268" s="124">
        <f t="shared" si="110"/>
        <v>0.48051763222715843</v>
      </c>
      <c r="Y268" s="124">
        <f t="shared" si="110"/>
        <v>9.9773562566365021E-2</v>
      </c>
      <c r="Z268" s="124">
        <f t="shared" si="110"/>
        <v>6.1658039904280787E-2</v>
      </c>
      <c r="AA268" s="124">
        <f t="shared" si="110"/>
        <v>0.14300807238045485</v>
      </c>
      <c r="AB268" s="124">
        <f t="shared" si="110"/>
        <v>0.66644883200586225</v>
      </c>
      <c r="AC268" s="124" t="str">
        <f t="shared" si="110"/>
        <v/>
      </c>
      <c r="AD268" s="124">
        <f t="shared" si="109"/>
        <v>0.25505890423968108</v>
      </c>
      <c r="AE268" s="124">
        <f t="shared" si="110"/>
        <v>7.4685677238844487E-3</v>
      </c>
      <c r="AF268" s="124">
        <f t="shared" si="110"/>
        <v>0.12709590191412301</v>
      </c>
    </row>
    <row r="269" spans="1:32" x14ac:dyDescent="0.25">
      <c r="A269" t="s">
        <v>526</v>
      </c>
      <c r="B269" t="s">
        <v>1701</v>
      </c>
      <c r="C269" t="s">
        <v>470</v>
      </c>
      <c r="D269" t="s">
        <v>512</v>
      </c>
      <c r="E269" s="123" t="str">
        <f t="shared" si="108"/>
        <v/>
      </c>
      <c r="F269" s="124" t="str">
        <f t="shared" si="110"/>
        <v/>
      </c>
      <c r="G269" s="124" t="str">
        <f t="shared" si="110"/>
        <v/>
      </c>
      <c r="H269" s="124" t="str">
        <f t="shared" si="110"/>
        <v/>
      </c>
      <c r="I269" s="124" t="str">
        <f t="shared" si="110"/>
        <v/>
      </c>
      <c r="J269" s="124" t="str">
        <f t="shared" si="110"/>
        <v/>
      </c>
      <c r="K269" s="124" t="str">
        <f t="shared" si="110"/>
        <v/>
      </c>
      <c r="L269" s="124" t="str">
        <f t="shared" si="110"/>
        <v/>
      </c>
      <c r="M269" s="124" t="str">
        <f t="shared" si="110"/>
        <v/>
      </c>
      <c r="N269" s="124" t="str">
        <f t="shared" si="110"/>
        <v/>
      </c>
      <c r="O269" s="124" t="str">
        <f t="shared" si="110"/>
        <v/>
      </c>
      <c r="P269" s="124" t="str">
        <f t="shared" si="110"/>
        <v/>
      </c>
      <c r="Q269" s="124" t="str">
        <f t="shared" si="110"/>
        <v/>
      </c>
      <c r="R269" s="124" t="str">
        <f t="shared" si="110"/>
        <v/>
      </c>
      <c r="S269" s="124" t="str">
        <f t="shared" si="110"/>
        <v/>
      </c>
      <c r="T269" s="124" t="str">
        <f t="shared" si="110"/>
        <v/>
      </c>
      <c r="U269" s="124" t="str">
        <f t="shared" si="110"/>
        <v/>
      </c>
      <c r="V269" s="124" t="str">
        <f t="shared" si="110"/>
        <v/>
      </c>
      <c r="W269" s="124" t="str">
        <f t="shared" si="110"/>
        <v/>
      </c>
      <c r="X269" s="124" t="str">
        <f t="shared" si="110"/>
        <v/>
      </c>
      <c r="Y269" s="124" t="str">
        <f t="shared" si="110"/>
        <v/>
      </c>
      <c r="Z269" s="124" t="str">
        <f t="shared" si="110"/>
        <v/>
      </c>
      <c r="AA269" s="124" t="str">
        <f t="shared" si="110"/>
        <v/>
      </c>
      <c r="AB269" s="124" t="str">
        <f t="shared" si="110"/>
        <v/>
      </c>
      <c r="AC269" s="124" t="str">
        <f t="shared" si="110"/>
        <v/>
      </c>
      <c r="AD269" s="124" t="str">
        <f t="shared" si="109"/>
        <v/>
      </c>
      <c r="AE269" s="124" t="str">
        <f t="shared" si="110"/>
        <v/>
      </c>
      <c r="AF269" s="124" t="str">
        <f t="shared" si="110"/>
        <v/>
      </c>
    </row>
    <row r="270" spans="1:32" x14ac:dyDescent="0.25">
      <c r="A270" t="s">
        <v>526</v>
      </c>
      <c r="B270" t="s">
        <v>137</v>
      </c>
      <c r="C270" t="s">
        <v>470</v>
      </c>
      <c r="D270" t="s">
        <v>512</v>
      </c>
      <c r="E270" s="123" t="str">
        <f t="shared" si="108"/>
        <v/>
      </c>
      <c r="F270" s="124" t="str">
        <f t="shared" si="110"/>
        <v/>
      </c>
      <c r="G270" s="124" t="str">
        <f t="shared" si="110"/>
        <v/>
      </c>
      <c r="H270" s="124" t="str">
        <f t="shared" si="110"/>
        <v/>
      </c>
      <c r="I270" s="124" t="str">
        <f t="shared" si="110"/>
        <v/>
      </c>
      <c r="J270" s="124" t="str">
        <f t="shared" si="110"/>
        <v/>
      </c>
      <c r="K270" s="124" t="str">
        <f t="shared" si="110"/>
        <v/>
      </c>
      <c r="L270" s="124" t="str">
        <f t="shared" si="110"/>
        <v/>
      </c>
      <c r="M270" s="124" t="str">
        <f t="shared" si="110"/>
        <v/>
      </c>
      <c r="N270" s="124" t="str">
        <f t="shared" si="110"/>
        <v/>
      </c>
      <c r="O270" s="124" t="str">
        <f t="shared" si="110"/>
        <v/>
      </c>
      <c r="P270" s="124" t="str">
        <f t="shared" si="110"/>
        <v/>
      </c>
      <c r="Q270" s="124" t="str">
        <f t="shared" si="110"/>
        <v/>
      </c>
      <c r="R270" s="124" t="str">
        <f t="shared" si="110"/>
        <v/>
      </c>
      <c r="S270" s="124" t="str">
        <f t="shared" si="110"/>
        <v/>
      </c>
      <c r="T270" s="124" t="str">
        <f t="shared" si="110"/>
        <v/>
      </c>
      <c r="U270" s="124" t="str">
        <f t="shared" si="110"/>
        <v/>
      </c>
      <c r="V270" s="124" t="str">
        <f t="shared" si="110"/>
        <v/>
      </c>
      <c r="W270" s="124" t="str">
        <f t="shared" si="110"/>
        <v/>
      </c>
      <c r="X270" s="124" t="str">
        <f t="shared" si="110"/>
        <v/>
      </c>
      <c r="Y270" s="124" t="str">
        <f t="shared" si="110"/>
        <v/>
      </c>
      <c r="Z270" s="124" t="str">
        <f t="shared" si="110"/>
        <v/>
      </c>
      <c r="AA270" s="124" t="str">
        <f t="shared" si="110"/>
        <v/>
      </c>
      <c r="AB270" s="124" t="str">
        <f t="shared" si="110"/>
        <v/>
      </c>
      <c r="AC270" s="124" t="str">
        <f t="shared" si="110"/>
        <v/>
      </c>
      <c r="AD270" s="124" t="str">
        <f t="shared" si="109"/>
        <v/>
      </c>
      <c r="AE270" s="124" t="str">
        <f t="shared" si="110"/>
        <v/>
      </c>
      <c r="AF270" s="124" t="str">
        <f t="shared" si="110"/>
        <v/>
      </c>
    </row>
    <row r="271" spans="1:32" x14ac:dyDescent="0.25">
      <c r="A271" t="s">
        <v>526</v>
      </c>
      <c r="B271" t="s">
        <v>139</v>
      </c>
      <c r="C271" t="s">
        <v>470</v>
      </c>
      <c r="D271" t="s">
        <v>512</v>
      </c>
      <c r="E271" s="123" t="str">
        <f t="shared" si="108"/>
        <v/>
      </c>
      <c r="F271" s="124" t="str">
        <f t="shared" si="110"/>
        <v/>
      </c>
      <c r="G271" s="124" t="str">
        <f t="shared" si="110"/>
        <v/>
      </c>
      <c r="H271" s="124" t="str">
        <f t="shared" si="110"/>
        <v/>
      </c>
      <c r="I271" s="124" t="str">
        <f t="shared" si="110"/>
        <v/>
      </c>
      <c r="J271" s="124" t="str">
        <f t="shared" si="110"/>
        <v/>
      </c>
      <c r="K271" s="124" t="str">
        <f t="shared" si="110"/>
        <v/>
      </c>
      <c r="L271" s="124" t="str">
        <f t="shared" si="110"/>
        <v/>
      </c>
      <c r="M271" s="124" t="str">
        <f t="shared" si="110"/>
        <v/>
      </c>
      <c r="N271" s="124" t="str">
        <f t="shared" si="110"/>
        <v/>
      </c>
      <c r="O271" s="124" t="str">
        <f t="shared" si="110"/>
        <v/>
      </c>
      <c r="P271" s="124" t="str">
        <f t="shared" si="110"/>
        <v/>
      </c>
      <c r="Q271" s="124" t="str">
        <f t="shared" si="110"/>
        <v/>
      </c>
      <c r="R271" s="124">
        <f t="shared" si="110"/>
        <v>0</v>
      </c>
      <c r="S271" s="124">
        <f t="shared" si="110"/>
        <v>0</v>
      </c>
      <c r="T271" s="124" t="str">
        <f t="shared" si="110"/>
        <v/>
      </c>
      <c r="U271" s="124">
        <f t="shared" si="110"/>
        <v>0</v>
      </c>
      <c r="V271" s="124" t="str">
        <f t="shared" si="110"/>
        <v/>
      </c>
      <c r="W271" s="124" t="str">
        <f t="shared" si="110"/>
        <v/>
      </c>
      <c r="X271" s="124">
        <f t="shared" si="110"/>
        <v>0</v>
      </c>
      <c r="Y271" s="124" t="str">
        <f t="shared" si="110"/>
        <v/>
      </c>
      <c r="Z271" s="124">
        <f t="shared" si="110"/>
        <v>0</v>
      </c>
      <c r="AA271" s="124" t="str">
        <f t="shared" si="110"/>
        <v/>
      </c>
      <c r="AB271" s="124" t="str">
        <f t="shared" si="110"/>
        <v/>
      </c>
      <c r="AC271" s="124" t="str">
        <f t="shared" si="110"/>
        <v/>
      </c>
      <c r="AD271" s="124">
        <f>AD247</f>
        <v>1.0281120434168511</v>
      </c>
      <c r="AE271" s="124">
        <f t="shared" si="110"/>
        <v>0</v>
      </c>
      <c r="AF271" s="124" t="str">
        <f t="shared" si="110"/>
        <v/>
      </c>
    </row>
    <row r="272" spans="1:32" x14ac:dyDescent="0.25">
      <c r="A272" t="s">
        <v>526</v>
      </c>
      <c r="B272" t="s">
        <v>366</v>
      </c>
      <c r="C272" t="s">
        <v>472</v>
      </c>
      <c r="D272" t="s">
        <v>454</v>
      </c>
      <c r="E272" s="123">
        <v>1</v>
      </c>
      <c r="F272" s="123">
        <v>1</v>
      </c>
      <c r="G272" s="123">
        <v>1</v>
      </c>
      <c r="H272" s="123">
        <v>1</v>
      </c>
      <c r="I272" s="123">
        <v>1</v>
      </c>
      <c r="J272" s="123">
        <v>1</v>
      </c>
      <c r="K272" s="123">
        <v>1</v>
      </c>
      <c r="L272" s="123">
        <v>1</v>
      </c>
      <c r="M272" s="123">
        <v>1</v>
      </c>
      <c r="N272" s="123">
        <v>1</v>
      </c>
      <c r="O272" s="123">
        <v>1</v>
      </c>
      <c r="P272" s="123">
        <v>1</v>
      </c>
      <c r="Q272" s="123">
        <v>1</v>
      </c>
      <c r="R272" s="123">
        <v>1</v>
      </c>
      <c r="S272" s="123">
        <v>1</v>
      </c>
      <c r="T272" s="123">
        <v>1</v>
      </c>
      <c r="U272" s="123">
        <v>1</v>
      </c>
      <c r="V272" s="123">
        <v>1</v>
      </c>
      <c r="W272" s="123">
        <v>1</v>
      </c>
      <c r="X272" s="123">
        <v>1</v>
      </c>
      <c r="Y272" s="123">
        <v>1</v>
      </c>
      <c r="Z272" s="123">
        <v>1</v>
      </c>
      <c r="AA272" s="123">
        <v>1</v>
      </c>
      <c r="AB272" s="123">
        <v>1</v>
      </c>
      <c r="AC272" s="123">
        <v>1</v>
      </c>
      <c r="AD272" s="123">
        <v>1</v>
      </c>
      <c r="AE272" s="123">
        <v>1</v>
      </c>
      <c r="AF272" s="123">
        <v>1</v>
      </c>
    </row>
    <row r="274" spans="1:32" x14ac:dyDescent="0.25">
      <c r="C274" t="s">
        <v>530</v>
      </c>
      <c r="E274" s="102">
        <f>SUM(E257:E271)</f>
        <v>0</v>
      </c>
      <c r="F274" s="102">
        <f>SUM(F257:F271)</f>
        <v>20.54998766590386</v>
      </c>
      <c r="G274" s="102">
        <f t="shared" ref="G274:AF274" si="111">SUM(G257:G271)</f>
        <v>0</v>
      </c>
      <c r="H274" s="102">
        <f t="shared" si="111"/>
        <v>28.08328521064989</v>
      </c>
      <c r="I274" s="102">
        <f t="shared" si="111"/>
        <v>8.3989304867491636</v>
      </c>
      <c r="J274" s="102">
        <f t="shared" si="111"/>
        <v>47.009790420834534</v>
      </c>
      <c r="K274" s="102">
        <f t="shared" si="111"/>
        <v>33.214162493938453</v>
      </c>
      <c r="L274" s="102">
        <f t="shared" si="111"/>
        <v>0</v>
      </c>
      <c r="M274" s="102">
        <f t="shared" si="111"/>
        <v>21.986612796187345</v>
      </c>
      <c r="N274" s="102">
        <f t="shared" si="111"/>
        <v>16.668528888569231</v>
      </c>
      <c r="O274" s="102">
        <f t="shared" si="111"/>
        <v>3.9544578011852121</v>
      </c>
      <c r="P274" s="102">
        <f t="shared" si="111"/>
        <v>11.516419659869671</v>
      </c>
      <c r="Q274" s="102">
        <f t="shared" si="111"/>
        <v>9.4882426266939763</v>
      </c>
      <c r="R274" s="102">
        <f t="shared" si="111"/>
        <v>11.764832846288023</v>
      </c>
      <c r="S274" s="102">
        <f t="shared" si="111"/>
        <v>8.7584878151896266</v>
      </c>
      <c r="T274" s="102">
        <f t="shared" si="111"/>
        <v>11.511761683715038</v>
      </c>
      <c r="U274" s="102">
        <f t="shared" si="111"/>
        <v>9.2948834533797111</v>
      </c>
      <c r="V274" s="102">
        <f t="shared" si="111"/>
        <v>21.884640348824568</v>
      </c>
      <c r="W274" s="102">
        <f t="shared" si="111"/>
        <v>17.827454776204753</v>
      </c>
      <c r="X274" s="102">
        <f t="shared" si="111"/>
        <v>10.154161604124486</v>
      </c>
      <c r="Y274" s="102">
        <f t="shared" si="111"/>
        <v>8.9142074224991035</v>
      </c>
      <c r="Z274" s="102">
        <f t="shared" si="111"/>
        <v>17.640489341722827</v>
      </c>
      <c r="AA274" s="102">
        <f t="shared" si="111"/>
        <v>1.121215928392268</v>
      </c>
      <c r="AB274" s="102">
        <f t="shared" si="111"/>
        <v>17.990543854334856</v>
      </c>
      <c r="AC274" s="102">
        <f t="shared" si="111"/>
        <v>0</v>
      </c>
      <c r="AD274" s="102">
        <f>SUM(AD257:AD271)</f>
        <v>40.274485521638638</v>
      </c>
      <c r="AE274" s="102">
        <f t="shared" si="111"/>
        <v>7.8807096111401806</v>
      </c>
      <c r="AF274" s="102">
        <f t="shared" si="111"/>
        <v>18.997729112694923</v>
      </c>
    </row>
    <row r="275" spans="1:32" x14ac:dyDescent="0.25">
      <c r="C275" t="s">
        <v>531</v>
      </c>
      <c r="E275" s="276">
        <f>E250</f>
        <v>0</v>
      </c>
      <c r="F275" s="276">
        <f t="shared" ref="F275:AF275" si="112">F250</f>
        <v>86.724847638917154</v>
      </c>
      <c r="G275" s="276">
        <f t="shared" si="112"/>
        <v>0</v>
      </c>
      <c r="H275" s="276">
        <f t="shared" si="112"/>
        <v>38.127839639604105</v>
      </c>
      <c r="I275" s="276">
        <f t="shared" si="112"/>
        <v>8.3989304867491636</v>
      </c>
      <c r="J275" s="276">
        <f t="shared" si="112"/>
        <v>65.446857653722148</v>
      </c>
      <c r="K275" s="276">
        <f t="shared" si="112"/>
        <v>62.212232600440963</v>
      </c>
      <c r="L275" s="276">
        <f t="shared" si="112"/>
        <v>0</v>
      </c>
      <c r="M275" s="276">
        <f t="shared" si="112"/>
        <v>28.954154059286022</v>
      </c>
      <c r="N275" s="276">
        <f t="shared" si="112"/>
        <v>16.668528888569231</v>
      </c>
      <c r="O275" s="276">
        <f t="shared" si="112"/>
        <v>3.9544578011852121</v>
      </c>
      <c r="P275" s="276">
        <f t="shared" si="112"/>
        <v>11.652318410689634</v>
      </c>
      <c r="Q275" s="276">
        <f t="shared" si="112"/>
        <v>9.4882426266939763</v>
      </c>
      <c r="R275" s="276">
        <f t="shared" si="112"/>
        <v>11.773838459493533</v>
      </c>
      <c r="S275" s="276">
        <f t="shared" si="112"/>
        <v>8.7597459075043318</v>
      </c>
      <c r="T275" s="276">
        <f t="shared" si="112"/>
        <v>11.511761683715038</v>
      </c>
      <c r="U275" s="276">
        <f t="shared" si="112"/>
        <v>9.2961416314296983</v>
      </c>
      <c r="V275" s="276">
        <f t="shared" si="112"/>
        <v>24.084147196565215</v>
      </c>
      <c r="W275" s="276">
        <f t="shared" si="112"/>
        <v>36.929100724078125</v>
      </c>
      <c r="X275" s="276">
        <f t="shared" si="112"/>
        <v>10.172476217990717</v>
      </c>
      <c r="Y275" s="276">
        <f t="shared" si="112"/>
        <v>8.9142074224991035</v>
      </c>
      <c r="Z275" s="276">
        <f t="shared" si="112"/>
        <v>17.654119013701667</v>
      </c>
      <c r="AA275" s="276">
        <f t="shared" si="112"/>
        <v>1.121215928392268</v>
      </c>
      <c r="AB275" s="276">
        <f t="shared" si="112"/>
        <v>36.356143013815974</v>
      </c>
      <c r="AC275" s="276">
        <f t="shared" si="112"/>
        <v>0</v>
      </c>
      <c r="AD275" s="276">
        <f t="shared" si="112"/>
        <v>40.274485521638638</v>
      </c>
      <c r="AE275" s="276">
        <f t="shared" si="112"/>
        <v>7.8882200195796051</v>
      </c>
      <c r="AF275" s="276">
        <f t="shared" si="112"/>
        <v>19.202510188951649</v>
      </c>
    </row>
    <row r="277" spans="1:32" x14ac:dyDescent="0.25">
      <c r="C277" t="s">
        <v>532</v>
      </c>
      <c r="E277" s="102">
        <f>E274+E204</f>
        <v>0</v>
      </c>
      <c r="F277" s="102">
        <f t="shared" ref="F277:AF277" si="113">F274+F204</f>
        <v>36.495551346462491</v>
      </c>
      <c r="G277" s="102">
        <f t="shared" si="113"/>
        <v>0</v>
      </c>
      <c r="H277" s="102">
        <f>H274+H204</f>
        <v>37.449255882196873</v>
      </c>
      <c r="I277" s="102">
        <f t="shared" si="113"/>
        <v>20.995491691821062</v>
      </c>
      <c r="J277" s="102">
        <f t="shared" si="113"/>
        <v>63.748111519484894</v>
      </c>
      <c r="K277" s="102">
        <f t="shared" si="113"/>
        <v>39.202017683237294</v>
      </c>
      <c r="L277" s="102">
        <f t="shared" si="113"/>
        <v>0</v>
      </c>
      <c r="M277" s="102">
        <f t="shared" si="113"/>
        <v>21.986612796187345</v>
      </c>
      <c r="N277" s="102">
        <f t="shared" si="113"/>
        <v>22.160697801212635</v>
      </c>
      <c r="O277" s="102">
        <f t="shared" si="113"/>
        <v>9.4879828974696814</v>
      </c>
      <c r="P277" s="102">
        <f t="shared" si="113"/>
        <v>22.929236080340509</v>
      </c>
      <c r="Q277" s="102">
        <f t="shared" si="113"/>
        <v>15.753704448610996</v>
      </c>
      <c r="R277" s="102">
        <f t="shared" si="113"/>
        <v>25.885329077501979</v>
      </c>
      <c r="S277" s="102">
        <f t="shared" si="113"/>
        <v>19.584710900389847</v>
      </c>
      <c r="T277" s="102">
        <f t="shared" si="113"/>
        <v>25.1639318135366</v>
      </c>
      <c r="U277" s="102">
        <f t="shared" si="113"/>
        <v>23.071422853691338</v>
      </c>
      <c r="V277" s="102">
        <f t="shared" si="113"/>
        <v>22.49926304938732</v>
      </c>
      <c r="W277" s="102">
        <f t="shared" si="113"/>
        <v>34.766852499220036</v>
      </c>
      <c r="X277" s="102">
        <f t="shared" si="113"/>
        <v>24.882814661749144</v>
      </c>
      <c r="Y277" s="102">
        <f t="shared" si="113"/>
        <v>19.925791538042347</v>
      </c>
      <c r="Z277" s="102">
        <f t="shared" si="113"/>
        <v>30.985885305005162</v>
      </c>
      <c r="AA277" s="102">
        <f t="shared" si="113"/>
        <v>8.3209889532867223</v>
      </c>
      <c r="AB277" s="102">
        <f t="shared" si="113"/>
        <v>26.373870142727569</v>
      </c>
      <c r="AC277" s="102">
        <f t="shared" si="113"/>
        <v>0</v>
      </c>
      <c r="AD277" s="102">
        <f>AD274+AD204</f>
        <v>50.68149528038365</v>
      </c>
      <c r="AE277" s="102">
        <f t="shared" si="113"/>
        <v>20.77026504217185</v>
      </c>
      <c r="AF277" s="102">
        <f t="shared" si="113"/>
        <v>28.32230264605716</v>
      </c>
    </row>
    <row r="278" spans="1:32" x14ac:dyDescent="0.25">
      <c r="C278" t="s">
        <v>533</v>
      </c>
      <c r="E278" s="280"/>
      <c r="F278" s="280">
        <f t="shared" ref="F278:AF278" si="114">F275+F205</f>
        <v>103.84098906100239</v>
      </c>
      <c r="G278" s="280"/>
      <c r="H278" s="280">
        <f t="shared" si="114"/>
        <v>47.493810311151087</v>
      </c>
      <c r="I278" s="280">
        <f t="shared" si="114"/>
        <v>20.995491691821062</v>
      </c>
      <c r="J278" s="280">
        <f t="shared" si="114"/>
        <v>83.130178183076481</v>
      </c>
      <c r="K278" s="280">
        <f t="shared" si="114"/>
        <v>68.200087789739797</v>
      </c>
      <c r="L278" s="280"/>
      <c r="M278" s="280">
        <f t="shared" si="114"/>
        <v>28.954154059286022</v>
      </c>
      <c r="N278" s="280">
        <f t="shared" si="114"/>
        <v>22.160697801212635</v>
      </c>
      <c r="O278" s="280">
        <f t="shared" si="114"/>
        <v>9.4879828974696814</v>
      </c>
      <c r="P278" s="280">
        <f t="shared" si="114"/>
        <v>23.065134831160474</v>
      </c>
      <c r="Q278" s="280">
        <f t="shared" si="114"/>
        <v>15.753704448610996</v>
      </c>
      <c r="R278" s="280">
        <f t="shared" si="114"/>
        <v>25.894334690707488</v>
      </c>
      <c r="S278" s="280">
        <f t="shared" si="114"/>
        <v>19.585968992704551</v>
      </c>
      <c r="T278" s="280">
        <f t="shared" si="114"/>
        <v>25.701454130321416</v>
      </c>
      <c r="U278" s="280">
        <f t="shared" si="114"/>
        <v>23.127057026546485</v>
      </c>
      <c r="V278" s="280">
        <f t="shared" si="114"/>
        <v>24.698769897127967</v>
      </c>
      <c r="W278" s="280">
        <f t="shared" si="114"/>
        <v>60.986308599965156</v>
      </c>
      <c r="X278" s="280">
        <f t="shared" si="114"/>
        <v>24.901129275615375</v>
      </c>
      <c r="Y278" s="280">
        <f t="shared" si="114"/>
        <v>19.925791538042347</v>
      </c>
      <c r="Z278" s="280">
        <f t="shared" si="114"/>
        <v>30.999514976984003</v>
      </c>
      <c r="AA278" s="280">
        <f t="shared" si="114"/>
        <v>8.3209889532867223</v>
      </c>
      <c r="AB278" s="280">
        <f t="shared" si="114"/>
        <v>44.73946930220869</v>
      </c>
      <c r="AC278" s="280" t="e">
        <f t="shared" si="114"/>
        <v>#VALUE!</v>
      </c>
      <c r="AD278" s="280">
        <f t="shared" si="114"/>
        <v>50.68149528038365</v>
      </c>
      <c r="AE278" s="280">
        <f t="shared" si="114"/>
        <v>20.777775450611273</v>
      </c>
      <c r="AF278" s="280">
        <f t="shared" si="114"/>
        <v>28.527083722313886</v>
      </c>
    </row>
    <row r="281" spans="1:32" ht="8.65" customHeight="1" x14ac:dyDescent="0.25">
      <c r="A281" s="585"/>
      <c r="B281" s="585"/>
      <c r="C281" s="585"/>
      <c r="D281" s="585"/>
      <c r="E281" s="585"/>
      <c r="F281" s="585"/>
      <c r="G281" s="585"/>
      <c r="H281" s="585"/>
      <c r="I281" s="585"/>
      <c r="J281" s="585"/>
      <c r="K281" s="585"/>
      <c r="L281" s="585"/>
      <c r="M281" s="585"/>
      <c r="N281" s="585"/>
      <c r="O281" s="585"/>
      <c r="P281" s="585"/>
      <c r="Q281" s="585"/>
      <c r="R281" s="585"/>
      <c r="S281" s="585"/>
      <c r="T281" s="585"/>
      <c r="U281" s="585"/>
      <c r="V281" s="585"/>
      <c r="W281" s="585"/>
      <c r="X281" s="585"/>
      <c r="Y281" s="585"/>
      <c r="Z281" s="585"/>
      <c r="AA281" s="585"/>
      <c r="AB281" s="585"/>
      <c r="AC281" s="585"/>
      <c r="AD281" s="585"/>
      <c r="AE281" s="585"/>
      <c r="AF281" s="585"/>
    </row>
    <row r="283" spans="1:32" ht="17.25" x14ac:dyDescent="0.3">
      <c r="A283" s="588" t="s">
        <v>534</v>
      </c>
      <c r="B283" s="589"/>
    </row>
    <row r="285" spans="1:32" ht="21" customHeight="1" x14ac:dyDescent="0.25">
      <c r="A285" s="587" t="s">
        <v>535</v>
      </c>
    </row>
    <row r="286" spans="1:32" ht="15.75" x14ac:dyDescent="0.25">
      <c r="A286" s="89" t="s">
        <v>358</v>
      </c>
      <c r="B286" s="90" t="s">
        <v>359</v>
      </c>
      <c r="C286" s="89" t="s">
        <v>360</v>
      </c>
      <c r="D286" s="89" t="s">
        <v>342</v>
      </c>
      <c r="E286" s="91" t="s">
        <v>162</v>
      </c>
      <c r="F286" s="91" t="s">
        <v>164</v>
      </c>
      <c r="G286" s="91" t="s">
        <v>166</v>
      </c>
      <c r="H286" s="91" t="s">
        <v>168</v>
      </c>
      <c r="I286" s="91" t="s">
        <v>170</v>
      </c>
      <c r="J286" s="91" t="s">
        <v>173</v>
      </c>
      <c r="K286" s="91" t="s">
        <v>175</v>
      </c>
      <c r="L286" s="91" t="s">
        <v>177</v>
      </c>
      <c r="M286" s="91" t="s">
        <v>179</v>
      </c>
      <c r="N286" s="91" t="s">
        <v>181</v>
      </c>
      <c r="O286" s="91" t="s">
        <v>183</v>
      </c>
      <c r="P286" s="91" t="s">
        <v>185</v>
      </c>
      <c r="Q286" s="91" t="s">
        <v>188</v>
      </c>
      <c r="R286" s="91" t="s">
        <v>190</v>
      </c>
      <c r="S286" s="91" t="s">
        <v>192</v>
      </c>
      <c r="T286" s="91" t="s">
        <v>194</v>
      </c>
      <c r="U286" s="91" t="s">
        <v>196</v>
      </c>
      <c r="V286" s="91" t="s">
        <v>198</v>
      </c>
      <c r="W286" s="91" t="s">
        <v>9</v>
      </c>
      <c r="X286" s="91" t="s">
        <v>201</v>
      </c>
      <c r="Y286" s="91" t="s">
        <v>203</v>
      </c>
      <c r="Z286" s="91" t="s">
        <v>205</v>
      </c>
      <c r="AA286" s="91" t="s">
        <v>207</v>
      </c>
      <c r="AB286" s="91" t="s">
        <v>210</v>
      </c>
      <c r="AC286" s="91" t="s">
        <v>212</v>
      </c>
      <c r="AD286" s="91" t="s">
        <v>214</v>
      </c>
      <c r="AE286" s="91" t="s">
        <v>217</v>
      </c>
      <c r="AF286" s="92" t="s">
        <v>219</v>
      </c>
    </row>
    <row r="287" spans="1:32" x14ac:dyDescent="0.25">
      <c r="A287" t="s">
        <v>536</v>
      </c>
      <c r="B287" t="s">
        <v>88</v>
      </c>
      <c r="C287" t="s">
        <v>113</v>
      </c>
      <c r="D287" t="s">
        <v>323</v>
      </c>
      <c r="E287" s="160" t="str">
        <f t="shared" ref="E287:AF287" si="115">IFERROR(E257*(E$85*E$81),"")</f>
        <v/>
      </c>
      <c r="F287" s="160">
        <f t="shared" si="115"/>
        <v>3.35</v>
      </c>
      <c r="G287" s="160" t="str">
        <f t="shared" si="115"/>
        <v/>
      </c>
      <c r="H287" s="160">
        <f t="shared" si="115"/>
        <v>17.987233404331114</v>
      </c>
      <c r="I287" s="160">
        <f t="shared" si="115"/>
        <v>1.087</v>
      </c>
      <c r="J287" s="160">
        <f t="shared" si="115"/>
        <v>9.89</v>
      </c>
      <c r="K287" s="160">
        <f t="shared" si="115"/>
        <v>2.6539999999999999</v>
      </c>
      <c r="L287" s="160" t="str">
        <f t="shared" si="115"/>
        <v/>
      </c>
      <c r="M287" s="160" t="str">
        <f t="shared" si="115"/>
        <v/>
      </c>
      <c r="N287" s="160">
        <f t="shared" si="115"/>
        <v>22.913</v>
      </c>
      <c r="O287" s="160" t="str">
        <f t="shared" si="115"/>
        <v/>
      </c>
      <c r="P287" s="160">
        <f t="shared" si="115"/>
        <v>3178.9445217654929</v>
      </c>
      <c r="Q287" s="160">
        <f t="shared" si="115"/>
        <v>50.486000000000004</v>
      </c>
      <c r="R287" s="160">
        <f t="shared" si="115"/>
        <v>5.2510000000000003</v>
      </c>
      <c r="S287" s="160">
        <f t="shared" si="115"/>
        <v>27.059000000000005</v>
      </c>
      <c r="T287" s="160">
        <f t="shared" si="115"/>
        <v>1.528</v>
      </c>
      <c r="U287" s="160">
        <f t="shared" si="115"/>
        <v>74.53</v>
      </c>
      <c r="V287" s="160">
        <f t="shared" si="115"/>
        <v>3.26</v>
      </c>
      <c r="W287" s="160">
        <f t="shared" si="115"/>
        <v>168.27399045684231</v>
      </c>
      <c r="X287" s="160">
        <f t="shared" si="115"/>
        <v>162.33000000000001</v>
      </c>
      <c r="Y287" s="160">
        <f t="shared" si="115"/>
        <v>0.59099999999999997</v>
      </c>
      <c r="Z287" s="160">
        <f t="shared" si="115"/>
        <v>2.7850000000000001</v>
      </c>
      <c r="AA287" s="160">
        <f t="shared" si="115"/>
        <v>2.5449999999999999</v>
      </c>
      <c r="AB287" s="160">
        <f t="shared" si="115"/>
        <v>2.3540000000000001</v>
      </c>
      <c r="AC287" s="160" t="str">
        <f t="shared" si="115"/>
        <v/>
      </c>
      <c r="AD287" s="160">
        <f t="shared" si="115"/>
        <v>150.23099999999999</v>
      </c>
      <c r="AE287" s="160">
        <f t="shared" si="115"/>
        <v>2.1150000000000002</v>
      </c>
      <c r="AF287" s="160">
        <f t="shared" si="115"/>
        <v>66.793000000000006</v>
      </c>
    </row>
    <row r="288" spans="1:32" x14ac:dyDescent="0.25">
      <c r="A288" t="s">
        <v>536</v>
      </c>
      <c r="B288" t="s">
        <v>88</v>
      </c>
      <c r="C288" t="s">
        <v>115</v>
      </c>
      <c r="D288" t="s">
        <v>323</v>
      </c>
      <c r="E288" s="160" t="str">
        <f t="shared" ref="E288:AF288" si="116">IFERROR(E258*(E$85*E$81),"")</f>
        <v/>
      </c>
      <c r="F288" s="160" t="str">
        <f t="shared" si="116"/>
        <v/>
      </c>
      <c r="G288" s="160" t="str">
        <f t="shared" si="116"/>
        <v/>
      </c>
      <c r="H288" s="160" t="str">
        <f t="shared" si="116"/>
        <v/>
      </c>
      <c r="I288" s="160" t="str">
        <f t="shared" si="116"/>
        <v/>
      </c>
      <c r="J288" s="160" t="str">
        <f t="shared" si="116"/>
        <v/>
      </c>
      <c r="K288" s="160" t="str">
        <f t="shared" si="116"/>
        <v/>
      </c>
      <c r="L288" s="160" t="str">
        <f t="shared" si="116"/>
        <v/>
      </c>
      <c r="M288" s="160" t="str">
        <f t="shared" si="116"/>
        <v/>
      </c>
      <c r="N288" s="160">
        <f t="shared" si="116"/>
        <v>5.0999999999999997E-2</v>
      </c>
      <c r="O288" s="160" t="str">
        <f t="shared" si="116"/>
        <v/>
      </c>
      <c r="P288" s="160" t="str">
        <f t="shared" si="116"/>
        <v/>
      </c>
      <c r="Q288" s="160" t="str">
        <f t="shared" si="116"/>
        <v/>
      </c>
      <c r="R288" s="160" t="str">
        <f t="shared" si="116"/>
        <v/>
      </c>
      <c r="S288" s="160" t="str">
        <f t="shared" si="116"/>
        <v/>
      </c>
      <c r="T288" s="160" t="str">
        <f t="shared" si="116"/>
        <v/>
      </c>
      <c r="U288" s="160" t="str">
        <f t="shared" si="116"/>
        <v/>
      </c>
      <c r="V288" s="160" t="str">
        <f t="shared" si="116"/>
        <v/>
      </c>
      <c r="W288" s="160" t="str">
        <f t="shared" si="116"/>
        <v/>
      </c>
      <c r="X288" s="160" t="str">
        <f t="shared" si="116"/>
        <v/>
      </c>
      <c r="Y288" s="160" t="str">
        <f t="shared" si="116"/>
        <v/>
      </c>
      <c r="Z288" s="160" t="str">
        <f t="shared" si="116"/>
        <v/>
      </c>
      <c r="AA288" s="160" t="str">
        <f t="shared" si="116"/>
        <v/>
      </c>
      <c r="AB288" s="160" t="str">
        <f t="shared" si="116"/>
        <v/>
      </c>
      <c r="AC288" s="160" t="str">
        <f t="shared" si="116"/>
        <v/>
      </c>
      <c r="AD288" s="160" t="str">
        <f t="shared" si="116"/>
        <v/>
      </c>
      <c r="AE288" s="160" t="str">
        <f t="shared" si="116"/>
        <v/>
      </c>
      <c r="AF288" s="160" t="str">
        <f t="shared" si="116"/>
        <v/>
      </c>
    </row>
    <row r="289" spans="1:32" x14ac:dyDescent="0.25">
      <c r="A289" t="s">
        <v>536</v>
      </c>
      <c r="B289" t="s">
        <v>88</v>
      </c>
      <c r="C289" t="s">
        <v>117</v>
      </c>
      <c r="D289" t="s">
        <v>323</v>
      </c>
      <c r="E289" s="160" t="str">
        <f t="shared" ref="E289:AF289" si="117">IFERROR(E259*(E$85*E$81),"")</f>
        <v/>
      </c>
      <c r="F289" s="160" t="str">
        <f t="shared" si="117"/>
        <v/>
      </c>
      <c r="G289" s="160" t="str">
        <f t="shared" si="117"/>
        <v/>
      </c>
      <c r="H289" s="160" t="str">
        <f t="shared" si="117"/>
        <v/>
      </c>
      <c r="I289" s="160" t="str">
        <f t="shared" si="117"/>
        <v/>
      </c>
      <c r="J289" s="160" t="str">
        <f t="shared" si="117"/>
        <v/>
      </c>
      <c r="K289" s="160" t="str">
        <f t="shared" si="117"/>
        <v/>
      </c>
      <c r="L289" s="160" t="str">
        <f t="shared" si="117"/>
        <v/>
      </c>
      <c r="M289" s="160">
        <f t="shared" si="117"/>
        <v>2.4381867559985961</v>
      </c>
      <c r="N289" s="160">
        <f t="shared" si="117"/>
        <v>0.01</v>
      </c>
      <c r="O289" s="160" t="str">
        <f t="shared" si="117"/>
        <v/>
      </c>
      <c r="P289" s="160">
        <f t="shared" si="117"/>
        <v>30.722999999999995</v>
      </c>
      <c r="Q289" s="160">
        <f t="shared" si="117"/>
        <v>0.114</v>
      </c>
      <c r="R289" s="160">
        <f t="shared" si="117"/>
        <v>0.65200000000000002</v>
      </c>
      <c r="S289" s="160">
        <f t="shared" si="117"/>
        <v>0.28100000000000003</v>
      </c>
      <c r="T289" s="160">
        <f t="shared" si="117"/>
        <v>1.7999999999999999E-2</v>
      </c>
      <c r="U289" s="160">
        <f t="shared" si="117"/>
        <v>1.7000000000000001E-2</v>
      </c>
      <c r="V289" s="160" t="str">
        <f t="shared" si="117"/>
        <v/>
      </c>
      <c r="W289" s="160" t="str">
        <f t="shared" si="117"/>
        <v/>
      </c>
      <c r="X289" s="160">
        <f t="shared" si="117"/>
        <v>0.26</v>
      </c>
      <c r="Y289" s="160">
        <f t="shared" si="117"/>
        <v>8.0000000000000002E-3</v>
      </c>
      <c r="Z289" s="160" t="str">
        <f t="shared" si="117"/>
        <v/>
      </c>
      <c r="AA289" s="160" t="str">
        <f t="shared" si="117"/>
        <v/>
      </c>
      <c r="AB289" s="160" t="str">
        <f t="shared" si="117"/>
        <v/>
      </c>
      <c r="AC289" s="160" t="str">
        <f t="shared" si="117"/>
        <v/>
      </c>
      <c r="AD289" s="160">
        <f t="shared" si="117"/>
        <v>3.5000000000000003E-2</v>
      </c>
      <c r="AE289" s="160" t="str">
        <f t="shared" si="117"/>
        <v/>
      </c>
      <c r="AF289" s="160" t="str">
        <f t="shared" si="117"/>
        <v/>
      </c>
    </row>
    <row r="290" spans="1:32" x14ac:dyDescent="0.25">
      <c r="A290" t="s">
        <v>536</v>
      </c>
      <c r="B290" t="s">
        <v>88</v>
      </c>
      <c r="C290" t="s">
        <v>119</v>
      </c>
      <c r="D290" t="s">
        <v>323</v>
      </c>
      <c r="E290" s="160" t="str">
        <f t="shared" ref="E290:AF290" si="118">IFERROR(E260*(E$85*E$81),"")</f>
        <v/>
      </c>
      <c r="F290" s="160" t="str">
        <f t="shared" si="118"/>
        <v/>
      </c>
      <c r="G290" s="160" t="str">
        <f t="shared" si="118"/>
        <v/>
      </c>
      <c r="H290" s="160" t="str">
        <f t="shared" si="118"/>
        <v/>
      </c>
      <c r="I290" s="160" t="str">
        <f t="shared" si="118"/>
        <v/>
      </c>
      <c r="J290" s="160" t="str">
        <f t="shared" si="118"/>
        <v/>
      </c>
      <c r="K290" s="160" t="str">
        <f t="shared" si="118"/>
        <v/>
      </c>
      <c r="L290" s="160" t="str">
        <f t="shared" si="118"/>
        <v/>
      </c>
      <c r="M290" s="160">
        <f t="shared" si="118"/>
        <v>0.10335577779129941</v>
      </c>
      <c r="N290" s="160" t="str">
        <f t="shared" si="118"/>
        <v/>
      </c>
      <c r="O290" s="160" t="str">
        <f t="shared" si="118"/>
        <v/>
      </c>
      <c r="P290" s="160" t="str">
        <f t="shared" si="118"/>
        <v/>
      </c>
      <c r="Q290" s="160" t="str">
        <f t="shared" si="118"/>
        <v/>
      </c>
      <c r="R290" s="160" t="str">
        <f t="shared" si="118"/>
        <v/>
      </c>
      <c r="S290" s="160" t="str">
        <f t="shared" si="118"/>
        <v/>
      </c>
      <c r="T290" s="160">
        <f t="shared" si="118"/>
        <v>1.2999999999999998E-2</v>
      </c>
      <c r="U290" s="160">
        <f t="shared" si="118"/>
        <v>7.2999999999999995E-2</v>
      </c>
      <c r="V290" s="160">
        <f t="shared" si="118"/>
        <v>1.6E-2</v>
      </c>
      <c r="W290" s="160" t="str">
        <f t="shared" si="118"/>
        <v/>
      </c>
      <c r="X290" s="160" t="str">
        <f t="shared" si="118"/>
        <v/>
      </c>
      <c r="Y290" s="160" t="str">
        <f t="shared" si="118"/>
        <v/>
      </c>
      <c r="Z290" s="160" t="str">
        <f t="shared" si="118"/>
        <v/>
      </c>
      <c r="AA290" s="160" t="str">
        <f t="shared" si="118"/>
        <v/>
      </c>
      <c r="AB290" s="160" t="str">
        <f t="shared" si="118"/>
        <v/>
      </c>
      <c r="AC290" s="160" t="str">
        <f t="shared" si="118"/>
        <v/>
      </c>
      <c r="AD290" s="160" t="str">
        <f t="shared" si="118"/>
        <v/>
      </c>
      <c r="AE290" s="160" t="str">
        <f t="shared" si="118"/>
        <v/>
      </c>
      <c r="AF290" s="160">
        <f t="shared" si="118"/>
        <v>7.3999999999999996E-2</v>
      </c>
    </row>
    <row r="291" spans="1:32" x14ac:dyDescent="0.25">
      <c r="A291" t="s">
        <v>536</v>
      </c>
      <c r="B291" t="s">
        <v>88</v>
      </c>
      <c r="C291" s="162" t="s">
        <v>120</v>
      </c>
      <c r="D291" s="162" t="s">
        <v>323</v>
      </c>
      <c r="E291" s="586" t="str">
        <f>IFERROR((E261*(E$85*E$81))+(E139/1000),"")</f>
        <v/>
      </c>
      <c r="F291" s="586">
        <f t="shared" ref="F291:AF291" si="119">IFERROR((F261*(F$85*F$81))+(F139/1000),"")</f>
        <v>1.2E-2</v>
      </c>
      <c r="G291" s="586" t="str">
        <f t="shared" si="119"/>
        <v/>
      </c>
      <c r="H291" s="586">
        <f t="shared" si="119"/>
        <v>32.656371314759973</v>
      </c>
      <c r="I291" s="586">
        <f t="shared" si="119"/>
        <v>0.61899999999999999</v>
      </c>
      <c r="J291" s="586">
        <f t="shared" si="119"/>
        <v>23.523</v>
      </c>
      <c r="K291" s="586">
        <f t="shared" si="119"/>
        <v>2.8140000000000001</v>
      </c>
      <c r="L291" s="586" t="str">
        <f t="shared" si="119"/>
        <v/>
      </c>
      <c r="M291" s="586">
        <f t="shared" si="119"/>
        <v>97.347999999999999</v>
      </c>
      <c r="N291" s="586">
        <f t="shared" si="119"/>
        <v>9.6620000000000008</v>
      </c>
      <c r="O291" s="586" t="str">
        <f t="shared" si="119"/>
        <v/>
      </c>
      <c r="P291" s="586">
        <f t="shared" si="119"/>
        <v>1928.9559999999999</v>
      </c>
      <c r="Q291" s="586">
        <f t="shared" si="119"/>
        <v>52.265999999999998</v>
      </c>
      <c r="R291" s="586">
        <f t="shared" si="119"/>
        <v>10.468999999999999</v>
      </c>
      <c r="S291" s="586">
        <f t="shared" si="119"/>
        <v>24.265000000000001</v>
      </c>
      <c r="T291" s="586">
        <f t="shared" si="119"/>
        <v>8.9269999999999996</v>
      </c>
      <c r="U291" s="586">
        <f t="shared" si="119"/>
        <v>47.029000000000003</v>
      </c>
      <c r="V291" s="586">
        <f t="shared" si="119"/>
        <v>8.7590000000000003</v>
      </c>
      <c r="W291" s="586">
        <f t="shared" si="119"/>
        <v>805.82512159146836</v>
      </c>
      <c r="X291" s="586">
        <f t="shared" si="119"/>
        <v>129.50800000000001</v>
      </c>
      <c r="Y291" s="586">
        <f t="shared" si="119"/>
        <v>0.84799999999999998</v>
      </c>
      <c r="Z291" s="586">
        <f t="shared" si="119"/>
        <v>16.346</v>
      </c>
      <c r="AA291" s="586" t="str">
        <f t="shared" si="119"/>
        <v/>
      </c>
      <c r="AB291" s="586" t="str">
        <f t="shared" si="119"/>
        <v/>
      </c>
      <c r="AC291" s="586" t="str">
        <f t="shared" si="119"/>
        <v/>
      </c>
      <c r="AD291" s="586">
        <f t="shared" si="119"/>
        <v>107.52600000000001</v>
      </c>
      <c r="AE291" s="586">
        <f t="shared" si="119"/>
        <v>67.287999999999997</v>
      </c>
      <c r="AF291" s="586">
        <f t="shared" si="119"/>
        <v>8.8620000000000001</v>
      </c>
    </row>
    <row r="292" spans="1:32" x14ac:dyDescent="0.25">
      <c r="A292" t="s">
        <v>536</v>
      </c>
      <c r="B292" t="s">
        <v>88</v>
      </c>
      <c r="C292" t="s">
        <v>122</v>
      </c>
      <c r="D292" t="s">
        <v>323</v>
      </c>
      <c r="E292" s="160" t="str">
        <f t="shared" ref="E292:AF292" si="120">IFERROR(E262*(E$85*E$81),"")</f>
        <v/>
      </c>
      <c r="F292" s="160" t="str">
        <f t="shared" si="120"/>
        <v/>
      </c>
      <c r="G292" s="160" t="str">
        <f t="shared" si="120"/>
        <v/>
      </c>
      <c r="H292" s="160">
        <f t="shared" si="120"/>
        <v>11.966216393507816</v>
      </c>
      <c r="I292" s="160">
        <f t="shared" si="120"/>
        <v>0.92400000000000004</v>
      </c>
      <c r="J292" s="160" t="str">
        <f t="shared" si="120"/>
        <v/>
      </c>
      <c r="K292" s="160" t="str">
        <f t="shared" si="120"/>
        <v/>
      </c>
      <c r="L292" s="160" t="str">
        <f t="shared" si="120"/>
        <v/>
      </c>
      <c r="M292" s="160">
        <f t="shared" si="120"/>
        <v>54.127000000000002</v>
      </c>
      <c r="N292" s="160">
        <f t="shared" si="120"/>
        <v>22.487999999999996</v>
      </c>
      <c r="O292" s="160" t="str">
        <f t="shared" si="120"/>
        <v/>
      </c>
      <c r="P292" s="160">
        <f t="shared" si="120"/>
        <v>617.15700000000004</v>
      </c>
      <c r="Q292" s="160">
        <f t="shared" si="120"/>
        <v>30.632000000000001</v>
      </c>
      <c r="R292" s="160">
        <f t="shared" si="120"/>
        <v>3.222</v>
      </c>
      <c r="S292" s="160">
        <f t="shared" si="120"/>
        <v>18.882999999999999</v>
      </c>
      <c r="T292" s="160">
        <f t="shared" si="120"/>
        <v>5.516</v>
      </c>
      <c r="U292" s="160">
        <f t="shared" si="120"/>
        <v>51.073</v>
      </c>
      <c r="V292" s="160" t="str">
        <f t="shared" si="120"/>
        <v/>
      </c>
      <c r="W292" s="160">
        <f t="shared" si="120"/>
        <v>83.376999999999995</v>
      </c>
      <c r="X292" s="160">
        <f t="shared" si="120"/>
        <v>146.30000000000001</v>
      </c>
      <c r="Y292" s="160">
        <f t="shared" si="120"/>
        <v>0.58099999999999996</v>
      </c>
      <c r="Z292" s="160">
        <f t="shared" si="120"/>
        <v>10.997999999999999</v>
      </c>
      <c r="AA292" s="160">
        <f t="shared" si="120"/>
        <v>2.25</v>
      </c>
      <c r="AB292" s="160">
        <f t="shared" si="120"/>
        <v>8.2080000000000002</v>
      </c>
      <c r="AC292" s="160" t="str">
        <f t="shared" si="120"/>
        <v/>
      </c>
      <c r="AD292" s="160">
        <f t="shared" si="120"/>
        <v>159.04300000000001</v>
      </c>
      <c r="AE292" s="160">
        <f t="shared" si="120"/>
        <v>76.850999999999999</v>
      </c>
      <c r="AF292" s="160">
        <f t="shared" si="120"/>
        <v>0.217</v>
      </c>
    </row>
    <row r="293" spans="1:32" x14ac:dyDescent="0.25">
      <c r="A293" t="s">
        <v>536</v>
      </c>
      <c r="B293" t="s">
        <v>88</v>
      </c>
      <c r="C293" t="s">
        <v>124</v>
      </c>
      <c r="D293" t="s">
        <v>323</v>
      </c>
      <c r="E293" s="160" t="str">
        <f t="shared" ref="E293:AF293" si="121">IFERROR(E263*(E$85*E$81),"")</f>
        <v/>
      </c>
      <c r="F293" s="160">
        <f t="shared" si="121"/>
        <v>4.4119999999999999</v>
      </c>
      <c r="G293" s="160" t="str">
        <f t="shared" si="121"/>
        <v/>
      </c>
      <c r="H293" s="160">
        <f t="shared" si="121"/>
        <v>5.8179999999999996</v>
      </c>
      <c r="I293" s="160">
        <f t="shared" si="121"/>
        <v>12.236000000000001</v>
      </c>
      <c r="J293" s="160">
        <f t="shared" si="121"/>
        <v>26.917000000000002</v>
      </c>
      <c r="K293" s="160">
        <f t="shared" si="121"/>
        <v>0.20499999999999996</v>
      </c>
      <c r="L293" s="160" t="str">
        <f t="shared" si="121"/>
        <v/>
      </c>
      <c r="M293" s="160">
        <f t="shared" si="121"/>
        <v>264.76383724657757</v>
      </c>
      <c r="N293" s="160">
        <f t="shared" si="121"/>
        <v>17.13</v>
      </c>
      <c r="O293" s="160">
        <f t="shared" si="121"/>
        <v>3.4380000000000002</v>
      </c>
      <c r="P293" s="160">
        <f t="shared" si="121"/>
        <v>1222.902</v>
      </c>
      <c r="Q293" s="160">
        <f t="shared" si="121"/>
        <v>59.711999999999996</v>
      </c>
      <c r="R293" s="160">
        <f t="shared" si="121"/>
        <v>14.629000000000001</v>
      </c>
      <c r="S293" s="160">
        <f t="shared" si="121"/>
        <v>13.2</v>
      </c>
      <c r="T293" s="160">
        <f t="shared" si="121"/>
        <v>26.744</v>
      </c>
      <c r="U293" s="160">
        <f t="shared" si="121"/>
        <v>36.83</v>
      </c>
      <c r="V293" s="160">
        <f t="shared" si="121"/>
        <v>136.77784213028826</v>
      </c>
      <c r="W293" s="160">
        <f t="shared" si="121"/>
        <v>203.35900000000001</v>
      </c>
      <c r="X293" s="160">
        <f t="shared" si="121"/>
        <v>56.844999999999999</v>
      </c>
      <c r="Y293" s="160">
        <f t="shared" si="121"/>
        <v>1.6579999999999999</v>
      </c>
      <c r="Z293" s="160">
        <f t="shared" si="121"/>
        <v>27.827999999999999</v>
      </c>
      <c r="AA293" s="160" t="str">
        <f t="shared" si="121"/>
        <v/>
      </c>
      <c r="AB293" s="160">
        <f t="shared" si="121"/>
        <v>21.137</v>
      </c>
      <c r="AC293" s="160" t="str">
        <f t="shared" si="121"/>
        <v/>
      </c>
      <c r="AD293" s="160">
        <f t="shared" si="121"/>
        <v>745.25199999999995</v>
      </c>
      <c r="AE293" s="160">
        <f t="shared" si="121"/>
        <v>48.706000000000003</v>
      </c>
      <c r="AF293" s="160">
        <f t="shared" si="121"/>
        <v>73.870999999999995</v>
      </c>
    </row>
    <row r="294" spans="1:32" x14ac:dyDescent="0.25">
      <c r="A294" t="s">
        <v>536</v>
      </c>
      <c r="B294" t="s">
        <v>88</v>
      </c>
      <c r="C294" s="162" t="s">
        <v>126</v>
      </c>
      <c r="D294" s="162" t="s">
        <v>323</v>
      </c>
      <c r="E294" s="590">
        <f>IFERROR((E264*(E$85*E$81))+(E151/1000),(E151/1000))</f>
        <v>0.11564023044508796</v>
      </c>
      <c r="F294" s="590">
        <f t="shared" ref="F294:AF294" si="122">IFERROR((F264*(F$85*F$81))+(F151/1000),(F151/1000))</f>
        <v>7.9786338757906758</v>
      </c>
      <c r="G294" s="590">
        <f t="shared" si="122"/>
        <v>0.12720425348959677</v>
      </c>
      <c r="H294" s="590">
        <f t="shared" si="122"/>
        <v>68.97999999999999</v>
      </c>
      <c r="I294" s="590">
        <f t="shared" si="122"/>
        <v>17.187000000000001</v>
      </c>
      <c r="J294" s="590">
        <f t="shared" si="122"/>
        <v>54.245236647033153</v>
      </c>
      <c r="K294" s="590">
        <f t="shared" si="122"/>
        <v>22.051742905003135</v>
      </c>
      <c r="L294" s="590">
        <f>IFERROR((L264*(L$85*L$81))+(L151/1000),(L151/1000))</f>
        <v>7.1533799980671651</v>
      </c>
      <c r="M294" s="590">
        <f t="shared" si="122"/>
        <v>85.63</v>
      </c>
      <c r="N294" s="590">
        <f t="shared" si="122"/>
        <v>29.498000000000001</v>
      </c>
      <c r="O294" s="590">
        <f t="shared" si="122"/>
        <v>2.6</v>
      </c>
      <c r="P294" s="590">
        <f t="shared" si="122"/>
        <v>2476.4260000000004</v>
      </c>
      <c r="Q294" s="590">
        <f t="shared" si="122"/>
        <v>82.468000000000004</v>
      </c>
      <c r="R294" s="590">
        <f t="shared" si="122"/>
        <v>34.998999999999995</v>
      </c>
      <c r="S294" s="590">
        <f t="shared" si="122"/>
        <v>55.264000000000003</v>
      </c>
      <c r="T294" s="590">
        <f t="shared" si="122"/>
        <v>172.024</v>
      </c>
      <c r="U294" s="590">
        <f t="shared" si="122"/>
        <v>160.82800000000003</v>
      </c>
      <c r="V294" s="590">
        <f t="shared" si="122"/>
        <v>29.588000000000001</v>
      </c>
      <c r="W294" s="590">
        <f t="shared" si="122"/>
        <v>124.89574095788817</v>
      </c>
      <c r="X294" s="590">
        <f t="shared" si="122"/>
        <v>242.58099999999999</v>
      </c>
      <c r="Y294" s="590">
        <f t="shared" si="122"/>
        <v>11.126777847138179</v>
      </c>
      <c r="Z294" s="590">
        <f t="shared" si="122"/>
        <v>89.012</v>
      </c>
      <c r="AA294" s="590">
        <f t="shared" si="122"/>
        <v>29.122112930704393</v>
      </c>
      <c r="AB294" s="590">
        <f t="shared" si="122"/>
        <v>27.341907524643297</v>
      </c>
      <c r="AC294" s="590">
        <f t="shared" si="122"/>
        <v>0.2312804608901759</v>
      </c>
      <c r="AD294" s="590">
        <f t="shared" si="122"/>
        <v>223.477</v>
      </c>
      <c r="AE294" s="590">
        <f t="shared" si="122"/>
        <v>190.73700000000002</v>
      </c>
      <c r="AF294" s="590">
        <f t="shared" si="122"/>
        <v>204.41399999999999</v>
      </c>
    </row>
    <row r="295" spans="1:32" x14ac:dyDescent="0.25">
      <c r="A295" t="s">
        <v>536</v>
      </c>
      <c r="B295" t="s">
        <v>88</v>
      </c>
      <c r="C295" s="162" t="s">
        <v>128</v>
      </c>
      <c r="D295" s="162" t="s">
        <v>323</v>
      </c>
      <c r="E295" s="586">
        <f>IFERROR((E265*(E$85*E$81)),0)+(E132/1000)</f>
        <v>8.2758268049922271E-2</v>
      </c>
      <c r="F295" s="586">
        <f>IFERROR((F265*(F$85*F$81)),0)+(F132/1000)</f>
        <v>40.447805663381864</v>
      </c>
      <c r="G295" s="586">
        <f>IFERROR((G265*(G$85*G$81)),0)+(G132/1000)</f>
        <v>9.103409485491433E-2</v>
      </c>
      <c r="H295" s="586">
        <f>IFERROR((H265*(H$85*H$81)),0)+(H132/1000)</f>
        <v>9.1999999999999993</v>
      </c>
      <c r="I295" s="586">
        <f t="shared" ref="I295:AF295" si="123">IFERROR((I265*(I$85*I$81)),0)+(I132/1000)</f>
        <v>8.4239999999999995</v>
      </c>
      <c r="J295" s="586">
        <f t="shared" si="123"/>
        <v>25.225999999999999</v>
      </c>
      <c r="K295" s="586">
        <f t="shared" si="123"/>
        <v>14.925000000000001</v>
      </c>
      <c r="L295" s="586">
        <f t="shared" si="123"/>
        <v>5.0939593047345086</v>
      </c>
      <c r="M295" s="586">
        <f t="shared" si="123"/>
        <v>47.78</v>
      </c>
      <c r="N295" s="586">
        <f t="shared" si="123"/>
        <v>74.81</v>
      </c>
      <c r="O295" s="586">
        <f t="shared" si="123"/>
        <v>0.6</v>
      </c>
      <c r="P295" s="586">
        <f t="shared" si="123"/>
        <v>480.77799999999996</v>
      </c>
      <c r="Q295" s="586">
        <f t="shared" si="123"/>
        <v>72.277000000000001</v>
      </c>
      <c r="R295" s="586">
        <f t="shared" si="123"/>
        <v>17.268999999999998</v>
      </c>
      <c r="S295" s="586">
        <f t="shared" si="123"/>
        <v>54.975999999999999</v>
      </c>
      <c r="T295" s="586">
        <f t="shared" si="123"/>
        <v>104.03</v>
      </c>
      <c r="U295" s="586">
        <f t="shared" si="123"/>
        <v>152.62300000000002</v>
      </c>
      <c r="V295" s="586">
        <f t="shared" si="123"/>
        <v>99.661999999999992</v>
      </c>
      <c r="W295" s="586">
        <f t="shared" si="123"/>
        <v>22.066387324475656</v>
      </c>
      <c r="X295" s="586">
        <f t="shared" si="123"/>
        <v>96.853999999999999</v>
      </c>
      <c r="Y295" s="586">
        <f t="shared" si="123"/>
        <v>46.031999999999996</v>
      </c>
      <c r="Z295" s="586">
        <f t="shared" si="123"/>
        <v>56.876000000000012</v>
      </c>
      <c r="AA295" s="586">
        <f t="shared" si="123"/>
        <v>154.89442313674002</v>
      </c>
      <c r="AB295" s="586">
        <f t="shared" si="123"/>
        <v>68.354476123940671</v>
      </c>
      <c r="AC295" s="586">
        <f t="shared" si="123"/>
        <v>0.16551653609984432</v>
      </c>
      <c r="AD295" s="586">
        <f t="shared" si="123"/>
        <v>488.52</v>
      </c>
      <c r="AE295" s="586">
        <f t="shared" si="123"/>
        <v>65.147000000000006</v>
      </c>
      <c r="AF295" s="586">
        <f t="shared" si="123"/>
        <v>387.21216904807693</v>
      </c>
    </row>
    <row r="296" spans="1:32" x14ac:dyDescent="0.25">
      <c r="A296" t="s">
        <v>536</v>
      </c>
      <c r="B296" t="s">
        <v>88</v>
      </c>
      <c r="C296" t="s">
        <v>130</v>
      </c>
      <c r="D296" t="s">
        <v>323</v>
      </c>
      <c r="E296" s="160" t="str">
        <f t="shared" ref="E296:AF296" si="124">IFERROR(E266*(E$85*E$81),"")</f>
        <v/>
      </c>
      <c r="F296" s="160" t="str">
        <f t="shared" si="124"/>
        <v/>
      </c>
      <c r="G296" s="160" t="str">
        <f t="shared" si="124"/>
        <v/>
      </c>
      <c r="H296" s="160" t="str">
        <f t="shared" si="124"/>
        <v/>
      </c>
      <c r="I296" s="160" t="str">
        <f t="shared" si="124"/>
        <v/>
      </c>
      <c r="J296" s="160">
        <f t="shared" si="124"/>
        <v>16.879419191529436</v>
      </c>
      <c r="K296" s="160" t="str">
        <f t="shared" si="124"/>
        <v/>
      </c>
      <c r="L296" s="160" t="str">
        <f t="shared" si="124"/>
        <v/>
      </c>
      <c r="M296" s="160" t="str">
        <f t="shared" si="124"/>
        <v/>
      </c>
      <c r="N296" s="160">
        <f t="shared" si="124"/>
        <v>5.7000000000000002E-2</v>
      </c>
      <c r="O296" s="160" t="str">
        <f t="shared" si="124"/>
        <v/>
      </c>
      <c r="P296" s="160">
        <f t="shared" si="124"/>
        <v>196.34899999999999</v>
      </c>
      <c r="Q296" s="160">
        <f t="shared" si="124"/>
        <v>53.476000000000006</v>
      </c>
      <c r="R296" s="160">
        <f t="shared" si="124"/>
        <v>6.9999999999999993E-3</v>
      </c>
      <c r="S296" s="160">
        <f t="shared" si="124"/>
        <v>7.7789999999999999</v>
      </c>
      <c r="T296" s="160">
        <f t="shared" si="124"/>
        <v>7.4429999999999996</v>
      </c>
      <c r="U296" s="160">
        <f t="shared" si="124"/>
        <v>5.5149999999999997</v>
      </c>
      <c r="V296" s="160" t="str">
        <f t="shared" si="124"/>
        <v/>
      </c>
      <c r="W296" s="160" t="str">
        <f t="shared" si="124"/>
        <v/>
      </c>
      <c r="X296" s="160" t="str">
        <f t="shared" si="124"/>
        <v/>
      </c>
      <c r="Y296" s="160" t="str">
        <f t="shared" si="124"/>
        <v/>
      </c>
      <c r="Z296" s="160" t="str">
        <f t="shared" si="124"/>
        <v/>
      </c>
      <c r="AA296" s="160" t="str">
        <f t="shared" si="124"/>
        <v/>
      </c>
      <c r="AB296" s="160" t="str">
        <f t="shared" si="124"/>
        <v/>
      </c>
      <c r="AC296" s="160" t="str">
        <f t="shared" si="124"/>
        <v/>
      </c>
      <c r="AD296" s="160">
        <f t="shared" si="124"/>
        <v>253.88100000000003</v>
      </c>
      <c r="AE296" s="160">
        <f t="shared" si="124"/>
        <v>0.23499999999999999</v>
      </c>
      <c r="AF296" s="160">
        <f t="shared" si="124"/>
        <v>7.327</v>
      </c>
    </row>
    <row r="297" spans="1:32" x14ac:dyDescent="0.25">
      <c r="A297" t="s">
        <v>536</v>
      </c>
      <c r="B297" t="s">
        <v>88</v>
      </c>
      <c r="C297" t="s">
        <v>132</v>
      </c>
      <c r="D297" t="s">
        <v>323</v>
      </c>
      <c r="E297" s="160" t="str">
        <f t="shared" ref="E297:AF297" si="125">IFERROR(E267*(E$85*E$81),"")</f>
        <v/>
      </c>
      <c r="F297" s="160" t="str">
        <f t="shared" si="125"/>
        <v/>
      </c>
      <c r="G297" s="160" t="str">
        <f t="shared" si="125"/>
        <v/>
      </c>
      <c r="H297" s="160" t="str">
        <f t="shared" si="125"/>
        <v/>
      </c>
      <c r="I297" s="160">
        <f t="shared" si="125"/>
        <v>0.03</v>
      </c>
      <c r="J297" s="160">
        <f t="shared" si="125"/>
        <v>1.5497715509628398</v>
      </c>
      <c r="K297" s="160">
        <f t="shared" si="125"/>
        <v>0.36066647743614039</v>
      </c>
      <c r="L297" s="160" t="str">
        <f t="shared" si="125"/>
        <v/>
      </c>
      <c r="M297" s="160">
        <f t="shared" si="125"/>
        <v>2.0510000000000002</v>
      </c>
      <c r="N297" s="160" t="str">
        <f t="shared" si="125"/>
        <v/>
      </c>
      <c r="O297" s="160">
        <f t="shared" si="125"/>
        <v>9.5000000000000015E-2</v>
      </c>
      <c r="P297" s="160">
        <f t="shared" si="125"/>
        <v>4.53</v>
      </c>
      <c r="Q297" s="160">
        <f t="shared" si="125"/>
        <v>0.214</v>
      </c>
      <c r="R297" s="160">
        <f t="shared" si="125"/>
        <v>0.113</v>
      </c>
      <c r="S297" s="160">
        <f t="shared" si="125"/>
        <v>0.113</v>
      </c>
      <c r="T297" s="160">
        <f t="shared" si="125"/>
        <v>1.831</v>
      </c>
      <c r="U297" s="160">
        <f t="shared" si="125"/>
        <v>7.2779999999999996</v>
      </c>
      <c r="V297" s="160">
        <f t="shared" si="125"/>
        <v>3.3</v>
      </c>
      <c r="W297" s="160" t="str">
        <f t="shared" si="125"/>
        <v/>
      </c>
      <c r="X297" s="160">
        <f t="shared" si="125"/>
        <v>12.886999999999999</v>
      </c>
      <c r="Y297" s="160">
        <f t="shared" si="125"/>
        <v>8.0000000000000002E-3</v>
      </c>
      <c r="Z297" s="160">
        <f t="shared" si="125"/>
        <v>0.111</v>
      </c>
      <c r="AA297" s="160" t="str">
        <f t="shared" si="125"/>
        <v/>
      </c>
      <c r="AB297" s="160">
        <f t="shared" si="125"/>
        <v>0.18</v>
      </c>
      <c r="AC297" s="160" t="str">
        <f t="shared" si="125"/>
        <v/>
      </c>
      <c r="AD297" s="160">
        <f t="shared" si="125"/>
        <v>0.54700000000000004</v>
      </c>
      <c r="AE297" s="160">
        <f t="shared" si="125"/>
        <v>2.6459999999999999</v>
      </c>
      <c r="AF297" s="160">
        <f t="shared" si="125"/>
        <v>9.0999999999999998E-2</v>
      </c>
    </row>
    <row r="298" spans="1:32" x14ac:dyDescent="0.25">
      <c r="A298" t="s">
        <v>536</v>
      </c>
      <c r="B298" t="s">
        <v>88</v>
      </c>
      <c r="C298" t="s">
        <v>134</v>
      </c>
      <c r="D298" t="s">
        <v>323</v>
      </c>
      <c r="E298" s="160" t="str">
        <f t="shared" ref="E298:AF298" si="126">IFERROR(E268*(E$85*E$81),"")</f>
        <v/>
      </c>
      <c r="F298" s="160">
        <f t="shared" si="126"/>
        <v>2.0523076983958477</v>
      </c>
      <c r="G298" s="160" t="str">
        <f t="shared" si="126"/>
        <v/>
      </c>
      <c r="H298" s="160">
        <f t="shared" si="126"/>
        <v>0.50600000000000001</v>
      </c>
      <c r="I298" s="160">
        <f t="shared" si="126"/>
        <v>0.84099999999999997</v>
      </c>
      <c r="J298" s="160">
        <f t="shared" si="126"/>
        <v>7.3228860877096746</v>
      </c>
      <c r="K298" s="160">
        <f t="shared" si="126"/>
        <v>1.7041992597421838</v>
      </c>
      <c r="L298" s="160" t="str">
        <f t="shared" si="126"/>
        <v/>
      </c>
      <c r="M298" s="160">
        <f t="shared" si="126"/>
        <v>10.016999999999999</v>
      </c>
      <c r="N298" s="160">
        <f t="shared" si="126"/>
        <v>0.184</v>
      </c>
      <c r="O298" s="160">
        <f t="shared" si="126"/>
        <v>0.254</v>
      </c>
      <c r="P298" s="160">
        <f t="shared" si="126"/>
        <v>49.643000000000001</v>
      </c>
      <c r="Q298" s="160">
        <f t="shared" si="126"/>
        <v>6.7169999999999996</v>
      </c>
      <c r="R298" s="160">
        <f t="shared" si="126"/>
        <v>0.84200000000000008</v>
      </c>
      <c r="S298" s="160">
        <f t="shared" si="126"/>
        <v>0.30299999999999999</v>
      </c>
      <c r="T298" s="160">
        <f t="shared" si="126"/>
        <v>5.9039999999999999</v>
      </c>
      <c r="U298" s="160">
        <f t="shared" si="126"/>
        <v>3.6669999999999994</v>
      </c>
      <c r="V298" s="160">
        <f t="shared" si="126"/>
        <v>18.434000000000001</v>
      </c>
      <c r="W298" s="160">
        <f t="shared" si="126"/>
        <v>46.654000000000003</v>
      </c>
      <c r="X298" s="160">
        <f t="shared" si="126"/>
        <v>37.886000000000003</v>
      </c>
      <c r="Y298" s="160">
        <f t="shared" si="126"/>
        <v>0.47299999999999998</v>
      </c>
      <c r="Z298" s="160">
        <f t="shared" si="126"/>
        <v>0.56999999999999995</v>
      </c>
      <c r="AA298" s="160">
        <f t="shared" si="126"/>
        <v>0.70099999999999996</v>
      </c>
      <c r="AB298" s="160">
        <f t="shared" si="126"/>
        <v>3.1100000000000003</v>
      </c>
      <c r="AC298" s="160" t="str">
        <f t="shared" si="126"/>
        <v/>
      </c>
      <c r="AD298" s="160">
        <f t="shared" si="126"/>
        <v>13.374000000000001</v>
      </c>
      <c r="AE298" s="160">
        <f t="shared" si="126"/>
        <v>0.35699999999999998</v>
      </c>
      <c r="AF298" s="160">
        <f t="shared" si="126"/>
        <v>3.6349999999999998</v>
      </c>
    </row>
    <row r="299" spans="1:32" x14ac:dyDescent="0.25">
      <c r="A299" t="s">
        <v>536</v>
      </c>
      <c r="B299" t="s">
        <v>88</v>
      </c>
      <c r="C299" t="s">
        <v>1701</v>
      </c>
      <c r="D299" t="s">
        <v>323</v>
      </c>
      <c r="E299" s="160" t="str">
        <f t="shared" ref="E299:AF299" si="127">IFERROR(E269*(E$85*E$81),"")</f>
        <v/>
      </c>
      <c r="F299" s="160" t="str">
        <f t="shared" si="127"/>
        <v/>
      </c>
      <c r="G299" s="160" t="str">
        <f t="shared" si="127"/>
        <v/>
      </c>
      <c r="H299" s="160" t="str">
        <f t="shared" si="127"/>
        <v/>
      </c>
      <c r="I299" s="160" t="str">
        <f t="shared" si="127"/>
        <v/>
      </c>
      <c r="J299" s="160" t="str">
        <f t="shared" si="127"/>
        <v/>
      </c>
      <c r="K299" s="160" t="str">
        <f t="shared" si="127"/>
        <v/>
      </c>
      <c r="L299" s="160" t="str">
        <f t="shared" si="127"/>
        <v/>
      </c>
      <c r="M299" s="160" t="str">
        <f t="shared" si="127"/>
        <v/>
      </c>
      <c r="N299" s="160" t="str">
        <f t="shared" si="127"/>
        <v/>
      </c>
      <c r="O299" s="160" t="str">
        <f t="shared" si="127"/>
        <v/>
      </c>
      <c r="P299" s="160" t="str">
        <f t="shared" si="127"/>
        <v/>
      </c>
      <c r="Q299" s="160" t="str">
        <f t="shared" si="127"/>
        <v/>
      </c>
      <c r="R299" s="160" t="str">
        <f t="shared" si="127"/>
        <v/>
      </c>
      <c r="S299" s="160" t="str">
        <f t="shared" si="127"/>
        <v/>
      </c>
      <c r="T299" s="160" t="str">
        <f t="shared" si="127"/>
        <v/>
      </c>
      <c r="U299" s="160" t="str">
        <f t="shared" si="127"/>
        <v/>
      </c>
      <c r="V299" s="160" t="str">
        <f t="shared" si="127"/>
        <v/>
      </c>
      <c r="W299" s="160" t="str">
        <f t="shared" si="127"/>
        <v/>
      </c>
      <c r="X299" s="160" t="str">
        <f t="shared" si="127"/>
        <v/>
      </c>
      <c r="Y299" s="160" t="str">
        <f t="shared" si="127"/>
        <v/>
      </c>
      <c r="Z299" s="160" t="str">
        <f t="shared" si="127"/>
        <v/>
      </c>
      <c r="AA299" s="160" t="str">
        <f t="shared" si="127"/>
        <v/>
      </c>
      <c r="AB299" s="160" t="str">
        <f t="shared" si="127"/>
        <v/>
      </c>
      <c r="AC299" s="160" t="str">
        <f t="shared" si="127"/>
        <v/>
      </c>
      <c r="AD299" s="160" t="str">
        <f t="shared" si="127"/>
        <v/>
      </c>
      <c r="AE299" s="160" t="str">
        <f t="shared" si="127"/>
        <v/>
      </c>
      <c r="AF299" s="160" t="str">
        <f t="shared" si="127"/>
        <v/>
      </c>
    </row>
    <row r="300" spans="1:32" x14ac:dyDescent="0.25">
      <c r="A300" t="s">
        <v>536</v>
      </c>
      <c r="B300" t="s">
        <v>88</v>
      </c>
      <c r="C300" t="s">
        <v>137</v>
      </c>
      <c r="D300" t="s">
        <v>323</v>
      </c>
      <c r="E300" s="160" t="str">
        <f t="shared" ref="E300:AF300" si="128">IFERROR(E270*(E$85*E$81),"")</f>
        <v/>
      </c>
      <c r="F300" s="160" t="str">
        <f t="shared" si="128"/>
        <v/>
      </c>
      <c r="G300" s="160" t="str">
        <f t="shared" si="128"/>
        <v/>
      </c>
      <c r="H300" s="160" t="str">
        <f t="shared" si="128"/>
        <v/>
      </c>
      <c r="I300" s="160" t="str">
        <f t="shared" si="128"/>
        <v/>
      </c>
      <c r="J300" s="160" t="str">
        <f t="shared" si="128"/>
        <v/>
      </c>
      <c r="K300" s="160" t="str">
        <f t="shared" si="128"/>
        <v/>
      </c>
      <c r="L300" s="160" t="str">
        <f t="shared" si="128"/>
        <v/>
      </c>
      <c r="M300" s="160" t="str">
        <f t="shared" si="128"/>
        <v/>
      </c>
      <c r="N300" s="160" t="str">
        <f t="shared" si="128"/>
        <v/>
      </c>
      <c r="O300" s="160" t="str">
        <f t="shared" si="128"/>
        <v/>
      </c>
      <c r="P300" s="160" t="str">
        <f t="shared" si="128"/>
        <v/>
      </c>
      <c r="Q300" s="160" t="str">
        <f t="shared" si="128"/>
        <v/>
      </c>
      <c r="R300" s="160" t="str">
        <f t="shared" si="128"/>
        <v/>
      </c>
      <c r="S300" s="160" t="str">
        <f t="shared" si="128"/>
        <v/>
      </c>
      <c r="T300" s="160" t="str">
        <f t="shared" si="128"/>
        <v/>
      </c>
      <c r="U300" s="160" t="str">
        <f t="shared" si="128"/>
        <v/>
      </c>
      <c r="V300" s="160" t="str">
        <f t="shared" si="128"/>
        <v/>
      </c>
      <c r="W300" s="160" t="str">
        <f t="shared" si="128"/>
        <v/>
      </c>
      <c r="X300" s="160" t="str">
        <f t="shared" si="128"/>
        <v/>
      </c>
      <c r="Y300" s="160" t="str">
        <f t="shared" si="128"/>
        <v/>
      </c>
      <c r="Z300" s="160" t="str">
        <f t="shared" si="128"/>
        <v/>
      </c>
      <c r="AA300" s="160" t="str">
        <f t="shared" si="128"/>
        <v/>
      </c>
      <c r="AB300" s="160" t="str">
        <f t="shared" si="128"/>
        <v/>
      </c>
      <c r="AC300" s="160" t="str">
        <f t="shared" si="128"/>
        <v/>
      </c>
      <c r="AD300" s="160" t="str">
        <f t="shared" si="128"/>
        <v/>
      </c>
      <c r="AE300" s="160" t="str">
        <f t="shared" si="128"/>
        <v/>
      </c>
      <c r="AF300" s="160" t="str">
        <f t="shared" si="128"/>
        <v/>
      </c>
    </row>
    <row r="301" spans="1:32" x14ac:dyDescent="0.25">
      <c r="A301" t="s">
        <v>536</v>
      </c>
      <c r="B301" t="s">
        <v>88</v>
      </c>
      <c r="C301" t="s">
        <v>139</v>
      </c>
      <c r="D301" t="s">
        <v>323</v>
      </c>
      <c r="E301" s="160" t="str">
        <f t="shared" ref="E301:AF301" si="129">IFERROR(E271*(E$85*E$81),"")</f>
        <v/>
      </c>
      <c r="F301" s="160" t="str">
        <f t="shared" si="129"/>
        <v/>
      </c>
      <c r="G301" s="160" t="str">
        <f t="shared" si="129"/>
        <v/>
      </c>
      <c r="H301" s="160" t="str">
        <f t="shared" si="129"/>
        <v/>
      </c>
      <c r="I301" s="160" t="str">
        <f t="shared" si="129"/>
        <v/>
      </c>
      <c r="J301" s="160" t="str">
        <f t="shared" si="129"/>
        <v/>
      </c>
      <c r="K301" s="160" t="str">
        <f t="shared" si="129"/>
        <v/>
      </c>
      <c r="L301" s="160" t="str">
        <f t="shared" si="129"/>
        <v/>
      </c>
      <c r="M301" s="160" t="str">
        <f t="shared" si="129"/>
        <v/>
      </c>
      <c r="N301" s="160" t="str">
        <f t="shared" si="129"/>
        <v/>
      </c>
      <c r="O301" s="160" t="str">
        <f t="shared" si="129"/>
        <v/>
      </c>
      <c r="P301" s="160" t="str">
        <f t="shared" si="129"/>
        <v/>
      </c>
      <c r="Q301" s="160" t="str">
        <f t="shared" si="129"/>
        <v/>
      </c>
      <c r="R301" s="160">
        <f t="shared" si="129"/>
        <v>0</v>
      </c>
      <c r="S301" s="160">
        <f t="shared" si="129"/>
        <v>0</v>
      </c>
      <c r="T301" s="160" t="str">
        <f t="shared" si="129"/>
        <v/>
      </c>
      <c r="U301" s="160">
        <f t="shared" si="129"/>
        <v>0</v>
      </c>
      <c r="V301" s="160" t="str">
        <f t="shared" si="129"/>
        <v/>
      </c>
      <c r="W301" s="160" t="str">
        <f t="shared" si="129"/>
        <v/>
      </c>
      <c r="X301" s="160">
        <f t="shared" si="129"/>
        <v>0</v>
      </c>
      <c r="Y301" s="160" t="str">
        <f t="shared" si="129"/>
        <v/>
      </c>
      <c r="Z301" s="160">
        <f t="shared" si="129"/>
        <v>0</v>
      </c>
      <c r="AA301" s="160" t="str">
        <f t="shared" si="129"/>
        <v/>
      </c>
      <c r="AB301" s="160" t="str">
        <f t="shared" si="129"/>
        <v/>
      </c>
      <c r="AC301" s="160" t="str">
        <f t="shared" si="129"/>
        <v/>
      </c>
      <c r="AD301" s="160">
        <f>IFERROR(AD271*(AD$85*AD$81),"")</f>
        <v>53.908999999999999</v>
      </c>
      <c r="AE301" s="160">
        <f t="shared" si="129"/>
        <v>0</v>
      </c>
      <c r="AF301" s="160" t="str">
        <f t="shared" si="129"/>
        <v/>
      </c>
    </row>
    <row r="304" spans="1:32" ht="21" customHeight="1" x14ac:dyDescent="0.25">
      <c r="A304" s="587" t="s">
        <v>537</v>
      </c>
    </row>
    <row r="305" spans="1:32" ht="15.75" x14ac:dyDescent="0.25">
      <c r="A305" s="89" t="s">
        <v>358</v>
      </c>
      <c r="B305" s="90" t="s">
        <v>359</v>
      </c>
      <c r="C305" s="89" t="s">
        <v>360</v>
      </c>
      <c r="D305" s="89" t="s">
        <v>342</v>
      </c>
      <c r="E305" s="91" t="s">
        <v>162</v>
      </c>
      <c r="F305" s="91" t="s">
        <v>164</v>
      </c>
      <c r="G305" s="91" t="s">
        <v>166</v>
      </c>
      <c r="H305" s="91" t="s">
        <v>168</v>
      </c>
      <c r="I305" s="91" t="s">
        <v>170</v>
      </c>
      <c r="J305" s="91" t="s">
        <v>173</v>
      </c>
      <c r="K305" s="91" t="s">
        <v>175</v>
      </c>
      <c r="L305" s="91" t="s">
        <v>177</v>
      </c>
      <c r="M305" s="91" t="s">
        <v>179</v>
      </c>
      <c r="N305" s="91" t="s">
        <v>181</v>
      </c>
      <c r="O305" s="91" t="s">
        <v>183</v>
      </c>
      <c r="P305" s="91" t="s">
        <v>185</v>
      </c>
      <c r="Q305" s="91" t="s">
        <v>188</v>
      </c>
      <c r="R305" s="91" t="s">
        <v>190</v>
      </c>
      <c r="S305" s="91" t="s">
        <v>192</v>
      </c>
      <c r="T305" s="91" t="s">
        <v>194</v>
      </c>
      <c r="U305" s="91" t="s">
        <v>196</v>
      </c>
      <c r="V305" s="91" t="s">
        <v>198</v>
      </c>
      <c r="W305" s="91" t="s">
        <v>9</v>
      </c>
      <c r="X305" s="91" t="s">
        <v>201</v>
      </c>
      <c r="Y305" s="91" t="s">
        <v>203</v>
      </c>
      <c r="Z305" s="91" t="s">
        <v>205</v>
      </c>
      <c r="AA305" s="91" t="s">
        <v>207</v>
      </c>
      <c r="AB305" s="91" t="s">
        <v>210</v>
      </c>
      <c r="AC305" s="91" t="s">
        <v>212</v>
      </c>
      <c r="AD305" s="91" t="s">
        <v>214</v>
      </c>
      <c r="AE305" s="91" t="s">
        <v>217</v>
      </c>
      <c r="AF305" s="92" t="s">
        <v>219</v>
      </c>
    </row>
    <row r="306" spans="1:32" x14ac:dyDescent="0.25">
      <c r="A306" t="s">
        <v>536</v>
      </c>
      <c r="B306" t="s">
        <v>88</v>
      </c>
      <c r="C306" t="s">
        <v>113</v>
      </c>
      <c r="D306" t="s">
        <v>323</v>
      </c>
      <c r="E306" s="160" t="str">
        <f t="shared" ref="E306:AF306" si="130">IFERROR(E287-(E54/1000),"")</f>
        <v/>
      </c>
      <c r="F306" s="160">
        <f t="shared" si="130"/>
        <v>0</v>
      </c>
      <c r="G306" s="160" t="str">
        <f t="shared" si="130"/>
        <v/>
      </c>
      <c r="H306" s="160">
        <f t="shared" si="130"/>
        <v>-0.15476659566888529</v>
      </c>
      <c r="I306" s="160">
        <f t="shared" si="130"/>
        <v>0</v>
      </c>
      <c r="J306" s="160">
        <f t="shared" si="130"/>
        <v>0</v>
      </c>
      <c r="K306" s="160">
        <f t="shared" si="130"/>
        <v>0</v>
      </c>
      <c r="L306" s="160" t="str">
        <f t="shared" si="130"/>
        <v/>
      </c>
      <c r="M306" s="160" t="str">
        <f t="shared" si="130"/>
        <v/>
      </c>
      <c r="N306" s="160">
        <f t="shared" si="130"/>
        <v>0</v>
      </c>
      <c r="O306" s="160" t="str">
        <f t="shared" si="130"/>
        <v/>
      </c>
      <c r="P306" s="160">
        <f t="shared" si="130"/>
        <v>-116.24047823450701</v>
      </c>
      <c r="Q306" s="160">
        <f t="shared" si="130"/>
        <v>7.1054273576010019E-15</v>
      </c>
      <c r="R306" s="160">
        <f t="shared" si="130"/>
        <v>0</v>
      </c>
      <c r="S306" s="160">
        <f t="shared" si="130"/>
        <v>3.5527136788005009E-15</v>
      </c>
      <c r="T306" s="160">
        <f t="shared" si="130"/>
        <v>0</v>
      </c>
      <c r="U306" s="160">
        <f t="shared" si="130"/>
        <v>0</v>
      </c>
      <c r="V306" s="160">
        <f t="shared" si="130"/>
        <v>0</v>
      </c>
      <c r="W306" s="160">
        <f t="shared" si="130"/>
        <v>-276.32100954315774</v>
      </c>
      <c r="X306" s="160">
        <f t="shared" si="130"/>
        <v>0</v>
      </c>
      <c r="Y306" s="160">
        <f t="shared" si="130"/>
        <v>0</v>
      </c>
      <c r="Z306" s="160">
        <f t="shared" si="130"/>
        <v>0</v>
      </c>
      <c r="AA306" s="160">
        <f t="shared" si="130"/>
        <v>0</v>
      </c>
      <c r="AB306" s="160">
        <f t="shared" si="130"/>
        <v>0</v>
      </c>
      <c r="AC306" s="160" t="str">
        <f t="shared" si="130"/>
        <v/>
      </c>
      <c r="AD306" s="160">
        <f t="shared" si="130"/>
        <v>0</v>
      </c>
      <c r="AE306" s="160">
        <f t="shared" si="130"/>
        <v>0</v>
      </c>
      <c r="AF306" s="160">
        <f t="shared" si="130"/>
        <v>0</v>
      </c>
    </row>
    <row r="307" spans="1:32" x14ac:dyDescent="0.25">
      <c r="A307" t="s">
        <v>536</v>
      </c>
      <c r="B307" t="s">
        <v>88</v>
      </c>
      <c r="C307" t="s">
        <v>115</v>
      </c>
      <c r="D307" t="s">
        <v>323</v>
      </c>
      <c r="E307" s="160" t="str">
        <f t="shared" ref="E307:AF307" si="131">IFERROR(E288-(E55/1000),"")</f>
        <v/>
      </c>
      <c r="F307" s="160" t="str">
        <f t="shared" si="131"/>
        <v/>
      </c>
      <c r="G307" s="160" t="str">
        <f t="shared" si="131"/>
        <v/>
      </c>
      <c r="H307" s="160" t="str">
        <f t="shared" si="131"/>
        <v/>
      </c>
      <c r="I307" s="160" t="str">
        <f t="shared" si="131"/>
        <v/>
      </c>
      <c r="J307" s="160" t="str">
        <f t="shared" si="131"/>
        <v/>
      </c>
      <c r="K307" s="160" t="str">
        <f t="shared" si="131"/>
        <v/>
      </c>
      <c r="L307" s="160" t="str">
        <f t="shared" si="131"/>
        <v/>
      </c>
      <c r="M307" s="160" t="str">
        <f t="shared" si="131"/>
        <v/>
      </c>
      <c r="N307" s="160">
        <f t="shared" si="131"/>
        <v>0</v>
      </c>
      <c r="O307" s="160" t="str">
        <f t="shared" si="131"/>
        <v/>
      </c>
      <c r="P307" s="160" t="str">
        <f t="shared" si="131"/>
        <v/>
      </c>
      <c r="Q307" s="160" t="str">
        <f t="shared" si="131"/>
        <v/>
      </c>
      <c r="R307" s="160" t="str">
        <f t="shared" si="131"/>
        <v/>
      </c>
      <c r="S307" s="160" t="str">
        <f t="shared" si="131"/>
        <v/>
      </c>
      <c r="T307" s="160" t="str">
        <f t="shared" si="131"/>
        <v/>
      </c>
      <c r="U307" s="160" t="str">
        <f t="shared" si="131"/>
        <v/>
      </c>
      <c r="V307" s="160" t="str">
        <f t="shared" si="131"/>
        <v/>
      </c>
      <c r="W307" s="160" t="str">
        <f t="shared" si="131"/>
        <v/>
      </c>
      <c r="X307" s="160" t="str">
        <f t="shared" si="131"/>
        <v/>
      </c>
      <c r="Y307" s="160" t="str">
        <f t="shared" si="131"/>
        <v/>
      </c>
      <c r="Z307" s="160" t="str">
        <f t="shared" si="131"/>
        <v/>
      </c>
      <c r="AA307" s="160" t="str">
        <f t="shared" si="131"/>
        <v/>
      </c>
      <c r="AB307" s="160" t="str">
        <f t="shared" si="131"/>
        <v/>
      </c>
      <c r="AC307" s="160" t="str">
        <f t="shared" si="131"/>
        <v/>
      </c>
      <c r="AD307" s="160" t="str">
        <f t="shared" si="131"/>
        <v/>
      </c>
      <c r="AE307" s="160" t="str">
        <f t="shared" si="131"/>
        <v/>
      </c>
      <c r="AF307" s="160" t="str">
        <f t="shared" si="131"/>
        <v/>
      </c>
    </row>
    <row r="308" spans="1:32" x14ac:dyDescent="0.25">
      <c r="A308" t="s">
        <v>536</v>
      </c>
      <c r="B308" t="s">
        <v>88</v>
      </c>
      <c r="C308" t="s">
        <v>117</v>
      </c>
      <c r="D308" t="s">
        <v>323</v>
      </c>
      <c r="E308" s="160" t="str">
        <f t="shared" ref="E308:AF308" si="132">IFERROR(E289-(E56/1000),"")</f>
        <v/>
      </c>
      <c r="F308" s="160" t="str">
        <f t="shared" si="132"/>
        <v/>
      </c>
      <c r="G308" s="160" t="str">
        <f t="shared" si="132"/>
        <v/>
      </c>
      <c r="H308" s="160" t="str">
        <f t="shared" si="132"/>
        <v/>
      </c>
      <c r="I308" s="160" t="str">
        <f t="shared" si="132"/>
        <v/>
      </c>
      <c r="J308" s="160" t="str">
        <f t="shared" si="132"/>
        <v/>
      </c>
      <c r="K308" s="160" t="str">
        <f t="shared" si="132"/>
        <v/>
      </c>
      <c r="L308" s="160" t="str">
        <f t="shared" si="132"/>
        <v/>
      </c>
      <c r="M308" s="160">
        <f t="shared" si="132"/>
        <v>-151.77481324400139</v>
      </c>
      <c r="N308" s="160">
        <f t="shared" si="132"/>
        <v>0</v>
      </c>
      <c r="O308" s="160" t="str">
        <f t="shared" si="132"/>
        <v/>
      </c>
      <c r="P308" s="160">
        <f t="shared" si="132"/>
        <v>-3.5527136788005009E-15</v>
      </c>
      <c r="Q308" s="160">
        <f t="shared" si="132"/>
        <v>0</v>
      </c>
      <c r="R308" s="160">
        <f t="shared" si="132"/>
        <v>0</v>
      </c>
      <c r="S308" s="160">
        <f t="shared" si="132"/>
        <v>0</v>
      </c>
      <c r="T308" s="160">
        <f t="shared" si="132"/>
        <v>0</v>
      </c>
      <c r="U308" s="160">
        <f t="shared" si="132"/>
        <v>0</v>
      </c>
      <c r="V308" s="160" t="str">
        <f t="shared" si="132"/>
        <v/>
      </c>
      <c r="W308" s="160" t="str">
        <f t="shared" si="132"/>
        <v/>
      </c>
      <c r="X308" s="160">
        <f t="shared" si="132"/>
        <v>0</v>
      </c>
      <c r="Y308" s="160">
        <f t="shared" si="132"/>
        <v>0</v>
      </c>
      <c r="Z308" s="160" t="str">
        <f t="shared" si="132"/>
        <v/>
      </c>
      <c r="AA308" s="160" t="str">
        <f t="shared" si="132"/>
        <v/>
      </c>
      <c r="AB308" s="160" t="str">
        <f t="shared" si="132"/>
        <v/>
      </c>
      <c r="AC308" s="160" t="str">
        <f t="shared" si="132"/>
        <v/>
      </c>
      <c r="AD308" s="160">
        <f t="shared" si="132"/>
        <v>0</v>
      </c>
      <c r="AE308" s="160" t="str">
        <f t="shared" si="132"/>
        <v/>
      </c>
      <c r="AF308" s="160" t="str">
        <f t="shared" si="132"/>
        <v/>
      </c>
    </row>
    <row r="309" spans="1:32" x14ac:dyDescent="0.25">
      <c r="A309" t="s">
        <v>536</v>
      </c>
      <c r="B309" t="s">
        <v>88</v>
      </c>
      <c r="C309" t="s">
        <v>119</v>
      </c>
      <c r="D309" t="s">
        <v>323</v>
      </c>
      <c r="E309" s="160" t="str">
        <f t="shared" ref="E309:AF309" si="133">IFERROR(E290-(E57/1000),"")</f>
        <v/>
      </c>
      <c r="F309" s="160" t="str">
        <f t="shared" si="133"/>
        <v/>
      </c>
      <c r="G309" s="160" t="str">
        <f t="shared" si="133"/>
        <v/>
      </c>
      <c r="H309" s="160" t="str">
        <f t="shared" si="133"/>
        <v/>
      </c>
      <c r="I309" s="160" t="str">
        <f t="shared" si="133"/>
        <v/>
      </c>
      <c r="J309" s="160" t="str">
        <f t="shared" si="133"/>
        <v/>
      </c>
      <c r="K309" s="160" t="str">
        <f t="shared" si="133"/>
        <v/>
      </c>
      <c r="L309" s="160" t="str">
        <f t="shared" si="133"/>
        <v/>
      </c>
      <c r="M309" s="160">
        <f t="shared" si="133"/>
        <v>-2.6644222208700594E-2</v>
      </c>
      <c r="N309" s="160" t="str">
        <f t="shared" si="133"/>
        <v/>
      </c>
      <c r="O309" s="160" t="str">
        <f t="shared" si="133"/>
        <v/>
      </c>
      <c r="P309" s="160" t="str">
        <f t="shared" si="133"/>
        <v/>
      </c>
      <c r="Q309" s="160" t="str">
        <f t="shared" si="133"/>
        <v/>
      </c>
      <c r="R309" s="160" t="str">
        <f t="shared" si="133"/>
        <v/>
      </c>
      <c r="S309" s="160" t="str">
        <f t="shared" si="133"/>
        <v/>
      </c>
      <c r="T309" s="160">
        <f t="shared" si="133"/>
        <v>-1.7347234759768071E-18</v>
      </c>
      <c r="U309" s="160">
        <f t="shared" si="133"/>
        <v>0</v>
      </c>
      <c r="V309" s="160">
        <f t="shared" si="133"/>
        <v>0</v>
      </c>
      <c r="W309" s="160" t="str">
        <f t="shared" si="133"/>
        <v/>
      </c>
      <c r="X309" s="160" t="str">
        <f t="shared" si="133"/>
        <v/>
      </c>
      <c r="Y309" s="160" t="str">
        <f t="shared" si="133"/>
        <v/>
      </c>
      <c r="Z309" s="160" t="str">
        <f t="shared" si="133"/>
        <v/>
      </c>
      <c r="AA309" s="160" t="str">
        <f t="shared" si="133"/>
        <v/>
      </c>
      <c r="AB309" s="160" t="str">
        <f t="shared" si="133"/>
        <v/>
      </c>
      <c r="AC309" s="160" t="str">
        <f t="shared" si="133"/>
        <v/>
      </c>
      <c r="AD309" s="160" t="str">
        <f t="shared" si="133"/>
        <v/>
      </c>
      <c r="AE309" s="160" t="str">
        <f t="shared" si="133"/>
        <v/>
      </c>
      <c r="AF309" s="160">
        <f t="shared" si="133"/>
        <v>0</v>
      </c>
    </row>
    <row r="310" spans="1:32" x14ac:dyDescent="0.25">
      <c r="A310" t="s">
        <v>536</v>
      </c>
      <c r="B310" t="s">
        <v>88</v>
      </c>
      <c r="C310" t="s">
        <v>120</v>
      </c>
      <c r="D310" t="s">
        <v>323</v>
      </c>
      <c r="E310" s="160" t="str">
        <f t="shared" ref="E310:AF310" si="134">IFERROR(E291-(E58/1000),"")</f>
        <v/>
      </c>
      <c r="F310" s="160">
        <f t="shared" si="134"/>
        <v>0</v>
      </c>
      <c r="G310" s="160" t="str">
        <f t="shared" si="134"/>
        <v/>
      </c>
      <c r="H310" s="160">
        <f t="shared" si="134"/>
        <v>-39.294628685240021</v>
      </c>
      <c r="I310" s="160">
        <f t="shared" si="134"/>
        <v>0</v>
      </c>
      <c r="J310" s="160">
        <f t="shared" si="134"/>
        <v>0</v>
      </c>
      <c r="K310" s="160">
        <f t="shared" si="134"/>
        <v>0</v>
      </c>
      <c r="L310" s="160" t="str">
        <f t="shared" si="134"/>
        <v/>
      </c>
      <c r="M310" s="160">
        <f t="shared" si="134"/>
        <v>0</v>
      </c>
      <c r="N310" s="160">
        <f t="shared" si="134"/>
        <v>0</v>
      </c>
      <c r="O310" s="160" t="str">
        <f t="shared" si="134"/>
        <v/>
      </c>
      <c r="P310" s="160">
        <f t="shared" si="134"/>
        <v>0</v>
      </c>
      <c r="Q310" s="160">
        <f t="shared" si="134"/>
        <v>0</v>
      </c>
      <c r="R310" s="160">
        <f t="shared" si="134"/>
        <v>0</v>
      </c>
      <c r="S310" s="160">
        <f t="shared" si="134"/>
        <v>0</v>
      </c>
      <c r="T310" s="160">
        <f t="shared" si="134"/>
        <v>0</v>
      </c>
      <c r="U310" s="160">
        <f t="shared" si="134"/>
        <v>0</v>
      </c>
      <c r="V310" s="160">
        <f t="shared" si="134"/>
        <v>0</v>
      </c>
      <c r="W310" s="160">
        <f t="shared" si="134"/>
        <v>-588.54087840853163</v>
      </c>
      <c r="X310" s="160">
        <f t="shared" si="134"/>
        <v>0</v>
      </c>
      <c r="Y310" s="160">
        <f t="shared" si="134"/>
        <v>0</v>
      </c>
      <c r="Z310" s="160">
        <f t="shared" si="134"/>
        <v>0</v>
      </c>
      <c r="AA310" s="160" t="str">
        <f t="shared" si="134"/>
        <v/>
      </c>
      <c r="AB310" s="160" t="str">
        <f t="shared" si="134"/>
        <v/>
      </c>
      <c r="AC310" s="160" t="str">
        <f t="shared" si="134"/>
        <v/>
      </c>
      <c r="AD310" s="160">
        <f t="shared" si="134"/>
        <v>1.4210854715202004E-14</v>
      </c>
      <c r="AE310" s="160">
        <f t="shared" si="134"/>
        <v>0</v>
      </c>
      <c r="AF310" s="160">
        <f t="shared" si="134"/>
        <v>0</v>
      </c>
    </row>
    <row r="311" spans="1:32" x14ac:dyDescent="0.25">
      <c r="A311" t="s">
        <v>536</v>
      </c>
      <c r="B311" t="s">
        <v>88</v>
      </c>
      <c r="C311" t="s">
        <v>122</v>
      </c>
      <c r="D311" t="s">
        <v>323</v>
      </c>
      <c r="E311" s="160" t="str">
        <f t="shared" ref="E311:AF311" si="135">IFERROR(E292-(E59/1000),"")</f>
        <v/>
      </c>
      <c r="F311" s="160" t="str">
        <f t="shared" si="135"/>
        <v/>
      </c>
      <c r="G311" s="160" t="str">
        <f t="shared" si="135"/>
        <v/>
      </c>
      <c r="H311" s="160">
        <f t="shared" si="135"/>
        <v>-9.1637836064921832</v>
      </c>
      <c r="I311" s="160">
        <f t="shared" si="135"/>
        <v>0</v>
      </c>
      <c r="J311" s="160" t="str">
        <f t="shared" si="135"/>
        <v/>
      </c>
      <c r="K311" s="160" t="str">
        <f t="shared" si="135"/>
        <v/>
      </c>
      <c r="L311" s="160" t="str">
        <f t="shared" si="135"/>
        <v/>
      </c>
      <c r="M311" s="160">
        <f t="shared" si="135"/>
        <v>0</v>
      </c>
      <c r="N311" s="160">
        <f t="shared" si="135"/>
        <v>-3.5527136788005009E-15</v>
      </c>
      <c r="O311" s="160" t="str">
        <f t="shared" si="135"/>
        <v/>
      </c>
      <c r="P311" s="160">
        <f t="shared" si="135"/>
        <v>0</v>
      </c>
      <c r="Q311" s="160">
        <f t="shared" si="135"/>
        <v>0</v>
      </c>
      <c r="R311" s="160">
        <f t="shared" si="135"/>
        <v>0</v>
      </c>
      <c r="S311" s="160">
        <f t="shared" si="135"/>
        <v>0</v>
      </c>
      <c r="T311" s="160">
        <f t="shared" si="135"/>
        <v>0</v>
      </c>
      <c r="U311" s="160">
        <f t="shared" si="135"/>
        <v>0</v>
      </c>
      <c r="V311" s="160" t="str">
        <f t="shared" si="135"/>
        <v/>
      </c>
      <c r="W311" s="160">
        <f t="shared" si="135"/>
        <v>0</v>
      </c>
      <c r="X311" s="160">
        <f t="shared" si="135"/>
        <v>0</v>
      </c>
      <c r="Y311" s="160">
        <f t="shared" si="135"/>
        <v>0</v>
      </c>
      <c r="Z311" s="160">
        <f t="shared" si="135"/>
        <v>0</v>
      </c>
      <c r="AA311" s="160">
        <f t="shared" si="135"/>
        <v>0</v>
      </c>
      <c r="AB311" s="160">
        <f t="shared" si="135"/>
        <v>0</v>
      </c>
      <c r="AC311" s="160" t="str">
        <f t="shared" si="135"/>
        <v/>
      </c>
      <c r="AD311" s="160">
        <f t="shared" si="135"/>
        <v>0</v>
      </c>
      <c r="AE311" s="160">
        <f t="shared" si="135"/>
        <v>0</v>
      </c>
      <c r="AF311" s="160">
        <f t="shared" si="135"/>
        <v>0</v>
      </c>
    </row>
    <row r="312" spans="1:32" x14ac:dyDescent="0.25">
      <c r="A312" t="s">
        <v>536</v>
      </c>
      <c r="B312" t="s">
        <v>88</v>
      </c>
      <c r="C312" t="s">
        <v>124</v>
      </c>
      <c r="D312" t="s">
        <v>323</v>
      </c>
      <c r="E312" s="160" t="str">
        <f t="shared" ref="E312:AF312" si="136">IFERROR(E293-(E60/1000),"")</f>
        <v/>
      </c>
      <c r="F312" s="160">
        <f t="shared" si="136"/>
        <v>0</v>
      </c>
      <c r="G312" s="160" t="str">
        <f t="shared" si="136"/>
        <v/>
      </c>
      <c r="H312" s="160">
        <f t="shared" si="136"/>
        <v>0</v>
      </c>
      <c r="I312" s="160">
        <f t="shared" si="136"/>
        <v>0</v>
      </c>
      <c r="J312" s="160">
        <f t="shared" si="136"/>
        <v>0</v>
      </c>
      <c r="K312" s="160">
        <f t="shared" si="136"/>
        <v>-2.7755575615628914E-17</v>
      </c>
      <c r="L312" s="160" t="str">
        <f t="shared" si="136"/>
        <v/>
      </c>
      <c r="M312" s="160">
        <f t="shared" si="136"/>
        <v>-18.900162753422421</v>
      </c>
      <c r="N312" s="160">
        <f t="shared" si="136"/>
        <v>0</v>
      </c>
      <c r="O312" s="160">
        <f t="shared" si="136"/>
        <v>0</v>
      </c>
      <c r="P312" s="160">
        <f t="shared" si="136"/>
        <v>0</v>
      </c>
      <c r="Q312" s="160">
        <f t="shared" si="136"/>
        <v>-7.1054273576010019E-15</v>
      </c>
      <c r="R312" s="160">
        <f t="shared" si="136"/>
        <v>1.7763568394002505E-15</v>
      </c>
      <c r="S312" s="160">
        <f t="shared" si="136"/>
        <v>0</v>
      </c>
      <c r="T312" s="160">
        <f t="shared" si="136"/>
        <v>0</v>
      </c>
      <c r="U312" s="160">
        <f t="shared" si="136"/>
        <v>0</v>
      </c>
      <c r="V312" s="160">
        <f t="shared" si="136"/>
        <v>-27.83815786971175</v>
      </c>
      <c r="W312" s="160">
        <f t="shared" si="136"/>
        <v>0</v>
      </c>
      <c r="X312" s="160">
        <f t="shared" si="136"/>
        <v>0</v>
      </c>
      <c r="Y312" s="160">
        <f t="shared" si="136"/>
        <v>0</v>
      </c>
      <c r="Z312" s="160">
        <f t="shared" si="136"/>
        <v>0</v>
      </c>
      <c r="AA312" s="160" t="str">
        <f t="shared" si="136"/>
        <v/>
      </c>
      <c r="AB312" s="160">
        <f t="shared" si="136"/>
        <v>0</v>
      </c>
      <c r="AC312" s="160" t="str">
        <f t="shared" si="136"/>
        <v/>
      </c>
      <c r="AD312" s="160">
        <f t="shared" si="136"/>
        <v>0</v>
      </c>
      <c r="AE312" s="160">
        <f t="shared" si="136"/>
        <v>0</v>
      </c>
      <c r="AF312" s="160">
        <f t="shared" si="136"/>
        <v>0</v>
      </c>
    </row>
    <row r="313" spans="1:32" x14ac:dyDescent="0.25">
      <c r="A313" t="s">
        <v>536</v>
      </c>
      <c r="B313" t="s">
        <v>88</v>
      </c>
      <c r="C313" t="s">
        <v>126</v>
      </c>
      <c r="D313" t="s">
        <v>323</v>
      </c>
      <c r="E313" s="160">
        <f t="shared" ref="E313:AF313" si="137">IFERROR(E294-(E61/1000),"")</f>
        <v>-5.7943597695549123</v>
      </c>
      <c r="F313" s="160">
        <f t="shared" si="137"/>
        <v>4.9056338757906754</v>
      </c>
      <c r="G313" s="160">
        <f t="shared" si="137"/>
        <v>-0.86879574651040326</v>
      </c>
      <c r="H313" s="160">
        <f t="shared" si="137"/>
        <v>-1.4210854715202004E-14</v>
      </c>
      <c r="I313" s="160">
        <f t="shared" si="137"/>
        <v>0</v>
      </c>
      <c r="J313" s="160">
        <f t="shared" si="137"/>
        <v>-33.135763352966848</v>
      </c>
      <c r="K313" s="160">
        <f t="shared" si="137"/>
        <v>-9.473257094996864</v>
      </c>
      <c r="L313" s="160">
        <f t="shared" si="137"/>
        <v>7.1533799980671651</v>
      </c>
      <c r="M313" s="160">
        <f t="shared" si="137"/>
        <v>0</v>
      </c>
      <c r="N313" s="160">
        <f t="shared" si="137"/>
        <v>0</v>
      </c>
      <c r="O313" s="160">
        <f t="shared" si="137"/>
        <v>0</v>
      </c>
      <c r="P313" s="160">
        <f t="shared" si="137"/>
        <v>4.5474735088646412E-13</v>
      </c>
      <c r="Q313" s="160">
        <f t="shared" si="137"/>
        <v>0</v>
      </c>
      <c r="R313" s="160">
        <f t="shared" si="137"/>
        <v>-7.1054273576010019E-15</v>
      </c>
      <c r="S313" s="160">
        <f t="shared" si="137"/>
        <v>0</v>
      </c>
      <c r="T313" s="160">
        <f t="shared" si="137"/>
        <v>0</v>
      </c>
      <c r="U313" s="160">
        <f t="shared" si="137"/>
        <v>2.8421709430404007E-14</v>
      </c>
      <c r="V313" s="160">
        <f t="shared" si="137"/>
        <v>0</v>
      </c>
      <c r="W313" s="160">
        <f t="shared" si="137"/>
        <v>124.89574095788817</v>
      </c>
      <c r="X313" s="160">
        <f t="shared" si="137"/>
        <v>0</v>
      </c>
      <c r="Y313" s="160">
        <f t="shared" si="137"/>
        <v>0.80277784713817901</v>
      </c>
      <c r="Z313" s="160">
        <f t="shared" si="137"/>
        <v>0</v>
      </c>
      <c r="AA313" s="160">
        <f t="shared" si="137"/>
        <v>12.495112930704394</v>
      </c>
      <c r="AB313" s="160">
        <f t="shared" si="137"/>
        <v>7.9129075246432983</v>
      </c>
      <c r="AC313" s="160">
        <f t="shared" si="137"/>
        <v>0.2312804608901759</v>
      </c>
      <c r="AD313" s="160">
        <f t="shared" si="137"/>
        <v>0</v>
      </c>
      <c r="AE313" s="160">
        <f t="shared" si="137"/>
        <v>2.8421709430404007E-14</v>
      </c>
      <c r="AF313" s="160">
        <f t="shared" si="137"/>
        <v>0</v>
      </c>
    </row>
    <row r="314" spans="1:32" x14ac:dyDescent="0.25">
      <c r="A314" t="s">
        <v>536</v>
      </c>
      <c r="B314" t="s">
        <v>88</v>
      </c>
      <c r="C314" t="s">
        <v>128</v>
      </c>
      <c r="D314" t="s">
        <v>323</v>
      </c>
      <c r="E314" s="160">
        <f t="shared" ref="E314:AF314" si="138">IFERROR(E295-(E62/1000),"")</f>
        <v>8.2758268049922271E-2</v>
      </c>
      <c r="F314" s="160">
        <f t="shared" si="138"/>
        <v>-64.385194336618127</v>
      </c>
      <c r="G314" s="160">
        <f t="shared" si="138"/>
        <v>9.103409485491433E-2</v>
      </c>
      <c r="H314" s="160">
        <f t="shared" si="138"/>
        <v>0</v>
      </c>
      <c r="I314" s="160">
        <f t="shared" si="138"/>
        <v>0</v>
      </c>
      <c r="J314" s="160">
        <f t="shared" si="138"/>
        <v>0</v>
      </c>
      <c r="K314" s="160">
        <f t="shared" si="138"/>
        <v>0</v>
      </c>
      <c r="L314" s="160">
        <f t="shared" si="138"/>
        <v>4.3909593047345084</v>
      </c>
      <c r="M314" s="160">
        <f t="shared" si="138"/>
        <v>0</v>
      </c>
      <c r="N314" s="160">
        <f t="shared" si="138"/>
        <v>0</v>
      </c>
      <c r="O314" s="160">
        <f t="shared" si="138"/>
        <v>0</v>
      </c>
      <c r="P314" s="160">
        <f t="shared" si="138"/>
        <v>-5.6843418860808015E-14</v>
      </c>
      <c r="Q314" s="160">
        <f t="shared" si="138"/>
        <v>0</v>
      </c>
      <c r="R314" s="160">
        <f t="shared" si="138"/>
        <v>0</v>
      </c>
      <c r="S314" s="160">
        <f t="shared" si="138"/>
        <v>0</v>
      </c>
      <c r="T314" s="160">
        <f t="shared" si="138"/>
        <v>0</v>
      </c>
      <c r="U314" s="160">
        <f t="shared" si="138"/>
        <v>2.8421709430404007E-14</v>
      </c>
      <c r="V314" s="160">
        <f t="shared" si="138"/>
        <v>-1.4210854715202004E-14</v>
      </c>
      <c r="W314" s="160">
        <f t="shared" si="138"/>
        <v>1.6023873244756572</v>
      </c>
      <c r="X314" s="160">
        <f t="shared" si="138"/>
        <v>0</v>
      </c>
      <c r="Y314" s="160">
        <f t="shared" si="138"/>
        <v>0</v>
      </c>
      <c r="Z314" s="160">
        <f t="shared" si="138"/>
        <v>1.4210854715202004E-14</v>
      </c>
      <c r="AA314" s="160">
        <f t="shared" si="138"/>
        <v>87.465423136740014</v>
      </c>
      <c r="AB314" s="160">
        <f t="shared" si="138"/>
        <v>-85.703523876059322</v>
      </c>
      <c r="AC314" s="160">
        <f t="shared" si="138"/>
        <v>-10.496483463900157</v>
      </c>
      <c r="AD314" s="160">
        <f t="shared" si="138"/>
        <v>0</v>
      </c>
      <c r="AE314" s="160">
        <f t="shared" si="138"/>
        <v>0</v>
      </c>
      <c r="AF314" s="160">
        <f t="shared" si="138"/>
        <v>-5.8568309519230866</v>
      </c>
    </row>
    <row r="315" spans="1:32" x14ac:dyDescent="0.25">
      <c r="A315" t="s">
        <v>536</v>
      </c>
      <c r="B315" t="s">
        <v>88</v>
      </c>
      <c r="C315" t="s">
        <v>130</v>
      </c>
      <c r="D315" t="s">
        <v>323</v>
      </c>
      <c r="E315" s="160" t="str">
        <f t="shared" ref="E315:AF315" si="139">IFERROR(E296-(E63/1000),"")</f>
        <v/>
      </c>
      <c r="F315" s="160" t="str">
        <f t="shared" si="139"/>
        <v/>
      </c>
      <c r="G315" s="160" t="str">
        <f t="shared" si="139"/>
        <v/>
      </c>
      <c r="H315" s="160" t="str">
        <f t="shared" si="139"/>
        <v/>
      </c>
      <c r="I315" s="160" t="str">
        <f t="shared" si="139"/>
        <v/>
      </c>
      <c r="J315" s="160">
        <f t="shared" si="139"/>
        <v>-18.820580808470567</v>
      </c>
      <c r="K315" s="160" t="str">
        <f t="shared" si="139"/>
        <v/>
      </c>
      <c r="L315" s="160" t="str">
        <f t="shared" si="139"/>
        <v/>
      </c>
      <c r="M315" s="160" t="str">
        <f t="shared" si="139"/>
        <v/>
      </c>
      <c r="N315" s="160">
        <f t="shared" si="139"/>
        <v>0</v>
      </c>
      <c r="O315" s="160" t="str">
        <f t="shared" si="139"/>
        <v/>
      </c>
      <c r="P315" s="160">
        <f t="shared" si="139"/>
        <v>0</v>
      </c>
      <c r="Q315" s="160">
        <f t="shared" si="139"/>
        <v>7.1054273576010019E-15</v>
      </c>
      <c r="R315" s="160">
        <f t="shared" si="139"/>
        <v>-8.6736173798840355E-19</v>
      </c>
      <c r="S315" s="160">
        <f t="shared" si="139"/>
        <v>0</v>
      </c>
      <c r="T315" s="160">
        <f t="shared" si="139"/>
        <v>0</v>
      </c>
      <c r="U315" s="160">
        <f t="shared" si="139"/>
        <v>0</v>
      </c>
      <c r="V315" s="160" t="str">
        <f t="shared" si="139"/>
        <v/>
      </c>
      <c r="W315" s="160" t="str">
        <f t="shared" si="139"/>
        <v/>
      </c>
      <c r="X315" s="160" t="str">
        <f t="shared" si="139"/>
        <v/>
      </c>
      <c r="Y315" s="160" t="str">
        <f t="shared" si="139"/>
        <v/>
      </c>
      <c r="Z315" s="160" t="str">
        <f t="shared" si="139"/>
        <v/>
      </c>
      <c r="AA315" s="160" t="str">
        <f t="shared" si="139"/>
        <v/>
      </c>
      <c r="AB315" s="160" t="str">
        <f t="shared" si="139"/>
        <v/>
      </c>
      <c r="AC315" s="160" t="str">
        <f t="shared" si="139"/>
        <v/>
      </c>
      <c r="AD315" s="160">
        <f t="shared" si="139"/>
        <v>2.8421709430404007E-14</v>
      </c>
      <c r="AE315" s="160">
        <f t="shared" si="139"/>
        <v>0</v>
      </c>
      <c r="AF315" s="160">
        <f t="shared" si="139"/>
        <v>0</v>
      </c>
    </row>
    <row r="316" spans="1:32" x14ac:dyDescent="0.25">
      <c r="A316" t="s">
        <v>536</v>
      </c>
      <c r="B316" t="s">
        <v>88</v>
      </c>
      <c r="C316" t="s">
        <v>132</v>
      </c>
      <c r="D316" t="s">
        <v>323</v>
      </c>
      <c r="E316" s="160" t="str">
        <f t="shared" ref="E316:AF316" si="140">IFERROR(E297-(E64/1000),"")</f>
        <v/>
      </c>
      <c r="F316" s="160" t="str">
        <f t="shared" si="140"/>
        <v/>
      </c>
      <c r="G316" s="160" t="str">
        <f t="shared" si="140"/>
        <v/>
      </c>
      <c r="H316" s="160" t="str">
        <f t="shared" si="140"/>
        <v/>
      </c>
      <c r="I316" s="160">
        <f t="shared" si="140"/>
        <v>0</v>
      </c>
      <c r="J316" s="160">
        <f t="shared" si="140"/>
        <v>-2.5632284490371608</v>
      </c>
      <c r="K316" s="160">
        <f t="shared" si="140"/>
        <v>-4.3893335225638594</v>
      </c>
      <c r="L316" s="160" t="str">
        <f t="shared" si="140"/>
        <v/>
      </c>
      <c r="M316" s="160">
        <f t="shared" si="140"/>
        <v>0</v>
      </c>
      <c r="N316" s="160" t="str">
        <f t="shared" si="140"/>
        <v/>
      </c>
      <c r="O316" s="160">
        <f t="shared" si="140"/>
        <v>1.3877787807814457E-17</v>
      </c>
      <c r="P316" s="160">
        <f t="shared" si="140"/>
        <v>0</v>
      </c>
      <c r="Q316" s="160">
        <f t="shared" si="140"/>
        <v>0</v>
      </c>
      <c r="R316" s="160">
        <f t="shared" si="140"/>
        <v>0</v>
      </c>
      <c r="S316" s="160">
        <f t="shared" si="140"/>
        <v>0</v>
      </c>
      <c r="T316" s="160">
        <f t="shared" si="140"/>
        <v>0</v>
      </c>
      <c r="U316" s="160">
        <f t="shared" si="140"/>
        <v>0</v>
      </c>
      <c r="V316" s="160">
        <f t="shared" si="140"/>
        <v>0</v>
      </c>
      <c r="W316" s="160" t="str">
        <f t="shared" si="140"/>
        <v/>
      </c>
      <c r="X316" s="160">
        <f t="shared" si="140"/>
        <v>-1.7763568394002505E-15</v>
      </c>
      <c r="Y316" s="160">
        <f t="shared" si="140"/>
        <v>0</v>
      </c>
      <c r="Z316" s="160">
        <f t="shared" si="140"/>
        <v>0</v>
      </c>
      <c r="AA316" s="160" t="str">
        <f t="shared" si="140"/>
        <v/>
      </c>
      <c r="AB316" s="160">
        <f t="shared" si="140"/>
        <v>0</v>
      </c>
      <c r="AC316" s="160" t="str">
        <f t="shared" si="140"/>
        <v/>
      </c>
      <c r="AD316" s="160">
        <f t="shared" si="140"/>
        <v>0</v>
      </c>
      <c r="AE316" s="160">
        <f t="shared" si="140"/>
        <v>0</v>
      </c>
      <c r="AF316" s="160">
        <f t="shared" si="140"/>
        <v>0</v>
      </c>
    </row>
    <row r="317" spans="1:32" x14ac:dyDescent="0.25">
      <c r="A317" t="s">
        <v>536</v>
      </c>
      <c r="B317" t="s">
        <v>88</v>
      </c>
      <c r="C317" t="s">
        <v>134</v>
      </c>
      <c r="D317" t="s">
        <v>323</v>
      </c>
      <c r="E317" s="160" t="str">
        <f t="shared" ref="E317:AF317" si="141">IFERROR(E298-(E65/1000),"")</f>
        <v/>
      </c>
      <c r="F317" s="160">
        <f t="shared" si="141"/>
        <v>-0.26969230160415236</v>
      </c>
      <c r="G317" s="160" t="str">
        <f t="shared" si="141"/>
        <v/>
      </c>
      <c r="H317" s="160">
        <f t="shared" si="141"/>
        <v>0</v>
      </c>
      <c r="I317" s="160">
        <f t="shared" si="141"/>
        <v>0</v>
      </c>
      <c r="J317" s="160">
        <f t="shared" si="141"/>
        <v>-9.7551139122903248</v>
      </c>
      <c r="K317" s="160">
        <f t="shared" si="141"/>
        <v>-9.6638007402578161</v>
      </c>
      <c r="L317" s="160" t="str">
        <f t="shared" si="141"/>
        <v/>
      </c>
      <c r="M317" s="160">
        <f t="shared" si="141"/>
        <v>0</v>
      </c>
      <c r="N317" s="160">
        <f t="shared" si="141"/>
        <v>0</v>
      </c>
      <c r="O317" s="160">
        <f t="shared" si="141"/>
        <v>0</v>
      </c>
      <c r="P317" s="160">
        <f t="shared" si="141"/>
        <v>0</v>
      </c>
      <c r="Q317" s="160">
        <f t="shared" si="141"/>
        <v>0</v>
      </c>
      <c r="R317" s="160">
        <f t="shared" si="141"/>
        <v>1.1102230246251565E-16</v>
      </c>
      <c r="S317" s="160">
        <f t="shared" si="141"/>
        <v>0</v>
      </c>
      <c r="T317" s="160">
        <f t="shared" si="141"/>
        <v>0</v>
      </c>
      <c r="U317" s="160">
        <f t="shared" si="141"/>
        <v>-4.4408920985006262E-16</v>
      </c>
      <c r="V317" s="160">
        <f t="shared" si="141"/>
        <v>0</v>
      </c>
      <c r="W317" s="160">
        <f t="shared" si="141"/>
        <v>0</v>
      </c>
      <c r="X317" s="160">
        <f t="shared" si="141"/>
        <v>0</v>
      </c>
      <c r="Y317" s="160">
        <f t="shared" si="141"/>
        <v>0</v>
      </c>
      <c r="Z317" s="160">
        <f t="shared" si="141"/>
        <v>0</v>
      </c>
      <c r="AA317" s="160">
        <f t="shared" si="141"/>
        <v>0</v>
      </c>
      <c r="AB317" s="160">
        <f t="shared" si="141"/>
        <v>4.4408920985006262E-16</v>
      </c>
      <c r="AC317" s="160" t="str">
        <f t="shared" si="141"/>
        <v/>
      </c>
      <c r="AD317" s="160">
        <f t="shared" si="141"/>
        <v>0</v>
      </c>
      <c r="AE317" s="160">
        <f t="shared" si="141"/>
        <v>0</v>
      </c>
      <c r="AF317" s="160">
        <f t="shared" si="141"/>
        <v>0</v>
      </c>
    </row>
    <row r="318" spans="1:32" x14ac:dyDescent="0.25">
      <c r="A318" t="s">
        <v>536</v>
      </c>
      <c r="B318" t="s">
        <v>88</v>
      </c>
      <c r="C318" t="s">
        <v>1701</v>
      </c>
      <c r="D318" t="s">
        <v>323</v>
      </c>
      <c r="E318" s="160" t="str">
        <f t="shared" ref="E318:AF318" si="142">IFERROR(E299-(E66/1000),"")</f>
        <v/>
      </c>
      <c r="F318" s="160" t="str">
        <f t="shared" si="142"/>
        <v/>
      </c>
      <c r="G318" s="160" t="str">
        <f t="shared" si="142"/>
        <v/>
      </c>
      <c r="H318" s="160" t="str">
        <f t="shared" si="142"/>
        <v/>
      </c>
      <c r="I318" s="160" t="str">
        <f t="shared" si="142"/>
        <v/>
      </c>
      <c r="J318" s="160" t="str">
        <f t="shared" si="142"/>
        <v/>
      </c>
      <c r="K318" s="160" t="str">
        <f t="shared" si="142"/>
        <v/>
      </c>
      <c r="L318" s="160" t="str">
        <f t="shared" si="142"/>
        <v/>
      </c>
      <c r="M318" s="160" t="str">
        <f t="shared" si="142"/>
        <v/>
      </c>
      <c r="N318" s="160" t="str">
        <f t="shared" si="142"/>
        <v/>
      </c>
      <c r="O318" s="160" t="str">
        <f t="shared" si="142"/>
        <v/>
      </c>
      <c r="P318" s="160" t="str">
        <f t="shared" si="142"/>
        <v/>
      </c>
      <c r="Q318" s="160" t="str">
        <f t="shared" si="142"/>
        <v/>
      </c>
      <c r="R318" s="160" t="str">
        <f t="shared" si="142"/>
        <v/>
      </c>
      <c r="S318" s="160" t="str">
        <f t="shared" si="142"/>
        <v/>
      </c>
      <c r="T318" s="160" t="str">
        <f t="shared" si="142"/>
        <v/>
      </c>
      <c r="U318" s="160" t="str">
        <f t="shared" si="142"/>
        <v/>
      </c>
      <c r="V318" s="160" t="str">
        <f t="shared" si="142"/>
        <v/>
      </c>
      <c r="W318" s="160" t="str">
        <f t="shared" si="142"/>
        <v/>
      </c>
      <c r="X318" s="160" t="str">
        <f t="shared" si="142"/>
        <v/>
      </c>
      <c r="Y318" s="160" t="str">
        <f t="shared" si="142"/>
        <v/>
      </c>
      <c r="Z318" s="160" t="str">
        <f t="shared" si="142"/>
        <v/>
      </c>
      <c r="AA318" s="160" t="str">
        <f t="shared" si="142"/>
        <v/>
      </c>
      <c r="AB318" s="160" t="str">
        <f t="shared" si="142"/>
        <v/>
      </c>
      <c r="AC318" s="160" t="str">
        <f t="shared" si="142"/>
        <v/>
      </c>
      <c r="AD318" s="160" t="str">
        <f t="shared" si="142"/>
        <v/>
      </c>
      <c r="AE318" s="160" t="str">
        <f t="shared" si="142"/>
        <v/>
      </c>
      <c r="AF318" s="160" t="str">
        <f t="shared" si="142"/>
        <v/>
      </c>
    </row>
    <row r="319" spans="1:32" x14ac:dyDescent="0.25">
      <c r="A319" t="s">
        <v>536</v>
      </c>
      <c r="B319" t="s">
        <v>88</v>
      </c>
      <c r="C319" t="s">
        <v>137</v>
      </c>
      <c r="D319" t="s">
        <v>323</v>
      </c>
      <c r="E319" s="160" t="str">
        <f t="shared" ref="E319:AF319" si="143">IFERROR(E300-(E67/1000),"")</f>
        <v/>
      </c>
      <c r="F319" s="160" t="str">
        <f t="shared" si="143"/>
        <v/>
      </c>
      <c r="G319" s="160" t="str">
        <f t="shared" si="143"/>
        <v/>
      </c>
      <c r="H319" s="160" t="str">
        <f t="shared" si="143"/>
        <v/>
      </c>
      <c r="I319" s="160" t="str">
        <f t="shared" si="143"/>
        <v/>
      </c>
      <c r="J319" s="160" t="str">
        <f t="shared" si="143"/>
        <v/>
      </c>
      <c r="K319" s="160" t="str">
        <f t="shared" si="143"/>
        <v/>
      </c>
      <c r="L319" s="160" t="str">
        <f t="shared" si="143"/>
        <v/>
      </c>
      <c r="M319" s="160" t="str">
        <f t="shared" si="143"/>
        <v/>
      </c>
      <c r="N319" s="160" t="str">
        <f t="shared" si="143"/>
        <v/>
      </c>
      <c r="O319" s="160" t="str">
        <f t="shared" si="143"/>
        <v/>
      </c>
      <c r="P319" s="160" t="str">
        <f t="shared" si="143"/>
        <v/>
      </c>
      <c r="Q319" s="160" t="str">
        <f t="shared" si="143"/>
        <v/>
      </c>
      <c r="R319" s="160" t="str">
        <f t="shared" si="143"/>
        <v/>
      </c>
      <c r="S319" s="160" t="str">
        <f t="shared" si="143"/>
        <v/>
      </c>
      <c r="T319" s="160" t="str">
        <f t="shared" si="143"/>
        <v/>
      </c>
      <c r="U319" s="160" t="str">
        <f t="shared" si="143"/>
        <v/>
      </c>
      <c r="V319" s="160" t="str">
        <f t="shared" si="143"/>
        <v/>
      </c>
      <c r="W319" s="160" t="str">
        <f t="shared" si="143"/>
        <v/>
      </c>
      <c r="X319" s="160" t="str">
        <f t="shared" si="143"/>
        <v/>
      </c>
      <c r="Y319" s="160" t="str">
        <f t="shared" si="143"/>
        <v/>
      </c>
      <c r="Z319" s="160" t="str">
        <f t="shared" si="143"/>
        <v/>
      </c>
      <c r="AA319" s="160" t="str">
        <f t="shared" si="143"/>
        <v/>
      </c>
      <c r="AB319" s="160" t="str">
        <f t="shared" si="143"/>
        <v/>
      </c>
      <c r="AC319" s="160" t="str">
        <f t="shared" si="143"/>
        <v/>
      </c>
      <c r="AD319" s="160" t="str">
        <f t="shared" si="143"/>
        <v/>
      </c>
      <c r="AE319" s="160" t="str">
        <f t="shared" si="143"/>
        <v/>
      </c>
      <c r="AF319" s="160" t="str">
        <f t="shared" si="143"/>
        <v/>
      </c>
    </row>
    <row r="320" spans="1:32" x14ac:dyDescent="0.25">
      <c r="A320" t="s">
        <v>536</v>
      </c>
      <c r="B320" t="s">
        <v>88</v>
      </c>
      <c r="C320" t="s">
        <v>139</v>
      </c>
      <c r="D320" t="s">
        <v>323</v>
      </c>
      <c r="E320" s="160" t="str">
        <f t="shared" ref="E320:AF320" si="144">IFERROR(E301-(E68/1000),"")</f>
        <v/>
      </c>
      <c r="F320" s="160" t="str">
        <f t="shared" si="144"/>
        <v/>
      </c>
      <c r="G320" s="160" t="str">
        <f t="shared" si="144"/>
        <v/>
      </c>
      <c r="H320" s="160" t="str">
        <f t="shared" si="144"/>
        <v/>
      </c>
      <c r="I320" s="160" t="str">
        <f t="shared" si="144"/>
        <v/>
      </c>
      <c r="J320" s="160" t="str">
        <f t="shared" si="144"/>
        <v/>
      </c>
      <c r="K320" s="160" t="str">
        <f t="shared" si="144"/>
        <v/>
      </c>
      <c r="L320" s="160" t="str">
        <f t="shared" si="144"/>
        <v/>
      </c>
      <c r="M320" s="160" t="str">
        <f t="shared" si="144"/>
        <v/>
      </c>
      <c r="N320" s="160" t="str">
        <f t="shared" si="144"/>
        <v/>
      </c>
      <c r="O320" s="160" t="str">
        <f t="shared" si="144"/>
        <v/>
      </c>
      <c r="P320" s="160" t="str">
        <f t="shared" si="144"/>
        <v/>
      </c>
      <c r="Q320" s="160" t="str">
        <f t="shared" si="144"/>
        <v/>
      </c>
      <c r="R320" s="160">
        <f t="shared" si="144"/>
        <v>-5.8999999999999997E-2</v>
      </c>
      <c r="S320" s="160">
        <f t="shared" si="144"/>
        <v>-2.5999999999999999E-2</v>
      </c>
      <c r="T320" s="160" t="str">
        <f t="shared" si="144"/>
        <v/>
      </c>
      <c r="U320" s="160">
        <f t="shared" si="144"/>
        <v>-6.4000000000000001E-2</v>
      </c>
      <c r="V320" s="160" t="str">
        <f t="shared" si="144"/>
        <v/>
      </c>
      <c r="W320" s="160" t="str">
        <f t="shared" si="144"/>
        <v/>
      </c>
      <c r="X320" s="160">
        <f t="shared" si="144"/>
        <v>-1.444</v>
      </c>
      <c r="Y320" s="160" t="str">
        <f t="shared" si="144"/>
        <v/>
      </c>
      <c r="Z320" s="160">
        <f t="shared" si="144"/>
        <v>-0.126</v>
      </c>
      <c r="AA320" s="160" t="str">
        <f t="shared" si="144"/>
        <v/>
      </c>
      <c r="AB320" s="160" t="str">
        <f t="shared" si="144"/>
        <v/>
      </c>
      <c r="AC320" s="160" t="str">
        <f t="shared" si="144"/>
        <v/>
      </c>
      <c r="AD320" s="160">
        <f t="shared" si="144"/>
        <v>0</v>
      </c>
      <c r="AE320" s="160">
        <f t="shared" si="144"/>
        <v>-0.35899999999999999</v>
      </c>
      <c r="AF320" s="160" t="str">
        <f t="shared" si="144"/>
        <v/>
      </c>
    </row>
    <row r="322" spans="1:33" x14ac:dyDescent="0.25">
      <c r="C322" t="s">
        <v>538</v>
      </c>
      <c r="D322" t="s">
        <v>323</v>
      </c>
      <c r="E322" s="591">
        <f>SUM(E306:E320)/(SUM(E54:E68)/1000)</f>
        <v>-0.96643003409559902</v>
      </c>
      <c r="F322" s="591">
        <f t="shared" ref="F322:AF322" si="145">SUM(F306:F320)/(SUM(F54:F68)/1000)</f>
        <v>-0.50634101763047745</v>
      </c>
      <c r="G322" s="591">
        <f t="shared" si="145"/>
        <v>-0.596900730357244</v>
      </c>
      <c r="H322" s="591">
        <f t="shared" si="145"/>
        <v>-0.24837237012472013</v>
      </c>
      <c r="I322" s="591">
        <f t="shared" si="145"/>
        <v>0</v>
      </c>
      <c r="J322" s="591">
        <f t="shared" si="145"/>
        <v>-0.27966429905305223</v>
      </c>
      <c r="K322" s="591">
        <f t="shared" si="145"/>
        <v>-0.3447544930147351</v>
      </c>
      <c r="L322" s="591">
        <f t="shared" si="145"/>
        <v>16.421535281367959</v>
      </c>
      <c r="M322" s="591">
        <f t="shared" si="145"/>
        <v>-0.23225974232561294</v>
      </c>
      <c r="N322" s="591">
        <f t="shared" si="145"/>
        <v>-2.0094193417535342E-17</v>
      </c>
      <c r="O322" s="591">
        <f t="shared" si="145"/>
        <v>1.9862298279396674E-18</v>
      </c>
      <c r="P322" s="591">
        <f t="shared" si="145"/>
        <v>-1.1282581619009502E-2</v>
      </c>
      <c r="Q322" s="591">
        <f t="shared" si="145"/>
        <v>1.7399825051304975E-17</v>
      </c>
      <c r="R322" s="591">
        <f t="shared" si="145"/>
        <v>-6.7419325349672287E-4</v>
      </c>
      <c r="S322" s="591">
        <f t="shared" si="145"/>
        <v>-1.2861799959434103E-4</v>
      </c>
      <c r="T322" s="591">
        <f t="shared" si="145"/>
        <v>-5.1941249901993757E-21</v>
      </c>
      <c r="U322" s="591">
        <f t="shared" si="145"/>
        <v>-1.1862242297409323E-4</v>
      </c>
      <c r="V322" s="591">
        <f t="shared" si="145"/>
        <v>-8.4966984204104465E-2</v>
      </c>
      <c r="W322" s="591">
        <f t="shared" si="145"/>
        <v>-0.33671958631682358</v>
      </c>
      <c r="X322" s="591">
        <f t="shared" si="145"/>
        <v>-1.6281521487887538E-3</v>
      </c>
      <c r="Y322" s="591">
        <f t="shared" si="145"/>
        <v>1.3264012807332403E-2</v>
      </c>
      <c r="Z322" s="591">
        <f t="shared" si="145"/>
        <v>-6.1567929949370539E-4</v>
      </c>
      <c r="AA322" s="591">
        <f t="shared" si="145"/>
        <v>1.1162289626970296</v>
      </c>
      <c r="AB322" s="591">
        <f t="shared" si="145"/>
        <v>-0.37313943260335014</v>
      </c>
      <c r="AC322" s="591">
        <f t="shared" si="145"/>
        <v>-0.96278399953198091</v>
      </c>
      <c r="AD322" s="591">
        <f t="shared" si="145"/>
        <v>1.9415548421235137E-17</v>
      </c>
      <c r="AE322" s="591">
        <f t="shared" si="145"/>
        <v>-7.8998153775731409E-4</v>
      </c>
      <c r="AF322" s="591">
        <f t="shared" si="145"/>
        <v>-7.7230932717653744E-3</v>
      </c>
    </row>
    <row r="324" spans="1:33" ht="15.75" x14ac:dyDescent="0.25">
      <c r="A324" s="587" t="s">
        <v>535</v>
      </c>
    </row>
    <row r="325" spans="1:33" ht="15.75" x14ac:dyDescent="0.25">
      <c r="A325" s="89" t="s">
        <v>358</v>
      </c>
      <c r="B325" s="90" t="s">
        <v>435</v>
      </c>
      <c r="C325" s="89"/>
      <c r="D325" s="89" t="s">
        <v>342</v>
      </c>
      <c r="E325" s="91" t="s">
        <v>162</v>
      </c>
      <c r="F325" s="91" t="s">
        <v>164</v>
      </c>
      <c r="G325" s="91" t="s">
        <v>166</v>
      </c>
      <c r="H325" s="91" t="s">
        <v>168</v>
      </c>
      <c r="I325" s="91" t="s">
        <v>170</v>
      </c>
      <c r="J325" s="91" t="s">
        <v>173</v>
      </c>
      <c r="K325" s="91" t="s">
        <v>175</v>
      </c>
      <c r="L325" s="91" t="s">
        <v>177</v>
      </c>
      <c r="M325" s="91" t="s">
        <v>179</v>
      </c>
      <c r="N325" s="91" t="s">
        <v>181</v>
      </c>
      <c r="O325" s="91" t="s">
        <v>183</v>
      </c>
      <c r="P325" s="91" t="s">
        <v>185</v>
      </c>
      <c r="Q325" s="91" t="s">
        <v>188</v>
      </c>
      <c r="R325" s="91" t="s">
        <v>190</v>
      </c>
      <c r="S325" s="91" t="s">
        <v>192</v>
      </c>
      <c r="T325" s="91" t="s">
        <v>194</v>
      </c>
      <c r="U325" s="91" t="s">
        <v>196</v>
      </c>
      <c r="V325" s="91" t="s">
        <v>198</v>
      </c>
      <c r="W325" s="91" t="s">
        <v>9</v>
      </c>
      <c r="X325" s="91" t="s">
        <v>201</v>
      </c>
      <c r="Y325" s="91" t="s">
        <v>203</v>
      </c>
      <c r="Z325" s="91" t="s">
        <v>205</v>
      </c>
      <c r="AA325" s="91" t="s">
        <v>207</v>
      </c>
      <c r="AB325" s="91" t="s">
        <v>210</v>
      </c>
      <c r="AC325" s="91" t="s">
        <v>212</v>
      </c>
      <c r="AD325" s="91" t="s">
        <v>214</v>
      </c>
      <c r="AE325" s="91" t="s">
        <v>217</v>
      </c>
      <c r="AF325" s="92" t="s">
        <v>219</v>
      </c>
    </row>
    <row r="326" spans="1:33" x14ac:dyDescent="0.25">
      <c r="A326" t="s">
        <v>388</v>
      </c>
      <c r="B326" t="s">
        <v>88</v>
      </c>
      <c r="C326" t="s">
        <v>389</v>
      </c>
      <c r="D326" t="s">
        <v>323</v>
      </c>
      <c r="E326" s="592" t="str">
        <f>IFERROR(E193*(E$85*E$81),"")</f>
        <v/>
      </c>
      <c r="F326" s="592" t="str">
        <f t="shared" ref="F326:AF331" si="146">IFERROR(F193*(F$85*F$81),"")</f>
        <v/>
      </c>
      <c r="G326" s="592" t="str">
        <f t="shared" si="146"/>
        <v/>
      </c>
      <c r="H326" s="592" t="str">
        <f t="shared" si="146"/>
        <v/>
      </c>
      <c r="I326" s="592" t="str">
        <f t="shared" si="146"/>
        <v/>
      </c>
      <c r="J326" s="592" t="str">
        <f t="shared" si="146"/>
        <v/>
      </c>
      <c r="K326" s="592" t="str">
        <f t="shared" si="146"/>
        <v/>
      </c>
      <c r="L326" s="592" t="str">
        <f t="shared" si="146"/>
        <v/>
      </c>
      <c r="M326" s="592" t="str">
        <f t="shared" si="146"/>
        <v/>
      </c>
      <c r="N326" s="592" t="str">
        <f t="shared" si="146"/>
        <v/>
      </c>
      <c r="O326" s="592" t="str">
        <f t="shared" si="146"/>
        <v/>
      </c>
      <c r="P326" s="592" t="str">
        <f t="shared" si="146"/>
        <v/>
      </c>
      <c r="Q326" s="592" t="str">
        <f t="shared" si="146"/>
        <v/>
      </c>
      <c r="R326" s="592" t="str">
        <f t="shared" si="146"/>
        <v/>
      </c>
      <c r="S326" s="592" t="str">
        <f t="shared" si="146"/>
        <v/>
      </c>
      <c r="T326" s="592" t="str">
        <f t="shared" si="146"/>
        <v/>
      </c>
      <c r="U326" s="592">
        <f t="shared" si="146"/>
        <v>2.4E-2</v>
      </c>
      <c r="V326" s="592" t="str">
        <f t="shared" si="146"/>
        <v/>
      </c>
      <c r="W326" s="592" t="str">
        <f t="shared" si="146"/>
        <v/>
      </c>
      <c r="X326" s="592" t="str">
        <f t="shared" si="146"/>
        <v/>
      </c>
      <c r="Y326" s="592" t="str">
        <f t="shared" si="146"/>
        <v/>
      </c>
      <c r="Z326" s="592" t="str">
        <f t="shared" si="146"/>
        <v/>
      </c>
      <c r="AA326" s="592" t="str">
        <f t="shared" si="146"/>
        <v/>
      </c>
      <c r="AB326" s="592" t="str">
        <f t="shared" si="146"/>
        <v/>
      </c>
      <c r="AC326" s="592" t="str">
        <f t="shared" si="146"/>
        <v/>
      </c>
      <c r="AD326" s="592" t="str">
        <f t="shared" si="146"/>
        <v/>
      </c>
      <c r="AE326" s="592" t="str">
        <f t="shared" si="146"/>
        <v/>
      </c>
      <c r="AF326" s="592" t="str">
        <f t="shared" si="146"/>
        <v/>
      </c>
    </row>
    <row r="327" spans="1:33" x14ac:dyDescent="0.25">
      <c r="A327" t="s">
        <v>388</v>
      </c>
      <c r="B327" t="s">
        <v>88</v>
      </c>
      <c r="C327" t="s">
        <v>390</v>
      </c>
      <c r="D327" t="s">
        <v>323</v>
      </c>
      <c r="E327" s="592" t="str">
        <f t="shared" ref="E327:T331" si="147">IFERROR(E194*(E$85*E$81),"")</f>
        <v/>
      </c>
      <c r="F327" s="592">
        <f t="shared" si="147"/>
        <v>0.50800000000000001</v>
      </c>
      <c r="G327" s="592" t="str">
        <f t="shared" si="147"/>
        <v/>
      </c>
      <c r="H327" s="592" t="str">
        <f t="shared" si="147"/>
        <v/>
      </c>
      <c r="I327" s="592">
        <f t="shared" si="147"/>
        <v>1.6419999999999999</v>
      </c>
      <c r="J327" s="592" t="str">
        <f t="shared" si="147"/>
        <v/>
      </c>
      <c r="K327" s="592" t="str">
        <f t="shared" si="147"/>
        <v/>
      </c>
      <c r="L327" s="592" t="str">
        <f t="shared" si="147"/>
        <v/>
      </c>
      <c r="M327" s="592">
        <f t="shared" si="147"/>
        <v>0</v>
      </c>
      <c r="N327" s="592" t="str">
        <f t="shared" si="147"/>
        <v/>
      </c>
      <c r="O327" s="592" t="str">
        <f t="shared" si="147"/>
        <v/>
      </c>
      <c r="P327" s="592" t="str">
        <f t="shared" si="147"/>
        <v/>
      </c>
      <c r="Q327" s="592">
        <f t="shared" si="147"/>
        <v>6.3890000000000002</v>
      </c>
      <c r="R327" s="592">
        <f t="shared" si="147"/>
        <v>30.161999999999995</v>
      </c>
      <c r="S327" s="592">
        <f t="shared" si="147"/>
        <v>30.100999999999999</v>
      </c>
      <c r="T327" s="592">
        <f t="shared" si="147"/>
        <v>84.891089134629226</v>
      </c>
      <c r="U327" s="592">
        <f t="shared" si="146"/>
        <v>238.33404515953239</v>
      </c>
      <c r="V327" s="592">
        <f t="shared" si="146"/>
        <v>7.7790000000000008</v>
      </c>
      <c r="W327" s="592">
        <f t="shared" si="146"/>
        <v>68.539000000000001</v>
      </c>
      <c r="X327" s="592">
        <f t="shared" si="146"/>
        <v>349.06900000000002</v>
      </c>
      <c r="Y327" s="592" t="str">
        <f t="shared" si="146"/>
        <v/>
      </c>
      <c r="Z327" s="592">
        <f t="shared" si="146"/>
        <v>27.762</v>
      </c>
      <c r="AA327" s="592" t="str">
        <f t="shared" si="146"/>
        <v/>
      </c>
      <c r="AB327" s="592" t="str">
        <f t="shared" si="146"/>
        <v/>
      </c>
      <c r="AC327" s="592" t="str">
        <f t="shared" si="146"/>
        <v/>
      </c>
      <c r="AD327" s="592">
        <f t="shared" si="146"/>
        <v>67.28</v>
      </c>
      <c r="AE327" s="592">
        <f t="shared" si="146"/>
        <v>202.20899999999997</v>
      </c>
      <c r="AF327" s="592">
        <f t="shared" si="146"/>
        <v>26.858000000000001</v>
      </c>
    </row>
    <row r="328" spans="1:33" x14ac:dyDescent="0.25">
      <c r="A328" t="s">
        <v>388</v>
      </c>
      <c r="B328" t="s">
        <v>88</v>
      </c>
      <c r="C328" t="s">
        <v>391</v>
      </c>
      <c r="D328" t="s">
        <v>323</v>
      </c>
      <c r="E328" s="592" t="str">
        <f t="shared" si="147"/>
        <v/>
      </c>
      <c r="F328" s="592">
        <f t="shared" si="146"/>
        <v>15.071309311262725</v>
      </c>
      <c r="G328" s="592" t="str">
        <f t="shared" si="146"/>
        <v/>
      </c>
      <c r="H328" s="592">
        <f t="shared" si="146"/>
        <v>45.329000000000001</v>
      </c>
      <c r="I328" s="592">
        <f t="shared" si="146"/>
        <v>52.807000000000002</v>
      </c>
      <c r="J328" s="592">
        <f t="shared" si="146"/>
        <v>53.776283822002142</v>
      </c>
      <c r="K328" s="592">
        <f t="shared" si="146"/>
        <v>4.8579999999999997</v>
      </c>
      <c r="L328" s="592" t="str">
        <f t="shared" si="146"/>
        <v/>
      </c>
      <c r="M328" s="592">
        <f t="shared" si="146"/>
        <v>0</v>
      </c>
      <c r="N328" s="592">
        <f t="shared" si="146"/>
        <v>52.954999999999998</v>
      </c>
      <c r="O328" s="592">
        <f t="shared" si="146"/>
        <v>8.0239999999999991</v>
      </c>
      <c r="P328" s="592">
        <f t="shared" si="146"/>
        <v>9761.9089999999997</v>
      </c>
      <c r="Q328" s="592">
        <f t="shared" si="146"/>
        <v>257.714</v>
      </c>
      <c r="R328" s="592">
        <f t="shared" si="146"/>
        <v>62.347999999999999</v>
      </c>
      <c r="S328" s="592">
        <f t="shared" si="146"/>
        <v>192.45500000000001</v>
      </c>
      <c r="T328" s="592">
        <f t="shared" si="146"/>
        <v>162.46100000000001</v>
      </c>
      <c r="U328" s="592">
        <f t="shared" si="146"/>
        <v>461.00200000000007</v>
      </c>
      <c r="V328" s="592" t="str">
        <f t="shared" si="146"/>
        <v/>
      </c>
      <c r="W328" s="592">
        <f t="shared" si="146"/>
        <v>698.42315265798027</v>
      </c>
      <c r="X328" s="592">
        <f t="shared" si="146"/>
        <v>812.19900000000007</v>
      </c>
      <c r="Y328" s="592">
        <f t="shared" si="146"/>
        <v>20.353000000000002</v>
      </c>
      <c r="Z328" s="592">
        <f t="shared" si="146"/>
        <v>95.61</v>
      </c>
      <c r="AA328" s="592">
        <f t="shared" si="146"/>
        <v>35.292000000000002</v>
      </c>
      <c r="AB328" s="592">
        <f t="shared" si="146"/>
        <v>39.121000000000002</v>
      </c>
      <c r="AC328" s="592" t="str">
        <f t="shared" si="146"/>
        <v/>
      </c>
      <c r="AD328" s="592">
        <f t="shared" si="146"/>
        <v>478.411</v>
      </c>
      <c r="AE328" s="592">
        <f t="shared" si="146"/>
        <v>413.916</v>
      </c>
      <c r="AF328" s="592">
        <f t="shared" si="146"/>
        <v>239.82900000000001</v>
      </c>
    </row>
    <row r="329" spans="1:33" x14ac:dyDescent="0.25">
      <c r="A329" t="s">
        <v>388</v>
      </c>
      <c r="B329" t="s">
        <v>88</v>
      </c>
      <c r="C329" t="s">
        <v>392</v>
      </c>
      <c r="D329" t="s">
        <v>323</v>
      </c>
      <c r="E329" s="592" t="str">
        <f t="shared" si="147"/>
        <v/>
      </c>
      <c r="F329" s="592" t="str">
        <f t="shared" si="146"/>
        <v/>
      </c>
      <c r="G329" s="592" t="str">
        <f t="shared" si="146"/>
        <v/>
      </c>
      <c r="H329" s="592" t="str">
        <f t="shared" si="146"/>
        <v/>
      </c>
      <c r="I329" s="592" t="str">
        <f t="shared" si="146"/>
        <v/>
      </c>
      <c r="J329" s="592" t="str">
        <f t="shared" si="146"/>
        <v/>
      </c>
      <c r="K329" s="592" t="str">
        <f t="shared" si="146"/>
        <v/>
      </c>
      <c r="L329" s="592" t="str">
        <f t="shared" si="146"/>
        <v/>
      </c>
      <c r="M329" s="592" t="str">
        <f t="shared" si="146"/>
        <v/>
      </c>
      <c r="N329" s="592" t="str">
        <f t="shared" si="146"/>
        <v/>
      </c>
      <c r="O329" s="592" t="str">
        <f t="shared" si="146"/>
        <v/>
      </c>
      <c r="P329" s="592" t="str">
        <f t="shared" si="146"/>
        <v/>
      </c>
      <c r="Q329" s="592" t="str">
        <f t="shared" si="146"/>
        <v/>
      </c>
      <c r="R329" s="592" t="str">
        <f t="shared" si="146"/>
        <v/>
      </c>
      <c r="S329" s="592">
        <f t="shared" si="146"/>
        <v>1.181</v>
      </c>
      <c r="T329" s="592" t="str">
        <f t="shared" si="146"/>
        <v/>
      </c>
      <c r="U329" s="592" t="str">
        <f t="shared" si="146"/>
        <v/>
      </c>
      <c r="V329" s="592" t="str">
        <f t="shared" si="146"/>
        <v/>
      </c>
      <c r="W329" s="592" t="str">
        <f t="shared" si="146"/>
        <v/>
      </c>
      <c r="X329" s="592" t="str">
        <f t="shared" si="146"/>
        <v/>
      </c>
      <c r="Y329" s="592" t="str">
        <f t="shared" si="146"/>
        <v/>
      </c>
      <c r="Z329" s="592" t="str">
        <f t="shared" si="146"/>
        <v/>
      </c>
      <c r="AA329" s="592" t="str">
        <f t="shared" si="146"/>
        <v/>
      </c>
      <c r="AB329" s="592" t="str">
        <f t="shared" si="146"/>
        <v/>
      </c>
      <c r="AC329" s="592" t="str">
        <f t="shared" si="146"/>
        <v/>
      </c>
      <c r="AD329" s="592" t="str">
        <f t="shared" si="146"/>
        <v/>
      </c>
      <c r="AE329" s="592" t="str">
        <f t="shared" si="146"/>
        <v/>
      </c>
      <c r="AF329" s="592" t="str">
        <f t="shared" si="146"/>
        <v/>
      </c>
    </row>
    <row r="330" spans="1:33" x14ac:dyDescent="0.25">
      <c r="A330" t="s">
        <v>388</v>
      </c>
      <c r="B330" t="s">
        <v>88</v>
      </c>
      <c r="C330" t="s">
        <v>393</v>
      </c>
      <c r="D330" t="s">
        <v>323</v>
      </c>
      <c r="E330" s="592" t="str">
        <f t="shared" si="147"/>
        <v/>
      </c>
      <c r="F330" s="592" t="str">
        <f t="shared" si="146"/>
        <v/>
      </c>
      <c r="G330" s="592" t="str">
        <f t="shared" si="146"/>
        <v/>
      </c>
      <c r="H330" s="592" t="str">
        <f t="shared" si="146"/>
        <v/>
      </c>
      <c r="I330" s="592" t="str">
        <f t="shared" si="146"/>
        <v/>
      </c>
      <c r="J330" s="592">
        <f t="shared" si="146"/>
        <v>4.5762908008237826</v>
      </c>
      <c r="K330" s="592" t="str">
        <f t="shared" si="146"/>
        <v/>
      </c>
      <c r="L330" s="592" t="str">
        <f t="shared" si="146"/>
        <v/>
      </c>
      <c r="M330" s="592" t="str">
        <f t="shared" si="146"/>
        <v/>
      </c>
      <c r="N330" s="592" t="str">
        <f t="shared" si="146"/>
        <v/>
      </c>
      <c r="O330" s="592" t="str">
        <f t="shared" si="146"/>
        <v/>
      </c>
      <c r="P330" s="592" t="str">
        <f t="shared" si="146"/>
        <v/>
      </c>
      <c r="Q330" s="592" t="str">
        <f t="shared" si="146"/>
        <v/>
      </c>
      <c r="R330" s="592" t="str">
        <f t="shared" si="146"/>
        <v/>
      </c>
      <c r="S330" s="592" t="str">
        <f t="shared" si="146"/>
        <v/>
      </c>
      <c r="T330" s="592" t="str">
        <f t="shared" si="146"/>
        <v/>
      </c>
      <c r="U330" s="592">
        <f t="shared" si="146"/>
        <v>1.4139999999999999</v>
      </c>
      <c r="V330" s="592" t="str">
        <f t="shared" si="146"/>
        <v/>
      </c>
      <c r="W330" s="592" t="str">
        <f t="shared" si="146"/>
        <v/>
      </c>
      <c r="X330" s="592" t="str">
        <f t="shared" si="146"/>
        <v/>
      </c>
      <c r="Y330" s="592" t="str">
        <f t="shared" si="146"/>
        <v/>
      </c>
      <c r="Z330" s="592" t="str">
        <f t="shared" si="146"/>
        <v/>
      </c>
      <c r="AA330" s="592" t="str">
        <f t="shared" si="146"/>
        <v/>
      </c>
      <c r="AB330" s="592" t="str">
        <f t="shared" si="146"/>
        <v/>
      </c>
      <c r="AC330" s="592" t="str">
        <f t="shared" si="146"/>
        <v/>
      </c>
      <c r="AD330" s="592" t="str">
        <f t="shared" si="146"/>
        <v/>
      </c>
      <c r="AE330" s="592" t="str">
        <f t="shared" si="146"/>
        <v/>
      </c>
      <c r="AF330" s="592" t="str">
        <f t="shared" si="146"/>
        <v/>
      </c>
    </row>
    <row r="331" spans="1:33" x14ac:dyDescent="0.25">
      <c r="A331" t="s">
        <v>388</v>
      </c>
      <c r="B331" t="s">
        <v>88</v>
      </c>
      <c r="C331" t="s">
        <v>394</v>
      </c>
      <c r="D331" t="s">
        <v>323</v>
      </c>
      <c r="E331" s="592" t="str">
        <f t="shared" si="147"/>
        <v/>
      </c>
      <c r="F331" s="592" t="str">
        <f t="shared" si="146"/>
        <v/>
      </c>
      <c r="G331" s="592" t="str">
        <f t="shared" si="146"/>
        <v/>
      </c>
      <c r="H331" s="592" t="str">
        <f t="shared" si="146"/>
        <v/>
      </c>
      <c r="I331" s="592" t="str">
        <f t="shared" si="146"/>
        <v/>
      </c>
      <c r="J331" s="592" t="str">
        <f t="shared" si="146"/>
        <v/>
      </c>
      <c r="K331" s="592" t="str">
        <f t="shared" si="146"/>
        <v/>
      </c>
      <c r="L331" s="592" t="str">
        <f t="shared" si="146"/>
        <v/>
      </c>
      <c r="M331" s="592" t="str">
        <f t="shared" si="146"/>
        <v/>
      </c>
      <c r="N331" s="592" t="str">
        <f t="shared" si="146"/>
        <v/>
      </c>
      <c r="O331" s="592" t="str">
        <f t="shared" si="146"/>
        <v/>
      </c>
      <c r="P331" s="592" t="str">
        <f t="shared" si="146"/>
        <v/>
      </c>
      <c r="Q331" s="592" t="str">
        <f t="shared" si="146"/>
        <v/>
      </c>
      <c r="R331" s="592" t="str">
        <f t="shared" si="146"/>
        <v/>
      </c>
      <c r="S331" s="592" t="str">
        <f t="shared" si="146"/>
        <v/>
      </c>
      <c r="T331" s="592" t="str">
        <f t="shared" si="146"/>
        <v/>
      </c>
      <c r="U331" s="592" t="str">
        <f t="shared" si="146"/>
        <v/>
      </c>
      <c r="V331" s="592" t="str">
        <f t="shared" si="146"/>
        <v/>
      </c>
      <c r="W331" s="592" t="str">
        <f t="shared" si="146"/>
        <v/>
      </c>
      <c r="X331" s="592" t="str">
        <f t="shared" si="146"/>
        <v/>
      </c>
      <c r="Y331" s="592">
        <f t="shared" si="146"/>
        <v>31.85</v>
      </c>
      <c r="Z331" s="592" t="str">
        <f t="shared" si="146"/>
        <v/>
      </c>
      <c r="AA331" s="592" t="str">
        <f t="shared" si="146"/>
        <v/>
      </c>
      <c r="AB331" s="592" t="str">
        <f t="shared" si="146"/>
        <v/>
      </c>
      <c r="AC331" s="592" t="str">
        <f t="shared" si="146"/>
        <v/>
      </c>
      <c r="AD331" s="592" t="str">
        <f t="shared" si="146"/>
        <v/>
      </c>
      <c r="AE331" s="592" t="str">
        <f t="shared" si="146"/>
        <v/>
      </c>
      <c r="AF331" s="592" t="str">
        <f t="shared" si="146"/>
        <v/>
      </c>
    </row>
    <row r="333" spans="1:33" ht="15.75" x14ac:dyDescent="0.25">
      <c r="A333" s="587" t="s">
        <v>537</v>
      </c>
    </row>
    <row r="334" spans="1:33" ht="15.75" x14ac:dyDescent="0.25">
      <c r="A334" s="89" t="s">
        <v>358</v>
      </c>
      <c r="B334" s="90" t="s">
        <v>359</v>
      </c>
      <c r="C334" s="89" t="s">
        <v>360</v>
      </c>
      <c r="D334" s="89" t="s">
        <v>342</v>
      </c>
      <c r="E334" s="91" t="s">
        <v>162</v>
      </c>
      <c r="F334" s="91" t="s">
        <v>164</v>
      </c>
      <c r="G334" s="91" t="s">
        <v>166</v>
      </c>
      <c r="H334" s="91" t="s">
        <v>168</v>
      </c>
      <c r="I334" s="91" t="s">
        <v>170</v>
      </c>
      <c r="J334" s="91" t="s">
        <v>173</v>
      </c>
      <c r="K334" s="91" t="s">
        <v>175</v>
      </c>
      <c r="L334" s="91" t="s">
        <v>177</v>
      </c>
      <c r="M334" s="91" t="s">
        <v>179</v>
      </c>
      <c r="N334" s="91" t="s">
        <v>181</v>
      </c>
      <c r="O334" s="91" t="s">
        <v>183</v>
      </c>
      <c r="P334" s="91" t="s">
        <v>185</v>
      </c>
      <c r="Q334" s="91" t="s">
        <v>188</v>
      </c>
      <c r="R334" s="91" t="s">
        <v>190</v>
      </c>
      <c r="S334" s="91" t="s">
        <v>192</v>
      </c>
      <c r="T334" s="91" t="s">
        <v>194</v>
      </c>
      <c r="U334" s="91" t="s">
        <v>196</v>
      </c>
      <c r="V334" s="91" t="s">
        <v>198</v>
      </c>
      <c r="W334" s="91" t="s">
        <v>9</v>
      </c>
      <c r="X334" s="91" t="s">
        <v>201</v>
      </c>
      <c r="Y334" s="91" t="s">
        <v>203</v>
      </c>
      <c r="Z334" s="91" t="s">
        <v>205</v>
      </c>
      <c r="AA334" s="91" t="s">
        <v>207</v>
      </c>
      <c r="AB334" s="91" t="s">
        <v>210</v>
      </c>
      <c r="AC334" s="91" t="s">
        <v>212</v>
      </c>
      <c r="AD334" s="91" t="s">
        <v>214</v>
      </c>
      <c r="AE334" s="91" t="s">
        <v>217</v>
      </c>
      <c r="AF334" s="92" t="s">
        <v>219</v>
      </c>
    </row>
    <row r="335" spans="1:33" x14ac:dyDescent="0.25">
      <c r="A335" t="s">
        <v>388</v>
      </c>
      <c r="B335" t="s">
        <v>88</v>
      </c>
      <c r="C335" t="s">
        <v>389</v>
      </c>
      <c r="D335" t="s">
        <v>323</v>
      </c>
      <c r="E335" t="str">
        <f t="shared" ref="E335:F340" si="148">IFERROR(E326-(-E9/1000),"")</f>
        <v/>
      </c>
      <c r="F335" t="str">
        <f t="shared" si="148"/>
        <v/>
      </c>
      <c r="G335" t="str">
        <f t="shared" ref="G335:AF335" si="149">IFERROR(G326-(-G9/1000),"")</f>
        <v/>
      </c>
      <c r="H335" t="str">
        <f t="shared" si="149"/>
        <v/>
      </c>
      <c r="I335" t="str">
        <f t="shared" si="149"/>
        <v/>
      </c>
      <c r="J335" t="str">
        <f t="shared" si="149"/>
        <v/>
      </c>
      <c r="K335" t="str">
        <f t="shared" si="149"/>
        <v/>
      </c>
      <c r="L335" t="str">
        <f t="shared" si="149"/>
        <v/>
      </c>
      <c r="M335" t="str">
        <f t="shared" si="149"/>
        <v/>
      </c>
      <c r="N335" t="str">
        <f t="shared" si="149"/>
        <v/>
      </c>
      <c r="O335" t="str">
        <f t="shared" si="149"/>
        <v/>
      </c>
      <c r="P335" t="str">
        <f t="shared" si="149"/>
        <v/>
      </c>
      <c r="Q335" t="str">
        <f t="shared" si="149"/>
        <v/>
      </c>
      <c r="R335" t="str">
        <f t="shared" si="149"/>
        <v/>
      </c>
      <c r="S335" t="str">
        <f t="shared" si="149"/>
        <v/>
      </c>
      <c r="T335" t="str">
        <f t="shared" si="149"/>
        <v/>
      </c>
      <c r="U335">
        <f t="shared" si="149"/>
        <v>0</v>
      </c>
      <c r="V335" t="str">
        <f t="shared" si="149"/>
        <v/>
      </c>
      <c r="W335" t="str">
        <f t="shared" si="149"/>
        <v/>
      </c>
      <c r="X335" t="str">
        <f t="shared" si="149"/>
        <v/>
      </c>
      <c r="Y335" t="str">
        <f t="shared" si="149"/>
        <v/>
      </c>
      <c r="Z335" t="str">
        <f t="shared" si="149"/>
        <v/>
      </c>
      <c r="AA335" t="str">
        <f t="shared" si="149"/>
        <v/>
      </c>
      <c r="AB335" t="str">
        <f t="shared" si="149"/>
        <v/>
      </c>
      <c r="AC335" t="str">
        <f t="shared" si="149"/>
        <v/>
      </c>
      <c r="AD335" t="str">
        <f t="shared" si="149"/>
        <v/>
      </c>
      <c r="AE335" t="str">
        <f t="shared" si="149"/>
        <v/>
      </c>
      <c r="AF335" t="str">
        <f t="shared" si="149"/>
        <v/>
      </c>
    </row>
    <row r="336" spans="1:33" x14ac:dyDescent="0.25">
      <c r="A336" t="s">
        <v>388</v>
      </c>
      <c r="B336" t="s">
        <v>88</v>
      </c>
      <c r="C336" t="s">
        <v>390</v>
      </c>
      <c r="D336" t="s">
        <v>323</v>
      </c>
      <c r="E336" t="str">
        <f t="shared" si="148"/>
        <v/>
      </c>
      <c r="F336" s="102">
        <f t="shared" si="148"/>
        <v>0</v>
      </c>
      <c r="G336" s="102" t="str">
        <f t="shared" ref="G336:AF336" si="150">IFERROR(G327-(-G10/1000),"")</f>
        <v/>
      </c>
      <c r="H336" s="102" t="str">
        <f t="shared" si="150"/>
        <v/>
      </c>
      <c r="I336" s="102">
        <f t="shared" si="150"/>
        <v>0</v>
      </c>
      <c r="J336" s="102" t="str">
        <f t="shared" si="150"/>
        <v/>
      </c>
      <c r="K336" s="102" t="str">
        <f t="shared" si="150"/>
        <v/>
      </c>
      <c r="L336" s="102" t="str">
        <f t="shared" si="150"/>
        <v/>
      </c>
      <c r="M336" s="102">
        <f t="shared" si="150"/>
        <v>0</v>
      </c>
      <c r="N336" s="102" t="str">
        <f t="shared" si="150"/>
        <v/>
      </c>
      <c r="O336" s="102" t="str">
        <f t="shared" si="150"/>
        <v/>
      </c>
      <c r="P336" s="102" t="str">
        <f t="shared" si="150"/>
        <v/>
      </c>
      <c r="Q336" s="102">
        <f t="shared" si="150"/>
        <v>0</v>
      </c>
      <c r="R336" s="102">
        <f t="shared" si="150"/>
        <v>-3.5527136788005009E-15</v>
      </c>
      <c r="S336" s="102">
        <f t="shared" si="150"/>
        <v>0</v>
      </c>
      <c r="T336" s="102">
        <f t="shared" si="150"/>
        <v>-9.7389108653707694</v>
      </c>
      <c r="U336" s="102">
        <f t="shared" si="150"/>
        <v>-2.7659548404676002</v>
      </c>
      <c r="V336" s="102">
        <f t="shared" si="150"/>
        <v>8.8817841970012523E-16</v>
      </c>
      <c r="W336" s="102">
        <f t="shared" si="150"/>
        <v>0</v>
      </c>
      <c r="X336" s="102">
        <f t="shared" si="150"/>
        <v>0</v>
      </c>
      <c r="Y336" s="102" t="str">
        <f t="shared" si="150"/>
        <v/>
      </c>
      <c r="Z336" s="102">
        <f t="shared" si="150"/>
        <v>0</v>
      </c>
      <c r="AA336" s="102" t="str">
        <f t="shared" si="150"/>
        <v/>
      </c>
      <c r="AB336" s="102" t="str">
        <f t="shared" si="150"/>
        <v/>
      </c>
      <c r="AC336" s="102" t="str">
        <f t="shared" si="150"/>
        <v/>
      </c>
      <c r="AD336" s="102">
        <f t="shared" si="150"/>
        <v>0</v>
      </c>
      <c r="AE336" s="102">
        <f t="shared" si="150"/>
        <v>-2.8421709430404007E-14</v>
      </c>
      <c r="AF336" s="102">
        <f t="shared" si="150"/>
        <v>0</v>
      </c>
      <c r="AG336" s="98"/>
    </row>
    <row r="337" spans="1:33" x14ac:dyDescent="0.25">
      <c r="A337" t="s">
        <v>388</v>
      </c>
      <c r="B337" t="s">
        <v>88</v>
      </c>
      <c r="C337" t="s">
        <v>391</v>
      </c>
      <c r="D337" t="s">
        <v>323</v>
      </c>
      <c r="E337" t="str">
        <f t="shared" si="148"/>
        <v/>
      </c>
      <c r="F337" s="611">
        <f t="shared" si="148"/>
        <v>-1.1436906887372746</v>
      </c>
      <c r="G337" s="102" t="str">
        <f t="shared" ref="G337:AF337" si="151">IFERROR(G328-(-G11/1000),"")</f>
        <v/>
      </c>
      <c r="H337" s="102">
        <f t="shared" si="151"/>
        <v>0</v>
      </c>
      <c r="I337" s="102">
        <f t="shared" si="151"/>
        <v>0</v>
      </c>
      <c r="J337" s="102">
        <f t="shared" si="151"/>
        <v>-2.7967161779978582</v>
      </c>
      <c r="K337" s="102">
        <f t="shared" si="151"/>
        <v>0</v>
      </c>
      <c r="L337" s="102" t="str">
        <f t="shared" si="151"/>
        <v/>
      </c>
      <c r="M337" s="102">
        <f t="shared" si="151"/>
        <v>0</v>
      </c>
      <c r="N337" s="102">
        <f t="shared" si="151"/>
        <v>0</v>
      </c>
      <c r="O337" s="102">
        <f t="shared" si="151"/>
        <v>0</v>
      </c>
      <c r="P337" s="102">
        <f t="shared" si="151"/>
        <v>0</v>
      </c>
      <c r="Q337" s="102">
        <f t="shared" si="151"/>
        <v>0</v>
      </c>
      <c r="R337" s="102">
        <f t="shared" si="151"/>
        <v>0</v>
      </c>
      <c r="S337" s="102">
        <f t="shared" si="151"/>
        <v>0</v>
      </c>
      <c r="T337" s="102">
        <f t="shared" si="151"/>
        <v>0</v>
      </c>
      <c r="U337" s="102">
        <f t="shared" si="151"/>
        <v>5.6843418860808015E-14</v>
      </c>
      <c r="V337" s="102" t="str">
        <f t="shared" si="151"/>
        <v/>
      </c>
      <c r="W337" s="102">
        <f t="shared" si="151"/>
        <v>-322.27184734201978</v>
      </c>
      <c r="X337" s="102">
        <f t="shared" si="151"/>
        <v>1.1368683772161603E-13</v>
      </c>
      <c r="Y337" s="102">
        <f t="shared" si="151"/>
        <v>0</v>
      </c>
      <c r="Z337" s="102">
        <f t="shared" si="151"/>
        <v>0</v>
      </c>
      <c r="AA337" s="102">
        <f t="shared" si="151"/>
        <v>0</v>
      </c>
      <c r="AB337" s="102">
        <f t="shared" si="151"/>
        <v>0</v>
      </c>
      <c r="AC337" s="102" t="str">
        <f t="shared" si="151"/>
        <v/>
      </c>
      <c r="AD337" s="102">
        <f t="shared" si="151"/>
        <v>0</v>
      </c>
      <c r="AE337" s="102">
        <f t="shared" si="151"/>
        <v>0</v>
      </c>
      <c r="AF337" s="102">
        <f t="shared" si="151"/>
        <v>0</v>
      </c>
      <c r="AG337" s="98"/>
    </row>
    <row r="338" spans="1:33" x14ac:dyDescent="0.25">
      <c r="A338" t="s">
        <v>388</v>
      </c>
      <c r="B338" t="s">
        <v>88</v>
      </c>
      <c r="C338" t="s">
        <v>392</v>
      </c>
      <c r="D338" t="s">
        <v>323</v>
      </c>
      <c r="E338" t="str">
        <f t="shared" si="148"/>
        <v/>
      </c>
      <c r="F338" s="102" t="str">
        <f t="shared" si="148"/>
        <v/>
      </c>
      <c r="G338" s="102" t="str">
        <f t="shared" ref="G338:AF338" si="152">IFERROR(G329-(-G12/1000),"")</f>
        <v/>
      </c>
      <c r="H338" s="102" t="str">
        <f t="shared" si="152"/>
        <v/>
      </c>
      <c r="I338" s="102" t="str">
        <f t="shared" si="152"/>
        <v/>
      </c>
      <c r="J338" s="102" t="str">
        <f t="shared" si="152"/>
        <v/>
      </c>
      <c r="K338" s="102" t="str">
        <f t="shared" si="152"/>
        <v/>
      </c>
      <c r="L338" s="102" t="str">
        <f t="shared" si="152"/>
        <v/>
      </c>
      <c r="M338" s="102" t="str">
        <f t="shared" si="152"/>
        <v/>
      </c>
      <c r="N338" s="102" t="str">
        <f t="shared" si="152"/>
        <v/>
      </c>
      <c r="O338" s="102" t="str">
        <f t="shared" si="152"/>
        <v/>
      </c>
      <c r="P338" s="102" t="str">
        <f t="shared" si="152"/>
        <v/>
      </c>
      <c r="Q338" s="102" t="str">
        <f t="shared" si="152"/>
        <v/>
      </c>
      <c r="R338" s="102" t="str">
        <f t="shared" si="152"/>
        <v/>
      </c>
      <c r="S338" s="102">
        <f t="shared" si="152"/>
        <v>0</v>
      </c>
      <c r="T338" s="102" t="str">
        <f t="shared" si="152"/>
        <v/>
      </c>
      <c r="U338" s="102" t="str">
        <f t="shared" si="152"/>
        <v/>
      </c>
      <c r="V338" s="102" t="str">
        <f t="shared" si="152"/>
        <v/>
      </c>
      <c r="W338" s="102" t="str">
        <f t="shared" si="152"/>
        <v/>
      </c>
      <c r="X338" s="102" t="str">
        <f t="shared" si="152"/>
        <v/>
      </c>
      <c r="Y338" s="102" t="str">
        <f t="shared" si="152"/>
        <v/>
      </c>
      <c r="Z338" s="102" t="str">
        <f t="shared" si="152"/>
        <v/>
      </c>
      <c r="AA338" s="102" t="str">
        <f t="shared" si="152"/>
        <v/>
      </c>
      <c r="AB338" s="102" t="str">
        <f t="shared" si="152"/>
        <v/>
      </c>
      <c r="AC338" s="102" t="str">
        <f t="shared" si="152"/>
        <v/>
      </c>
      <c r="AD338" s="102" t="str">
        <f t="shared" si="152"/>
        <v/>
      </c>
      <c r="AE338" s="102" t="str">
        <f t="shared" si="152"/>
        <v/>
      </c>
      <c r="AF338" s="102" t="str">
        <f t="shared" si="152"/>
        <v/>
      </c>
      <c r="AG338" s="98"/>
    </row>
    <row r="339" spans="1:33" x14ac:dyDescent="0.25">
      <c r="A339" t="s">
        <v>388</v>
      </c>
      <c r="B339" t="s">
        <v>88</v>
      </c>
      <c r="C339" t="s">
        <v>393</v>
      </c>
      <c r="D339" t="s">
        <v>323</v>
      </c>
      <c r="E339" t="str">
        <f t="shared" si="148"/>
        <v/>
      </c>
      <c r="F339" s="102" t="str">
        <f t="shared" si="148"/>
        <v/>
      </c>
      <c r="G339" s="102" t="str">
        <f t="shared" ref="G339:AF339" si="153">IFERROR(G330-(-G13/1000),"")</f>
        <v/>
      </c>
      <c r="H339" s="102" t="str">
        <f t="shared" si="153"/>
        <v/>
      </c>
      <c r="I339" s="102" t="str">
        <f t="shared" si="153"/>
        <v/>
      </c>
      <c r="J339" s="102">
        <f t="shared" si="153"/>
        <v>-0.49770919917621725</v>
      </c>
      <c r="K339" s="102" t="str">
        <f t="shared" si="153"/>
        <v/>
      </c>
      <c r="L339" s="102" t="str">
        <f t="shared" si="153"/>
        <v/>
      </c>
      <c r="M339" s="102" t="str">
        <f t="shared" si="153"/>
        <v/>
      </c>
      <c r="N339" s="102" t="str">
        <f t="shared" si="153"/>
        <v/>
      </c>
      <c r="O339" s="102" t="str">
        <f t="shared" si="153"/>
        <v/>
      </c>
      <c r="P339" s="102" t="str">
        <f t="shared" si="153"/>
        <v/>
      </c>
      <c r="Q339" s="102" t="str">
        <f t="shared" si="153"/>
        <v/>
      </c>
      <c r="R339" s="102" t="str">
        <f t="shared" si="153"/>
        <v/>
      </c>
      <c r="S339" s="102" t="str">
        <f t="shared" si="153"/>
        <v/>
      </c>
      <c r="T339" s="102" t="str">
        <f t="shared" si="153"/>
        <v/>
      </c>
      <c r="U339" s="102">
        <f t="shared" si="153"/>
        <v>0</v>
      </c>
      <c r="V339" s="102" t="str">
        <f t="shared" si="153"/>
        <v/>
      </c>
      <c r="W339" s="102" t="str">
        <f t="shared" si="153"/>
        <v/>
      </c>
      <c r="X339" s="102" t="str">
        <f t="shared" si="153"/>
        <v/>
      </c>
      <c r="Y339" s="102" t="str">
        <f t="shared" si="153"/>
        <v/>
      </c>
      <c r="Z339" s="102" t="str">
        <f t="shared" si="153"/>
        <v/>
      </c>
      <c r="AA339" s="102" t="str">
        <f t="shared" si="153"/>
        <v/>
      </c>
      <c r="AB339" s="102" t="str">
        <f t="shared" si="153"/>
        <v/>
      </c>
      <c r="AC339" s="102" t="str">
        <f t="shared" si="153"/>
        <v/>
      </c>
      <c r="AD339" s="102" t="str">
        <f t="shared" si="153"/>
        <v/>
      </c>
      <c r="AE339" s="102" t="str">
        <f t="shared" si="153"/>
        <v/>
      </c>
      <c r="AF339" s="102" t="str">
        <f t="shared" si="153"/>
        <v/>
      </c>
      <c r="AG339" s="98"/>
    </row>
    <row r="340" spans="1:33" x14ac:dyDescent="0.25">
      <c r="A340" t="s">
        <v>388</v>
      </c>
      <c r="B340" t="s">
        <v>88</v>
      </c>
      <c r="C340" t="s">
        <v>394</v>
      </c>
      <c r="D340" t="s">
        <v>323</v>
      </c>
      <c r="E340" t="str">
        <f t="shared" si="148"/>
        <v/>
      </c>
      <c r="F340" s="102" t="str">
        <f t="shared" si="148"/>
        <v/>
      </c>
      <c r="G340" s="102" t="str">
        <f t="shared" ref="G340:AF340" si="154">IFERROR(G331-(-G14/1000),"")</f>
        <v/>
      </c>
      <c r="H340" s="102" t="str">
        <f t="shared" si="154"/>
        <v/>
      </c>
      <c r="I340" s="102" t="str">
        <f t="shared" si="154"/>
        <v/>
      </c>
      <c r="J340" s="102" t="str">
        <f t="shared" si="154"/>
        <v/>
      </c>
      <c r="K340" s="102" t="str">
        <f t="shared" si="154"/>
        <v/>
      </c>
      <c r="L340" s="102" t="str">
        <f t="shared" si="154"/>
        <v/>
      </c>
      <c r="M340" s="102" t="str">
        <f t="shared" si="154"/>
        <v/>
      </c>
      <c r="N340" s="102" t="str">
        <f t="shared" si="154"/>
        <v/>
      </c>
      <c r="O340" s="102" t="str">
        <f t="shared" si="154"/>
        <v/>
      </c>
      <c r="P340" s="102" t="str">
        <f t="shared" si="154"/>
        <v/>
      </c>
      <c r="Q340" s="102" t="str">
        <f t="shared" si="154"/>
        <v/>
      </c>
      <c r="R340" s="102" t="str">
        <f t="shared" si="154"/>
        <v/>
      </c>
      <c r="S340" s="102" t="str">
        <f t="shared" si="154"/>
        <v/>
      </c>
      <c r="T340" s="102" t="str">
        <f t="shared" si="154"/>
        <v/>
      </c>
      <c r="U340" s="102" t="str">
        <f t="shared" si="154"/>
        <v/>
      </c>
      <c r="V340" s="102" t="str">
        <f t="shared" si="154"/>
        <v/>
      </c>
      <c r="W340" s="102" t="str">
        <f t="shared" si="154"/>
        <v/>
      </c>
      <c r="X340" s="102" t="str">
        <f t="shared" si="154"/>
        <v/>
      </c>
      <c r="Y340" s="102">
        <f t="shared" si="154"/>
        <v>0</v>
      </c>
      <c r="Z340" s="102" t="str">
        <f t="shared" si="154"/>
        <v/>
      </c>
      <c r="AA340" s="102" t="str">
        <f t="shared" si="154"/>
        <v/>
      </c>
      <c r="AB340" s="102" t="str">
        <f t="shared" si="154"/>
        <v/>
      </c>
      <c r="AC340" s="102" t="str">
        <f t="shared" si="154"/>
        <v/>
      </c>
      <c r="AD340" s="102" t="str">
        <f t="shared" si="154"/>
        <v/>
      </c>
      <c r="AE340" s="102" t="str">
        <f t="shared" si="154"/>
        <v/>
      </c>
      <c r="AF340" s="102" t="str">
        <f t="shared" si="154"/>
        <v/>
      </c>
      <c r="AG340" s="98"/>
    </row>
  </sheetData>
  <hyperlinks>
    <hyperlink ref="AH136" r:id="rId1" xr:uid="{7058B67B-A0F8-4105-A96C-BBCCE1007394}"/>
    <hyperlink ref="AH90" r:id="rId2" xr:uid="{07DC2495-E071-43C0-8692-FA3D82A08F30}"/>
    <hyperlink ref="AH89" r:id="rId3" xr:uid="{BBA2C0F3-5230-42FA-BEF0-C0FCA6B853AE}"/>
    <hyperlink ref="AP154" r:id="rId4" xr:uid="{382E6662-FF12-4DC5-A341-FC4D0A8AE8DE}"/>
  </hyperlinks>
  <pageMargins left="0.7" right="0.7" top="0.75" bottom="0.75" header="0.3" footer="0.3"/>
  <pageSetup paperSize="9" orientation="portrait" r:id="rId5"/>
  <drawing r:id="rId6"/>
  <legacyDrawing r:id="rId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C13C-FCB8-4D29-9A91-8BA5C1F27B0C}">
  <sheetPr>
    <tabColor theme="9" tint="0.59999389629810485"/>
  </sheetPr>
  <dimension ref="A1:AY102"/>
  <sheetViews>
    <sheetView showGridLines="0" zoomScale="70" zoomScaleNormal="70" workbookViewId="0">
      <pane xSplit="2" ySplit="1" topLeftCell="C60" activePane="bottomRight" state="frozen"/>
      <selection pane="topRight" sqref="A1:O1048576"/>
      <selection pane="bottomLeft" sqref="A1:O1048576"/>
      <selection pane="bottomRight" activeCell="H67" sqref="H67"/>
    </sheetView>
  </sheetViews>
  <sheetFormatPr defaultColWidth="9.28515625" defaultRowHeight="15" x14ac:dyDescent="0.25"/>
  <cols>
    <col min="1" max="1" width="24.7109375" style="9" customWidth="1"/>
    <col min="2" max="2" width="49.28515625" style="9" customWidth="1"/>
    <col min="3" max="3" width="11.42578125" style="9" customWidth="1"/>
    <col min="4" max="4" width="12.7109375" style="9" customWidth="1"/>
    <col min="5" max="5" width="10.28515625" style="9" customWidth="1"/>
    <col min="6" max="6" width="10.42578125" style="9" customWidth="1"/>
    <col min="7" max="7" width="14.5703125" customWidth="1"/>
    <col min="8" max="8" width="14.5703125" style="9" customWidth="1"/>
    <col min="9" max="9" width="10" style="9" customWidth="1"/>
    <col min="10" max="10" width="8.7109375" style="9" bestFit="1" customWidth="1"/>
    <col min="11" max="11" width="8.28515625" style="9" customWidth="1"/>
    <col min="12" max="12" width="6.7109375" style="9" bestFit="1" customWidth="1"/>
    <col min="13" max="13" width="9.140625" style="9" customWidth="1"/>
    <col min="14" max="14" width="7.7109375" style="9" customWidth="1"/>
    <col min="15" max="20" width="6.7109375" style="9" bestFit="1" customWidth="1"/>
    <col min="21" max="21" width="8.7109375" style="9" bestFit="1" customWidth="1"/>
    <col min="22" max="28" width="6.7109375" style="9" bestFit="1" customWidth="1"/>
    <col min="29" max="29" width="7.7109375" style="9" bestFit="1" customWidth="1"/>
    <col min="30" max="31" width="6.7109375" style="9" bestFit="1" customWidth="1"/>
    <col min="32" max="32" width="19.28515625" style="9" bestFit="1" customWidth="1"/>
    <col min="33" max="37" width="6.7109375" style="9" bestFit="1" customWidth="1"/>
    <col min="38" max="38" width="10" style="9" customWidth="1"/>
    <col min="39" max="39" width="10.42578125" style="9" customWidth="1"/>
    <col min="40" max="40" width="16.7109375" style="9" bestFit="1" customWidth="1"/>
    <col min="41" max="41" width="81" style="9" bestFit="1" customWidth="1"/>
    <col min="42" max="42" width="10.5703125" style="9" bestFit="1" customWidth="1"/>
    <col min="43" max="43" width="10.42578125" style="9" bestFit="1" customWidth="1"/>
    <col min="44" max="44" width="35" style="9" bestFit="1" customWidth="1"/>
    <col min="45" max="45" width="7.7109375" style="9" bestFit="1" customWidth="1"/>
    <col min="46" max="46" width="8.42578125" style="9" bestFit="1" customWidth="1"/>
    <col min="47" max="47" width="10.42578125" style="9" bestFit="1" customWidth="1"/>
    <col min="48" max="48" width="7.7109375" style="9" bestFit="1" customWidth="1"/>
    <col min="49" max="16384" width="9.28515625" style="9"/>
  </cols>
  <sheetData>
    <row r="1" spans="1:47" ht="23.25" x14ac:dyDescent="0.25">
      <c r="A1" s="8" t="s">
        <v>539</v>
      </c>
    </row>
    <row r="2" spans="1:47" customFormat="1" x14ac:dyDescent="0.25">
      <c r="A2" s="5" t="s">
        <v>7</v>
      </c>
      <c r="B2" t="s">
        <v>540</v>
      </c>
    </row>
    <row r="3" spans="1:47" x14ac:dyDescent="0.25">
      <c r="A3" s="12" t="s">
        <v>541</v>
      </c>
      <c r="B3" s="9" t="s">
        <v>89</v>
      </c>
    </row>
    <row r="5" spans="1:47" ht="21" x14ac:dyDescent="0.25">
      <c r="A5" s="14" t="s">
        <v>542</v>
      </c>
      <c r="F5"/>
      <c r="G5" s="9"/>
      <c r="H5" s="9" t="s">
        <v>543</v>
      </c>
      <c r="AM5" s="14" t="s">
        <v>544</v>
      </c>
    </row>
    <row r="6" spans="1:47" x14ac:dyDescent="0.25">
      <c r="A6" s="52" t="s">
        <v>300</v>
      </c>
      <c r="F6"/>
      <c r="G6" s="9"/>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42" t="s">
        <v>301</v>
      </c>
      <c r="AN6" s="57"/>
      <c r="AO6" s="57"/>
      <c r="AP6" s="57"/>
      <c r="AQ6" s="57"/>
      <c r="AR6" s="57"/>
      <c r="AS6" s="57"/>
      <c r="AT6" s="57"/>
    </row>
    <row r="7" spans="1:47" ht="30.75" thickBot="1" x14ac:dyDescent="0.3">
      <c r="A7" s="54" t="s">
        <v>306</v>
      </c>
      <c r="B7" s="55" t="s">
        <v>545</v>
      </c>
      <c r="C7" s="54" t="s">
        <v>302</v>
      </c>
      <c r="D7" s="54" t="s">
        <v>546</v>
      </c>
      <c r="E7" s="54" t="s">
        <v>303</v>
      </c>
      <c r="F7" s="54" t="s">
        <v>547</v>
      </c>
      <c r="G7" s="54" t="s">
        <v>548</v>
      </c>
      <c r="H7" s="54" t="s">
        <v>326</v>
      </c>
      <c r="I7" s="54" t="s">
        <v>549</v>
      </c>
      <c r="J7" s="54" t="s">
        <v>162</v>
      </c>
      <c r="K7" s="54" t="s">
        <v>164</v>
      </c>
      <c r="L7" s="54" t="s">
        <v>166</v>
      </c>
      <c r="M7" s="54" t="s">
        <v>168</v>
      </c>
      <c r="N7" s="54" t="s">
        <v>170</v>
      </c>
      <c r="O7" s="54" t="s">
        <v>173</v>
      </c>
      <c r="P7" s="54" t="s">
        <v>175</v>
      </c>
      <c r="Q7" s="54" t="s">
        <v>177</v>
      </c>
      <c r="R7" s="54" t="s">
        <v>179</v>
      </c>
      <c r="S7" s="54" t="s">
        <v>181</v>
      </c>
      <c r="T7" s="54" t="s">
        <v>183</v>
      </c>
      <c r="U7" s="54" t="s">
        <v>185</v>
      </c>
      <c r="V7" s="54" t="s">
        <v>188</v>
      </c>
      <c r="W7" s="54" t="s">
        <v>190</v>
      </c>
      <c r="X7" s="54" t="s">
        <v>192</v>
      </c>
      <c r="Y7" s="54" t="s">
        <v>194</v>
      </c>
      <c r="Z7" s="54" t="s">
        <v>196</v>
      </c>
      <c r="AA7" s="54" t="s">
        <v>198</v>
      </c>
      <c r="AB7" s="54" t="s">
        <v>9</v>
      </c>
      <c r="AC7" s="54" t="s">
        <v>201</v>
      </c>
      <c r="AD7" s="54" t="s">
        <v>203</v>
      </c>
      <c r="AE7" s="54" t="s">
        <v>205</v>
      </c>
      <c r="AF7" s="54" t="s">
        <v>207</v>
      </c>
      <c r="AG7" s="54" t="s">
        <v>210</v>
      </c>
      <c r="AH7" s="54" t="s">
        <v>212</v>
      </c>
      <c r="AI7" s="54" t="s">
        <v>214</v>
      </c>
      <c r="AJ7" s="54" t="s">
        <v>217</v>
      </c>
      <c r="AK7" s="54" t="s">
        <v>219</v>
      </c>
      <c r="AM7" s="44" t="s">
        <v>305</v>
      </c>
      <c r="AN7" s="44" t="s">
        <v>306</v>
      </c>
      <c r="AO7" s="44" t="s">
        <v>307</v>
      </c>
      <c r="AP7" s="44" t="s">
        <v>308</v>
      </c>
      <c r="AQ7" s="44" t="s">
        <v>309</v>
      </c>
      <c r="AR7" s="44" t="s">
        <v>550</v>
      </c>
      <c r="AS7" s="44" t="s">
        <v>310</v>
      </c>
      <c r="AT7" s="44" t="s">
        <v>311</v>
      </c>
      <c r="AU7" s="44" t="s">
        <v>312</v>
      </c>
    </row>
    <row r="8" spans="1:47" ht="63.75" x14ac:dyDescent="0.25">
      <c r="A8" s="50" t="s">
        <v>551</v>
      </c>
      <c r="B8" s="50" t="s">
        <v>26</v>
      </c>
      <c r="C8" s="50" t="s">
        <v>313</v>
      </c>
      <c r="D8" s="50" t="s">
        <v>314</v>
      </c>
      <c r="E8" s="50" t="s">
        <v>552</v>
      </c>
      <c r="F8" s="50" t="s">
        <v>553</v>
      </c>
      <c r="G8" s="50" t="s">
        <v>554</v>
      </c>
      <c r="H8" s="50" t="s">
        <v>555</v>
      </c>
      <c r="I8" s="50" t="s">
        <v>556</v>
      </c>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M8" s="51" t="s">
        <v>557</v>
      </c>
      <c r="AN8" s="51" t="s">
        <v>316</v>
      </c>
      <c r="AO8" s="51" t="s">
        <v>26</v>
      </c>
      <c r="AP8" s="51" t="s">
        <v>317</v>
      </c>
      <c r="AQ8" s="51" t="s">
        <v>318</v>
      </c>
      <c r="AR8" s="51" t="s">
        <v>328</v>
      </c>
      <c r="AS8" s="51" t="s">
        <v>319</v>
      </c>
      <c r="AT8" s="51" t="s">
        <v>320</v>
      </c>
      <c r="AU8" s="51" t="s">
        <v>321</v>
      </c>
    </row>
    <row r="9" spans="1:47" x14ac:dyDescent="0.25">
      <c r="A9" s="9" t="str">
        <f>AN9</f>
        <v>I-IS-BF_BOF</v>
      </c>
      <c r="B9" s="9" t="str">
        <f>AO9</f>
        <v>IND Iron and Steel technology: BF-BOF</v>
      </c>
      <c r="C9" s="9" t="s">
        <v>366</v>
      </c>
      <c r="D9" s="9">
        <v>1</v>
      </c>
      <c r="E9" s="145">
        <f>'Inputs_BY IIS'!AM$82</f>
        <v>0.8</v>
      </c>
      <c r="F9" s="67" t="s">
        <v>558</v>
      </c>
      <c r="G9" s="62"/>
      <c r="H9" s="62" t="s">
        <v>559</v>
      </c>
      <c r="I9" s="62" t="s">
        <v>454</v>
      </c>
      <c r="J9" s="145">
        <f>'Inputs_BY IIS'!E85*'Inputs_BY IIS'!E$81*'Inputs_BY IIS'!E$82</f>
        <v>0</v>
      </c>
      <c r="K9" s="145">
        <f>'Inputs_BY IIS'!F85*'Inputs_BY IIS'!F$81*'Inputs_BY IIS'!F$82</f>
        <v>1.2212886937839598</v>
      </c>
      <c r="L9" s="145">
        <f>'Inputs_BY IIS'!G85*'Inputs_BY IIS'!G$81*'Inputs_BY IIS'!G$82</f>
        <v>0</v>
      </c>
      <c r="M9" s="145">
        <f>'Inputs_BY IIS'!H85*'Inputs_BY IIS'!H$81*'Inputs_BY IIS'!H$82</f>
        <v>6.0496932979015234</v>
      </c>
      <c r="N9" s="145">
        <f>'Inputs_BY IIS'!I85*'Inputs_BY IIS'!I$81*'Inputs_BY IIS'!I$82</f>
        <v>5.4031611399304538</v>
      </c>
      <c r="O9" s="145">
        <f>'Inputs_BY IIS'!J85*'Inputs_BY IIS'!J$81*'Inputs_BY IIS'!J$82</f>
        <v>4.3577081505751343</v>
      </c>
      <c r="P9" s="145">
        <f>'Inputs_BY IIS'!K85*'Inputs_BY IIS'!K$81*'Inputs_BY IIS'!K$82</f>
        <v>1.0141360817897587</v>
      </c>
      <c r="Q9" s="145">
        <f>'Inputs_BY IIS'!L85*'Inputs_BY IIS'!L$81*'Inputs_BY IIS'!L$82</f>
        <v>0</v>
      </c>
      <c r="R9" s="145">
        <f>'Inputs_BY IIS'!M85*'Inputs_BY IIS'!M$81*'Inputs_BY IIS'!M$82</f>
        <v>30.624436543292951</v>
      </c>
      <c r="S9" s="145">
        <f>'Inputs_BY IIS'!N85*'Inputs_BY IIS'!N$81*'Inputs_BY IIS'!N$82</f>
        <v>12.052387873143671</v>
      </c>
      <c r="T9" s="145">
        <f>'Inputs_BY IIS'!O85*'Inputs_BY IIS'!O$81*'Inputs_BY IIS'!O$82</f>
        <v>1.8125877854488679</v>
      </c>
      <c r="U9" s="145">
        <f>'Inputs_BY IIS'!P85*'Inputs_BY IIS'!P$81*'Inputs_BY IIS'!P$82</f>
        <v>1069.1827328539985</v>
      </c>
      <c r="V9" s="145">
        <f>'Inputs_BY IIS'!Q85*'Inputs_BY IIS'!Q$81*'Inputs_BY IIS'!Q$82</f>
        <v>52.690250037944011</v>
      </c>
      <c r="W9" s="145">
        <f>'Inputs_BY IIS'!R85*'Inputs_BY IIS'!R$81*'Inputs_BY IIS'!R$82</f>
        <v>8.1893368410366758</v>
      </c>
      <c r="X9" s="145">
        <f>'Inputs_BY IIS'!S85*'Inputs_BY IIS'!S$81*'Inputs_BY IIS'!S$82</f>
        <v>25.832762524755211</v>
      </c>
      <c r="Y9" s="145">
        <f>'Inputs_BY IIS'!T85*'Inputs_BY IIS'!T$81*'Inputs_BY IIS'!T$82</f>
        <v>22.647689596461813</v>
      </c>
      <c r="Z9" s="145">
        <f>'Inputs_BY IIS'!U85*'Inputs_BY IIS'!U$81*'Inputs_BY IIS'!U$82</f>
        <v>63.584005460006956</v>
      </c>
      <c r="AA9" s="145">
        <f>'Inputs_BY IIS'!V85*'Inputs_BY IIS'!V$81*'Inputs_BY IIS'!V$82</f>
        <v>15.820681519079695</v>
      </c>
      <c r="AB9" s="145">
        <f>'Inputs_BY IIS'!W85*'Inputs_BY IIS'!W$81*'Inputs_BY IIS'!W$82</f>
        <v>56.596031718406465</v>
      </c>
      <c r="AC9" s="145">
        <f>'Inputs_BY IIS'!X85*'Inputs_BY IIS'!X$81*'Inputs_BY IIS'!X$82</f>
        <v>98.55517638447941</v>
      </c>
      <c r="AD9" s="145">
        <f>'Inputs_BY IIS'!Y85*'Inputs_BY IIS'!Y$81*'Inputs_BY IIS'!Y$82</f>
        <v>5.9259184977656414</v>
      </c>
      <c r="AE9" s="145">
        <f>'Inputs_BY IIS'!Z85*'Inputs_BY IIS'!Z$81*'Inputs_BY IIS'!Z$82</f>
        <v>11.555670616615444</v>
      </c>
      <c r="AF9" s="145">
        <f>'Inputs_BY IIS'!AA85*'Inputs_BY IIS'!AA$81*'Inputs_BY IIS'!AA$82</f>
        <v>6.1272764915594973</v>
      </c>
      <c r="AG9" s="145">
        <f>'Inputs_BY IIS'!AB85*'Inputs_BY IIS'!AB$81*'Inputs_BY IIS'!AB$82</f>
        <v>5.8331559953364955</v>
      </c>
      <c r="AH9" s="145">
        <f>'Inputs_BY IIS'!AC85*'Inputs_BY IIS'!AC$81*'Inputs_BY IIS'!AC$82</f>
        <v>0</v>
      </c>
      <c r="AI9" s="145">
        <f>'Inputs_BY IIS'!AD85*'Inputs_BY IIS'!AD$81*'Inputs_BY IIS'!AD$82</f>
        <v>65.54368313403566</v>
      </c>
      <c r="AJ9" s="145">
        <f>'Inputs_BY IIS'!AE85*'Inputs_BY IIS'!AE$81*'Inputs_BY IIS'!AE$82</f>
        <v>59.75041219387947</v>
      </c>
      <c r="AK9" s="145">
        <f>'Inputs_BY IIS'!AF85*'Inputs_BY IIS'!AF$81*'Inputs_BY IIS'!AF$82</f>
        <v>35.750562619006786</v>
      </c>
      <c r="AM9" s="9" t="s">
        <v>560</v>
      </c>
      <c r="AN9" s="9" t="s">
        <v>561</v>
      </c>
      <c r="AO9" s="9" t="s">
        <v>562</v>
      </c>
      <c r="AP9" s="9" t="s">
        <v>323</v>
      </c>
      <c r="AQ9" s="9" t="s">
        <v>454</v>
      </c>
      <c r="AR9" s="9" t="s">
        <v>558</v>
      </c>
      <c r="AS9" s="9" t="s">
        <v>558</v>
      </c>
    </row>
    <row r="10" spans="1:47" x14ac:dyDescent="0.25">
      <c r="A10" s="9" t="str">
        <f t="shared" ref="A10:B12" si="0">AN10</f>
        <v>I-IS-DRI_EAF_COA</v>
      </c>
      <c r="B10" s="9" t="str">
        <f t="shared" si="0"/>
        <v>IND Iron and Steel technology: DRI using coal plus EAF</v>
      </c>
      <c r="C10" s="9" t="s">
        <v>366</v>
      </c>
      <c r="D10" s="9">
        <v>1</v>
      </c>
      <c r="E10" s="145">
        <f>'Inputs_BY IIS'!AM$82</f>
        <v>0.8</v>
      </c>
      <c r="F10" s="67" t="s">
        <v>558</v>
      </c>
      <c r="G10" s="62"/>
      <c r="H10" s="62" t="s">
        <v>559</v>
      </c>
      <c r="I10" s="62" t="s">
        <v>454</v>
      </c>
      <c r="J10" s="145">
        <f>'Inputs_BY IIS'!E86*'Inputs_BY IIS'!E$81*(1-'Inputs_BY IIS'!E$130)/$E10</f>
        <v>0</v>
      </c>
      <c r="K10" s="145">
        <f>'Inputs_BY IIS'!F86*'Inputs_BY IIS'!F$81*(1-'Inputs_BY IIS'!F$130)/$E10</f>
        <v>0</v>
      </c>
      <c r="L10" s="145">
        <f>'Inputs_BY IIS'!G86*'Inputs_BY IIS'!G$81*(1-'Inputs_BY IIS'!G$130)/$E10</f>
        <v>0</v>
      </c>
      <c r="M10" s="145">
        <f>'Inputs_BY IIS'!H86*'Inputs_BY IIS'!H$81*(1-'Inputs_BY IIS'!H$130)/$E10</f>
        <v>0</v>
      </c>
      <c r="N10" s="145">
        <f>'Inputs_BY IIS'!I86*'Inputs_BY IIS'!I$81*(1-'Inputs_BY IIS'!I$130)/$E10</f>
        <v>0</v>
      </c>
      <c r="O10" s="145">
        <f>'Inputs_BY IIS'!J86*'Inputs_BY IIS'!J$81*(1-'Inputs_BY IIS'!J$130)/$E10</f>
        <v>0</v>
      </c>
      <c r="P10" s="145">
        <f>'Inputs_BY IIS'!K86*'Inputs_BY IIS'!K$81*(1-'Inputs_BY IIS'!K$130)/$E10</f>
        <v>0</v>
      </c>
      <c r="Q10" s="145">
        <f>'Inputs_BY IIS'!L86*'Inputs_BY IIS'!L$81*(1-'Inputs_BY IIS'!L$130)/$E10</f>
        <v>0</v>
      </c>
      <c r="R10" s="145">
        <f>'Inputs_BY IIS'!M86*'Inputs_BY IIS'!M$81*(1-'Inputs_BY IIS'!M$130)/$E10</f>
        <v>0</v>
      </c>
      <c r="S10" s="145">
        <f>'Inputs_BY IIS'!N86*'Inputs_BY IIS'!N$81*(1-'Inputs_BY IIS'!N$130)/$E10</f>
        <v>0</v>
      </c>
      <c r="T10" s="145">
        <f>'Inputs_BY IIS'!O86*'Inputs_BY IIS'!O$81*(1-'Inputs_BY IIS'!O$130)/$E10</f>
        <v>0</v>
      </c>
      <c r="U10" s="145">
        <f>'Inputs_BY IIS'!P86*'Inputs_BY IIS'!P$81*(1-'Inputs_BY IIS'!P$130)/$E10</f>
        <v>0</v>
      </c>
      <c r="V10" s="145">
        <f>'Inputs_BY IIS'!Q86*'Inputs_BY IIS'!Q$81*(1-'Inputs_BY IIS'!Q$130)/$E10</f>
        <v>0</v>
      </c>
      <c r="W10" s="145">
        <f>'Inputs_BY IIS'!R86*'Inputs_BY IIS'!R$81*(1-'Inputs_BY IIS'!R$130)/$E10</f>
        <v>0</v>
      </c>
      <c r="X10" s="145">
        <f>'Inputs_BY IIS'!S86*'Inputs_BY IIS'!S$81*(1-'Inputs_BY IIS'!S$130)/$E10</f>
        <v>0</v>
      </c>
      <c r="Y10" s="145">
        <f>'Inputs_BY IIS'!T86*'Inputs_BY IIS'!T$81*(1-'Inputs_BY IIS'!T$130)/$E10</f>
        <v>0</v>
      </c>
      <c r="Z10" s="145">
        <f>'Inputs_BY IIS'!U86*'Inputs_BY IIS'!U$81*(1-'Inputs_BY IIS'!U$130)/$E10</f>
        <v>0</v>
      </c>
      <c r="AA10" s="145">
        <f>'Inputs_BY IIS'!V86*'Inputs_BY IIS'!V$81*(1-'Inputs_BY IIS'!V$130)/$E10</f>
        <v>0</v>
      </c>
      <c r="AB10" s="145">
        <f>'Inputs_BY IIS'!W86*'Inputs_BY IIS'!W$81*(1-'Inputs_BY IIS'!W$130)/$E10</f>
        <v>34.93844659708644</v>
      </c>
      <c r="AC10" s="145">
        <f>'Inputs_BY IIS'!X86*'Inputs_BY IIS'!X$81*(1-'Inputs_BY IIS'!X$130)/$E10</f>
        <v>0</v>
      </c>
      <c r="AD10" s="145">
        <f>'Inputs_BY IIS'!Y86*'Inputs_BY IIS'!Y$81*(1-'Inputs_BY IIS'!Y$130)/$E10</f>
        <v>0</v>
      </c>
      <c r="AE10" s="145">
        <f>'Inputs_BY IIS'!Z86*'Inputs_BY IIS'!Z$81*(1-'Inputs_BY IIS'!Z$130)/$E10</f>
        <v>0</v>
      </c>
      <c r="AF10" s="145">
        <f>'Inputs_BY IIS'!AA86*'Inputs_BY IIS'!AA$81*(1-'Inputs_BY IIS'!AA$130)/$E10</f>
        <v>0</v>
      </c>
      <c r="AG10" s="145">
        <f>'Inputs_BY IIS'!AB86*'Inputs_BY IIS'!AB$81*(1-'Inputs_BY IIS'!AB$130)/$E10</f>
        <v>0</v>
      </c>
      <c r="AH10" s="145">
        <f>'Inputs_BY IIS'!AC86*'Inputs_BY IIS'!AC$81*(1-'Inputs_BY IIS'!AC$130)/$E10</f>
        <v>0</v>
      </c>
      <c r="AI10" s="145">
        <f>'Inputs_BY IIS'!AD86*'Inputs_BY IIS'!AD$81*(1-'Inputs_BY IIS'!AD$130)/$E10</f>
        <v>0</v>
      </c>
      <c r="AJ10" s="145">
        <f>'Inputs_BY IIS'!AE86*'Inputs_BY IIS'!AE$81*(1-'Inputs_BY IIS'!AE$130)/$E10</f>
        <v>0</v>
      </c>
      <c r="AK10" s="145">
        <f>'Inputs_BY IIS'!AF86*'Inputs_BY IIS'!AF$81*(1-'Inputs_BY IIS'!AF$130)/$E10</f>
        <v>0</v>
      </c>
      <c r="AM10" s="9" t="s">
        <v>560</v>
      </c>
      <c r="AN10" s="9" t="s">
        <v>563</v>
      </c>
      <c r="AO10" s="9" t="s">
        <v>564</v>
      </c>
      <c r="AP10" s="9" t="s">
        <v>323</v>
      </c>
      <c r="AQ10" s="9" t="s">
        <v>454</v>
      </c>
      <c r="AR10" s="9" t="s">
        <v>558</v>
      </c>
      <c r="AS10" s="9" t="s">
        <v>558</v>
      </c>
    </row>
    <row r="11" spans="1:47" x14ac:dyDescent="0.25">
      <c r="A11" s="9" t="str">
        <f>AN11</f>
        <v>I-IS-DRI_EAF_NGA</v>
      </c>
      <c r="B11" s="9" t="str">
        <f>AO11</f>
        <v>IND Iron and Steel technology: DRI using gas plus EAF</v>
      </c>
      <c r="C11" s="9" t="s">
        <v>366</v>
      </c>
      <c r="D11" s="9">
        <v>1</v>
      </c>
      <c r="E11" s="145">
        <f>'Inputs_BY IIS'!AM$82</f>
        <v>0.8</v>
      </c>
      <c r="F11" s="67" t="s">
        <v>558</v>
      </c>
      <c r="G11" s="62"/>
      <c r="H11" s="62" t="s">
        <v>559</v>
      </c>
      <c r="I11" s="62" t="s">
        <v>454</v>
      </c>
      <c r="J11" s="145">
        <f>'Inputs_BY IIS'!E86*'Inputs_BY IIS'!E$81*'Inputs_BY IIS'!E$130/$E11</f>
        <v>6.8965223374935214E-3</v>
      </c>
      <c r="K11" s="145">
        <f>'Inputs_BY IIS'!F86*'Inputs_BY IIS'!F$81*'Inputs_BY IIS'!F$130/$E11</f>
        <v>2.5163449405635951</v>
      </c>
      <c r="L11" s="145">
        <f>'Inputs_BY IIS'!G86*'Inputs_BY IIS'!G$81*'Inputs_BY IIS'!G$130/$E11</f>
        <v>7.5861745712428597E-3</v>
      </c>
      <c r="M11" s="145">
        <f>'Inputs_BY IIS'!H86*'Inputs_BY IIS'!H$81*'Inputs_BY IIS'!H$130/$E11</f>
        <v>0.38923972072813395</v>
      </c>
      <c r="N11" s="145">
        <f>'Inputs_BY IIS'!I86*'Inputs_BY IIS'!I$81*'Inputs_BY IIS'!I$130/$E11</f>
        <v>0.17413708464442873</v>
      </c>
      <c r="O11" s="145">
        <f>'Inputs_BY IIS'!J86*'Inputs_BY IIS'!J$81*'Inputs_BY IIS'!J$130/$E11</f>
        <v>5.7860400044232457E-2</v>
      </c>
      <c r="P11" s="145">
        <f>'Inputs_BY IIS'!K86*'Inputs_BY IIS'!K$81*'Inputs_BY IIS'!K$130/$E11</f>
        <v>0.67609072119317248</v>
      </c>
      <c r="Q11" s="145">
        <f>'Inputs_BY IIS'!L86*'Inputs_BY IIS'!L$81*'Inputs_BY IIS'!L$130/$E11</f>
        <v>0.42449660872787565</v>
      </c>
      <c r="R11" s="145">
        <f>'Inputs_BY IIS'!M86*'Inputs_BY IIS'!M$81*'Inputs_BY IIS'!M$130/$E11</f>
        <v>0.88896843782940271</v>
      </c>
      <c r="S11" s="145">
        <f>'Inputs_BY IIS'!N86*'Inputs_BY IIS'!N$81*'Inputs_BY IIS'!N$130/$E11</f>
        <v>0.55840790114779493</v>
      </c>
      <c r="T11" s="145">
        <f>'Inputs_BY IIS'!O86*'Inputs_BY IIS'!O$81*'Inputs_BY IIS'!O$130/$E11</f>
        <v>4.3471115227738041E-2</v>
      </c>
      <c r="U11" s="145">
        <f>'Inputs_BY IIS'!P86*'Inputs_BY IIS'!P$81*'Inputs_BY IIS'!P$130/$E11</f>
        <v>11.728545485956339</v>
      </c>
      <c r="V11" s="145">
        <f>'Inputs_BY IIS'!Q86*'Inputs_BY IIS'!Q$81*'Inputs_BY IIS'!Q$130/$E11</f>
        <v>0.29180700370109386</v>
      </c>
      <c r="W11" s="145">
        <f>'Inputs_BY IIS'!R86*'Inputs_BY IIS'!R$81*'Inputs_BY IIS'!R$130/$E11</f>
        <v>0.35959250535848419</v>
      </c>
      <c r="X11" s="145">
        <f>'Inputs_BY IIS'!S86*'Inputs_BY IIS'!S$81*'Inputs_BY IIS'!S$130/$E11</f>
        <v>0.77818082787915688</v>
      </c>
      <c r="Y11" s="145">
        <f>'Inputs_BY IIS'!T86*'Inputs_BY IIS'!T$81*'Inputs_BY IIS'!T$130/$E11</f>
        <v>4.3513062573217054</v>
      </c>
      <c r="Z11" s="145">
        <f>'Inputs_BY IIS'!U86*'Inputs_BY IIS'!U$81*'Inputs_BY IIS'!U$130/$E11</f>
        <v>2.3078951003439174</v>
      </c>
      <c r="AA11" s="145">
        <f>'Inputs_BY IIS'!V86*'Inputs_BY IIS'!V$81*'Inputs_BY IIS'!V$130/$E11</f>
        <v>0.79150432621163724</v>
      </c>
      <c r="AB11" s="145">
        <f>'Inputs_BY IIS'!W86*'Inputs_BY IIS'!W$81*'Inputs_BY IIS'!W$130/$E11</f>
        <v>1.8388656103729706</v>
      </c>
      <c r="AC11" s="145">
        <f>'Inputs_BY IIS'!X86*'Inputs_BY IIS'!X$81*'Inputs_BY IIS'!X$130/$E11</f>
        <v>2.9404399464254549</v>
      </c>
      <c r="AD11" s="145">
        <f>'Inputs_BY IIS'!Y86*'Inputs_BY IIS'!Y$81*'Inputs_BY IIS'!Y$130/$E11</f>
        <v>0.66159222280618546</v>
      </c>
      <c r="AE11" s="145">
        <f>'Inputs_BY IIS'!Z86*'Inputs_BY IIS'!Z$81*'Inputs_BY IIS'!Z$130/$E11</f>
        <v>1.504820973791301</v>
      </c>
      <c r="AF11" s="145">
        <f>'Inputs_BY IIS'!AA86*'Inputs_BY IIS'!AA$81*'Inputs_BY IIS'!AA$130/$E11</f>
        <v>12.907868594728333</v>
      </c>
      <c r="AG11" s="145">
        <f>'Inputs_BY IIS'!AB86*'Inputs_BY IIS'!AB$81*'Inputs_BY IIS'!AB$130/$E11</f>
        <v>1.6158464274432216</v>
      </c>
      <c r="AH11" s="145">
        <f>'Inputs_BY IIS'!AC86*'Inputs_BY IIS'!AC$81*'Inputs_BY IIS'!AC$130/$E11</f>
        <v>1.3793044674987025E-2</v>
      </c>
      <c r="AI11" s="145">
        <f>'Inputs_BY IIS'!AD86*'Inputs_BY IIS'!AD$81*'Inputs_BY IIS'!AD$130/$E11</f>
        <v>2.9147010506365145</v>
      </c>
      <c r="AJ11" s="145">
        <f>'Inputs_BY IIS'!AE86*'Inputs_BY IIS'!AE$81*'Inputs_BY IIS'!AE$130/$E11</f>
        <v>2.6834757261386244</v>
      </c>
      <c r="AK11" s="145">
        <f>'Inputs_BY IIS'!AF86*'Inputs_BY IIS'!AF$81*'Inputs_BY IIS'!AF$130/$E11</f>
        <v>7.2597497455644255</v>
      </c>
      <c r="AM11" s="9" t="s">
        <v>560</v>
      </c>
      <c r="AN11" s="9" t="s">
        <v>565</v>
      </c>
      <c r="AO11" s="9" t="s">
        <v>566</v>
      </c>
      <c r="AP11" s="9" t="s">
        <v>323</v>
      </c>
      <c r="AQ11" s="9" t="s">
        <v>454</v>
      </c>
    </row>
    <row r="12" spans="1:47" x14ac:dyDescent="0.25">
      <c r="A12" s="9" t="str">
        <f t="shared" si="0"/>
        <v>I-IS-SCP_EAF</v>
      </c>
      <c r="B12" s="9" t="str">
        <f t="shared" si="0"/>
        <v>IND Iron and Steel technology: EAF using scrap (secondary)</v>
      </c>
      <c r="C12" s="9" t="s">
        <v>366</v>
      </c>
      <c r="D12" s="9">
        <v>1</v>
      </c>
      <c r="E12" s="145">
        <f>'Inputs_BY IIS'!AM$82</f>
        <v>0.8</v>
      </c>
      <c r="F12" s="67"/>
      <c r="G12" s="62"/>
      <c r="H12" s="62" t="s">
        <v>559</v>
      </c>
      <c r="I12" s="62" t="s">
        <v>454</v>
      </c>
      <c r="J12" s="145">
        <f>'Inputs_BY IIS'!E87*'Inputs_BY IIS'!E$81/$E12</f>
        <v>6.1936948165535029E-2</v>
      </c>
      <c r="K12" s="145">
        <f>'Inputs_BY IIS'!F87*'Inputs_BY IIS'!F$81/$E12</f>
        <v>2.2328418902641882</v>
      </c>
      <c r="L12" s="145">
        <f>'Inputs_BY IIS'!G87*'Inputs_BY IIS'!G$81/$E12</f>
        <v>6.8130642982088541E-2</v>
      </c>
      <c r="M12" s="145">
        <f>'Inputs_BY IIS'!H87*'Inputs_BY IIS'!H$81/$E12</f>
        <v>3.4957213544627965</v>
      </c>
      <c r="N12" s="145">
        <f>'Inputs_BY IIS'!I87*'Inputs_BY IIS'!I$81/$E12</f>
        <v>1.5840385855238182</v>
      </c>
      <c r="O12" s="145">
        <f>'Inputs_BY IIS'!J87*'Inputs_BY IIS'!J$81/$E12</f>
        <v>0.52251530099428634</v>
      </c>
      <c r="P12" s="145">
        <f>'Inputs_BY IIS'!K87*'Inputs_BY IIS'!K$81/$E12</f>
        <v>5.0706804089487933</v>
      </c>
      <c r="Q12" s="145">
        <f>'Inputs_BY IIS'!L87*'Inputs_BY IIS'!L$81/$E12</f>
        <v>3.8334676758359123</v>
      </c>
      <c r="R12" s="145">
        <f>'Inputs_BY IIS'!M87*'Inputs_BY IIS'!M$81/$E12</f>
        <v>7.9971362189449682</v>
      </c>
      <c r="S12" s="145">
        <f>'Inputs_BY IIS'!N87*'Inputs_BY IIS'!N$81/$E12</f>
        <v>5.0282854526838037</v>
      </c>
      <c r="T12" s="145">
        <f>'Inputs_BY IIS'!O87*'Inputs_BY IIS'!O$81/$E12</f>
        <v>0.39171048624017968</v>
      </c>
      <c r="U12" s="145">
        <f>'Inputs_BY IIS'!P87*'Inputs_BY IIS'!P$81/$E12</f>
        <v>104.42641893525931</v>
      </c>
      <c r="V12" s="145">
        <f>'Inputs_BY IIS'!Q87*'Inputs_BY IIS'!Q$81/$E12</f>
        <v>2.6308208645367239</v>
      </c>
      <c r="W12" s="145">
        <f>'Inputs_BY IIS'!R87*'Inputs_BY IIS'!R$81/$E12</f>
        <v>3.2481138579166791</v>
      </c>
      <c r="X12" s="145">
        <f>'Inputs_BY IIS'!S87*'Inputs_BY IIS'!S$81/$E12</f>
        <v>6.2337723988145974</v>
      </c>
      <c r="Y12" s="145">
        <f>'Inputs_BY IIS'!T87*'Inputs_BY IIS'!T$81/$E12</f>
        <v>39.21445603741811</v>
      </c>
      <c r="Z12" s="145">
        <f>'Inputs_BY IIS'!U87*'Inputs_BY IIS'!U$81/$E12</f>
        <v>20.884677873473869</v>
      </c>
      <c r="AA12" s="145">
        <f>'Inputs_BY IIS'!V87*'Inputs_BY IIS'!V$81/$E12</f>
        <v>7.1340016982317289</v>
      </c>
      <c r="AB12" s="145">
        <f>'Inputs_BY IIS'!W87*'Inputs_BY IIS'!W$81/$E12</f>
        <v>37.565390743664487</v>
      </c>
      <c r="AC12" s="145">
        <f>'Inputs_BY IIS'!X87*'Inputs_BY IIS'!X$81/$E12</f>
        <v>26.56525665958468</v>
      </c>
      <c r="AD12" s="145">
        <f>'Inputs_BY IIS'!Y87*'Inputs_BY IIS'!Y$81/$E12</f>
        <v>5.9614898290617777</v>
      </c>
      <c r="AE12" s="145">
        <f>'Inputs_BY IIS'!Z87*'Inputs_BY IIS'!Z$81/$E12</f>
        <v>12.417798571097324</v>
      </c>
      <c r="AF12" s="145">
        <f>'Inputs_BY IIS'!AA87*'Inputs_BY IIS'!AA$81/$E12</f>
        <v>4.4267224354528505</v>
      </c>
      <c r="AG12" s="145">
        <f>'Inputs_BY IIS'!AB87*'Inputs_BY IIS'!AB$81/$E12</f>
        <v>14.659098527701596</v>
      </c>
      <c r="AH12" s="145">
        <f>'Inputs_BY IIS'!AC87*'Inputs_BY IIS'!AC$81/$E12</f>
        <v>0.12387389633107006</v>
      </c>
      <c r="AI12" s="145">
        <f>'Inputs_BY IIS'!AD87*'Inputs_BY IIS'!AD$81/$E12</f>
        <v>26.268687913107936</v>
      </c>
      <c r="AJ12" s="145">
        <f>'Inputs_BY IIS'!AE87*'Inputs_BY IIS'!AE$81/$E12</f>
        <v>24.20924639863625</v>
      </c>
      <c r="AK12" s="145">
        <f>'Inputs_BY IIS'!AF87*'Inputs_BY IIS'!AF$81/$E12</f>
        <v>65.380469713626837</v>
      </c>
      <c r="AM12" s="9" t="s">
        <v>560</v>
      </c>
      <c r="AN12" s="9" t="s">
        <v>567</v>
      </c>
      <c r="AO12" s="9" t="s">
        <v>568</v>
      </c>
      <c r="AP12" s="9" t="s">
        <v>323</v>
      </c>
      <c r="AQ12" s="9" t="s">
        <v>454</v>
      </c>
    </row>
    <row r="13" spans="1:47" x14ac:dyDescent="0.25">
      <c r="A13" s="9" t="str">
        <f t="shared" ref="A13:B16" si="1">AN9</f>
        <v>I-IS-BF_BOF</v>
      </c>
      <c r="B13" s="9" t="str">
        <f t="shared" si="1"/>
        <v>IND Iron and Steel technology: BF-BOF</v>
      </c>
      <c r="E13" s="67"/>
      <c r="F13" s="67"/>
      <c r="G13" s="62"/>
      <c r="H13" s="62" t="s">
        <v>569</v>
      </c>
      <c r="I13" s="62" t="s">
        <v>570</v>
      </c>
      <c r="J13" s="290">
        <v>25</v>
      </c>
      <c r="K13" s="290">
        <v>25</v>
      </c>
      <c r="L13" s="290">
        <v>25</v>
      </c>
      <c r="M13" s="290">
        <v>25</v>
      </c>
      <c r="N13" s="290">
        <v>25</v>
      </c>
      <c r="O13" s="290">
        <v>25</v>
      </c>
      <c r="P13" s="290">
        <v>25</v>
      </c>
      <c r="Q13" s="290">
        <v>25</v>
      </c>
      <c r="R13" s="290">
        <v>25</v>
      </c>
      <c r="S13" s="290">
        <v>25</v>
      </c>
      <c r="T13" s="290">
        <v>25</v>
      </c>
      <c r="U13" s="290">
        <v>25</v>
      </c>
      <c r="V13" s="290">
        <v>25</v>
      </c>
      <c r="W13" s="290">
        <v>25</v>
      </c>
      <c r="X13" s="290">
        <v>25</v>
      </c>
      <c r="Y13" s="290">
        <v>25</v>
      </c>
      <c r="Z13" s="290">
        <v>25</v>
      </c>
      <c r="AA13" s="290">
        <v>25</v>
      </c>
      <c r="AB13" s="290">
        <v>25</v>
      </c>
      <c r="AC13" s="290">
        <v>25</v>
      </c>
      <c r="AD13" s="290">
        <v>25</v>
      </c>
      <c r="AE13" s="290">
        <v>25</v>
      </c>
      <c r="AF13" s="290">
        <v>25</v>
      </c>
      <c r="AG13" s="290">
        <v>25</v>
      </c>
      <c r="AH13" s="290">
        <v>25</v>
      </c>
      <c r="AI13" s="290">
        <v>25</v>
      </c>
      <c r="AJ13" s="290">
        <v>25</v>
      </c>
      <c r="AK13" s="290">
        <v>25</v>
      </c>
      <c r="AM13" t="s">
        <v>571</v>
      </c>
      <c r="AN13" t="s">
        <v>572</v>
      </c>
      <c r="AO13" t="s">
        <v>573</v>
      </c>
      <c r="AP13" t="s">
        <v>454</v>
      </c>
      <c r="AQ13" t="s">
        <v>574</v>
      </c>
    </row>
    <row r="14" spans="1:47" x14ac:dyDescent="0.25">
      <c r="A14" s="9" t="str">
        <f t="shared" si="1"/>
        <v>I-IS-DRI_EAF_COA</v>
      </c>
      <c r="B14" s="9" t="str">
        <f t="shared" si="1"/>
        <v>IND Iron and Steel technology: DRI using coal plus EAF</v>
      </c>
      <c r="E14" s="67"/>
      <c r="F14" s="67"/>
      <c r="G14" s="62"/>
      <c r="H14" s="62" t="s">
        <v>569</v>
      </c>
      <c r="I14" s="62" t="s">
        <v>570</v>
      </c>
      <c r="J14" s="290">
        <v>25</v>
      </c>
      <c r="K14" s="290">
        <v>25</v>
      </c>
      <c r="L14" s="290">
        <v>25</v>
      </c>
      <c r="M14" s="290">
        <v>25</v>
      </c>
      <c r="N14" s="290">
        <v>25</v>
      </c>
      <c r="O14" s="290">
        <v>25</v>
      </c>
      <c r="P14" s="290">
        <v>25</v>
      </c>
      <c r="Q14" s="290">
        <v>25</v>
      </c>
      <c r="R14" s="290">
        <v>25</v>
      </c>
      <c r="S14" s="290">
        <v>25</v>
      </c>
      <c r="T14" s="290">
        <v>25</v>
      </c>
      <c r="U14" s="290">
        <v>25</v>
      </c>
      <c r="V14" s="290">
        <v>25</v>
      </c>
      <c r="W14" s="290">
        <v>25</v>
      </c>
      <c r="X14" s="290">
        <v>25</v>
      </c>
      <c r="Y14" s="290">
        <v>25</v>
      </c>
      <c r="Z14" s="290">
        <v>25</v>
      </c>
      <c r="AA14" s="290">
        <v>25</v>
      </c>
      <c r="AB14" s="290">
        <v>25</v>
      </c>
      <c r="AC14" s="290">
        <v>25</v>
      </c>
      <c r="AD14" s="290">
        <v>25</v>
      </c>
      <c r="AE14" s="290">
        <v>25</v>
      </c>
      <c r="AF14" s="290">
        <v>25</v>
      </c>
      <c r="AG14" s="290">
        <v>25</v>
      </c>
      <c r="AH14" s="290">
        <v>25</v>
      </c>
      <c r="AI14" s="290">
        <v>25</v>
      </c>
      <c r="AJ14" s="290">
        <v>25</v>
      </c>
      <c r="AK14" s="290">
        <v>25</v>
      </c>
    </row>
    <row r="15" spans="1:47" x14ac:dyDescent="0.25">
      <c r="A15" s="9" t="str">
        <f t="shared" si="1"/>
        <v>I-IS-DRI_EAF_NGA</v>
      </c>
      <c r="B15" s="9" t="str">
        <f t="shared" si="1"/>
        <v>IND Iron and Steel technology: DRI using gas plus EAF</v>
      </c>
      <c r="E15" s="67"/>
      <c r="F15" s="67"/>
      <c r="G15" s="62"/>
      <c r="H15" s="62" t="s">
        <v>569</v>
      </c>
      <c r="I15" s="62" t="s">
        <v>570</v>
      </c>
      <c r="J15" s="290">
        <v>25</v>
      </c>
      <c r="K15" s="290">
        <v>25</v>
      </c>
      <c r="L15" s="290">
        <v>25</v>
      </c>
      <c r="M15" s="290">
        <v>25</v>
      </c>
      <c r="N15" s="290">
        <v>25</v>
      </c>
      <c r="O15" s="290">
        <v>25</v>
      </c>
      <c r="P15" s="290">
        <v>25</v>
      </c>
      <c r="Q15" s="290">
        <v>25</v>
      </c>
      <c r="R15" s="290">
        <v>25</v>
      </c>
      <c r="S15" s="290">
        <v>25</v>
      </c>
      <c r="T15" s="290">
        <v>25</v>
      </c>
      <c r="U15" s="290">
        <v>25</v>
      </c>
      <c r="V15" s="290">
        <v>25</v>
      </c>
      <c r="W15" s="290">
        <v>25</v>
      </c>
      <c r="X15" s="290">
        <v>25</v>
      </c>
      <c r="Y15" s="290">
        <v>25</v>
      </c>
      <c r="Z15" s="290">
        <v>25</v>
      </c>
      <c r="AA15" s="290">
        <v>25</v>
      </c>
      <c r="AB15" s="290">
        <v>25</v>
      </c>
      <c r="AC15" s="290">
        <v>25</v>
      </c>
      <c r="AD15" s="290">
        <v>25</v>
      </c>
      <c r="AE15" s="290">
        <v>25</v>
      </c>
      <c r="AF15" s="290">
        <v>25</v>
      </c>
      <c r="AG15" s="290">
        <v>25</v>
      </c>
      <c r="AH15" s="290">
        <v>25</v>
      </c>
      <c r="AI15" s="290">
        <v>25</v>
      </c>
      <c r="AJ15" s="290">
        <v>25</v>
      </c>
      <c r="AK15" s="290">
        <v>25</v>
      </c>
    </row>
    <row r="16" spans="1:47" x14ac:dyDescent="0.25">
      <c r="A16" s="9" t="str">
        <f t="shared" si="1"/>
        <v>I-IS-SCP_EAF</v>
      </c>
      <c r="B16" s="9" t="str">
        <f t="shared" si="1"/>
        <v>IND Iron and Steel technology: EAF using scrap (secondary)</v>
      </c>
      <c r="E16" s="67"/>
      <c r="F16" s="67"/>
      <c r="G16" s="62"/>
      <c r="H16" s="62" t="s">
        <v>569</v>
      </c>
      <c r="I16" s="62" t="s">
        <v>570</v>
      </c>
      <c r="J16" s="290">
        <v>25</v>
      </c>
      <c r="K16" s="290">
        <v>25</v>
      </c>
      <c r="L16" s="290">
        <v>25</v>
      </c>
      <c r="M16" s="290">
        <v>25</v>
      </c>
      <c r="N16" s="290">
        <v>25</v>
      </c>
      <c r="O16" s="290">
        <v>25</v>
      </c>
      <c r="P16" s="290">
        <v>25</v>
      </c>
      <c r="Q16" s="290">
        <v>25</v>
      </c>
      <c r="R16" s="290">
        <v>25</v>
      </c>
      <c r="S16" s="290">
        <v>25</v>
      </c>
      <c r="T16" s="290">
        <v>25</v>
      </c>
      <c r="U16" s="290">
        <v>25</v>
      </c>
      <c r="V16" s="290">
        <v>25</v>
      </c>
      <c r="W16" s="290">
        <v>25</v>
      </c>
      <c r="X16" s="290">
        <v>25</v>
      </c>
      <c r="Y16" s="290">
        <v>25</v>
      </c>
      <c r="Z16" s="290">
        <v>25</v>
      </c>
      <c r="AA16" s="290">
        <v>25</v>
      </c>
      <c r="AB16" s="290">
        <v>25</v>
      </c>
      <c r="AC16" s="290">
        <v>25</v>
      </c>
      <c r="AD16" s="290">
        <v>25</v>
      </c>
      <c r="AE16" s="290">
        <v>25</v>
      </c>
      <c r="AF16" s="290">
        <v>25</v>
      </c>
      <c r="AG16" s="290">
        <v>25</v>
      </c>
      <c r="AH16" s="290">
        <v>25</v>
      </c>
      <c r="AI16" s="290">
        <v>25</v>
      </c>
      <c r="AJ16" s="290">
        <v>25</v>
      </c>
      <c r="AK16" s="290">
        <v>25</v>
      </c>
    </row>
    <row r="17" spans="1:51" x14ac:dyDescent="0.25">
      <c r="A17" s="47"/>
      <c r="B17" s="47"/>
      <c r="C17" s="47"/>
      <c r="D17" s="47"/>
      <c r="E17" s="64"/>
      <c r="F17" s="64"/>
      <c r="G17" s="63"/>
      <c r="H17" s="63"/>
      <c r="I17" s="63"/>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M17" s="47"/>
      <c r="AN17" s="47"/>
      <c r="AO17" s="47"/>
      <c r="AP17" s="47"/>
      <c r="AQ17" s="47"/>
      <c r="AR17" s="47"/>
      <c r="AS17" s="47"/>
      <c r="AT17" s="47"/>
      <c r="AU17" s="47"/>
    </row>
    <row r="18" spans="1:51" x14ac:dyDescent="0.25">
      <c r="F18" s="65"/>
      <c r="G18" s="65"/>
      <c r="H18" s="66"/>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row>
    <row r="20" spans="1:51" x14ac:dyDescent="0.25">
      <c r="A20" s="52" t="s">
        <v>300</v>
      </c>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U20" s="53"/>
      <c r="AV20" s="53"/>
      <c r="AW20" s="53"/>
      <c r="AX20" s="53"/>
      <c r="AY20" s="53"/>
    </row>
    <row r="21" spans="1:51" ht="15.75" thickBot="1" x14ac:dyDescent="0.3">
      <c r="A21" s="54" t="s">
        <v>306</v>
      </c>
      <c r="B21" s="55" t="s">
        <v>545</v>
      </c>
      <c r="C21" s="54" t="s">
        <v>325</v>
      </c>
      <c r="D21" s="54" t="s">
        <v>302</v>
      </c>
      <c r="E21" s="54" t="s">
        <v>575</v>
      </c>
      <c r="F21" s="54" t="s">
        <v>575</v>
      </c>
      <c r="G21" s="54" t="s">
        <v>327</v>
      </c>
      <c r="H21" s="54" t="s">
        <v>326</v>
      </c>
      <c r="I21" s="54" t="s">
        <v>549</v>
      </c>
      <c r="J21" s="54" t="s">
        <v>162</v>
      </c>
      <c r="K21" s="54" t="s">
        <v>164</v>
      </c>
      <c r="L21" s="54" t="s">
        <v>166</v>
      </c>
      <c r="M21" s="54" t="s">
        <v>168</v>
      </c>
      <c r="N21" s="54" t="s">
        <v>170</v>
      </c>
      <c r="O21" s="54" t="s">
        <v>173</v>
      </c>
      <c r="P21" s="54" t="s">
        <v>175</v>
      </c>
      <c r="Q21" s="54" t="s">
        <v>177</v>
      </c>
      <c r="R21" s="54" t="s">
        <v>179</v>
      </c>
      <c r="S21" s="54" t="s">
        <v>181</v>
      </c>
      <c r="T21" s="54" t="s">
        <v>183</v>
      </c>
      <c r="U21" s="54" t="s">
        <v>185</v>
      </c>
      <c r="V21" s="54" t="s">
        <v>188</v>
      </c>
      <c r="W21" s="54" t="s">
        <v>190</v>
      </c>
      <c r="X21" s="54" t="s">
        <v>192</v>
      </c>
      <c r="Y21" s="54" t="s">
        <v>194</v>
      </c>
      <c r="Z21" s="54" t="s">
        <v>196</v>
      </c>
      <c r="AA21" s="54" t="s">
        <v>198</v>
      </c>
      <c r="AB21" s="54" t="s">
        <v>9</v>
      </c>
      <c r="AC21" s="54" t="s">
        <v>201</v>
      </c>
      <c r="AD21" s="54" t="s">
        <v>203</v>
      </c>
      <c r="AE21" s="54" t="s">
        <v>205</v>
      </c>
      <c r="AF21" s="54" t="s">
        <v>207</v>
      </c>
      <c r="AG21" s="54" t="s">
        <v>210</v>
      </c>
      <c r="AH21" s="54" t="s">
        <v>212</v>
      </c>
      <c r="AI21" s="54" t="s">
        <v>214</v>
      </c>
      <c r="AJ21" s="54" t="s">
        <v>217</v>
      </c>
      <c r="AK21" s="54" t="s">
        <v>219</v>
      </c>
    </row>
    <row r="22" spans="1:51" ht="38.25" x14ac:dyDescent="0.25">
      <c r="A22" s="50" t="s">
        <v>551</v>
      </c>
      <c r="B22" s="50" t="s">
        <v>26</v>
      </c>
      <c r="C22" s="50" t="s">
        <v>328</v>
      </c>
      <c r="D22" s="50" t="s">
        <v>576</v>
      </c>
      <c r="E22" s="50"/>
      <c r="F22" s="50"/>
      <c r="G22" s="50" t="s">
        <v>330</v>
      </c>
      <c r="H22" s="50" t="s">
        <v>555</v>
      </c>
      <c r="I22" s="50" t="s">
        <v>556</v>
      </c>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row>
    <row r="23" spans="1:51" x14ac:dyDescent="0.25">
      <c r="A23" s="9" t="str">
        <f>AN9</f>
        <v>I-IS-BF_BOF</v>
      </c>
      <c r="B23" s="9" t="str">
        <f>AO9</f>
        <v>IND Iron and Steel technology: BF-BOF</v>
      </c>
      <c r="C23" s="9" t="s">
        <v>115</v>
      </c>
      <c r="G23" s="318"/>
      <c r="H23" s="61" t="s">
        <v>470</v>
      </c>
      <c r="I23" t="s">
        <v>512</v>
      </c>
      <c r="J23" s="288" t="str">
        <f>'Inputs_BY IIS'!E258</f>
        <v/>
      </c>
      <c r="K23" s="288" t="str">
        <f>'Inputs_BY IIS'!F258</f>
        <v/>
      </c>
      <c r="L23" s="288" t="str">
        <f>'Inputs_BY IIS'!G258</f>
        <v/>
      </c>
      <c r="M23" s="288" t="str">
        <f>'Inputs_BY IIS'!H258</f>
        <v/>
      </c>
      <c r="N23" s="288" t="str">
        <f>'Inputs_BY IIS'!I258</f>
        <v/>
      </c>
      <c r="O23" s="288" t="str">
        <f>'Inputs_BY IIS'!J258</f>
        <v/>
      </c>
      <c r="P23" s="288" t="str">
        <f>'Inputs_BY IIS'!K258</f>
        <v/>
      </c>
      <c r="Q23" s="288" t="str">
        <f>'Inputs_BY IIS'!L258</f>
        <v/>
      </c>
      <c r="R23" s="288" t="str">
        <f>'Inputs_BY IIS'!M258</f>
        <v/>
      </c>
      <c r="S23" s="288">
        <f>'Inputs_BY IIS'!N258</f>
        <v>5.2894082625779149E-3</v>
      </c>
      <c r="T23" s="288" t="str">
        <f>'Inputs_BY IIS'!O258</f>
        <v/>
      </c>
      <c r="U23" s="288" t="str">
        <f>'Inputs_BY IIS'!P258</f>
        <v/>
      </c>
      <c r="V23" s="288" t="str">
        <f>'Inputs_BY IIS'!Q258</f>
        <v/>
      </c>
      <c r="W23" s="288" t="str">
        <f>'Inputs_BY IIS'!R258</f>
        <v/>
      </c>
      <c r="X23" s="288" t="str">
        <f>'Inputs_BY IIS'!S258</f>
        <v/>
      </c>
      <c r="Y23" s="288" t="str">
        <f>'Inputs_BY IIS'!T258</f>
        <v/>
      </c>
      <c r="Z23" s="288" t="str">
        <f>'Inputs_BY IIS'!U258</f>
        <v/>
      </c>
      <c r="AA23" s="288" t="str">
        <f>'Inputs_BY IIS'!V258</f>
        <v/>
      </c>
      <c r="AB23" s="288" t="str">
        <f>'Inputs_BY IIS'!W258</f>
        <v/>
      </c>
      <c r="AC23" s="288" t="str">
        <f>'Inputs_BY IIS'!X258</f>
        <v/>
      </c>
      <c r="AD23" s="288" t="str">
        <f>'Inputs_BY IIS'!Y258</f>
        <v/>
      </c>
      <c r="AE23" s="288" t="str">
        <f>'Inputs_BY IIS'!Z258</f>
        <v/>
      </c>
      <c r="AF23" s="288" t="str">
        <f>'Inputs_BY IIS'!AA258</f>
        <v/>
      </c>
      <c r="AG23" s="288" t="str">
        <f>'Inputs_BY IIS'!AB258</f>
        <v/>
      </c>
      <c r="AH23" s="288" t="str">
        <f>'Inputs_BY IIS'!AC258</f>
        <v/>
      </c>
      <c r="AI23" s="288" t="str">
        <f>'Inputs_BY IIS'!AD258</f>
        <v/>
      </c>
      <c r="AJ23" s="288" t="str">
        <f>'Inputs_BY IIS'!AE258</f>
        <v/>
      </c>
      <c r="AK23" s="288" t="str">
        <f>'Inputs_BY IIS'!AF258</f>
        <v/>
      </c>
      <c r="AM23" s="320"/>
    </row>
    <row r="24" spans="1:51" x14ac:dyDescent="0.25">
      <c r="C24" s="9" t="s">
        <v>117</v>
      </c>
      <c r="G24" s="318"/>
      <c r="H24" s="61" t="s">
        <v>470</v>
      </c>
      <c r="I24" t="s">
        <v>512</v>
      </c>
      <c r="J24" s="288" t="str">
        <f>'Inputs_BY IIS'!E259</f>
        <v/>
      </c>
      <c r="K24" s="288" t="str">
        <f>'Inputs_BY IIS'!F259</f>
        <v/>
      </c>
      <c r="L24" s="288" t="str">
        <f>'Inputs_BY IIS'!G259</f>
        <v/>
      </c>
      <c r="M24" s="288" t="str">
        <f>'Inputs_BY IIS'!H259</f>
        <v/>
      </c>
      <c r="N24" s="288" t="str">
        <f>'Inputs_BY IIS'!I259</f>
        <v/>
      </c>
      <c r="O24" s="288" t="str">
        <f>'Inputs_BY IIS'!J259</f>
        <v/>
      </c>
      <c r="P24" s="288" t="str">
        <f>'Inputs_BY IIS'!K259</f>
        <v/>
      </c>
      <c r="Q24" s="288" t="str">
        <f>'Inputs_BY IIS'!L259</f>
        <v/>
      </c>
      <c r="R24" s="288">
        <f>'Inputs_BY IIS'!M259</f>
        <v>9.9519657796470651E-2</v>
      </c>
      <c r="S24" s="288">
        <f>'Inputs_BY IIS'!N259</f>
        <v>1.0371388750152776E-3</v>
      </c>
      <c r="T24" s="288" t="str">
        <f>'Inputs_BY IIS'!O259</f>
        <v/>
      </c>
      <c r="U24" s="288">
        <f>'Inputs_BY IIS'!P259</f>
        <v>3.591878995042113E-2</v>
      </c>
      <c r="V24" s="288">
        <f>'Inputs_BY IIS'!Q259</f>
        <v>2.7044851732034103E-3</v>
      </c>
      <c r="W24" s="288">
        <f>'Inputs_BY IIS'!R259</f>
        <v>9.9519657796470651E-2</v>
      </c>
      <c r="X24" s="288">
        <f>'Inputs_BY IIS'!S259</f>
        <v>1.3597074632006607E-2</v>
      </c>
      <c r="Y24" s="288">
        <f>'Inputs_BY IIS'!T259</f>
        <v>9.9347882282504931E-4</v>
      </c>
      <c r="Z24" s="288">
        <f>'Inputs_BY IIS'!U259</f>
        <v>3.3420354452765353E-4</v>
      </c>
      <c r="AA24" s="288" t="str">
        <f>'Inputs_BY IIS'!V259</f>
        <v/>
      </c>
      <c r="AB24" s="288" t="str">
        <f>'Inputs_BY IIS'!W259</f>
        <v/>
      </c>
      <c r="AC24" s="288">
        <f>'Inputs_BY IIS'!X259</f>
        <v>3.2976451559695186E-3</v>
      </c>
      <c r="AD24" s="288">
        <f>'Inputs_BY IIS'!Y259</f>
        <v>1.6875021152873578E-3</v>
      </c>
      <c r="AE24" s="288" t="str">
        <f>'Inputs_BY IIS'!Z259</f>
        <v/>
      </c>
      <c r="AF24" s="288" t="str">
        <f>'Inputs_BY IIS'!AA259</f>
        <v/>
      </c>
      <c r="AG24" s="288" t="str">
        <f>'Inputs_BY IIS'!AB259</f>
        <v/>
      </c>
      <c r="AH24" s="288" t="str">
        <f>'Inputs_BY IIS'!AC259</f>
        <v/>
      </c>
      <c r="AI24" s="288">
        <f>'Inputs_BY IIS'!AD259</f>
        <v>6.6749376763786735E-4</v>
      </c>
      <c r="AJ24" s="288" t="str">
        <f>'Inputs_BY IIS'!AE259</f>
        <v/>
      </c>
      <c r="AK24" s="288" t="str">
        <f>'Inputs_BY IIS'!AF259</f>
        <v/>
      </c>
      <c r="AM24" s="320"/>
    </row>
    <row r="25" spans="1:51" x14ac:dyDescent="0.25">
      <c r="C25" s="9" t="s">
        <v>119</v>
      </c>
      <c r="G25" s="318"/>
      <c r="H25" s="61" t="s">
        <v>470</v>
      </c>
      <c r="I25" t="s">
        <v>512</v>
      </c>
      <c r="J25" s="288" t="str">
        <f>'Inputs_BY IIS'!E260</f>
        <v/>
      </c>
      <c r="K25" s="288" t="str">
        <f>'Inputs_BY IIS'!F260</f>
        <v/>
      </c>
      <c r="L25" s="288" t="str">
        <f>'Inputs_BY IIS'!G260</f>
        <v/>
      </c>
      <c r="M25" s="288" t="str">
        <f>'Inputs_BY IIS'!H260</f>
        <v/>
      </c>
      <c r="N25" s="288" t="str">
        <f>'Inputs_BY IIS'!I260</f>
        <v/>
      </c>
      <c r="O25" s="288" t="str">
        <f>'Inputs_BY IIS'!J260</f>
        <v/>
      </c>
      <c r="P25" s="288" t="str">
        <f>'Inputs_BY IIS'!K260</f>
        <v/>
      </c>
      <c r="Q25" s="288" t="str">
        <f>'Inputs_BY IIS'!L260</f>
        <v/>
      </c>
      <c r="R25" s="288">
        <f>'Inputs_BY IIS'!M260</f>
        <v>4.2186807929179403E-3</v>
      </c>
      <c r="S25" s="288" t="str">
        <f>'Inputs_BY IIS'!N260</f>
        <v/>
      </c>
      <c r="T25" s="288" t="str">
        <f>'Inputs_BY IIS'!O260</f>
        <v/>
      </c>
      <c r="U25" s="288" t="str">
        <f>'Inputs_BY IIS'!P260</f>
        <v/>
      </c>
      <c r="V25" s="288" t="str">
        <f>'Inputs_BY IIS'!Q260</f>
        <v/>
      </c>
      <c r="W25" s="288" t="str">
        <f>'Inputs_BY IIS'!R260</f>
        <v/>
      </c>
      <c r="X25" s="288" t="str">
        <f>'Inputs_BY IIS'!S260</f>
        <v/>
      </c>
      <c r="Y25" s="288">
        <f>'Inputs_BY IIS'!T260</f>
        <v>7.1751248315142448E-4</v>
      </c>
      <c r="Z25" s="288">
        <f>'Inputs_BY IIS'!U260</f>
        <v>1.4351093382658062E-3</v>
      </c>
      <c r="AA25" s="288">
        <f>'Inputs_BY IIS'!V260</f>
        <v>1.2641680433222841E-3</v>
      </c>
      <c r="AB25" s="288" t="str">
        <f>'Inputs_BY IIS'!W260</f>
        <v/>
      </c>
      <c r="AC25" s="288" t="str">
        <f>'Inputs_BY IIS'!X260</f>
        <v/>
      </c>
      <c r="AD25" s="288" t="str">
        <f>'Inputs_BY IIS'!Y260</f>
        <v/>
      </c>
      <c r="AE25" s="288" t="str">
        <f>'Inputs_BY IIS'!Z260</f>
        <v/>
      </c>
      <c r="AF25" s="288" t="str">
        <f>'Inputs_BY IIS'!AA260</f>
        <v/>
      </c>
      <c r="AG25" s="288" t="str">
        <f>'Inputs_BY IIS'!AB260</f>
        <v/>
      </c>
      <c r="AH25" s="288" t="str">
        <f>'Inputs_BY IIS'!AC260</f>
        <v/>
      </c>
      <c r="AI25" s="288" t="str">
        <f>'Inputs_BY IIS'!AD260</f>
        <v/>
      </c>
      <c r="AJ25" s="288" t="str">
        <f>'Inputs_BY IIS'!AE260</f>
        <v/>
      </c>
      <c r="AK25" s="288">
        <f>'Inputs_BY IIS'!AF260</f>
        <v>2.5873718684030545E-3</v>
      </c>
      <c r="AM25" s="320"/>
    </row>
    <row r="26" spans="1:51" x14ac:dyDescent="0.25">
      <c r="C26" s="9" t="s">
        <v>120</v>
      </c>
      <c r="G26" s="318"/>
      <c r="H26" s="61" t="s">
        <v>470</v>
      </c>
      <c r="I26" t="s">
        <v>512</v>
      </c>
      <c r="J26" s="288" t="str">
        <f>'Inputs_BY IIS'!E261</f>
        <v/>
      </c>
      <c r="K26" s="288">
        <f>'Inputs_BY IIS'!F261</f>
        <v>1.2282108297854618E-2</v>
      </c>
      <c r="L26" s="288" t="str">
        <f>'Inputs_BY IIS'!G261</f>
        <v/>
      </c>
      <c r="M26" s="288">
        <f>'Inputs_BY IIS'!H261</f>
        <v>6.7475262188265788</v>
      </c>
      <c r="N26" s="288">
        <f>'Inputs_BY IIS'!I261</f>
        <v>0.14320320641222986</v>
      </c>
      <c r="O26" s="288">
        <f>'Inputs_BY IIS'!J261</f>
        <v>6.7475262188265788</v>
      </c>
      <c r="P26" s="288">
        <f>'Inputs_BY IIS'!K261</f>
        <v>3.4684694324180607</v>
      </c>
      <c r="Q26" s="288" t="str">
        <f>'Inputs_BY IIS'!L261</f>
        <v/>
      </c>
      <c r="R26" s="288">
        <f>'Inputs_BY IIS'!M261</f>
        <v>3.9734608611648135</v>
      </c>
      <c r="S26" s="288">
        <f>'Inputs_BY IIS'!N261</f>
        <v>1.0020835810397613</v>
      </c>
      <c r="T26" s="288" t="str">
        <f>'Inputs_BY IIS'!O261</f>
        <v/>
      </c>
      <c r="U26" s="288">
        <f>'Inputs_BY IIS'!P261</f>
        <v>2.255175776701642</v>
      </c>
      <c r="V26" s="288">
        <f>'Inputs_BY IIS'!Q261</f>
        <v>1.2399352812513107</v>
      </c>
      <c r="W26" s="288">
        <f>'Inputs_BY IIS'!R261</f>
        <v>1.597962112685968</v>
      </c>
      <c r="X26" s="288">
        <f>'Inputs_BY IIS'!S261</f>
        <v>1.174138846781638</v>
      </c>
      <c r="Y26" s="288">
        <f>'Inputs_BY IIS'!T261</f>
        <v>0.49271030285328976</v>
      </c>
      <c r="Z26" s="288">
        <f>'Inputs_BY IIS'!U261</f>
        <v>0.92454461738770699</v>
      </c>
      <c r="AA26" s="288">
        <f>'Inputs_BY IIS'!V261</f>
        <v>0.69205299321624292</v>
      </c>
      <c r="AB26" s="288">
        <f>'Inputs_BY IIS'!W261</f>
        <v>6.7475262188265788</v>
      </c>
      <c r="AC26" s="288">
        <f>'Inputs_BY IIS'!X261</f>
        <v>1.642582418689617</v>
      </c>
      <c r="AD26" s="288">
        <f>'Inputs_BY IIS'!Y261</f>
        <v>0.1788752242204599</v>
      </c>
      <c r="AE26" s="288">
        <f>'Inputs_BY IIS'!Z261</f>
        <v>1.7681795092550416</v>
      </c>
      <c r="AF26" s="288" t="str">
        <f>'Inputs_BY IIS'!AA261</f>
        <v/>
      </c>
      <c r="AG26" s="288" t="str">
        <f>'Inputs_BY IIS'!AB261</f>
        <v/>
      </c>
      <c r="AH26" s="288" t="str">
        <f>'Inputs_BY IIS'!AC261</f>
        <v/>
      </c>
      <c r="AI26" s="288">
        <f>'Inputs_BY IIS'!AD261</f>
        <v>2.0506552816865522</v>
      </c>
      <c r="AJ26" s="288">
        <f>'Inputs_BY IIS'!AE261</f>
        <v>1.4076890336267136</v>
      </c>
      <c r="AK26" s="288">
        <f>'Inputs_BY IIS'!AF261</f>
        <v>0.30985526348361986</v>
      </c>
      <c r="AM26" s="320"/>
    </row>
    <row r="27" spans="1:51" x14ac:dyDescent="0.25">
      <c r="C27" s="9" t="s">
        <v>122</v>
      </c>
      <c r="G27" s="318"/>
      <c r="H27" s="61" t="s">
        <v>470</v>
      </c>
      <c r="I27" t="s">
        <v>512</v>
      </c>
      <c r="J27" s="288" t="str">
        <f>'Inputs_BY IIS'!E262</f>
        <v/>
      </c>
      <c r="K27" s="288" t="str">
        <f>'Inputs_BY IIS'!F262</f>
        <v/>
      </c>
      <c r="L27" s="288" t="str">
        <f>'Inputs_BY IIS'!G262</f>
        <v/>
      </c>
      <c r="M27" s="288">
        <f>'Inputs_BY IIS'!H262</f>
        <v>2.4724841004870806</v>
      </c>
      <c r="N27" s="288">
        <f>'Inputs_BY IIS'!I262</f>
        <v>0.21376375238271472</v>
      </c>
      <c r="O27" s="288" t="str">
        <f>'Inputs_BY IIS'!J262</f>
        <v/>
      </c>
      <c r="P27" s="288" t="str">
        <f>'Inputs_BY IIS'!K262</f>
        <v/>
      </c>
      <c r="Q27" s="288" t="str">
        <f>'Inputs_BY IIS'!L262</f>
        <v/>
      </c>
      <c r="R27" s="288">
        <f>'Inputs_BY IIS'!M262</f>
        <v>2.2093059542288271</v>
      </c>
      <c r="S27" s="288">
        <f>'Inputs_BY IIS'!N262</f>
        <v>2.3323179021343559</v>
      </c>
      <c r="T27" s="288" t="str">
        <f>'Inputs_BY IIS'!O262</f>
        <v/>
      </c>
      <c r="U27" s="288">
        <f>'Inputs_BY IIS'!P262</f>
        <v>0.72152890829124949</v>
      </c>
      <c r="V27" s="288">
        <f>'Inputs_BY IIS'!Q262</f>
        <v>0.72669991075058649</v>
      </c>
      <c r="W27" s="288">
        <f>'Inputs_BY IIS'!R262</f>
        <v>0.49179806352795774</v>
      </c>
      <c r="X27" s="288">
        <f>'Inputs_BY IIS'!S262</f>
        <v>0.91371373763765384</v>
      </c>
      <c r="Y27" s="288">
        <f>'Inputs_BY IIS'!T262</f>
        <v>0.30444606592794293</v>
      </c>
      <c r="Z27" s="288">
        <f>'Inputs_BY IIS'!U262</f>
        <v>1.0040457429212264</v>
      </c>
      <c r="AA27" s="288" t="str">
        <f>'Inputs_BY IIS'!V262</f>
        <v/>
      </c>
      <c r="AB27" s="288">
        <f>'Inputs_BY IIS'!W262</f>
        <v>1.8414939499389777</v>
      </c>
      <c r="AC27" s="288">
        <f>'Inputs_BY IIS'!X262</f>
        <v>1.8555595627628485</v>
      </c>
      <c r="AD27" s="288">
        <f>'Inputs_BY IIS'!Y262</f>
        <v>0.12255484112274434</v>
      </c>
      <c r="AE27" s="288">
        <f>'Inputs_BY IIS'!Z262</f>
        <v>1.189675654153123</v>
      </c>
      <c r="AF27" s="288">
        <f>'Inputs_BY IIS'!AA262</f>
        <v>0.45901307112128875</v>
      </c>
      <c r="AG27" s="288">
        <f>'Inputs_BY IIS'!AB262</f>
        <v>1.7589106151460183</v>
      </c>
      <c r="AH27" s="288" t="str">
        <f>'Inputs_BY IIS'!AC262</f>
        <v/>
      </c>
      <c r="AI27" s="288">
        <f>'Inputs_BY IIS'!AD262</f>
        <v>3.0331488938979811</v>
      </c>
      <c r="AJ27" s="288">
        <f>'Inputs_BY IIS'!AE262</f>
        <v>1.6077504149810748</v>
      </c>
      <c r="AK27" s="288">
        <f>'Inputs_BY IIS'!AF262</f>
        <v>7.5872931816684166E-3</v>
      </c>
      <c r="AM27" s="320"/>
    </row>
    <row r="28" spans="1:51" x14ac:dyDescent="0.25">
      <c r="C28" s="9" t="s">
        <v>124</v>
      </c>
      <c r="G28" s="318"/>
      <c r="H28" s="61" t="s">
        <v>470</v>
      </c>
      <c r="I28" t="s">
        <v>512</v>
      </c>
      <c r="J28" s="288" t="str">
        <f>'Inputs_BY IIS'!E263</f>
        <v/>
      </c>
      <c r="K28" s="288">
        <f>'Inputs_BY IIS'!F263</f>
        <v>4.5157218175112144</v>
      </c>
      <c r="L28" s="288" t="str">
        <f>'Inputs_BY IIS'!G263</f>
        <v/>
      </c>
      <c r="M28" s="288">
        <f>'Inputs_BY IIS'!H263</f>
        <v>1.2021270570067799</v>
      </c>
      <c r="N28" s="288">
        <f>'Inputs_BY IIS'!I263</f>
        <v>2.8307502967044345</v>
      </c>
      <c r="O28" s="288">
        <f>'Inputs_BY IIS'!J263</f>
        <v>7.7210884339648445</v>
      </c>
      <c r="P28" s="288">
        <f>'Inputs_BY IIS'!K263</f>
        <v>0.25267812140927587</v>
      </c>
      <c r="Q28" s="288" t="str">
        <f>'Inputs_BY IIS'!L263</f>
        <v/>
      </c>
      <c r="R28" s="288">
        <f>'Inputs_BY IIS'!M263</f>
        <v>10.806886065980674</v>
      </c>
      <c r="S28" s="288">
        <f>'Inputs_BY IIS'!N263</f>
        <v>1.7766188929011704</v>
      </c>
      <c r="T28" s="288">
        <f>'Inputs_BY IIS'!O263</f>
        <v>2.3709196511747268</v>
      </c>
      <c r="U28" s="288">
        <f>'Inputs_BY IIS'!P263</f>
        <v>1.4297158502734078</v>
      </c>
      <c r="V28" s="288">
        <f>'Inputs_BY IIS'!Q263</f>
        <v>1.4165808654589651</v>
      </c>
      <c r="W28" s="288">
        <f>'Inputs_BY IIS'!R263</f>
        <v>2.2329341624303209</v>
      </c>
      <c r="X28" s="288">
        <f>'Inputs_BY IIS'!S263</f>
        <v>0.63872379054265904</v>
      </c>
      <c r="Y28" s="288">
        <f>'Inputs_BY IIS'!T263</f>
        <v>1.4760887576462844</v>
      </c>
      <c r="Z28" s="288">
        <f>'Inputs_BY IIS'!U263</f>
        <v>0.72404214970314584</v>
      </c>
      <c r="AA28" s="288">
        <f>'Inputs_BY IIS'!V263</f>
        <v>10.806886065980674</v>
      </c>
      <c r="AB28" s="288">
        <f>'Inputs_BY IIS'!W263</f>
        <v>4.4914588935274793</v>
      </c>
      <c r="AC28" s="288">
        <f>'Inputs_BY IIS'!X263</f>
        <v>0.72097938035033571</v>
      </c>
      <c r="AD28" s="288">
        <f>'Inputs_BY IIS'!Y263</f>
        <v>0.34973481339330487</v>
      </c>
      <c r="AE28" s="288">
        <f>'Inputs_BY IIS'!Z263</f>
        <v>3.0102104113268875</v>
      </c>
      <c r="AF28" s="288" t="str">
        <f>'Inputs_BY IIS'!AA263</f>
        <v/>
      </c>
      <c r="AG28" s="288">
        <f>'Inputs_BY IIS'!AB263</f>
        <v>4.5294948431215145</v>
      </c>
      <c r="AH28" s="288" t="str">
        <f>'Inputs_BY IIS'!AC263</f>
        <v/>
      </c>
      <c r="AI28" s="288">
        <f>'Inputs_BY IIS'!AD263</f>
        <v>14.212887580561597</v>
      </c>
      <c r="AJ28" s="288">
        <f>'Inputs_BY IIS'!AE263</f>
        <v>1.0189469455448628</v>
      </c>
      <c r="AK28" s="288">
        <f>'Inputs_BY IIS'!AF263</f>
        <v>2.5828614498757032</v>
      </c>
      <c r="AM28" s="320"/>
    </row>
    <row r="29" spans="1:51" x14ac:dyDescent="0.25">
      <c r="C29" s="9" t="s">
        <v>126</v>
      </c>
      <c r="G29" s="318"/>
      <c r="H29" s="61" t="s">
        <v>470</v>
      </c>
      <c r="I29" t="s">
        <v>512</v>
      </c>
      <c r="J29" s="288" t="str">
        <f>'Inputs_BY IIS'!E264</f>
        <v/>
      </c>
      <c r="K29" s="288" t="str">
        <f>'Inputs_BY IIS'!F264</f>
        <v/>
      </c>
      <c r="L29" s="288" t="str">
        <f>'Inputs_BY IIS'!G264</f>
        <v/>
      </c>
      <c r="M29" s="288">
        <f>'Inputs_BY IIS'!H264</f>
        <v>12.904221403947576</v>
      </c>
      <c r="N29" s="288">
        <f>'Inputs_BY IIS'!I264</f>
        <v>3.2928096408532594</v>
      </c>
      <c r="O29" s="288">
        <f>'Inputs_BY IIS'!J264</f>
        <v>15.280453517251319</v>
      </c>
      <c r="P29" s="288">
        <f>'Inputs_BY IIS'!K264</f>
        <v>15.280453517251319</v>
      </c>
      <c r="Q29" s="288" t="str">
        <f>'Inputs_BY IIS'!L264</f>
        <v/>
      </c>
      <c r="R29" s="288">
        <f>'Inputs_BY IIS'!M264</f>
        <v>2.8858222451158584</v>
      </c>
      <c r="S29" s="288">
        <f>'Inputs_BY IIS'!N264</f>
        <v>2.0859305410319626</v>
      </c>
      <c r="T29" s="288">
        <f>'Inputs_BY IIS'!O264</f>
        <v>1.2888306186719989</v>
      </c>
      <c r="U29" s="288">
        <f>'Inputs_BY IIS'!P264</f>
        <v>2.6670904674111</v>
      </c>
      <c r="V29" s="288">
        <f>'Inputs_BY IIS'!Q264</f>
        <v>1.8399510612852559</v>
      </c>
      <c r="W29" s="288">
        <f>'Inputs_BY IIS'!R264</f>
        <v>4.4170324580937761</v>
      </c>
      <c r="X29" s="288">
        <f>'Inputs_BY IIS'!S264</f>
        <v>2.1041070683731755</v>
      </c>
      <c r="Y29" s="288">
        <f>'Inputs_BY IIS'!T264</f>
        <v>5.4549449141314179</v>
      </c>
      <c r="Z29" s="288">
        <f>'Inputs_BY IIS'!U264</f>
        <v>2.3957376647307238</v>
      </c>
      <c r="AA29" s="288">
        <f>'Inputs_BY IIS'!V264</f>
        <v>1.2857497525714818</v>
      </c>
      <c r="AB29" s="288" t="str">
        <f>'Inputs_BY IIS'!W264</f>
        <v/>
      </c>
      <c r="AC29" s="288">
        <f>'Inputs_BY IIS'!X264</f>
        <v>2.4480123315508906</v>
      </c>
      <c r="AD29" s="288" t="str">
        <f>'Inputs_BY IIS'!Y264</f>
        <v/>
      </c>
      <c r="AE29" s="288">
        <f>'Inputs_BY IIS'!Z264</f>
        <v>7.0984628826119165</v>
      </c>
      <c r="AF29" s="288" t="str">
        <f>'Inputs_BY IIS'!AA264</f>
        <v/>
      </c>
      <c r="AG29" s="288" t="str">
        <f>'Inputs_BY IIS'!AB264</f>
        <v/>
      </c>
      <c r="AH29" s="288" t="str">
        <f>'Inputs_BY IIS'!AC264</f>
        <v/>
      </c>
      <c r="AI29" s="288">
        <f>'Inputs_BY IIS'!AD264</f>
        <v>3.3269587967799361</v>
      </c>
      <c r="AJ29" s="288">
        <f>'Inputs_BY IIS'!AE264</f>
        <v>3.0451092612982924</v>
      </c>
      <c r="AK29" s="288">
        <f>'Inputs_BY IIS'!AF264</f>
        <v>2.8803194017694338</v>
      </c>
      <c r="AM29" s="320"/>
    </row>
    <row r="30" spans="1:51" x14ac:dyDescent="0.25">
      <c r="C30" s="9" t="s">
        <v>128</v>
      </c>
      <c r="G30" s="318"/>
      <c r="H30" s="61" t="s">
        <v>470</v>
      </c>
      <c r="I30" t="s">
        <v>512</v>
      </c>
      <c r="J30" s="288" t="str">
        <f>'Inputs_BY IIS'!E265</f>
        <v/>
      </c>
      <c r="K30" s="288">
        <f>'Inputs_BY IIS'!F265</f>
        <v>10.492673055925497</v>
      </c>
      <c r="L30" s="288" t="str">
        <f>'Inputs_BY IIS'!G265</f>
        <v/>
      </c>
      <c r="M30" s="288">
        <f>'Inputs_BY IIS'!H265</f>
        <v>0.935816728269808</v>
      </c>
      <c r="N30" s="288">
        <f>'Inputs_BY IIS'!I265</f>
        <v>1.4654280198712495</v>
      </c>
      <c r="O30" s="288">
        <f>'Inputs_BY IIS'!J265</f>
        <v>7.0368627130959585</v>
      </c>
      <c r="P30" s="288">
        <f>'Inputs_BY IIS'!K265</f>
        <v>8.3961998147972796</v>
      </c>
      <c r="Q30" s="288" t="str">
        <f>'Inputs_BY IIS'!L265</f>
        <v/>
      </c>
      <c r="R30" s="288">
        <f>'Inputs_BY IIS'!M265</f>
        <v>1.5148188397516464</v>
      </c>
      <c r="S30" s="288">
        <f>'Inputs_BY IIS'!N265</f>
        <v>7.0638600731140109</v>
      </c>
      <c r="T30" s="288">
        <f>'Inputs_BY IIS'!O265</f>
        <v>5.4029533008067329E-2</v>
      </c>
      <c r="U30" s="288">
        <f>'Inputs_BY IIS'!P265</f>
        <v>0.39754132259138958</v>
      </c>
      <c r="V30" s="288">
        <f>'Inputs_BY IIS'!Q265</f>
        <v>1.6315949323181107</v>
      </c>
      <c r="W30" s="288">
        <f>'Inputs_BY IIS'!R265</f>
        <v>1.9772495299598605</v>
      </c>
      <c r="X30" s="288">
        <f>'Inputs_BY IIS'!S265</f>
        <v>2.2083308948140932</v>
      </c>
      <c r="Y30" s="288">
        <f>'Inputs_BY IIS'!T265</f>
        <v>2.8598019177326117</v>
      </c>
      <c r="Z30" s="288">
        <f>'Inputs_BY IIS'!U265</f>
        <v>2.4559686412499273</v>
      </c>
      <c r="AA30" s="288">
        <f>'Inputs_BY IIS'!V265</f>
        <v>7.1238988643380257</v>
      </c>
      <c r="AB30" s="288" t="str">
        <f>'Inputs_BY IIS'!W265</f>
        <v/>
      </c>
      <c r="AC30" s="288">
        <f>'Inputs_BY IIS'!X265</f>
        <v>0.78089151302800641</v>
      </c>
      <c r="AD30" s="288">
        <f>'Inputs_BY IIS'!Y265</f>
        <v>8.0352297581988008</v>
      </c>
      <c r="AE30" s="288">
        <f>'Inputs_BY IIS'!Z265</f>
        <v>4.1990367329578984</v>
      </c>
      <c r="AF30" s="288" t="str">
        <f>'Inputs_BY IIS'!AA265</f>
        <v/>
      </c>
      <c r="AG30" s="288">
        <f>'Inputs_BY IIS'!AB265</f>
        <v>10.492673055925497</v>
      </c>
      <c r="AH30" s="288" t="str">
        <f>'Inputs_BY IIS'!AC265</f>
        <v/>
      </c>
      <c r="AI30" s="288">
        <f>'Inputs_BY IIS'!AD265</f>
        <v>8.6496433696149122</v>
      </c>
      <c r="AJ30" s="288">
        <f>'Inputs_BY IIS'!AE265</f>
        <v>0.68922728054651095</v>
      </c>
      <c r="AK30" s="288">
        <f>'Inputs_BY IIS'!AF265</f>
        <v>10.492673055925497</v>
      </c>
      <c r="AM30" s="320"/>
    </row>
    <row r="31" spans="1:51" x14ac:dyDescent="0.25">
      <c r="C31" s="9" t="s">
        <v>130</v>
      </c>
      <c r="G31" s="318"/>
      <c r="H31" s="61" t="s">
        <v>470</v>
      </c>
      <c r="I31" t="s">
        <v>512</v>
      </c>
      <c r="J31" s="288" t="str">
        <f>'Inputs_BY IIS'!E266</f>
        <v/>
      </c>
      <c r="K31" s="288" t="str">
        <f>'Inputs_BY IIS'!F266</f>
        <v/>
      </c>
      <c r="L31" s="288" t="str">
        <f>'Inputs_BY IIS'!G266</f>
        <v/>
      </c>
      <c r="M31" s="288" t="str">
        <f>'Inputs_BY IIS'!H266</f>
        <v/>
      </c>
      <c r="N31" s="288" t="str">
        <f>'Inputs_BY IIS'!I266</f>
        <v/>
      </c>
      <c r="O31" s="288">
        <f>'Inputs_BY IIS'!J266</f>
        <v>4.8418281491905546</v>
      </c>
      <c r="P31" s="288" t="str">
        <f>'Inputs_BY IIS'!K266</f>
        <v/>
      </c>
      <c r="Q31" s="288" t="str">
        <f>'Inputs_BY IIS'!L266</f>
        <v/>
      </c>
      <c r="R31" s="288" t="str">
        <f>'Inputs_BY IIS'!M266</f>
        <v/>
      </c>
      <c r="S31" s="288">
        <f>'Inputs_BY IIS'!N266</f>
        <v>5.9116915875870825E-3</v>
      </c>
      <c r="T31" s="288" t="str">
        <f>'Inputs_BY IIS'!O266</f>
        <v/>
      </c>
      <c r="U31" s="288">
        <f>'Inputs_BY IIS'!P266</f>
        <v>0.22955500725759981</v>
      </c>
      <c r="V31" s="288">
        <f>'Inputs_BY IIS'!Q266</f>
        <v>1.2686407817739085</v>
      </c>
      <c r="W31" s="288">
        <f>'Inputs_BY IIS'!R266</f>
        <v>1.0684625837044394E-3</v>
      </c>
      <c r="X31" s="288">
        <f>'Inputs_BY IIS'!S266</f>
        <v>0.37641154292661705</v>
      </c>
      <c r="Y31" s="288">
        <f>'Inputs_BY IIS'!T266</f>
        <v>0.4108034932381579</v>
      </c>
      <c r="Z31" s="288">
        <f>'Inputs_BY IIS'!U266</f>
        <v>0.108419561651177</v>
      </c>
      <c r="AA31" s="288" t="str">
        <f>'Inputs_BY IIS'!V266</f>
        <v/>
      </c>
      <c r="AB31" s="288" t="str">
        <f>'Inputs_BY IIS'!W266</f>
        <v/>
      </c>
      <c r="AC31" s="288" t="str">
        <f>'Inputs_BY IIS'!X266</f>
        <v/>
      </c>
      <c r="AD31" s="288" t="str">
        <f>'Inputs_BY IIS'!Y266</f>
        <v/>
      </c>
      <c r="AE31" s="288" t="str">
        <f>'Inputs_BY IIS'!Z266</f>
        <v/>
      </c>
      <c r="AF31" s="288" t="str">
        <f>'Inputs_BY IIS'!AA266</f>
        <v/>
      </c>
      <c r="AG31" s="288" t="str">
        <f>'Inputs_BY IIS'!AB266</f>
        <v/>
      </c>
      <c r="AH31" s="288" t="str">
        <f>'Inputs_BY IIS'!AC266</f>
        <v/>
      </c>
      <c r="AI31" s="288">
        <f>'Inputs_BY IIS'!AD266</f>
        <v>4.8418281491905546</v>
      </c>
      <c r="AJ31" s="288">
        <f>'Inputs_BY IIS'!AE266</f>
        <v>4.9162840759463455E-3</v>
      </c>
      <c r="AK31" s="288">
        <f>'Inputs_BY IIS'!AF266</f>
        <v>0.25618477945661056</v>
      </c>
      <c r="AM31" s="320"/>
    </row>
    <row r="32" spans="1:51" x14ac:dyDescent="0.25">
      <c r="C32" s="9" t="s">
        <v>132</v>
      </c>
      <c r="G32" s="318"/>
      <c r="H32" s="61" t="s">
        <v>470</v>
      </c>
      <c r="I32" t="s">
        <v>512</v>
      </c>
      <c r="J32" s="288" t="str">
        <f>'Inputs_BY IIS'!E267</f>
        <v/>
      </c>
      <c r="K32" s="288" t="str">
        <f>'Inputs_BY IIS'!F267</f>
        <v/>
      </c>
      <c r="L32" s="288" t="str">
        <f>'Inputs_BY IIS'!G267</f>
        <v/>
      </c>
      <c r="M32" s="288" t="str">
        <f>'Inputs_BY IIS'!H267</f>
        <v/>
      </c>
      <c r="N32" s="288">
        <f>'Inputs_BY IIS'!I267</f>
        <v>6.9403815708673601E-3</v>
      </c>
      <c r="O32" s="288">
        <f>'Inputs_BY IIS'!J267</f>
        <v>0.44454891694568266</v>
      </c>
      <c r="P32" s="288">
        <f>'Inputs_BY IIS'!K267</f>
        <v>0.44454891694568266</v>
      </c>
      <c r="Q32" s="288" t="str">
        <f>'Inputs_BY IIS'!L267</f>
        <v/>
      </c>
      <c r="R32" s="288">
        <f>'Inputs_BY IIS'!M267</f>
        <v>8.3715825967138849E-2</v>
      </c>
      <c r="S32" s="288" t="str">
        <f>'Inputs_BY IIS'!N267</f>
        <v/>
      </c>
      <c r="T32" s="288">
        <f>'Inputs_BY IIS'!O267</f>
        <v>6.551406831343777E-2</v>
      </c>
      <c r="U32" s="288">
        <f>'Inputs_BY IIS'!P267</f>
        <v>5.2961012425677099E-3</v>
      </c>
      <c r="V32" s="288">
        <f>'Inputs_BY IIS'!Q267</f>
        <v>5.0768405882941209E-3</v>
      </c>
      <c r="W32" s="288">
        <f>'Inputs_BY IIS'!R267</f>
        <v>1.724803885122881E-2</v>
      </c>
      <c r="X32" s="288">
        <f>'Inputs_BY IIS'!S267</f>
        <v>5.4678627523727635E-3</v>
      </c>
      <c r="Y32" s="288">
        <f>'Inputs_BY IIS'!T267</f>
        <v>0.10105887358848141</v>
      </c>
      <c r="Z32" s="288">
        <f>'Inputs_BY IIS'!U267</f>
        <v>0.14307843512189777</v>
      </c>
      <c r="AA32" s="288">
        <f>'Inputs_BY IIS'!V267</f>
        <v>0.26073465893522108</v>
      </c>
      <c r="AB32" s="288" t="str">
        <f>'Inputs_BY IIS'!W267</f>
        <v/>
      </c>
      <c r="AC32" s="288">
        <f>'Inputs_BY IIS'!X267</f>
        <v>0.16344905048068917</v>
      </c>
      <c r="AD32" s="288">
        <f>'Inputs_BY IIS'!Y267</f>
        <v>1.6875021152873578E-3</v>
      </c>
      <c r="AE32" s="288">
        <f>'Inputs_BY IIS'!Z267</f>
        <v>1.2007091981359944E-2</v>
      </c>
      <c r="AF32" s="288" t="str">
        <f>'Inputs_BY IIS'!AA267</f>
        <v/>
      </c>
      <c r="AG32" s="288">
        <f>'Inputs_BY IIS'!AB267</f>
        <v>3.8572601209342507E-2</v>
      </c>
      <c r="AH32" s="288" t="str">
        <f>'Inputs_BY IIS'!AC267</f>
        <v/>
      </c>
      <c r="AI32" s="288">
        <f>'Inputs_BY IIS'!AD267</f>
        <v>1.0431974025654669E-2</v>
      </c>
      <c r="AJ32" s="288">
        <f>'Inputs_BY IIS'!AE267</f>
        <v>5.535526665937885E-2</v>
      </c>
      <c r="AK32" s="288">
        <f>'Inputs_BY IIS'!AF267</f>
        <v>3.181768108441594E-3</v>
      </c>
      <c r="AM32" s="320"/>
    </row>
    <row r="33" spans="1:40" x14ac:dyDescent="0.25">
      <c r="C33" s="9" t="s">
        <v>134</v>
      </c>
      <c r="G33" s="318"/>
      <c r="H33" s="61" t="s">
        <v>470</v>
      </c>
      <c r="I33" t="s">
        <v>512</v>
      </c>
      <c r="J33" s="288" t="str">
        <f>'Inputs_BY IIS'!E268</f>
        <v/>
      </c>
      <c r="K33" s="288">
        <f>'Inputs_BY IIS'!F268</f>
        <v>2.1005554510182129</v>
      </c>
      <c r="L33" s="288" t="str">
        <f>'Inputs_BY IIS'!G268</f>
        <v/>
      </c>
      <c r="M33" s="288">
        <f>'Inputs_BY IIS'!H268</f>
        <v>0.10455075470014277</v>
      </c>
      <c r="N33" s="288">
        <f>'Inputs_BY IIS'!I268</f>
        <v>0.19456203003664835</v>
      </c>
      <c r="O33" s="288">
        <f>'Inputs_BY IIS'!J268</f>
        <v>2.1005554510182129</v>
      </c>
      <c r="P33" s="288">
        <f>'Inputs_BY IIS'!K268</f>
        <v>2.1005554510182129</v>
      </c>
      <c r="Q33" s="288" t="str">
        <f>'Inputs_BY IIS'!L268</f>
        <v/>
      </c>
      <c r="R33" s="288">
        <f>'Inputs_BY IIS'!M268</f>
        <v>0.40886466538899552</v>
      </c>
      <c r="S33" s="288">
        <f>'Inputs_BY IIS'!N268</f>
        <v>1.9083355300281105E-2</v>
      </c>
      <c r="T33" s="288">
        <f>'Inputs_BY IIS'!O268</f>
        <v>0.17516393001698097</v>
      </c>
      <c r="U33" s="288">
        <f>'Inputs_BY IIS'!P268</f>
        <v>5.8038488738363973E-2</v>
      </c>
      <c r="V33" s="288">
        <f>'Inputs_BY IIS'!Q268</f>
        <v>0.15935111323164303</v>
      </c>
      <c r="W33" s="288">
        <f>'Inputs_BY IIS'!R268</f>
        <v>0.1285207850684483</v>
      </c>
      <c r="X33" s="288">
        <f>'Inputs_BY IIS'!S268</f>
        <v>1.4661614282911038E-2</v>
      </c>
      <c r="Y33" s="288">
        <f>'Inputs_BY IIS'!T268</f>
        <v>0.32586105388661618</v>
      </c>
      <c r="Z33" s="288">
        <f>'Inputs_BY IIS'!U268</f>
        <v>7.2089670457817959E-2</v>
      </c>
      <c r="AA33" s="288">
        <f>'Inputs_BY IIS'!V268</f>
        <v>1.4564796069126866</v>
      </c>
      <c r="AB33" s="288">
        <f>'Inputs_BY IIS'!W268</f>
        <v>1.0304167664997912</v>
      </c>
      <c r="AC33" s="288">
        <f>'Inputs_BY IIS'!X268</f>
        <v>0.48051763222715843</v>
      </c>
      <c r="AD33" s="288">
        <f>'Inputs_BY IIS'!Y268</f>
        <v>9.9773562566365021E-2</v>
      </c>
      <c r="AE33" s="288">
        <f>'Inputs_BY IIS'!Z268</f>
        <v>6.1658039904280787E-2</v>
      </c>
      <c r="AF33" s="288">
        <f>'Inputs_BY IIS'!AA268</f>
        <v>0.14300807238045485</v>
      </c>
      <c r="AG33" s="288">
        <f>'Inputs_BY IIS'!AB268</f>
        <v>0.66644883200586225</v>
      </c>
      <c r="AH33" s="288" t="str">
        <f>'Inputs_BY IIS'!AC268</f>
        <v/>
      </c>
      <c r="AI33" s="288">
        <f>'Inputs_BY IIS'!AD268</f>
        <v>0.25505890423968108</v>
      </c>
      <c r="AJ33" s="288">
        <f>'Inputs_BY IIS'!AE268</f>
        <v>7.4685677238844487E-3</v>
      </c>
      <c r="AK33" s="288">
        <f>'Inputs_BY IIS'!AF268</f>
        <v>0.12709590191412301</v>
      </c>
      <c r="AM33" s="320"/>
    </row>
    <row r="34" spans="1:40" x14ac:dyDescent="0.25">
      <c r="C34" s="9" t="s">
        <v>139</v>
      </c>
      <c r="G34" s="318"/>
      <c r="H34" s="61" t="s">
        <v>470</v>
      </c>
      <c r="I34" t="s">
        <v>512</v>
      </c>
      <c r="J34" s="628" t="str">
        <f>'Inputs_BY IIS'!E271</f>
        <v/>
      </c>
      <c r="K34" s="628" t="str">
        <f>'Inputs_BY IIS'!F271</f>
        <v/>
      </c>
      <c r="L34" s="628" t="str">
        <f>'Inputs_BY IIS'!G271</f>
        <v/>
      </c>
      <c r="M34" s="628" t="str">
        <f>'Inputs_BY IIS'!H271</f>
        <v/>
      </c>
      <c r="N34" s="628" t="str">
        <f>'Inputs_BY IIS'!I271</f>
        <v/>
      </c>
      <c r="O34" s="628" t="str">
        <f>'Inputs_BY IIS'!J271</f>
        <v/>
      </c>
      <c r="P34" s="628" t="str">
        <f>'Inputs_BY IIS'!K271</f>
        <v/>
      </c>
      <c r="Q34" s="628" t="str">
        <f>'Inputs_BY IIS'!L271</f>
        <v/>
      </c>
      <c r="R34" s="628" t="str">
        <f>'Inputs_BY IIS'!M271</f>
        <v/>
      </c>
      <c r="S34" s="628" t="str">
        <f>'Inputs_BY IIS'!N271</f>
        <v/>
      </c>
      <c r="T34" s="628" t="str">
        <f>'Inputs_BY IIS'!O271</f>
        <v/>
      </c>
      <c r="U34" s="628" t="str">
        <f>'Inputs_BY IIS'!P271</f>
        <v/>
      </c>
      <c r="V34" s="628" t="str">
        <f>'Inputs_BY IIS'!Q271</f>
        <v/>
      </c>
      <c r="W34" s="628">
        <f>'Inputs_BY IIS'!R271</f>
        <v>0</v>
      </c>
      <c r="X34" s="628">
        <f>'Inputs_BY IIS'!S271</f>
        <v>0</v>
      </c>
      <c r="Y34" s="628" t="str">
        <f>'Inputs_BY IIS'!T271</f>
        <v/>
      </c>
      <c r="Z34" s="628">
        <f>'Inputs_BY IIS'!U271</f>
        <v>0</v>
      </c>
      <c r="AA34" s="628" t="str">
        <f>'Inputs_BY IIS'!V271</f>
        <v/>
      </c>
      <c r="AB34" s="628" t="str">
        <f>'Inputs_BY IIS'!W271</f>
        <v/>
      </c>
      <c r="AC34" s="628">
        <f>'Inputs_BY IIS'!X271</f>
        <v>0</v>
      </c>
      <c r="AD34" s="628" t="str">
        <f>'Inputs_BY IIS'!Y271</f>
        <v/>
      </c>
      <c r="AE34" s="628">
        <f>'Inputs_BY IIS'!Z271</f>
        <v>0</v>
      </c>
      <c r="AF34" s="628" t="str">
        <f>'Inputs_BY IIS'!AA271</f>
        <v/>
      </c>
      <c r="AG34" s="628" t="str">
        <f>'Inputs_BY IIS'!AB271</f>
        <v/>
      </c>
      <c r="AH34" s="628" t="str">
        <f>'Inputs_BY IIS'!AC271</f>
        <v/>
      </c>
      <c r="AI34" s="628">
        <f>'Inputs_BY IIS'!AD271</f>
        <v>1.0281120434168511</v>
      </c>
      <c r="AJ34" s="628">
        <f>'Inputs_BY IIS'!AE271</f>
        <v>0</v>
      </c>
      <c r="AK34" s="628" t="str">
        <f>'Inputs_BY IIS'!AF271</f>
        <v/>
      </c>
    </row>
    <row r="35" spans="1:40" x14ac:dyDescent="0.25">
      <c r="C35" s="9" t="s">
        <v>336</v>
      </c>
      <c r="G35" s="318"/>
      <c r="H35" s="61" t="s">
        <v>470</v>
      </c>
      <c r="I35" t="s">
        <v>512</v>
      </c>
      <c r="J35" s="166" t="str">
        <f>'Inputs_BY IIS'!E193</f>
        <v/>
      </c>
      <c r="K35" s="166" t="str">
        <f>'Inputs_BY IIS'!F193</f>
        <v/>
      </c>
      <c r="L35" s="166" t="str">
        <f>'Inputs_BY IIS'!G193</f>
        <v/>
      </c>
      <c r="M35" s="166" t="str">
        <f>'Inputs_BY IIS'!H193</f>
        <v/>
      </c>
      <c r="N35" s="166" t="str">
        <f>'Inputs_BY IIS'!I193</f>
        <v/>
      </c>
      <c r="O35" s="166" t="str">
        <f>'Inputs_BY IIS'!J193</f>
        <v/>
      </c>
      <c r="P35" s="166" t="str">
        <f>'Inputs_BY IIS'!K193</f>
        <v/>
      </c>
      <c r="Q35" s="166" t="str">
        <f>'Inputs_BY IIS'!L193</f>
        <v/>
      </c>
      <c r="R35" s="166" t="str">
        <f>'Inputs_BY IIS'!M193</f>
        <v/>
      </c>
      <c r="S35" s="166" t="str">
        <f>'Inputs_BY IIS'!N193</f>
        <v/>
      </c>
      <c r="T35" s="166" t="str">
        <f>'Inputs_BY IIS'!O193</f>
        <v/>
      </c>
      <c r="U35" s="166" t="str">
        <f>'Inputs_BY IIS'!P193</f>
        <v/>
      </c>
      <c r="V35" s="166" t="str">
        <f>'Inputs_BY IIS'!Q193</f>
        <v/>
      </c>
      <c r="W35" s="166" t="str">
        <f>'Inputs_BY IIS'!R193</f>
        <v/>
      </c>
      <c r="X35" s="166" t="str">
        <f>'Inputs_BY IIS'!S193</f>
        <v/>
      </c>
      <c r="Y35" s="166" t="str">
        <f>'Inputs_BY IIS'!T193</f>
        <v/>
      </c>
      <c r="Z35" s="166">
        <f>'Inputs_BY IIS'!U193</f>
        <v>4.718167687449226E-4</v>
      </c>
      <c r="AA35" s="166" t="str">
        <f>'Inputs_BY IIS'!V193</f>
        <v/>
      </c>
      <c r="AB35" s="166" t="str">
        <f>'Inputs_BY IIS'!W193</f>
        <v/>
      </c>
      <c r="AC35" s="166" t="str">
        <f>'Inputs_BY IIS'!X193</f>
        <v/>
      </c>
      <c r="AD35" s="166" t="str">
        <f>'Inputs_BY IIS'!Y193</f>
        <v/>
      </c>
      <c r="AE35" s="166" t="str">
        <f>'Inputs_BY IIS'!Z193</f>
        <v/>
      </c>
      <c r="AF35" s="166" t="str">
        <f>'Inputs_BY IIS'!AA193</f>
        <v/>
      </c>
      <c r="AG35" s="166" t="str">
        <f>'Inputs_BY IIS'!AB193</f>
        <v/>
      </c>
      <c r="AH35" s="166" t="str">
        <f>'Inputs_BY IIS'!AC193</f>
        <v/>
      </c>
      <c r="AI35" s="166" t="str">
        <f>'Inputs_BY IIS'!AD193</f>
        <v/>
      </c>
      <c r="AJ35" s="166" t="str">
        <f>'Inputs_BY IIS'!AE193</f>
        <v/>
      </c>
      <c r="AK35" s="166" t="str">
        <f>'Inputs_BY IIS'!AF193</f>
        <v/>
      </c>
      <c r="AN35" s="147" t="s">
        <v>577</v>
      </c>
    </row>
    <row r="36" spans="1:40" x14ac:dyDescent="0.25">
      <c r="C36" s="9" t="s">
        <v>331</v>
      </c>
      <c r="G36" s="318"/>
      <c r="H36" s="61" t="s">
        <v>470</v>
      </c>
      <c r="I36" t="s">
        <v>512</v>
      </c>
      <c r="J36" s="166" t="str">
        <f>'Inputs_BY IIS'!E194</f>
        <v/>
      </c>
      <c r="K36" s="166">
        <f>IF('Inputs_BY IIS'!F194=0,"",'Inputs_BY IIS'!F194)</f>
        <v>0.51994258460917886</v>
      </c>
      <c r="L36" s="166" t="str">
        <f>IF('Inputs_BY IIS'!G194=0,"",'Inputs_BY IIS'!G194)</f>
        <v/>
      </c>
      <c r="M36" s="166" t="str">
        <f>IF('Inputs_BY IIS'!H194=0,"",'Inputs_BY IIS'!H194)</f>
        <v/>
      </c>
      <c r="N36" s="166">
        <f>IF('Inputs_BY IIS'!I194=0,"",'Inputs_BY IIS'!I194)</f>
        <v>0.37987021797880682</v>
      </c>
      <c r="O36" s="166" t="str">
        <f>IF('Inputs_BY IIS'!J194=0,"",'Inputs_BY IIS'!J194)</f>
        <v/>
      </c>
      <c r="P36" s="166" t="str">
        <f>IF('Inputs_BY IIS'!K194=0,"",'Inputs_BY IIS'!K194)</f>
        <v/>
      </c>
      <c r="Q36" s="166" t="str">
        <f>IF('Inputs_BY IIS'!L194=0,"",'Inputs_BY IIS'!L194)</f>
        <v/>
      </c>
      <c r="R36" s="166" t="str">
        <f>IF('Inputs_BY IIS'!M194=0,"",'Inputs_BY IIS'!M194)</f>
        <v/>
      </c>
      <c r="S36" s="166" t="str">
        <f>IF('Inputs_BY IIS'!N194=0,"",'Inputs_BY IIS'!N194)</f>
        <v/>
      </c>
      <c r="T36" s="166" t="str">
        <f>IF('Inputs_BY IIS'!O194=0,"",'Inputs_BY IIS'!O194)</f>
        <v/>
      </c>
      <c r="U36" s="166" t="str">
        <f>IF('Inputs_BY IIS'!P194=0,"",'Inputs_BY IIS'!P194)</f>
        <v/>
      </c>
      <c r="V36" s="166">
        <f>IF('Inputs_BY IIS'!Q194=0,"",'Inputs_BY IIS'!Q194)</f>
        <v>0.15156978747014552</v>
      </c>
      <c r="W36" s="166">
        <f>IF('Inputs_BY IIS'!R194=0,"",'Inputs_BY IIS'!R194)</f>
        <v>4.6038526356704716</v>
      </c>
      <c r="X36" s="166">
        <f>IF('Inputs_BY IIS'!S194=0,"",'Inputs_BY IIS'!S194)</f>
        <v>1.4565321832670137</v>
      </c>
      <c r="Y36" s="166">
        <f>IF('Inputs_BY IIS'!T194=0,"",'Inputs_BY IIS'!T194)</f>
        <v>4.6854166278782099</v>
      </c>
      <c r="Z36" s="166">
        <f>IF('Inputs_BY IIS'!U194=0,"",'Inputs_BY IIS'!U194)</f>
        <v>4.6854166278782099</v>
      </c>
      <c r="AA36" s="166">
        <f>IF('Inputs_BY IIS'!V194=0,"",'Inputs_BY IIS'!V194)</f>
        <v>0.61462270056275303</v>
      </c>
      <c r="AB36" s="166">
        <f>IF('Inputs_BY IIS'!W194=0,"",'Inputs_BY IIS'!W194)</f>
        <v>1.5137766270658288</v>
      </c>
      <c r="AC36" s="166">
        <f>IF('Inputs_BY IIS'!X194=0,"",'Inputs_BY IIS'!X194)</f>
        <v>4.4273296036504766</v>
      </c>
      <c r="AD36" s="166" t="str">
        <f>IF('Inputs_BY IIS'!Y194=0,"",'Inputs_BY IIS'!Y194)</f>
        <v/>
      </c>
      <c r="AE36" s="166">
        <f>IF('Inputs_BY IIS'!Z194=0,"",'Inputs_BY IIS'!Z194)</f>
        <v>3.0030710593379708</v>
      </c>
      <c r="AF36" s="166" t="str">
        <f>IF('Inputs_BY IIS'!AA194=0,"",'Inputs_BY IIS'!AA194)</f>
        <v/>
      </c>
      <c r="AG36" s="166" t="str">
        <f>IF('Inputs_BY IIS'!AB194=0,"",'Inputs_BY IIS'!AB194)</f>
        <v/>
      </c>
      <c r="AH36" s="166" t="str">
        <f>IF('Inputs_BY IIS'!AC194=0,"",'Inputs_BY IIS'!AC194)</f>
        <v/>
      </c>
      <c r="AI36" s="166">
        <f>IF('Inputs_BY IIS'!AD194=0,"",'Inputs_BY IIS'!AD194)</f>
        <v>1.2831137339050205</v>
      </c>
      <c r="AJ36" s="166">
        <f>IF('Inputs_BY IIS'!AE194=0,"",'Inputs_BY IIS'!AE194)</f>
        <v>4.2302846243107854</v>
      </c>
      <c r="AK36" s="166">
        <f>IF('Inputs_BY IIS'!AF194=0,"",'Inputs_BY IIS'!AF194)</f>
        <v>0.9390761302914763</v>
      </c>
    </row>
    <row r="37" spans="1:40" x14ac:dyDescent="0.25">
      <c r="C37" s="9" t="s">
        <v>333</v>
      </c>
      <c r="G37" s="318"/>
      <c r="H37" s="61" t="s">
        <v>470</v>
      </c>
      <c r="I37" t="s">
        <v>512</v>
      </c>
      <c r="J37" s="166" t="str">
        <f>'Inputs_BY IIS'!E195</f>
        <v/>
      </c>
      <c r="K37" s="166">
        <f>IF('Inputs_BY IIS'!F195=0,"",'Inputs_BY IIS'!F195)</f>
        <v>15.425621095949456</v>
      </c>
      <c r="L37" s="166" t="str">
        <f>IF('Inputs_BY IIS'!G195=0,"",'Inputs_BY IIS'!G195)</f>
        <v/>
      </c>
      <c r="M37" s="166">
        <f>IF('Inputs_BY IIS'!H195=0,"",'Inputs_BY IIS'!H195)</f>
        <v>9.3659706715469806</v>
      </c>
      <c r="N37" s="166">
        <f>IF('Inputs_BY IIS'!I195=0,"",'Inputs_BY IIS'!I195)</f>
        <v>12.216690987093092</v>
      </c>
      <c r="O37" s="166">
        <f>IF('Inputs_BY IIS'!J195=0,"",'Inputs_BY IIS'!J195)</f>
        <v>15.425621095949456</v>
      </c>
      <c r="P37" s="166">
        <f>IF('Inputs_BY IIS'!K195=0,"",'Inputs_BY IIS'!K195)</f>
        <v>5.9878551892988403</v>
      </c>
      <c r="Q37" s="166" t="str">
        <f>IF('Inputs_BY IIS'!L195=0,"",'Inputs_BY IIS'!L195)</f>
        <v/>
      </c>
      <c r="R37" s="166" t="str">
        <f>IF('Inputs_BY IIS'!M195=0,"",'Inputs_BY IIS'!M195)</f>
        <v/>
      </c>
      <c r="S37" s="166">
        <f>IF('Inputs_BY IIS'!N195=0,"",'Inputs_BY IIS'!N195)</f>
        <v>5.4921689126434021</v>
      </c>
      <c r="T37" s="166">
        <f>IF('Inputs_BY IIS'!O195=0,"",'Inputs_BY IIS'!O195)</f>
        <v>5.5335250962844693</v>
      </c>
      <c r="U37" s="166">
        <f>IF('Inputs_BY IIS'!P195=0,"",'Inputs_BY IIS'!P195)</f>
        <v>11.41281642047084</v>
      </c>
      <c r="V37" s="166">
        <f>IF('Inputs_BY IIS'!Q195=0,"",'Inputs_BY IIS'!Q195)</f>
        <v>6.1138920344468737</v>
      </c>
      <c r="W37" s="166">
        <f>IF('Inputs_BY IIS'!R195=0,"",'Inputs_BY IIS'!R195)</f>
        <v>9.5166435955434849</v>
      </c>
      <c r="X37" s="166">
        <f>IF('Inputs_BY IIS'!S195=0,"",'Inputs_BY IIS'!S195)</f>
        <v>9.3125444779460196</v>
      </c>
      <c r="Y37" s="166">
        <f>IF('Inputs_BY IIS'!T195=0,"",'Inputs_BY IIS'!T195)</f>
        <v>8.9667535019433533</v>
      </c>
      <c r="Z37" s="166">
        <f>IF('Inputs_BY IIS'!U195=0,"",'Inputs_BY IIS'!U195)</f>
        <v>9.0628530843727848</v>
      </c>
      <c r="AA37" s="166" t="str">
        <f>IF('Inputs_BY IIS'!V195=0,"",'Inputs_BY IIS'!V195)</f>
        <v/>
      </c>
      <c r="AB37" s="166">
        <f>IF('Inputs_BY IIS'!W195=0,"",'Inputs_BY IIS'!W195)</f>
        <v>15.425621095949456</v>
      </c>
      <c r="AC37" s="166">
        <f>IF('Inputs_BY IIS'!X195=0,"",'Inputs_BY IIS'!X195)</f>
        <v>10.301323453974181</v>
      </c>
      <c r="AD37" s="166">
        <f>IF('Inputs_BY IIS'!Y195=0,"",'Inputs_BY IIS'!Y195)</f>
        <v>4.2932163190554489</v>
      </c>
      <c r="AE37" s="166">
        <f>IF('Inputs_BY IIS'!Z195=0,"",'Inputs_BY IIS'!Z195)</f>
        <v>10.342324903944363</v>
      </c>
      <c r="AF37" s="166">
        <f>IF('Inputs_BY IIS'!AA195=0,"",'Inputs_BY IIS'!AA195)</f>
        <v>7.1997730248944549</v>
      </c>
      <c r="AG37" s="166">
        <f>IF('Inputs_BY IIS'!AB195=0,"",'Inputs_BY IIS'!AB195)</f>
        <v>8.3833262883927127</v>
      </c>
      <c r="AH37" s="166" t="str">
        <f>IF('Inputs_BY IIS'!AC195=0,"",'Inputs_BY IIS'!AC195)</f>
        <v/>
      </c>
      <c r="AI37" s="166">
        <f>IF('Inputs_BY IIS'!AD195=0,"",'Inputs_BY IIS'!AD195)</f>
        <v>9.1238960248399934</v>
      </c>
      <c r="AJ37" s="166">
        <f>IF('Inputs_BY IIS'!AE195=0,"",'Inputs_BY IIS'!AE195)</f>
        <v>8.6592708067208832</v>
      </c>
      <c r="AK37" s="166">
        <f>IF('Inputs_BY IIS'!AF195=0,"",'Inputs_BY IIS'!AF195)</f>
        <v>8.3854974030707599</v>
      </c>
    </row>
    <row r="38" spans="1:40" x14ac:dyDescent="0.25">
      <c r="C38" s="9" t="s">
        <v>334</v>
      </c>
      <c r="G38" s="318"/>
      <c r="H38" s="61" t="s">
        <v>470</v>
      </c>
      <c r="I38" t="s">
        <v>512</v>
      </c>
      <c r="J38" s="166" t="str">
        <f>'Inputs_BY IIS'!E196</f>
        <v/>
      </c>
      <c r="K38" s="166" t="str">
        <f>'Inputs_BY IIS'!F196</f>
        <v/>
      </c>
      <c r="L38" s="166" t="str">
        <f>'Inputs_BY IIS'!G196</f>
        <v/>
      </c>
      <c r="M38" s="166" t="str">
        <f>'Inputs_BY IIS'!H196</f>
        <v/>
      </c>
      <c r="N38" s="166" t="str">
        <f>'Inputs_BY IIS'!I196</f>
        <v/>
      </c>
      <c r="O38" s="166" t="str">
        <f>'Inputs_BY IIS'!J196</f>
        <v/>
      </c>
      <c r="P38" s="166" t="str">
        <f>'Inputs_BY IIS'!K196</f>
        <v/>
      </c>
      <c r="Q38" s="166" t="str">
        <f>'Inputs_BY IIS'!L196</f>
        <v/>
      </c>
      <c r="R38" s="166" t="str">
        <f>'Inputs_BY IIS'!M196</f>
        <v/>
      </c>
      <c r="S38" s="166" t="str">
        <f>'Inputs_BY IIS'!N196</f>
        <v/>
      </c>
      <c r="T38" s="166" t="str">
        <f>'Inputs_BY IIS'!O196</f>
        <v/>
      </c>
      <c r="U38" s="166" t="str">
        <f>'Inputs_BY IIS'!P196</f>
        <v/>
      </c>
      <c r="V38" s="166" t="str">
        <f>'Inputs_BY IIS'!Q196</f>
        <v/>
      </c>
      <c r="W38" s="166" t="str">
        <f>'Inputs_BY IIS'!R196</f>
        <v/>
      </c>
      <c r="X38" s="166">
        <f>'Inputs_BY IIS'!S196</f>
        <v>5.714642398718791E-2</v>
      </c>
      <c r="Y38" s="166" t="str">
        <f>'Inputs_BY IIS'!T196</f>
        <v/>
      </c>
      <c r="Z38" s="166" t="str">
        <f>'Inputs_BY IIS'!U196</f>
        <v/>
      </c>
      <c r="AA38" s="166" t="str">
        <f>'Inputs_BY IIS'!V196</f>
        <v/>
      </c>
      <c r="AB38" s="166" t="str">
        <f>'Inputs_BY IIS'!W196</f>
        <v/>
      </c>
      <c r="AC38" s="166" t="str">
        <f>'Inputs_BY IIS'!X196</f>
        <v/>
      </c>
      <c r="AD38" s="166" t="str">
        <f>'Inputs_BY IIS'!Y196</f>
        <v/>
      </c>
      <c r="AE38" s="166" t="str">
        <f>'Inputs_BY IIS'!Z196</f>
        <v/>
      </c>
      <c r="AF38" s="166" t="str">
        <f>'Inputs_BY IIS'!AA196</f>
        <v/>
      </c>
      <c r="AG38" s="166" t="str">
        <f>'Inputs_BY IIS'!AB196</f>
        <v/>
      </c>
      <c r="AH38" s="166" t="str">
        <f>'Inputs_BY IIS'!AC196</f>
        <v/>
      </c>
      <c r="AI38" s="166" t="str">
        <f>'Inputs_BY IIS'!AD196</f>
        <v/>
      </c>
      <c r="AJ38" s="166" t="str">
        <f>'Inputs_BY IIS'!AE196</f>
        <v/>
      </c>
      <c r="AK38" s="166" t="str">
        <f>'Inputs_BY IIS'!AF196</f>
        <v/>
      </c>
    </row>
    <row r="39" spans="1:40" x14ac:dyDescent="0.25">
      <c r="C39" s="9" t="s">
        <v>1639</v>
      </c>
      <c r="G39" s="318"/>
      <c r="H39" s="61" t="s">
        <v>470</v>
      </c>
      <c r="I39" t="s">
        <v>512</v>
      </c>
      <c r="J39" s="166" t="str">
        <f>'Inputs_BY IIS'!E197</f>
        <v/>
      </c>
      <c r="K39" s="166" t="str">
        <f>'Inputs_BY IIS'!F197</f>
        <v/>
      </c>
      <c r="L39" s="166" t="str">
        <f>'Inputs_BY IIS'!G197</f>
        <v/>
      </c>
      <c r="M39" s="166" t="str">
        <f>'Inputs_BY IIS'!H197</f>
        <v/>
      </c>
      <c r="N39" s="166" t="str">
        <f>'Inputs_BY IIS'!I197</f>
        <v/>
      </c>
      <c r="O39" s="166">
        <f>'Inputs_BY IIS'!J197</f>
        <v>1.3127000027009037</v>
      </c>
      <c r="P39" s="166" t="str">
        <f>'Inputs_BY IIS'!K197</f>
        <v/>
      </c>
      <c r="Q39" s="166" t="str">
        <f>'Inputs_BY IIS'!L197</f>
        <v/>
      </c>
      <c r="R39" s="166" t="str">
        <f>'Inputs_BY IIS'!M197</f>
        <v/>
      </c>
      <c r="S39" s="166" t="str">
        <f>'Inputs_BY IIS'!N197</f>
        <v/>
      </c>
      <c r="T39" s="166" t="str">
        <f>'Inputs_BY IIS'!O197</f>
        <v/>
      </c>
      <c r="U39" s="166" t="str">
        <f>'Inputs_BY IIS'!P197</f>
        <v/>
      </c>
      <c r="V39" s="166" t="str">
        <f>'Inputs_BY IIS'!Q197</f>
        <v/>
      </c>
      <c r="W39" s="166" t="str">
        <f>'Inputs_BY IIS'!R197</f>
        <v/>
      </c>
      <c r="X39" s="166" t="str">
        <f>'Inputs_BY IIS'!S197</f>
        <v/>
      </c>
      <c r="Y39" s="166" t="str">
        <f>'Inputs_BY IIS'!T197</f>
        <v/>
      </c>
      <c r="Z39" s="166">
        <f>'Inputs_BY IIS'!U197</f>
        <v>2.7797871291888356E-2</v>
      </c>
      <c r="AA39" s="166" t="str">
        <f>'Inputs_BY IIS'!V197</f>
        <v/>
      </c>
      <c r="AB39" s="166" t="str">
        <f>'Inputs_BY IIS'!W197</f>
        <v/>
      </c>
      <c r="AC39" s="166" t="str">
        <f>'Inputs_BY IIS'!X197</f>
        <v/>
      </c>
      <c r="AD39" s="166" t="str">
        <f>'Inputs_BY IIS'!Y197</f>
        <v/>
      </c>
      <c r="AE39" s="166" t="str">
        <f>'Inputs_BY IIS'!Z197</f>
        <v/>
      </c>
      <c r="AF39" s="166" t="str">
        <f>'Inputs_BY IIS'!AA197</f>
        <v/>
      </c>
      <c r="AG39" s="166" t="str">
        <f>'Inputs_BY IIS'!AB197</f>
        <v/>
      </c>
      <c r="AH39" s="166" t="str">
        <f>'Inputs_BY IIS'!AC197</f>
        <v/>
      </c>
      <c r="AI39" s="166" t="str">
        <f>'Inputs_BY IIS'!AD197</f>
        <v/>
      </c>
      <c r="AJ39" s="166" t="str">
        <f>'Inputs_BY IIS'!AE197</f>
        <v/>
      </c>
      <c r="AK39" s="166" t="str">
        <f>'Inputs_BY IIS'!AF197</f>
        <v/>
      </c>
    </row>
    <row r="40" spans="1:40" x14ac:dyDescent="0.25">
      <c r="C40" s="9" t="s">
        <v>335</v>
      </c>
      <c r="G40" s="318"/>
      <c r="H40" s="61" t="s">
        <v>470</v>
      </c>
      <c r="I40" t="s">
        <v>512</v>
      </c>
      <c r="J40" s="166" t="str">
        <f>'Inputs_BY IIS'!E198</f>
        <v/>
      </c>
      <c r="K40" s="166" t="str">
        <f>'Inputs_BY IIS'!F198</f>
        <v/>
      </c>
      <c r="L40" s="166" t="str">
        <f>'Inputs_BY IIS'!G198</f>
        <v/>
      </c>
      <c r="M40" s="166" t="str">
        <f>'Inputs_BY IIS'!H198</f>
        <v/>
      </c>
      <c r="N40" s="166" t="str">
        <f>'Inputs_BY IIS'!I198</f>
        <v/>
      </c>
      <c r="O40" s="166" t="str">
        <f>'Inputs_BY IIS'!J198</f>
        <v/>
      </c>
      <c r="P40" s="166" t="str">
        <f>'Inputs_BY IIS'!K198</f>
        <v/>
      </c>
      <c r="Q40" s="166" t="str">
        <f>'Inputs_BY IIS'!L198</f>
        <v/>
      </c>
      <c r="R40" s="166" t="str">
        <f>'Inputs_BY IIS'!M198</f>
        <v/>
      </c>
      <c r="S40" s="166" t="str">
        <f>'Inputs_BY IIS'!N198</f>
        <v/>
      </c>
      <c r="T40" s="166" t="str">
        <f>'Inputs_BY IIS'!O198</f>
        <v/>
      </c>
      <c r="U40" s="166" t="str">
        <f>'Inputs_BY IIS'!P198</f>
        <v/>
      </c>
      <c r="V40" s="166" t="str">
        <f>'Inputs_BY IIS'!Q198</f>
        <v/>
      </c>
      <c r="W40" s="166" t="str">
        <f>'Inputs_BY IIS'!R198</f>
        <v/>
      </c>
      <c r="X40" s="166" t="str">
        <f>'Inputs_BY IIS'!S198</f>
        <v/>
      </c>
      <c r="Y40" s="166" t="str">
        <f>'Inputs_BY IIS'!T198</f>
        <v/>
      </c>
      <c r="Z40" s="166" t="str">
        <f>'Inputs_BY IIS'!U198</f>
        <v/>
      </c>
      <c r="AA40" s="166" t="str">
        <f>'Inputs_BY IIS'!V198</f>
        <v/>
      </c>
      <c r="AB40" s="166" t="str">
        <f>'Inputs_BY IIS'!W198</f>
        <v/>
      </c>
      <c r="AC40" s="166" t="str">
        <f>'Inputs_BY IIS'!X198</f>
        <v/>
      </c>
      <c r="AD40" s="166">
        <f>'Inputs_BY IIS'!Y198</f>
        <v>6.7183677964877928</v>
      </c>
      <c r="AE40" s="166" t="str">
        <f>'Inputs_BY IIS'!Z198</f>
        <v/>
      </c>
      <c r="AF40" s="166" t="str">
        <f>'Inputs_BY IIS'!AA198</f>
        <v/>
      </c>
      <c r="AG40" s="166" t="str">
        <f>'Inputs_BY IIS'!AB198</f>
        <v/>
      </c>
      <c r="AH40" s="166" t="str">
        <f>'Inputs_BY IIS'!AC198</f>
        <v/>
      </c>
      <c r="AI40" s="166" t="str">
        <f>'Inputs_BY IIS'!AD198</f>
        <v/>
      </c>
      <c r="AJ40" s="166" t="str">
        <f>'Inputs_BY IIS'!AE198</f>
        <v/>
      </c>
      <c r="AK40" s="166" t="str">
        <f>'Inputs_BY IIS'!AF198</f>
        <v/>
      </c>
    </row>
    <row r="41" spans="1:40" x14ac:dyDescent="0.25">
      <c r="C41" t="s">
        <v>578</v>
      </c>
      <c r="G41" s="9"/>
      <c r="H41" s="61" t="s">
        <v>470</v>
      </c>
      <c r="I41" t="s">
        <v>579</v>
      </c>
      <c r="J41" s="294"/>
      <c r="K41" s="294">
        <f>'Inputs_BY IIS'!F89</f>
        <v>0.125</v>
      </c>
      <c r="L41" s="294"/>
      <c r="M41" s="294">
        <f>'Inputs_BY IIS'!H89</f>
        <v>0.125</v>
      </c>
      <c r="N41" s="294">
        <f>'Inputs_BY IIS'!I89</f>
        <v>0.125</v>
      </c>
      <c r="O41" s="294">
        <f>'Inputs_BY IIS'!J89</f>
        <v>0.125</v>
      </c>
      <c r="P41" s="294">
        <f>'Inputs_BY IIS'!K89</f>
        <v>0.125</v>
      </c>
      <c r="Q41" s="294"/>
      <c r="R41" s="294">
        <f>'Inputs_BY IIS'!M89</f>
        <v>0.125</v>
      </c>
      <c r="S41" s="294">
        <f>'Inputs_BY IIS'!N89</f>
        <v>0.125</v>
      </c>
      <c r="T41" s="294">
        <f>'Inputs_BY IIS'!O89</f>
        <v>0.125</v>
      </c>
      <c r="U41" s="294">
        <f>'Inputs_BY IIS'!P89</f>
        <v>0.125</v>
      </c>
      <c r="V41" s="294">
        <f>'Inputs_BY IIS'!Q89</f>
        <v>0.125</v>
      </c>
      <c r="W41" s="294">
        <f>'Inputs_BY IIS'!R89</f>
        <v>0.125</v>
      </c>
      <c r="X41" s="294">
        <f>'Inputs_BY IIS'!S89</f>
        <v>0.125</v>
      </c>
      <c r="Y41" s="294">
        <f>'Inputs_BY IIS'!T89</f>
        <v>0.125</v>
      </c>
      <c r="Z41" s="294">
        <f>'Inputs_BY IIS'!U89</f>
        <v>0.125</v>
      </c>
      <c r="AA41" s="294">
        <f>'Inputs_BY IIS'!V89</f>
        <v>0.125</v>
      </c>
      <c r="AB41" s="294">
        <f>'Inputs_BY IIS'!W89</f>
        <v>0.125</v>
      </c>
      <c r="AC41" s="294">
        <f>'Inputs_BY IIS'!X89</f>
        <v>0.125</v>
      </c>
      <c r="AD41" s="294">
        <f>'Inputs_BY IIS'!Y89</f>
        <v>0.125</v>
      </c>
      <c r="AE41" s="294">
        <f>'Inputs_BY IIS'!Z89</f>
        <v>0.125</v>
      </c>
      <c r="AF41" s="294">
        <f>'Inputs_BY IIS'!AA89</f>
        <v>0.125</v>
      </c>
      <c r="AG41" s="294">
        <f>'Inputs_BY IIS'!AB89</f>
        <v>0.125</v>
      </c>
      <c r="AH41" s="294"/>
      <c r="AI41" s="294">
        <f>'Inputs_BY IIS'!AD89</f>
        <v>0.125</v>
      </c>
      <c r="AJ41" s="294">
        <f>'Inputs_BY IIS'!AE89</f>
        <v>0.125</v>
      </c>
      <c r="AK41" s="294">
        <f>'Inputs_BY IIS'!AF89</f>
        <v>0.125</v>
      </c>
    </row>
    <row r="42" spans="1:40" x14ac:dyDescent="0.25">
      <c r="C42"/>
      <c r="D42" s="9" t="s">
        <v>1627</v>
      </c>
      <c r="G42" s="9"/>
      <c r="H42" s="61" t="s">
        <v>472</v>
      </c>
      <c r="I42" t="s">
        <v>512</v>
      </c>
      <c r="J42" s="294" t="str">
        <f>IF('Inputs_BY IIS'!E176=0,"",'Inputs_BY IIS'!E176)</f>
        <v/>
      </c>
      <c r="K42" s="294" t="str">
        <f>IF('Inputs_BY IIS'!F176=0,"",'Inputs_BY IIS'!F176)</f>
        <v/>
      </c>
      <c r="L42" s="294" t="str">
        <f>IF('Inputs_BY IIS'!G176=0,"",'Inputs_BY IIS'!G176)</f>
        <v/>
      </c>
      <c r="M42" s="294" t="str">
        <f>IF('Inputs_BY IIS'!H176=0,"",'Inputs_BY IIS'!H176)</f>
        <v/>
      </c>
      <c r="N42" s="294">
        <f>IF('Inputs_BY IIS'!I176=0,"",'Inputs_BY IIS'!I176)</f>
        <v>5.2163907886639089</v>
      </c>
      <c r="O42" s="294">
        <f>IF('Inputs_BY IIS'!J176=0,"",'Inputs_BY IIS'!J176)</f>
        <v>2.2749917290104835</v>
      </c>
      <c r="P42" s="294" t="str">
        <f>IF('Inputs_BY IIS'!K176=0,"",'Inputs_BY IIS'!K176)</f>
        <v/>
      </c>
      <c r="Q42" s="294" t="str">
        <f>IF('Inputs_BY IIS'!L176=0,"",'Inputs_BY IIS'!L176)</f>
        <v/>
      </c>
      <c r="R42" s="294" t="str">
        <f>IF('Inputs_BY IIS'!M176=0,"",'Inputs_BY IIS'!M176)</f>
        <v/>
      </c>
      <c r="S42" s="294" t="str">
        <f>IF('Inputs_BY IIS'!N176=0,"",'Inputs_BY IIS'!N176)</f>
        <v/>
      </c>
      <c r="T42" s="294">
        <f>IF('Inputs_BY IIS'!O176=0,"",'Inputs_BY IIS'!O176)</f>
        <v>1.6240592724015361</v>
      </c>
      <c r="U42" s="294">
        <f>IF('Inputs_BY IIS'!P176=0,"",'Inputs_BY IIS'!P176)</f>
        <v>1.2624923303772864</v>
      </c>
      <c r="V42" s="294">
        <f>IF('Inputs_BY IIS'!Q176=0,"",'Inputs_BY IIS'!Q176)</f>
        <v>0.8227328579534583</v>
      </c>
      <c r="W42" s="294">
        <f>IF('Inputs_BY IIS'!R176=0,"",'Inputs_BY IIS'!R176)</f>
        <v>4.8222769152820515</v>
      </c>
      <c r="X42" s="294">
        <f>IF('Inputs_BY IIS'!S176=0,"",'Inputs_BY IIS'!S176)</f>
        <v>2.9585976306931672</v>
      </c>
      <c r="Y42" s="294">
        <f>IF('Inputs_BY IIS'!T176=0,"",'Inputs_BY IIS'!T176)</f>
        <v>6.3684752206482393</v>
      </c>
      <c r="Z42" s="294">
        <f>IF('Inputs_BY IIS'!U176=0,"",'Inputs_BY IIS'!U176)</f>
        <v>3.7460285535143747</v>
      </c>
      <c r="AA42" s="294" t="str">
        <f>IF('Inputs_BY IIS'!V176=0,"",'Inputs_BY IIS'!V176)</f>
        <v/>
      </c>
      <c r="AB42" s="294" t="str">
        <f>IF('Inputs_BY IIS'!W176=0,"",'Inputs_BY IIS'!W176)</f>
        <v/>
      </c>
      <c r="AC42" s="294">
        <f>IF('Inputs_BY IIS'!X176=0,"",'Inputs_BY IIS'!X176)</f>
        <v>3.1532463478898531</v>
      </c>
      <c r="AD42" s="294">
        <f>IF('Inputs_BY IIS'!Y176=0,"",'Inputs_BY IIS'!Y176)</f>
        <v>2.0798463570916685</v>
      </c>
      <c r="AE42" s="294">
        <f>IF('Inputs_BY IIS'!Z176=0,"",'Inputs_BY IIS'!Z176)</f>
        <v>5.1063674240727703</v>
      </c>
      <c r="AF42" s="294">
        <f>IF('Inputs_BY IIS'!AA176=0,"",'Inputs_BY IIS'!AA176)</f>
        <v>2.3803397839303098</v>
      </c>
      <c r="AG42" s="294">
        <f>IF('Inputs_BY IIS'!AB176=0,"",'Inputs_BY IIS'!AB176)</f>
        <v>2.9375178743203727</v>
      </c>
      <c r="AH42" s="294" t="str">
        <f>IF('Inputs_BY IIS'!AC176=0,"",'Inputs_BY IIS'!AC176)</f>
        <v/>
      </c>
      <c r="AI42" s="294">
        <f>IF('Inputs_BY IIS'!AD176=0,"",'Inputs_BY IIS'!AD176)</f>
        <v>1.2276354661890618</v>
      </c>
      <c r="AJ42" s="294">
        <f>IF('Inputs_BY IIS'!AE176=0,"",'Inputs_BY IIS'!AE176)</f>
        <v>4.680846369602941</v>
      </c>
      <c r="AK42" s="294">
        <f>IF('Inputs_BY IIS'!AF176=0,"",'Inputs_BY IIS'!AF176)</f>
        <v>1.5230179894022791</v>
      </c>
      <c r="AN42" s="147" t="str">
        <f>'Inputs_BY IIS'!AH176</f>
        <v>BFG production net of use in I&amp;S sector</v>
      </c>
    </row>
    <row r="43" spans="1:40" x14ac:dyDescent="0.25">
      <c r="C43" s="1"/>
      <c r="D43" s="1" t="s">
        <v>1640</v>
      </c>
      <c r="G43" s="9"/>
      <c r="H43" s="61" t="s">
        <v>472</v>
      </c>
      <c r="I43" t="s">
        <v>1628</v>
      </c>
      <c r="J43" s="166" t="str">
        <f>IF(IFERROR($AM43*('Inputs_BY IIS'!E186+'Inputs_BY IIS'!E189),"")=0,"",IFERROR($AM43*('Inputs_BY IIS'!E186+'Inputs_BY IIS'!E189),""))</f>
        <v/>
      </c>
      <c r="K43" s="166">
        <f>IF(IFERROR($AM43*('Inputs_BY IIS'!F186+'Inputs_BY IIS'!F189),"")=0,"",IFERROR($AM43*('Inputs_BY IIS'!F186+'Inputs_BY IIS'!F189),""))</f>
        <v>891.47636061928108</v>
      </c>
      <c r="L43" s="166" t="str">
        <f>IF(IFERROR($AM43*('Inputs_BY IIS'!G186+'Inputs_BY IIS'!G189),"")=0,"",IFERROR($AM43*('Inputs_BY IIS'!G186+'Inputs_BY IIS'!G189),""))</f>
        <v/>
      </c>
      <c r="M43" s="166">
        <f>IF(IFERROR($AM43*('Inputs_BY IIS'!H186+'Inputs_BY IIS'!H189),"")=0,"",IFERROR($AM43*('Inputs_BY IIS'!H186+'Inputs_BY IIS'!H189),""))</f>
        <v>974.61965585019266</v>
      </c>
      <c r="N43" s="166">
        <f>IF(IFERROR($AM43*('Inputs_BY IIS'!I186+'Inputs_BY IIS'!I189),"")=0,"",IFERROR($AM43*('Inputs_BY IIS'!I186+'Inputs_BY IIS'!I189),""))</f>
        <v>1091.3009712821365</v>
      </c>
      <c r="O43" s="166">
        <f>IF(IFERROR($AM43*('Inputs_BY IIS'!J186+'Inputs_BY IIS'!J189),"")=0,"",IFERROR($AM43*('Inputs_BY IIS'!J186+'Inputs_BY IIS'!J189),""))</f>
        <v>1329.0242943955834</v>
      </c>
      <c r="P43" s="166">
        <f>IF(IFERROR($AM43*('Inputs_BY IIS'!K186+'Inputs_BY IIS'!K189),"")=0,"",IFERROR($AM43*('Inputs_BY IIS'!K186+'Inputs_BY IIS'!K189),""))</f>
        <v>850.52688242564273</v>
      </c>
      <c r="Q43" s="166" t="str">
        <f>IF(IFERROR($AM43*('Inputs_BY IIS'!L186+'Inputs_BY IIS'!L189),"")=0,"",IFERROR($AM43*('Inputs_BY IIS'!L186+'Inputs_BY IIS'!L189),""))</f>
        <v/>
      </c>
      <c r="R43" s="166" t="str">
        <f>IF(IFERROR($AM43*('Inputs_BY IIS'!M186+'Inputs_BY IIS'!M189),"")=0,"",IFERROR($AM43*('Inputs_BY IIS'!M186+'Inputs_BY IIS'!M189),""))</f>
        <v/>
      </c>
      <c r="S43" s="166">
        <f>IF(IFERROR($AM43*('Inputs_BY IIS'!N186+'Inputs_BY IIS'!N189),"")=0,"",IFERROR($AM43*('Inputs_BY IIS'!N186+'Inputs_BY IIS'!N189),""))</f>
        <v>617.86303912385142</v>
      </c>
      <c r="T43" s="166">
        <f>IF(IFERROR($AM43*('Inputs_BY IIS'!O186+'Inputs_BY IIS'!O189),"")=0,"",IFERROR($AM43*('Inputs_BY IIS'!O186+'Inputs_BY IIS'!O189),""))</f>
        <v>422.25541082439941</v>
      </c>
      <c r="U43" s="166">
        <f>IF(IFERROR($AM43*('Inputs_BY IIS'!P186+'Inputs_BY IIS'!P189),"")=0,"",IFERROR($AM43*('Inputs_BY IIS'!P186+'Inputs_BY IIS'!P189),""))</f>
        <v>1004.7069757033654</v>
      </c>
      <c r="V43" s="166">
        <f>IF(IFERROR($AM43*('Inputs_BY IIS'!Q186+'Inputs_BY IIS'!Q189),"")=0,"",IFERROR($AM43*('Inputs_BY IIS'!Q186+'Inputs_BY IIS'!Q189),""))</f>
        <v>340.15970672169851</v>
      </c>
      <c r="W43" s="166">
        <f>IF(IFERROR($AM43*('Inputs_BY IIS'!R186+'Inputs_BY IIS'!R189),"")=0,"",IFERROR($AM43*('Inputs_BY IIS'!R186+'Inputs_BY IIS'!R189),""))</f>
        <v>676.99926228680692</v>
      </c>
      <c r="X43" s="166">
        <f>IF(IFERROR($AM43*('Inputs_BY IIS'!S186+'Inputs_BY IIS'!S189),"")=0,"",IFERROR($AM43*('Inputs_BY IIS'!S186+'Inputs_BY IIS'!S189),""))</f>
        <v>570.00388502350211</v>
      </c>
      <c r="Y43" s="166">
        <f>IF(IFERROR($AM43*('Inputs_BY IIS'!T186+'Inputs_BY IIS'!T189),"")=0,"",IFERROR($AM43*('Inputs_BY IIS'!T186+'Inputs_BY IIS'!T189),""))</f>
        <v>932.07741611302663</v>
      </c>
      <c r="Z43" s="166">
        <f>IF(IFERROR($AM43*('Inputs_BY IIS'!U186+'Inputs_BY IIS'!U189),"")=0,"",IFERROR($AM43*('Inputs_BY IIS'!U186+'Inputs_BY IIS'!U189),""))</f>
        <v>626.8199795162077</v>
      </c>
      <c r="AA43" s="166">
        <f>IF(IFERROR($AM43*('Inputs_BY IIS'!V186+'Inputs_BY IIS'!V189),"")=0,"",IFERROR($AM43*('Inputs_BY IIS'!V186+'Inputs_BY IIS'!V189),""))</f>
        <v>66.969302094998</v>
      </c>
      <c r="AB43" s="166">
        <f>IF(IFERROR($AM43*('Inputs_BY IIS'!W186+'Inputs_BY IIS'!W189),"")=0,"",IFERROR($AM43*('Inputs_BY IIS'!W186+'Inputs_BY IIS'!W189),""))</f>
        <v>2553.0654820275518</v>
      </c>
      <c r="AC43" s="166">
        <f>IF(IFERROR($AM43*('Inputs_BY IIS'!X186+'Inputs_BY IIS'!X189),"")=0,"",IFERROR($AM43*('Inputs_BY IIS'!X186+'Inputs_BY IIS'!X189),""))</f>
        <v>725.51820841000983</v>
      </c>
      <c r="AD43" s="166">
        <f>IF(IFERROR($AM43*('Inputs_BY IIS'!Y186+'Inputs_BY IIS'!Y189),"")=0,"",IFERROR($AM43*('Inputs_BY IIS'!Y186+'Inputs_BY IIS'!Y189),""))</f>
        <v>414.61926972610382</v>
      </c>
      <c r="AE43" s="166">
        <f>IF(IFERROR($AM43*('Inputs_BY IIS'!Z186+'Inputs_BY IIS'!Z189),"")=0,"",IFERROR($AM43*('Inputs_BY IIS'!Z186+'Inputs_BY IIS'!Z189),""))</f>
        <v>843.26347845090049</v>
      </c>
      <c r="AF43" s="166">
        <f>IF(IFERROR($AM43*('Inputs_BY IIS'!AA186+'Inputs_BY IIS'!AA189),"")=0,"",IFERROR($AM43*('Inputs_BY IIS'!AA186+'Inputs_BY IIS'!AA189),""))</f>
        <v>352.726044430537</v>
      </c>
      <c r="AG43" s="166">
        <f>IF(IFERROR($AM43*('Inputs_BY IIS'!AB186+'Inputs_BY IIS'!AB189),"")=0,"",IFERROR($AM43*('Inputs_BY IIS'!AB186+'Inputs_BY IIS'!AB189),""))</f>
        <v>780.13514530353098</v>
      </c>
      <c r="AH43" s="166" t="str">
        <f>IF(IFERROR($AM43*('Inputs_BY IIS'!AC186+'Inputs_BY IIS'!AC189),"")=0,"",IFERROR($AM43*('Inputs_BY IIS'!AC186+'Inputs_BY IIS'!AC189),""))</f>
        <v/>
      </c>
      <c r="AI43" s="166">
        <f>IF(IFERROR($AM43*('Inputs_BY IIS'!AD186+'Inputs_BY IIS'!AD189),"")=0,"",IFERROR($AM43*('Inputs_BY IIS'!AD186+'Inputs_BY IIS'!AD189),""))</f>
        <v>763.65749690389941</v>
      </c>
      <c r="AJ43" s="166">
        <f>IF(IFERROR($AM43*('Inputs_BY IIS'!AE186+'Inputs_BY IIS'!AE189),"")=0,"",IFERROR($AM43*('Inputs_BY IIS'!AE186+'Inputs_BY IIS'!AE189),""))</f>
        <v>574.76465415108657</v>
      </c>
      <c r="AK43" s="166">
        <f>IF(IFERROR($AM43*('Inputs_BY IIS'!AF186+'Inputs_BY IIS'!AF189),"")=0,"",IFERROR($AM43*('Inputs_BY IIS'!AF186+'Inputs_BY IIS'!AF189),""))</f>
        <v>807.39638443211481</v>
      </c>
      <c r="AM43" s="1">
        <v>260</v>
      </c>
      <c r="AN43" s="9" t="s">
        <v>1634</v>
      </c>
    </row>
    <row r="44" spans="1:40" x14ac:dyDescent="0.25">
      <c r="C44" s="1"/>
      <c r="D44" s="1" t="s">
        <v>159</v>
      </c>
      <c r="G44" s="9"/>
      <c r="H44" s="61" t="s">
        <v>472</v>
      </c>
      <c r="I44" t="s">
        <v>1628</v>
      </c>
      <c r="J44" s="166" t="str">
        <f>IF('Inputs_BY IIS'!E81*'Inputs_BY IIS'!E85=0,"",$AM$44)</f>
        <v/>
      </c>
      <c r="K44" s="166">
        <f>IF('Inputs_BY IIS'!F81*'Inputs_BY IIS'!F85=0,"",$AM$44)</f>
        <v>392.37852451558706</v>
      </c>
      <c r="L44" s="166" t="str">
        <f>IF('Inputs_BY IIS'!G81*'Inputs_BY IIS'!G85=0,"",$AM$44)</f>
        <v/>
      </c>
      <c r="M44" s="166">
        <f>IF('Inputs_BY IIS'!H81*'Inputs_BY IIS'!H85=0,"",$AM$44)</f>
        <v>392.37852451558706</v>
      </c>
      <c r="N44" s="166">
        <f>IF('Inputs_BY IIS'!I81*'Inputs_BY IIS'!I85=0,"",$AM$44)</f>
        <v>392.37852451558706</v>
      </c>
      <c r="O44" s="166">
        <f>IF('Inputs_BY IIS'!J81*'Inputs_BY IIS'!J85=0,"",$AM$44)</f>
        <v>392.37852451558706</v>
      </c>
      <c r="P44" s="166">
        <f>IF('Inputs_BY IIS'!K81*'Inputs_BY IIS'!K85=0,"",$AM$44)</f>
        <v>392.37852451558706</v>
      </c>
      <c r="Q44" s="166" t="str">
        <f>IF('Inputs_BY IIS'!L81*'Inputs_BY IIS'!L85=0,"",$AM$44)</f>
        <v/>
      </c>
      <c r="R44" s="166">
        <f>IF('Inputs_BY IIS'!M81*'Inputs_BY IIS'!M85=0,"",$AM$44)</f>
        <v>392.37852451558706</v>
      </c>
      <c r="S44" s="166">
        <f>IF('Inputs_BY IIS'!N81*'Inputs_BY IIS'!N85=0,"",$AM$44)</f>
        <v>392.37852451558706</v>
      </c>
      <c r="T44" s="166">
        <f>IF('Inputs_BY IIS'!O81*'Inputs_BY IIS'!O85=0,"",$AM$44)</f>
        <v>392.37852451558706</v>
      </c>
      <c r="U44" s="166">
        <f>IF('Inputs_BY IIS'!P81*'Inputs_BY IIS'!P85=0,"",$AM$44)</f>
        <v>392.37852451558706</v>
      </c>
      <c r="V44" s="166">
        <f>IF('Inputs_BY IIS'!Q81*'Inputs_BY IIS'!Q85=0,"",$AM$44)</f>
        <v>392.37852451558706</v>
      </c>
      <c r="W44" s="166">
        <f>IF('Inputs_BY IIS'!R81*'Inputs_BY IIS'!R85=0,"",$AM$44)</f>
        <v>392.37852451558706</v>
      </c>
      <c r="X44" s="166">
        <f>IF('Inputs_BY IIS'!S81*'Inputs_BY IIS'!S85=0,"",$AM$44)</f>
        <v>392.37852451558706</v>
      </c>
      <c r="Y44" s="166">
        <f>IF('Inputs_BY IIS'!T81*'Inputs_BY IIS'!T85=0,"",$AM$44)</f>
        <v>392.37852451558706</v>
      </c>
      <c r="Z44" s="166">
        <f>IF('Inputs_BY IIS'!U81*'Inputs_BY IIS'!U85=0,"",$AM$44)</f>
        <v>392.37852451558706</v>
      </c>
      <c r="AA44" s="166">
        <f>IF('Inputs_BY IIS'!V81*'Inputs_BY IIS'!V85=0,"",$AM$44)</f>
        <v>392.37852451558706</v>
      </c>
      <c r="AB44" s="166">
        <f>IF('Inputs_BY IIS'!W81*'Inputs_BY IIS'!W85=0,"",$AM$44)</f>
        <v>392.37852451558706</v>
      </c>
      <c r="AC44" s="166">
        <f>IF('Inputs_BY IIS'!X81*'Inputs_BY IIS'!X85=0,"",$AM$44)</f>
        <v>392.37852451558706</v>
      </c>
      <c r="AD44" s="166">
        <f>IF('Inputs_BY IIS'!Y81*'Inputs_BY IIS'!Y85=0,"",$AM$44)</f>
        <v>392.37852451558706</v>
      </c>
      <c r="AE44" s="166">
        <f>IF('Inputs_BY IIS'!Z81*'Inputs_BY IIS'!Z85=0,"",$AM$44)</f>
        <v>392.37852451558706</v>
      </c>
      <c r="AF44" s="166">
        <f>IF('Inputs_BY IIS'!AA81*'Inputs_BY IIS'!AA85=0,"",$AM$44)</f>
        <v>392.37852451558706</v>
      </c>
      <c r="AG44" s="166">
        <f>IF('Inputs_BY IIS'!AB81*'Inputs_BY IIS'!AB85=0,"",$AM$44)</f>
        <v>392.37852451558706</v>
      </c>
      <c r="AH44" s="166" t="str">
        <f>IF('Inputs_BY IIS'!AC81*'Inputs_BY IIS'!AC85=0,"",$AM$44)</f>
        <v/>
      </c>
      <c r="AI44" s="166">
        <f>IF('Inputs_BY IIS'!AD81*'Inputs_BY IIS'!AD85=0,"",$AM$44)</f>
        <v>392.37852451558706</v>
      </c>
      <c r="AJ44" s="166">
        <f>IF('Inputs_BY IIS'!AE81*'Inputs_BY IIS'!AE85=0,"",$AM$44)</f>
        <v>392.37852451558706</v>
      </c>
      <c r="AK44" s="166">
        <f>IF('Inputs_BY IIS'!AF81*'Inputs_BY IIS'!AF85=0,"",$AM$44)</f>
        <v>392.37852451558706</v>
      </c>
      <c r="AM44" s="1">
        <f>523000/(SUM(J9:AK9)/1.25)</f>
        <v>392.37852451558706</v>
      </c>
      <c r="AN44" s="9" t="s">
        <v>1642</v>
      </c>
    </row>
    <row r="45" spans="1:40" x14ac:dyDescent="0.25">
      <c r="D45" s="9" t="s">
        <v>366</v>
      </c>
      <c r="G45" s="9"/>
      <c r="H45" s="61" t="s">
        <v>472</v>
      </c>
      <c r="I45" s="61" t="s">
        <v>454</v>
      </c>
      <c r="J45" s="289"/>
      <c r="K45" s="289">
        <v>1</v>
      </c>
      <c r="L45" s="289"/>
      <c r="M45" s="289">
        <v>1</v>
      </c>
      <c r="N45" s="289">
        <v>1</v>
      </c>
      <c r="O45" s="289">
        <v>1</v>
      </c>
      <c r="P45" s="289">
        <v>1</v>
      </c>
      <c r="Q45" s="289"/>
      <c r="R45" s="289">
        <v>1</v>
      </c>
      <c r="S45" s="289">
        <v>1</v>
      </c>
      <c r="T45" s="289">
        <v>1</v>
      </c>
      <c r="U45" s="289">
        <v>1</v>
      </c>
      <c r="V45" s="289">
        <v>1</v>
      </c>
      <c r="W45" s="289">
        <v>1</v>
      </c>
      <c r="X45" s="289">
        <v>1</v>
      </c>
      <c r="Y45" s="289">
        <v>1</v>
      </c>
      <c r="Z45" s="289">
        <v>1</v>
      </c>
      <c r="AA45" s="289">
        <v>1</v>
      </c>
      <c r="AB45" s="289">
        <v>1</v>
      </c>
      <c r="AC45" s="289">
        <v>1</v>
      </c>
      <c r="AD45" s="289">
        <v>1</v>
      </c>
      <c r="AE45" s="289">
        <v>1</v>
      </c>
      <c r="AF45" s="289">
        <v>1</v>
      </c>
      <c r="AG45" s="289">
        <v>1</v>
      </c>
      <c r="AH45" s="289"/>
      <c r="AI45" s="289">
        <v>1</v>
      </c>
      <c r="AJ45" s="289">
        <v>1</v>
      </c>
      <c r="AK45" s="289">
        <v>1</v>
      </c>
    </row>
    <row r="46" spans="1:40" x14ac:dyDescent="0.25">
      <c r="A46" s="9" t="str">
        <f>AN10</f>
        <v>I-IS-DRI_EAF_COA</v>
      </c>
      <c r="B46" s="9" t="str">
        <f>AO10</f>
        <v>IND Iron and Steel technology: DRI using coal plus EAF</v>
      </c>
      <c r="C46" t="s">
        <v>120</v>
      </c>
      <c r="G46" s="9"/>
      <c r="H46" s="61" t="s">
        <v>470</v>
      </c>
      <c r="I46" t="s">
        <v>512</v>
      </c>
      <c r="J46" s="287">
        <f>'Inputs_BY IIS'!E138</f>
        <v>17.899999999999999</v>
      </c>
      <c r="K46" s="287">
        <f>'Inputs_BY IIS'!F138</f>
        <v>17.899999999999999</v>
      </c>
      <c r="L46" s="287">
        <f>'Inputs_BY IIS'!G138</f>
        <v>17.899999999999999</v>
      </c>
      <c r="M46" s="287">
        <f>'Inputs_BY IIS'!H138</f>
        <v>17.899999999999999</v>
      </c>
      <c r="N46" s="287">
        <f>'Inputs_BY IIS'!I138</f>
        <v>17.899999999999999</v>
      </c>
      <c r="O46" s="287">
        <f>'Inputs_BY IIS'!J138</f>
        <v>17.899999999999999</v>
      </c>
      <c r="P46" s="287">
        <f>'Inputs_BY IIS'!K138</f>
        <v>17.899999999999999</v>
      </c>
      <c r="Q46" s="287">
        <f>'Inputs_BY IIS'!L138</f>
        <v>17.899999999999999</v>
      </c>
      <c r="R46" s="287">
        <f>'Inputs_BY IIS'!M138</f>
        <v>17.899999999999999</v>
      </c>
      <c r="S46" s="287">
        <f>'Inputs_BY IIS'!N138</f>
        <v>17.899999999999999</v>
      </c>
      <c r="T46" s="287">
        <f>'Inputs_BY IIS'!O138</f>
        <v>17.899999999999999</v>
      </c>
      <c r="U46" s="287">
        <f>'Inputs_BY IIS'!P138</f>
        <v>17.899999999999999</v>
      </c>
      <c r="V46" s="287">
        <f>'Inputs_BY IIS'!Q138</f>
        <v>17.899999999999999</v>
      </c>
      <c r="W46" s="287">
        <f>'Inputs_BY IIS'!R138</f>
        <v>17.899999999999999</v>
      </c>
      <c r="X46" s="287">
        <f>'Inputs_BY IIS'!S138</f>
        <v>17.899999999999999</v>
      </c>
      <c r="Y46" s="287">
        <f>'Inputs_BY IIS'!T138</f>
        <v>17.899999999999999</v>
      </c>
      <c r="Z46" s="287">
        <f>'Inputs_BY IIS'!U138</f>
        <v>17.899999999999999</v>
      </c>
      <c r="AA46" s="287">
        <f>'Inputs_BY IIS'!V138</f>
        <v>17.899999999999999</v>
      </c>
      <c r="AB46" s="287">
        <f>'Inputs_BY IIS'!W138</f>
        <v>17.899999999999999</v>
      </c>
      <c r="AC46" s="287">
        <f>'Inputs_BY IIS'!X138</f>
        <v>17.899999999999999</v>
      </c>
      <c r="AD46" s="287">
        <f>'Inputs_BY IIS'!Y138</f>
        <v>17.899999999999999</v>
      </c>
      <c r="AE46" s="287">
        <f>'Inputs_BY IIS'!Z138</f>
        <v>17.899999999999999</v>
      </c>
      <c r="AF46" s="287">
        <f>'Inputs_BY IIS'!AA138</f>
        <v>17.899999999999999</v>
      </c>
      <c r="AG46" s="287">
        <f>'Inputs_BY IIS'!AB138</f>
        <v>17.899999999999999</v>
      </c>
      <c r="AH46" s="287">
        <f>'Inputs_BY IIS'!AC138</f>
        <v>17.899999999999999</v>
      </c>
      <c r="AI46" s="287">
        <f>'Inputs_BY IIS'!AD138</f>
        <v>17.899999999999999</v>
      </c>
      <c r="AJ46" s="287">
        <f>'Inputs_BY IIS'!AE138</f>
        <v>17.899999999999999</v>
      </c>
      <c r="AK46" s="287">
        <f>'Inputs_BY IIS'!AF138</f>
        <v>17.899999999999999</v>
      </c>
    </row>
    <row r="47" spans="1:40" x14ac:dyDescent="0.25">
      <c r="C47" t="s">
        <v>126</v>
      </c>
      <c r="G47" s="9"/>
      <c r="H47" s="61" t="s">
        <v>470</v>
      </c>
      <c r="I47" t="s">
        <v>512</v>
      </c>
      <c r="J47" s="166">
        <f>'Inputs_BY IIS'!E143</f>
        <v>2.1</v>
      </c>
      <c r="K47" s="166">
        <f>'Inputs_BY IIS'!F143</f>
        <v>2.1</v>
      </c>
      <c r="L47" s="166">
        <f>'Inputs_BY IIS'!G143</f>
        <v>2.1</v>
      </c>
      <c r="M47" s="166">
        <f>'Inputs_BY IIS'!H143</f>
        <v>2.1</v>
      </c>
      <c r="N47" s="166">
        <f>'Inputs_BY IIS'!I143</f>
        <v>2.1</v>
      </c>
      <c r="O47" s="166">
        <f>'Inputs_BY IIS'!J143</f>
        <v>2.1</v>
      </c>
      <c r="P47" s="166">
        <f>'Inputs_BY IIS'!K143</f>
        <v>2.1</v>
      </c>
      <c r="Q47" s="166">
        <f>'Inputs_BY IIS'!L143</f>
        <v>2.1</v>
      </c>
      <c r="R47" s="166">
        <f>'Inputs_BY IIS'!M143</f>
        <v>2.1</v>
      </c>
      <c r="S47" s="166">
        <f>'Inputs_BY IIS'!N143</f>
        <v>2.1</v>
      </c>
      <c r="T47" s="166">
        <f>'Inputs_BY IIS'!O143</f>
        <v>2.1</v>
      </c>
      <c r="U47" s="166">
        <f>'Inputs_BY IIS'!P143</f>
        <v>2.1</v>
      </c>
      <c r="V47" s="166">
        <f>'Inputs_BY IIS'!Q143</f>
        <v>2.1</v>
      </c>
      <c r="W47" s="166">
        <f>'Inputs_BY IIS'!R143</f>
        <v>2.1</v>
      </c>
      <c r="X47" s="166">
        <f>'Inputs_BY IIS'!S143</f>
        <v>2.1</v>
      </c>
      <c r="Y47" s="166">
        <f>'Inputs_BY IIS'!T143</f>
        <v>2.1</v>
      </c>
      <c r="Z47" s="166">
        <f>'Inputs_BY IIS'!U143</f>
        <v>2.1</v>
      </c>
      <c r="AA47" s="166">
        <f>'Inputs_BY IIS'!V143</f>
        <v>2.1</v>
      </c>
      <c r="AB47" s="166">
        <f>'Inputs_BY IIS'!W143</f>
        <v>2.1</v>
      </c>
      <c r="AC47" s="166">
        <f>'Inputs_BY IIS'!X143</f>
        <v>2.1</v>
      </c>
      <c r="AD47" s="166">
        <f>'Inputs_BY IIS'!Y143</f>
        <v>2.1</v>
      </c>
      <c r="AE47" s="166">
        <f>'Inputs_BY IIS'!Z143</f>
        <v>2.1</v>
      </c>
      <c r="AF47" s="166">
        <f>'Inputs_BY IIS'!AA143</f>
        <v>2.1</v>
      </c>
      <c r="AG47" s="166">
        <f>'Inputs_BY IIS'!AB143</f>
        <v>2.1</v>
      </c>
      <c r="AH47" s="166">
        <f>'Inputs_BY IIS'!AC143</f>
        <v>2.1</v>
      </c>
      <c r="AI47" s="166">
        <f>'Inputs_BY IIS'!AD143</f>
        <v>2.1</v>
      </c>
      <c r="AJ47" s="166">
        <f>'Inputs_BY IIS'!AE143</f>
        <v>2.1</v>
      </c>
      <c r="AK47" s="166">
        <f>'Inputs_BY IIS'!AF143</f>
        <v>2.1</v>
      </c>
    </row>
    <row r="48" spans="1:40" x14ac:dyDescent="0.25">
      <c r="C48" t="s">
        <v>578</v>
      </c>
      <c r="G48" s="9"/>
      <c r="H48" s="61" t="s">
        <v>470</v>
      </c>
      <c r="I48" t="s">
        <v>579</v>
      </c>
      <c r="J48" s="294">
        <f>'Inputs_BY IIS'!E90</f>
        <v>0.125</v>
      </c>
      <c r="K48" s="294">
        <f>'Inputs_BY IIS'!F90</f>
        <v>0.125</v>
      </c>
      <c r="L48" s="294">
        <f>'Inputs_BY IIS'!G90</f>
        <v>0.125</v>
      </c>
      <c r="M48" s="294">
        <f>'Inputs_BY IIS'!H90</f>
        <v>0.125</v>
      </c>
      <c r="N48" s="294">
        <f>'Inputs_BY IIS'!I90</f>
        <v>0.125</v>
      </c>
      <c r="O48" s="294">
        <f>'Inputs_BY IIS'!J90</f>
        <v>0.125</v>
      </c>
      <c r="P48" s="294">
        <f>'Inputs_BY IIS'!K90</f>
        <v>0.125</v>
      </c>
      <c r="Q48" s="294">
        <f>'Inputs_BY IIS'!L90</f>
        <v>0.125</v>
      </c>
      <c r="R48" s="294">
        <f>'Inputs_BY IIS'!M90</f>
        <v>0.125</v>
      </c>
      <c r="S48" s="294">
        <f>'Inputs_BY IIS'!N90</f>
        <v>0.125</v>
      </c>
      <c r="T48" s="294">
        <f>'Inputs_BY IIS'!O90</f>
        <v>0.125</v>
      </c>
      <c r="U48" s="294">
        <f>'Inputs_BY IIS'!P90</f>
        <v>0.125</v>
      </c>
      <c r="V48" s="294">
        <f>'Inputs_BY IIS'!Q90</f>
        <v>0.125</v>
      </c>
      <c r="W48" s="294">
        <f>'Inputs_BY IIS'!R90</f>
        <v>0.125</v>
      </c>
      <c r="X48" s="294">
        <f>'Inputs_BY IIS'!S90</f>
        <v>0.125</v>
      </c>
      <c r="Y48" s="294">
        <f>'Inputs_BY IIS'!T90</f>
        <v>0.125</v>
      </c>
      <c r="Z48" s="294">
        <f>'Inputs_BY IIS'!U90</f>
        <v>0.125</v>
      </c>
      <c r="AA48" s="294">
        <f>'Inputs_BY IIS'!V90</f>
        <v>0.125</v>
      </c>
      <c r="AB48" s="294">
        <f>'Inputs_BY IIS'!W90</f>
        <v>0.125</v>
      </c>
      <c r="AC48" s="294">
        <f>'Inputs_BY IIS'!X90</f>
        <v>0.125</v>
      </c>
      <c r="AD48" s="294">
        <f>'Inputs_BY IIS'!Y90</f>
        <v>0.125</v>
      </c>
      <c r="AE48" s="294">
        <f>'Inputs_BY IIS'!Z90</f>
        <v>0.125</v>
      </c>
      <c r="AF48" s="294">
        <f>'Inputs_BY IIS'!AA90</f>
        <v>0.125</v>
      </c>
      <c r="AG48" s="294">
        <f>'Inputs_BY IIS'!AB90</f>
        <v>0.125</v>
      </c>
      <c r="AH48" s="294">
        <f>'Inputs_BY IIS'!AC90</f>
        <v>0.125</v>
      </c>
      <c r="AI48" s="294">
        <f>'Inputs_BY IIS'!AD90</f>
        <v>0.125</v>
      </c>
      <c r="AJ48" s="294">
        <f>'Inputs_BY IIS'!AE90</f>
        <v>0.125</v>
      </c>
      <c r="AK48" s="294">
        <f>'Inputs_BY IIS'!AF90</f>
        <v>0.125</v>
      </c>
    </row>
    <row r="49" spans="1:40" x14ac:dyDescent="0.25">
      <c r="C49" s="1"/>
      <c r="D49" s="1" t="s">
        <v>159</v>
      </c>
      <c r="G49" s="9"/>
      <c r="H49" s="61" t="s">
        <v>472</v>
      </c>
      <c r="I49" t="s">
        <v>1628</v>
      </c>
      <c r="J49" s="294">
        <f>$AM49*1000</f>
        <v>879.99999999999989</v>
      </c>
      <c r="K49" s="294">
        <f t="shared" ref="K49:AK49" si="2">$AM49*1000</f>
        <v>879.99999999999989</v>
      </c>
      <c r="L49" s="294">
        <f t="shared" si="2"/>
        <v>879.99999999999989</v>
      </c>
      <c r="M49" s="294">
        <f t="shared" si="2"/>
        <v>879.99999999999989</v>
      </c>
      <c r="N49" s="294">
        <f t="shared" si="2"/>
        <v>879.99999999999989</v>
      </c>
      <c r="O49" s="294">
        <f t="shared" si="2"/>
        <v>879.99999999999989</v>
      </c>
      <c r="P49" s="294">
        <f t="shared" si="2"/>
        <v>879.99999999999989</v>
      </c>
      <c r="Q49" s="294">
        <f t="shared" si="2"/>
        <v>879.99999999999989</v>
      </c>
      <c r="R49" s="294">
        <f t="shared" si="2"/>
        <v>879.99999999999989</v>
      </c>
      <c r="S49" s="294">
        <f t="shared" si="2"/>
        <v>879.99999999999989</v>
      </c>
      <c r="T49" s="294">
        <f t="shared" si="2"/>
        <v>879.99999999999989</v>
      </c>
      <c r="U49" s="294">
        <f t="shared" si="2"/>
        <v>879.99999999999989</v>
      </c>
      <c r="V49" s="294">
        <f t="shared" si="2"/>
        <v>879.99999999999989</v>
      </c>
      <c r="W49" s="294">
        <f t="shared" si="2"/>
        <v>879.99999999999989</v>
      </c>
      <c r="X49" s="294">
        <f t="shared" si="2"/>
        <v>879.99999999999989</v>
      </c>
      <c r="Y49" s="294">
        <f t="shared" si="2"/>
        <v>879.99999999999989</v>
      </c>
      <c r="Z49" s="294">
        <f t="shared" si="2"/>
        <v>879.99999999999989</v>
      </c>
      <c r="AA49" s="294">
        <f t="shared" si="2"/>
        <v>879.99999999999989</v>
      </c>
      <c r="AB49" s="294">
        <f t="shared" si="2"/>
        <v>879.99999999999989</v>
      </c>
      <c r="AC49" s="294">
        <f t="shared" si="2"/>
        <v>879.99999999999989</v>
      </c>
      <c r="AD49" s="294">
        <f t="shared" si="2"/>
        <v>879.99999999999989</v>
      </c>
      <c r="AE49" s="294">
        <f t="shared" si="2"/>
        <v>879.99999999999989</v>
      </c>
      <c r="AF49" s="294">
        <f t="shared" si="2"/>
        <v>879.99999999999989</v>
      </c>
      <c r="AG49" s="294">
        <f t="shared" si="2"/>
        <v>879.99999999999989</v>
      </c>
      <c r="AH49" s="294">
        <f t="shared" si="2"/>
        <v>879.99999999999989</v>
      </c>
      <c r="AI49" s="294">
        <f t="shared" si="2"/>
        <v>879.99999999999989</v>
      </c>
      <c r="AJ49" s="294">
        <f t="shared" si="2"/>
        <v>879.99999999999989</v>
      </c>
      <c r="AK49" s="294">
        <f t="shared" si="2"/>
        <v>879.99999999999989</v>
      </c>
      <c r="AM49" s="294">
        <f>0.7+0.18</f>
        <v>0.87999999999999989</v>
      </c>
      <c r="AN49" s="9" t="s">
        <v>581</v>
      </c>
    </row>
    <row r="50" spans="1:40" x14ac:dyDescent="0.25">
      <c r="D50" s="9" t="s">
        <v>366</v>
      </c>
      <c r="G50" s="9"/>
      <c r="H50" s="61" t="s">
        <v>472</v>
      </c>
      <c r="I50" s="61" t="s">
        <v>454</v>
      </c>
      <c r="J50" s="289">
        <v>1</v>
      </c>
      <c r="K50" s="289">
        <v>1</v>
      </c>
      <c r="L50" s="289">
        <v>1</v>
      </c>
      <c r="M50" s="289">
        <v>1</v>
      </c>
      <c r="N50" s="289">
        <v>1</v>
      </c>
      <c r="O50" s="289">
        <v>1</v>
      </c>
      <c r="P50" s="289">
        <v>1</v>
      </c>
      <c r="Q50" s="289">
        <v>1</v>
      </c>
      <c r="R50" s="289">
        <v>1</v>
      </c>
      <c r="S50" s="289">
        <v>1</v>
      </c>
      <c r="T50" s="289">
        <v>1</v>
      </c>
      <c r="U50" s="289">
        <v>1</v>
      </c>
      <c r="V50" s="289">
        <v>1</v>
      </c>
      <c r="W50" s="289">
        <v>1</v>
      </c>
      <c r="X50" s="289">
        <v>1</v>
      </c>
      <c r="Y50" s="289">
        <v>1</v>
      </c>
      <c r="Z50" s="289">
        <v>1</v>
      </c>
      <c r="AA50" s="289">
        <v>1</v>
      </c>
      <c r="AB50" s="289">
        <v>1</v>
      </c>
      <c r="AC50" s="289">
        <v>1</v>
      </c>
      <c r="AD50" s="289">
        <v>1</v>
      </c>
      <c r="AE50" s="289">
        <v>1</v>
      </c>
      <c r="AF50" s="289">
        <v>1</v>
      </c>
      <c r="AG50" s="289">
        <v>1</v>
      </c>
      <c r="AH50" s="289">
        <v>1</v>
      </c>
      <c r="AI50" s="289">
        <v>1</v>
      </c>
      <c r="AJ50" s="289">
        <v>1</v>
      </c>
      <c r="AK50" s="289">
        <v>1</v>
      </c>
    </row>
    <row r="51" spans="1:40" x14ac:dyDescent="0.25">
      <c r="A51" s="9" t="str">
        <f>AN11</f>
        <v>I-IS-DRI_EAF_NGA</v>
      </c>
      <c r="B51" s="9" t="str">
        <f>AO11</f>
        <v>IND Iron and Steel technology: DRI using gas plus EAF</v>
      </c>
      <c r="C51" s="9" t="s">
        <v>128</v>
      </c>
      <c r="G51" s="9"/>
      <c r="H51" s="61" t="s">
        <v>470</v>
      </c>
      <c r="I51" t="s">
        <v>512</v>
      </c>
      <c r="J51" s="287">
        <f>'Inputs_BY IIS'!E131</f>
        <v>15.000000000000002</v>
      </c>
      <c r="K51" s="287">
        <f>'Inputs_BY IIS'!F131</f>
        <v>15.000000000000002</v>
      </c>
      <c r="L51" s="287">
        <f>'Inputs_BY IIS'!G131</f>
        <v>15.000000000000002</v>
      </c>
      <c r="M51" s="287">
        <f>'Inputs_BY IIS'!H131</f>
        <v>15.000000000000002</v>
      </c>
      <c r="N51" s="287">
        <f>'Inputs_BY IIS'!I131</f>
        <v>15.000000000000002</v>
      </c>
      <c r="O51" s="287">
        <f>'Inputs_BY IIS'!J131</f>
        <v>15.000000000000002</v>
      </c>
      <c r="P51" s="287">
        <f>'Inputs_BY IIS'!K131</f>
        <v>15.000000000000002</v>
      </c>
      <c r="Q51" s="287">
        <f>'Inputs_BY IIS'!L131</f>
        <v>15.000000000000002</v>
      </c>
      <c r="R51" s="287">
        <f>'Inputs_BY IIS'!M131</f>
        <v>15.000000000000002</v>
      </c>
      <c r="S51" s="287">
        <f>'Inputs_BY IIS'!N131</f>
        <v>15.000000000000002</v>
      </c>
      <c r="T51" s="287">
        <f>'Inputs_BY IIS'!O131</f>
        <v>15.000000000000002</v>
      </c>
      <c r="U51" s="287">
        <f>'Inputs_BY IIS'!P131</f>
        <v>15.000000000000002</v>
      </c>
      <c r="V51" s="287">
        <f>'Inputs_BY IIS'!Q131</f>
        <v>15.000000000000002</v>
      </c>
      <c r="W51" s="287">
        <f>'Inputs_BY IIS'!R131</f>
        <v>15.000000000000002</v>
      </c>
      <c r="X51" s="287">
        <f>'Inputs_BY IIS'!S131</f>
        <v>15.000000000000002</v>
      </c>
      <c r="Y51" s="287">
        <f>'Inputs_BY IIS'!T131</f>
        <v>15.000000000000002</v>
      </c>
      <c r="Z51" s="287">
        <f>'Inputs_BY IIS'!U131</f>
        <v>15.000000000000002</v>
      </c>
      <c r="AA51" s="287">
        <f>'Inputs_BY IIS'!V131</f>
        <v>15.000000000000002</v>
      </c>
      <c r="AB51" s="287">
        <f>'Inputs_BY IIS'!W131</f>
        <v>15.000000000000002</v>
      </c>
      <c r="AC51" s="287">
        <f>'Inputs_BY IIS'!X131</f>
        <v>15.000000000000002</v>
      </c>
      <c r="AD51" s="287">
        <f>'Inputs_BY IIS'!Y131</f>
        <v>15.000000000000002</v>
      </c>
      <c r="AE51" s="287">
        <f>'Inputs_BY IIS'!Z131</f>
        <v>15.000000000000002</v>
      </c>
      <c r="AF51" s="287">
        <f>'Inputs_BY IIS'!AA131</f>
        <v>15.000000000000002</v>
      </c>
      <c r="AG51" s="287">
        <f>'Inputs_BY IIS'!AB131</f>
        <v>15.000000000000002</v>
      </c>
      <c r="AH51" s="287">
        <f>'Inputs_BY IIS'!AC131</f>
        <v>15.000000000000002</v>
      </c>
      <c r="AI51" s="287">
        <f>'Inputs_BY IIS'!AD131</f>
        <v>15.000000000000002</v>
      </c>
      <c r="AJ51" s="287">
        <f>'Inputs_BY IIS'!AE131</f>
        <v>15.000000000000002</v>
      </c>
      <c r="AK51" s="287">
        <f>'Inputs_BY IIS'!AF131</f>
        <v>15.000000000000002</v>
      </c>
    </row>
    <row r="52" spans="1:40" x14ac:dyDescent="0.25">
      <c r="C52" s="9" t="s">
        <v>126</v>
      </c>
      <c r="G52" s="9"/>
      <c r="H52" s="61" t="s">
        <v>470</v>
      </c>
      <c r="I52" t="s">
        <v>512</v>
      </c>
      <c r="J52" s="166">
        <f>'Inputs_BY IIS'!E143</f>
        <v>2.1</v>
      </c>
      <c r="K52" s="166">
        <f>'Inputs_BY IIS'!F143</f>
        <v>2.1</v>
      </c>
      <c r="L52" s="166">
        <f>'Inputs_BY IIS'!G143</f>
        <v>2.1</v>
      </c>
      <c r="M52" s="166">
        <f>'Inputs_BY IIS'!H143</f>
        <v>2.1</v>
      </c>
      <c r="N52" s="166">
        <f>'Inputs_BY IIS'!I143</f>
        <v>2.1</v>
      </c>
      <c r="O52" s="166">
        <f>'Inputs_BY IIS'!J143</f>
        <v>2.1</v>
      </c>
      <c r="P52" s="166">
        <f>'Inputs_BY IIS'!K143</f>
        <v>2.1</v>
      </c>
      <c r="Q52" s="166">
        <f>'Inputs_BY IIS'!L143</f>
        <v>2.1</v>
      </c>
      <c r="R52" s="166">
        <f>'Inputs_BY IIS'!M143</f>
        <v>2.1</v>
      </c>
      <c r="S52" s="166">
        <f>'Inputs_BY IIS'!N143</f>
        <v>2.1</v>
      </c>
      <c r="T52" s="166">
        <f>'Inputs_BY IIS'!O143</f>
        <v>2.1</v>
      </c>
      <c r="U52" s="166">
        <f>'Inputs_BY IIS'!P143</f>
        <v>2.1</v>
      </c>
      <c r="V52" s="166">
        <f>'Inputs_BY IIS'!Q143</f>
        <v>2.1</v>
      </c>
      <c r="W52" s="166">
        <f>'Inputs_BY IIS'!R143</f>
        <v>2.1</v>
      </c>
      <c r="X52" s="166">
        <f>'Inputs_BY IIS'!S143</f>
        <v>2.1</v>
      </c>
      <c r="Y52" s="166">
        <f>'Inputs_BY IIS'!T143</f>
        <v>2.1</v>
      </c>
      <c r="Z52" s="166">
        <f>'Inputs_BY IIS'!U143</f>
        <v>2.1</v>
      </c>
      <c r="AA52" s="166">
        <f>'Inputs_BY IIS'!V143</f>
        <v>2.1</v>
      </c>
      <c r="AB52" s="166">
        <f>'Inputs_BY IIS'!W143</f>
        <v>2.1</v>
      </c>
      <c r="AC52" s="166">
        <f>'Inputs_BY IIS'!X143</f>
        <v>2.1</v>
      </c>
      <c r="AD52" s="166">
        <f>'Inputs_BY IIS'!Y143</f>
        <v>2.1</v>
      </c>
      <c r="AE52" s="166">
        <f>'Inputs_BY IIS'!Z143</f>
        <v>2.1</v>
      </c>
      <c r="AF52" s="166">
        <f>'Inputs_BY IIS'!AA143</f>
        <v>2.1</v>
      </c>
      <c r="AG52" s="166">
        <f>'Inputs_BY IIS'!AB143</f>
        <v>2.1</v>
      </c>
      <c r="AH52" s="166">
        <f>'Inputs_BY IIS'!AC143</f>
        <v>2.1</v>
      </c>
      <c r="AI52" s="166">
        <f>'Inputs_BY IIS'!AD143</f>
        <v>2.1</v>
      </c>
      <c r="AJ52" s="166">
        <f>'Inputs_BY IIS'!AE143</f>
        <v>2.1</v>
      </c>
      <c r="AK52" s="166">
        <f>'Inputs_BY IIS'!AF143</f>
        <v>2.1</v>
      </c>
    </row>
    <row r="53" spans="1:40" x14ac:dyDescent="0.25">
      <c r="C53" t="s">
        <v>578</v>
      </c>
      <c r="G53" s="9"/>
      <c r="H53" s="61" t="s">
        <v>470</v>
      </c>
      <c r="I53" t="s">
        <v>579</v>
      </c>
      <c r="J53" s="294">
        <f>'Inputs_BY IIS'!E90</f>
        <v>0.125</v>
      </c>
      <c r="K53" s="294">
        <f>'Inputs_BY IIS'!F90</f>
        <v>0.125</v>
      </c>
      <c r="L53" s="294">
        <f>'Inputs_BY IIS'!G90</f>
        <v>0.125</v>
      </c>
      <c r="M53" s="294">
        <f>'Inputs_BY IIS'!H90</f>
        <v>0.125</v>
      </c>
      <c r="N53" s="294">
        <f>'Inputs_BY IIS'!I90</f>
        <v>0.125</v>
      </c>
      <c r="O53" s="294">
        <f>'Inputs_BY IIS'!J90</f>
        <v>0.125</v>
      </c>
      <c r="P53" s="294">
        <f>'Inputs_BY IIS'!K90</f>
        <v>0.125</v>
      </c>
      <c r="Q53" s="294">
        <f>'Inputs_BY IIS'!L90</f>
        <v>0.125</v>
      </c>
      <c r="R53" s="294">
        <f>'Inputs_BY IIS'!M90</f>
        <v>0.125</v>
      </c>
      <c r="S53" s="294">
        <f>'Inputs_BY IIS'!N90</f>
        <v>0.125</v>
      </c>
      <c r="T53" s="294">
        <f>'Inputs_BY IIS'!O90</f>
        <v>0.125</v>
      </c>
      <c r="U53" s="294">
        <f>'Inputs_BY IIS'!P90</f>
        <v>0.125</v>
      </c>
      <c r="V53" s="294">
        <f>'Inputs_BY IIS'!Q90</f>
        <v>0.125</v>
      </c>
      <c r="W53" s="294">
        <f>'Inputs_BY IIS'!R90</f>
        <v>0.125</v>
      </c>
      <c r="X53" s="294">
        <f>'Inputs_BY IIS'!S90</f>
        <v>0.125</v>
      </c>
      <c r="Y53" s="294">
        <f>'Inputs_BY IIS'!T90</f>
        <v>0.125</v>
      </c>
      <c r="Z53" s="294">
        <f>'Inputs_BY IIS'!U90</f>
        <v>0.125</v>
      </c>
      <c r="AA53" s="294">
        <f>'Inputs_BY IIS'!V90</f>
        <v>0.125</v>
      </c>
      <c r="AB53" s="294">
        <f>'Inputs_BY IIS'!W90</f>
        <v>0.125</v>
      </c>
      <c r="AC53" s="294">
        <f>'Inputs_BY IIS'!X90</f>
        <v>0.125</v>
      </c>
      <c r="AD53" s="294">
        <f>'Inputs_BY IIS'!Y90</f>
        <v>0.125</v>
      </c>
      <c r="AE53" s="294">
        <f>'Inputs_BY IIS'!Z90</f>
        <v>0.125</v>
      </c>
      <c r="AF53" s="294">
        <f>'Inputs_BY IIS'!AA90</f>
        <v>0.125</v>
      </c>
      <c r="AG53" s="294">
        <f>'Inputs_BY IIS'!AB90</f>
        <v>0.125</v>
      </c>
      <c r="AH53" s="294">
        <f>'Inputs_BY IIS'!AC90</f>
        <v>0.125</v>
      </c>
      <c r="AI53" s="294">
        <f>'Inputs_BY IIS'!AD90</f>
        <v>0.125</v>
      </c>
      <c r="AJ53" s="294">
        <f>'Inputs_BY IIS'!AE90</f>
        <v>0.125</v>
      </c>
      <c r="AK53" s="294">
        <f>'Inputs_BY IIS'!AF90</f>
        <v>0.125</v>
      </c>
    </row>
    <row r="54" spans="1:40" x14ac:dyDescent="0.25">
      <c r="C54" s="1"/>
      <c r="D54" s="1" t="s">
        <v>159</v>
      </c>
      <c r="G54" s="9"/>
      <c r="H54" s="61" t="s">
        <v>472</v>
      </c>
      <c r="I54" t="s">
        <v>1628</v>
      </c>
      <c r="J54" s="294">
        <f>$AM54*1000</f>
        <v>879.99999999999989</v>
      </c>
      <c r="K54" s="294">
        <f t="shared" ref="K54:AK54" si="3">$AM54*1000</f>
        <v>879.99999999999989</v>
      </c>
      <c r="L54" s="294">
        <f t="shared" si="3"/>
        <v>879.99999999999989</v>
      </c>
      <c r="M54" s="294">
        <f t="shared" si="3"/>
        <v>879.99999999999989</v>
      </c>
      <c r="N54" s="294">
        <f t="shared" si="3"/>
        <v>879.99999999999989</v>
      </c>
      <c r="O54" s="294">
        <f t="shared" si="3"/>
        <v>879.99999999999989</v>
      </c>
      <c r="P54" s="294">
        <f t="shared" si="3"/>
        <v>879.99999999999989</v>
      </c>
      <c r="Q54" s="294">
        <f t="shared" si="3"/>
        <v>879.99999999999989</v>
      </c>
      <c r="R54" s="294">
        <f t="shared" si="3"/>
        <v>879.99999999999989</v>
      </c>
      <c r="S54" s="294">
        <f t="shared" si="3"/>
        <v>879.99999999999989</v>
      </c>
      <c r="T54" s="294">
        <f t="shared" si="3"/>
        <v>879.99999999999989</v>
      </c>
      <c r="U54" s="294">
        <f t="shared" si="3"/>
        <v>879.99999999999989</v>
      </c>
      <c r="V54" s="294">
        <f t="shared" si="3"/>
        <v>879.99999999999989</v>
      </c>
      <c r="W54" s="294">
        <f t="shared" si="3"/>
        <v>879.99999999999989</v>
      </c>
      <c r="X54" s="294">
        <f t="shared" si="3"/>
        <v>879.99999999999989</v>
      </c>
      <c r="Y54" s="294">
        <f t="shared" si="3"/>
        <v>879.99999999999989</v>
      </c>
      <c r="Z54" s="294">
        <f t="shared" si="3"/>
        <v>879.99999999999989</v>
      </c>
      <c r="AA54" s="294">
        <f t="shared" si="3"/>
        <v>879.99999999999989</v>
      </c>
      <c r="AB54" s="294">
        <f t="shared" si="3"/>
        <v>879.99999999999989</v>
      </c>
      <c r="AC54" s="294">
        <f t="shared" si="3"/>
        <v>879.99999999999989</v>
      </c>
      <c r="AD54" s="294">
        <f t="shared" si="3"/>
        <v>879.99999999999989</v>
      </c>
      <c r="AE54" s="294">
        <f t="shared" si="3"/>
        <v>879.99999999999989</v>
      </c>
      <c r="AF54" s="294">
        <f t="shared" si="3"/>
        <v>879.99999999999989</v>
      </c>
      <c r="AG54" s="294">
        <f t="shared" si="3"/>
        <v>879.99999999999989</v>
      </c>
      <c r="AH54" s="294">
        <f t="shared" si="3"/>
        <v>879.99999999999989</v>
      </c>
      <c r="AI54" s="294">
        <f t="shared" si="3"/>
        <v>879.99999999999989</v>
      </c>
      <c r="AJ54" s="294">
        <f t="shared" si="3"/>
        <v>879.99999999999989</v>
      </c>
      <c r="AK54" s="294">
        <f t="shared" si="3"/>
        <v>879.99999999999989</v>
      </c>
      <c r="AM54" s="294">
        <f>0.7+0.18</f>
        <v>0.87999999999999989</v>
      </c>
      <c r="AN54" s="9" t="s">
        <v>581</v>
      </c>
    </row>
    <row r="55" spans="1:40" x14ac:dyDescent="0.25">
      <c r="D55" s="9" t="s">
        <v>366</v>
      </c>
      <c r="G55" s="9"/>
      <c r="H55" s="61" t="s">
        <v>472</v>
      </c>
      <c r="I55" s="61" t="s">
        <v>454</v>
      </c>
      <c r="J55" s="289">
        <v>1</v>
      </c>
      <c r="K55" s="289">
        <v>1</v>
      </c>
      <c r="L55" s="289">
        <v>1</v>
      </c>
      <c r="M55" s="289">
        <v>1</v>
      </c>
      <c r="N55" s="289">
        <v>1</v>
      </c>
      <c r="O55" s="289">
        <v>1</v>
      </c>
      <c r="P55" s="289">
        <v>1</v>
      </c>
      <c r="Q55" s="289">
        <v>1</v>
      </c>
      <c r="R55" s="289">
        <v>1</v>
      </c>
      <c r="S55" s="289">
        <v>1</v>
      </c>
      <c r="T55" s="289">
        <v>1</v>
      </c>
      <c r="U55" s="289">
        <v>1</v>
      </c>
      <c r="V55" s="289">
        <v>1</v>
      </c>
      <c r="W55" s="289">
        <v>1</v>
      </c>
      <c r="X55" s="289">
        <v>1</v>
      </c>
      <c r="Y55" s="289">
        <v>1</v>
      </c>
      <c r="Z55" s="289">
        <v>1</v>
      </c>
      <c r="AA55" s="289">
        <v>1</v>
      </c>
      <c r="AB55" s="289">
        <v>1</v>
      </c>
      <c r="AC55" s="289">
        <v>1</v>
      </c>
      <c r="AD55" s="289">
        <v>1</v>
      </c>
      <c r="AE55" s="289">
        <v>1</v>
      </c>
      <c r="AF55" s="289">
        <v>1</v>
      </c>
      <c r="AG55" s="289">
        <v>1</v>
      </c>
      <c r="AH55" s="289">
        <v>1</v>
      </c>
      <c r="AI55" s="289">
        <v>1</v>
      </c>
      <c r="AJ55" s="289">
        <v>1</v>
      </c>
      <c r="AK55" s="289">
        <v>1</v>
      </c>
    </row>
    <row r="56" spans="1:40" x14ac:dyDescent="0.25">
      <c r="A56" s="9" t="str">
        <f>AN12</f>
        <v>I-IS-SCP_EAF</v>
      </c>
      <c r="B56" s="9" t="str">
        <f>AO12</f>
        <v>IND Iron and Steel technology: EAF using scrap (secondary)</v>
      </c>
      <c r="C56" s="9" t="s">
        <v>126</v>
      </c>
      <c r="G56" s="9"/>
      <c r="H56" s="61" t="s">
        <v>470</v>
      </c>
      <c r="I56" t="s">
        <v>512</v>
      </c>
      <c r="J56" s="287">
        <f>'Inputs_BY IIS'!E121</f>
        <v>2.1</v>
      </c>
      <c r="K56" s="287">
        <f>'Inputs_BY IIS'!F121</f>
        <v>2.1</v>
      </c>
      <c r="L56" s="287">
        <f>'Inputs_BY IIS'!G121</f>
        <v>2.1</v>
      </c>
      <c r="M56" s="287">
        <f>'Inputs_BY IIS'!H121</f>
        <v>2.1</v>
      </c>
      <c r="N56" s="287">
        <f>'Inputs_BY IIS'!I121</f>
        <v>2.1</v>
      </c>
      <c r="O56" s="287">
        <f>'Inputs_BY IIS'!J121</f>
        <v>2.1</v>
      </c>
      <c r="P56" s="287">
        <f>'Inputs_BY IIS'!K121</f>
        <v>2.1</v>
      </c>
      <c r="Q56" s="287">
        <f>'Inputs_BY IIS'!L121</f>
        <v>2.1</v>
      </c>
      <c r="R56" s="287">
        <f>'Inputs_BY IIS'!M121</f>
        <v>2.1</v>
      </c>
      <c r="S56" s="287">
        <f>'Inputs_BY IIS'!N121</f>
        <v>2.1</v>
      </c>
      <c r="T56" s="287">
        <f>'Inputs_BY IIS'!O121</f>
        <v>2.1</v>
      </c>
      <c r="U56" s="287">
        <f>'Inputs_BY IIS'!P121</f>
        <v>2.1</v>
      </c>
      <c r="V56" s="287">
        <f>'Inputs_BY IIS'!Q121</f>
        <v>2.1</v>
      </c>
      <c r="W56" s="287">
        <f>'Inputs_BY IIS'!R121</f>
        <v>2.1</v>
      </c>
      <c r="X56" s="287">
        <f>'Inputs_BY IIS'!S121</f>
        <v>2.1</v>
      </c>
      <c r="Y56" s="287">
        <f>'Inputs_BY IIS'!T121</f>
        <v>2.1</v>
      </c>
      <c r="Z56" s="287">
        <f>'Inputs_BY IIS'!U121</f>
        <v>2.1</v>
      </c>
      <c r="AA56" s="287">
        <f>'Inputs_BY IIS'!V121</f>
        <v>2.1</v>
      </c>
      <c r="AB56" s="287">
        <f>'Inputs_BY IIS'!W121</f>
        <v>2.1</v>
      </c>
      <c r="AC56" s="287">
        <f>'Inputs_BY IIS'!X121</f>
        <v>2.1</v>
      </c>
      <c r="AD56" s="287">
        <f>'Inputs_BY IIS'!Y121</f>
        <v>2.1</v>
      </c>
      <c r="AE56" s="287">
        <f>'Inputs_BY IIS'!Z121</f>
        <v>2.1</v>
      </c>
      <c r="AF56" s="287">
        <f>'Inputs_BY IIS'!AA121</f>
        <v>2.1</v>
      </c>
      <c r="AG56" s="287">
        <f>'Inputs_BY IIS'!AB121</f>
        <v>2.1</v>
      </c>
      <c r="AH56" s="287">
        <f>'Inputs_BY IIS'!AC121</f>
        <v>2.1</v>
      </c>
      <c r="AI56" s="287">
        <f>'Inputs_BY IIS'!AD121</f>
        <v>2.1</v>
      </c>
      <c r="AJ56" s="287">
        <f>'Inputs_BY IIS'!AE121</f>
        <v>2.1</v>
      </c>
      <c r="AK56" s="287">
        <f>'Inputs_BY IIS'!AF121</f>
        <v>2.1</v>
      </c>
    </row>
    <row r="57" spans="1:40" x14ac:dyDescent="0.25">
      <c r="C57" t="s">
        <v>578</v>
      </c>
      <c r="G57" s="9"/>
      <c r="H57" s="62" t="s">
        <v>470</v>
      </c>
      <c r="I57" t="s">
        <v>579</v>
      </c>
      <c r="J57" s="294">
        <f>'Inputs_BY IIS'!E91</f>
        <v>1.05</v>
      </c>
      <c r="K57" s="294">
        <f>'Inputs_BY IIS'!F91</f>
        <v>1.05</v>
      </c>
      <c r="L57" s="294">
        <f>'Inputs_BY IIS'!G91</f>
        <v>1.05</v>
      </c>
      <c r="M57" s="294">
        <f>'Inputs_BY IIS'!H91</f>
        <v>1.05</v>
      </c>
      <c r="N57" s="294">
        <f>'Inputs_BY IIS'!I91</f>
        <v>1.05</v>
      </c>
      <c r="O57" s="294">
        <f>'Inputs_BY IIS'!J91</f>
        <v>1.05</v>
      </c>
      <c r="P57" s="294">
        <f>'Inputs_BY IIS'!K91</f>
        <v>1.05</v>
      </c>
      <c r="Q57" s="294">
        <f>'Inputs_BY IIS'!L91</f>
        <v>1.05</v>
      </c>
      <c r="R57" s="294">
        <f>'Inputs_BY IIS'!M91</f>
        <v>1.05</v>
      </c>
      <c r="S57" s="294">
        <f>'Inputs_BY IIS'!N91</f>
        <v>1.05</v>
      </c>
      <c r="T57" s="294">
        <f>'Inputs_BY IIS'!O91</f>
        <v>1.05</v>
      </c>
      <c r="U57" s="294">
        <f>'Inputs_BY IIS'!P91</f>
        <v>1.05</v>
      </c>
      <c r="V57" s="294">
        <f>'Inputs_BY IIS'!Q91</f>
        <v>1.05</v>
      </c>
      <c r="W57" s="294">
        <f>'Inputs_BY IIS'!R91</f>
        <v>1.05</v>
      </c>
      <c r="X57" s="294">
        <f>'Inputs_BY IIS'!S91</f>
        <v>1.05</v>
      </c>
      <c r="Y57" s="294">
        <f>'Inputs_BY IIS'!T91</f>
        <v>1.05</v>
      </c>
      <c r="Z57" s="294">
        <f>'Inputs_BY IIS'!U91</f>
        <v>1.05</v>
      </c>
      <c r="AA57" s="294">
        <f>'Inputs_BY IIS'!V91</f>
        <v>1.05</v>
      </c>
      <c r="AB57" s="294">
        <f>'Inputs_BY IIS'!W91</f>
        <v>1.05</v>
      </c>
      <c r="AC57" s="294">
        <f>'Inputs_BY IIS'!X91</f>
        <v>1.05</v>
      </c>
      <c r="AD57" s="294">
        <f>'Inputs_BY IIS'!Y91</f>
        <v>1.05</v>
      </c>
      <c r="AE57" s="294">
        <f>'Inputs_BY IIS'!Z91</f>
        <v>1.05</v>
      </c>
      <c r="AF57" s="294">
        <f>'Inputs_BY IIS'!AA91</f>
        <v>1.05</v>
      </c>
      <c r="AG57" s="294">
        <f>'Inputs_BY IIS'!AB91</f>
        <v>1.05</v>
      </c>
      <c r="AH57" s="294">
        <f>'Inputs_BY IIS'!AC91</f>
        <v>1.05</v>
      </c>
      <c r="AI57" s="294">
        <f>'Inputs_BY IIS'!AD91</f>
        <v>1.05</v>
      </c>
      <c r="AJ57" s="294">
        <f>'Inputs_BY IIS'!AE91</f>
        <v>1.05</v>
      </c>
      <c r="AK57" s="294">
        <f>'Inputs_BY IIS'!AF91</f>
        <v>1.05</v>
      </c>
    </row>
    <row r="58" spans="1:40" x14ac:dyDescent="0.25">
      <c r="C58" s="1"/>
      <c r="D58" s="1" t="s">
        <v>159</v>
      </c>
      <c r="G58" s="9"/>
      <c r="H58" s="61" t="s">
        <v>472</v>
      </c>
      <c r="I58" t="s">
        <v>1628</v>
      </c>
      <c r="J58" s="294">
        <f>$AM58*1000</f>
        <v>180</v>
      </c>
      <c r="K58" s="294">
        <f t="shared" ref="K58:AK58" si="4">$AM58*1000</f>
        <v>180</v>
      </c>
      <c r="L58" s="294">
        <f t="shared" si="4"/>
        <v>180</v>
      </c>
      <c r="M58" s="294">
        <f t="shared" si="4"/>
        <v>180</v>
      </c>
      <c r="N58" s="294">
        <f t="shared" si="4"/>
        <v>180</v>
      </c>
      <c r="O58" s="294">
        <f t="shared" si="4"/>
        <v>180</v>
      </c>
      <c r="P58" s="294">
        <f t="shared" si="4"/>
        <v>180</v>
      </c>
      <c r="Q58" s="294">
        <f t="shared" si="4"/>
        <v>180</v>
      </c>
      <c r="R58" s="294">
        <f t="shared" si="4"/>
        <v>180</v>
      </c>
      <c r="S58" s="294">
        <f t="shared" si="4"/>
        <v>180</v>
      </c>
      <c r="T58" s="294">
        <f t="shared" si="4"/>
        <v>180</v>
      </c>
      <c r="U58" s="294">
        <f t="shared" si="4"/>
        <v>180</v>
      </c>
      <c r="V58" s="294">
        <f t="shared" si="4"/>
        <v>180</v>
      </c>
      <c r="W58" s="294">
        <f t="shared" si="4"/>
        <v>180</v>
      </c>
      <c r="X58" s="294">
        <f t="shared" si="4"/>
        <v>180</v>
      </c>
      <c r="Y58" s="294">
        <f t="shared" si="4"/>
        <v>180</v>
      </c>
      <c r="Z58" s="294">
        <f t="shared" si="4"/>
        <v>180</v>
      </c>
      <c r="AA58" s="294">
        <f t="shared" si="4"/>
        <v>180</v>
      </c>
      <c r="AB58" s="294">
        <f t="shared" si="4"/>
        <v>180</v>
      </c>
      <c r="AC58" s="294">
        <f t="shared" si="4"/>
        <v>180</v>
      </c>
      <c r="AD58" s="294">
        <f t="shared" si="4"/>
        <v>180</v>
      </c>
      <c r="AE58" s="294">
        <f t="shared" si="4"/>
        <v>180</v>
      </c>
      <c r="AF58" s="294">
        <f t="shared" si="4"/>
        <v>180</v>
      </c>
      <c r="AG58" s="294">
        <f t="shared" si="4"/>
        <v>180</v>
      </c>
      <c r="AH58" s="294">
        <f t="shared" si="4"/>
        <v>180</v>
      </c>
      <c r="AI58" s="294">
        <f t="shared" si="4"/>
        <v>180</v>
      </c>
      <c r="AJ58" s="294">
        <f t="shared" si="4"/>
        <v>180</v>
      </c>
      <c r="AK58" s="294">
        <f t="shared" si="4"/>
        <v>180</v>
      </c>
      <c r="AM58" s="294">
        <f>0.18</f>
        <v>0.18</v>
      </c>
      <c r="AN58" s="9" t="s">
        <v>581</v>
      </c>
    </row>
    <row r="59" spans="1:40" x14ac:dyDescent="0.25">
      <c r="D59" s="9" t="s">
        <v>366</v>
      </c>
      <c r="G59" s="9"/>
      <c r="H59" s="61" t="s">
        <v>472</v>
      </c>
      <c r="I59" s="61" t="s">
        <v>454</v>
      </c>
      <c r="J59" s="289">
        <v>1</v>
      </c>
      <c r="K59" s="289">
        <v>1</v>
      </c>
      <c r="L59" s="289">
        <v>1</v>
      </c>
      <c r="M59" s="289">
        <v>1</v>
      </c>
      <c r="N59" s="289">
        <v>1</v>
      </c>
      <c r="O59" s="289">
        <v>1</v>
      </c>
      <c r="P59" s="289">
        <v>1</v>
      </c>
      <c r="Q59" s="289">
        <v>1</v>
      </c>
      <c r="R59" s="289">
        <v>1</v>
      </c>
      <c r="S59" s="289">
        <v>1</v>
      </c>
      <c r="T59" s="289">
        <v>1</v>
      </c>
      <c r="U59" s="289">
        <v>1</v>
      </c>
      <c r="V59" s="289">
        <v>1</v>
      </c>
      <c r="W59" s="289">
        <v>1</v>
      </c>
      <c r="X59" s="289">
        <v>1</v>
      </c>
      <c r="Y59" s="289">
        <v>1</v>
      </c>
      <c r="Z59" s="289">
        <v>1</v>
      </c>
      <c r="AA59" s="289">
        <v>1</v>
      </c>
      <c r="AB59" s="289">
        <v>1</v>
      </c>
      <c r="AC59" s="289">
        <v>1</v>
      </c>
      <c r="AD59" s="289">
        <v>1</v>
      </c>
      <c r="AE59" s="289">
        <v>1</v>
      </c>
      <c r="AF59" s="289">
        <v>1</v>
      </c>
      <c r="AG59" s="289">
        <v>1</v>
      </c>
      <c r="AH59" s="289">
        <v>1</v>
      </c>
      <c r="AI59" s="289">
        <v>1</v>
      </c>
      <c r="AJ59" s="289">
        <v>1</v>
      </c>
      <c r="AK59" s="289">
        <v>1</v>
      </c>
    </row>
    <row r="60" spans="1:40" x14ac:dyDescent="0.25">
      <c r="A60" s="9" t="str">
        <f>AN13</f>
        <v>I-IS-SCP_PRD</v>
      </c>
      <c r="B60" s="9" t="str">
        <f>AO13</f>
        <v>IND Scrap IS Dummy</v>
      </c>
      <c r="C60"/>
      <c r="D60" t="s">
        <v>578</v>
      </c>
      <c r="G60" s="9"/>
      <c r="H60" s="61" t="s">
        <v>472</v>
      </c>
      <c r="I60" s="62" t="s">
        <v>454</v>
      </c>
      <c r="J60" s="295">
        <v>1</v>
      </c>
      <c r="K60" s="295">
        <v>1</v>
      </c>
      <c r="L60" s="295">
        <v>1</v>
      </c>
      <c r="M60" s="295">
        <v>1</v>
      </c>
      <c r="N60" s="295">
        <v>1</v>
      </c>
      <c r="O60" s="295">
        <v>1</v>
      </c>
      <c r="P60" s="295">
        <v>1</v>
      </c>
      <c r="Q60" s="295">
        <v>1</v>
      </c>
      <c r="R60" s="295">
        <v>1</v>
      </c>
      <c r="S60" s="295">
        <v>1</v>
      </c>
      <c r="T60" s="295">
        <v>1</v>
      </c>
      <c r="U60" s="295">
        <v>1</v>
      </c>
      <c r="V60" s="295">
        <v>1</v>
      </c>
      <c r="W60" s="295">
        <v>1</v>
      </c>
      <c r="X60" s="295">
        <v>1</v>
      </c>
      <c r="Y60" s="295">
        <v>1</v>
      </c>
      <c r="Z60" s="295">
        <v>1</v>
      </c>
      <c r="AA60" s="295">
        <v>1</v>
      </c>
      <c r="AB60" s="295">
        <v>1</v>
      </c>
      <c r="AC60" s="295">
        <v>1</v>
      </c>
      <c r="AD60" s="295">
        <v>1</v>
      </c>
      <c r="AE60" s="295">
        <v>1</v>
      </c>
      <c r="AF60" s="295">
        <v>1</v>
      </c>
      <c r="AG60" s="295">
        <v>1</v>
      </c>
      <c r="AH60" s="295">
        <v>1</v>
      </c>
      <c r="AI60" s="295">
        <v>1</v>
      </c>
      <c r="AJ60" s="295">
        <v>1</v>
      </c>
      <c r="AK60" s="295">
        <v>1</v>
      </c>
    </row>
    <row r="61" spans="1:40" x14ac:dyDescent="0.25">
      <c r="G61" s="9"/>
      <c r="H61" s="61"/>
      <c r="I61" s="62"/>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89"/>
      <c r="AH61" s="289"/>
      <c r="AI61" s="289"/>
      <c r="AJ61" s="289"/>
      <c r="AK61" s="289"/>
    </row>
    <row r="62" spans="1:40" x14ac:dyDescent="0.25">
      <c r="G62" s="9"/>
      <c r="H62" s="61"/>
      <c r="I62" s="62"/>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row>
    <row r="63" spans="1:40" x14ac:dyDescent="0.25">
      <c r="G63" s="9"/>
      <c r="H63" s="61"/>
      <c r="I63" s="62"/>
      <c r="J63" s="289"/>
      <c r="K63" s="289"/>
      <c r="L63" s="289"/>
      <c r="M63" s="289"/>
      <c r="N63" s="289"/>
      <c r="O63" s="289"/>
      <c r="P63" s="289"/>
      <c r="Q63" s="289"/>
      <c r="R63" s="289"/>
      <c r="S63" s="289"/>
      <c r="T63" s="289"/>
      <c r="U63" s="289"/>
      <c r="V63" s="289"/>
      <c r="W63" s="289"/>
      <c r="X63" s="289"/>
      <c r="Y63" s="289"/>
      <c r="Z63" s="289"/>
      <c r="AA63" s="289"/>
      <c r="AB63" s="289"/>
      <c r="AC63" s="289"/>
      <c r="AD63" s="289"/>
      <c r="AE63" s="289"/>
      <c r="AF63" s="289"/>
      <c r="AG63" s="289"/>
      <c r="AH63" s="289"/>
      <c r="AI63" s="289"/>
      <c r="AJ63" s="289"/>
      <c r="AK63" s="289"/>
    </row>
    <row r="64" spans="1:40" x14ac:dyDescent="0.25">
      <c r="G64" s="9"/>
      <c r="H64" s="62"/>
      <c r="I64" s="62"/>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row>
    <row r="65" spans="1:46" x14ac:dyDescent="0.25">
      <c r="A65" s="52" t="s">
        <v>300</v>
      </c>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row>
    <row r="66" spans="1:46" ht="15.75" thickBot="1" x14ac:dyDescent="0.3">
      <c r="A66" s="54" t="s">
        <v>306</v>
      </c>
      <c r="B66" s="55" t="s">
        <v>545</v>
      </c>
      <c r="C66" s="54" t="s">
        <v>582</v>
      </c>
      <c r="D66" s="54" t="s">
        <v>575</v>
      </c>
      <c r="E66" s="54" t="s">
        <v>575</v>
      </c>
      <c r="F66" s="54" t="s">
        <v>575</v>
      </c>
      <c r="G66" s="54" t="s">
        <v>327</v>
      </c>
      <c r="H66" s="54" t="s">
        <v>326</v>
      </c>
      <c r="I66" s="54" t="s">
        <v>549</v>
      </c>
      <c r="J66" s="54" t="s">
        <v>162</v>
      </c>
      <c r="K66" s="54" t="s">
        <v>164</v>
      </c>
      <c r="L66" s="54" t="s">
        <v>166</v>
      </c>
      <c r="M66" s="54" t="s">
        <v>168</v>
      </c>
      <c r="N66" s="54" t="s">
        <v>170</v>
      </c>
      <c r="O66" s="54" t="s">
        <v>173</v>
      </c>
      <c r="P66" s="54" t="s">
        <v>175</v>
      </c>
      <c r="Q66" s="54" t="s">
        <v>177</v>
      </c>
      <c r="R66" s="54" t="s">
        <v>179</v>
      </c>
      <c r="S66" s="54" t="s">
        <v>181</v>
      </c>
      <c r="T66" s="54" t="s">
        <v>183</v>
      </c>
      <c r="U66" s="54" t="s">
        <v>185</v>
      </c>
      <c r="V66" s="54" t="s">
        <v>188</v>
      </c>
      <c r="W66" s="54" t="s">
        <v>190</v>
      </c>
      <c r="X66" s="54" t="s">
        <v>192</v>
      </c>
      <c r="Y66" s="54" t="s">
        <v>194</v>
      </c>
      <c r="Z66" s="54" t="s">
        <v>196</v>
      </c>
      <c r="AA66" s="54" t="s">
        <v>198</v>
      </c>
      <c r="AB66" s="54" t="s">
        <v>9</v>
      </c>
      <c r="AC66" s="54" t="s">
        <v>201</v>
      </c>
      <c r="AD66" s="54" t="s">
        <v>203</v>
      </c>
      <c r="AE66" s="54" t="s">
        <v>205</v>
      </c>
      <c r="AF66" s="54" t="s">
        <v>207</v>
      </c>
      <c r="AG66" s="54" t="s">
        <v>210</v>
      </c>
      <c r="AH66" s="54" t="s">
        <v>212</v>
      </c>
      <c r="AI66" s="54" t="s">
        <v>214</v>
      </c>
      <c r="AJ66" s="54" t="s">
        <v>217</v>
      </c>
      <c r="AK66" s="54" t="s">
        <v>219</v>
      </c>
      <c r="AM66" s="291"/>
      <c r="AN66" s="292" t="s">
        <v>583</v>
      </c>
      <c r="AO66" s="291"/>
    </row>
    <row r="67" spans="1:46" ht="38.25" x14ac:dyDescent="0.25">
      <c r="A67" s="50" t="s">
        <v>551</v>
      </c>
      <c r="B67" s="50" t="s">
        <v>26</v>
      </c>
      <c r="C67" s="50" t="s">
        <v>582</v>
      </c>
      <c r="D67" s="50"/>
      <c r="E67" s="50"/>
      <c r="F67" s="50"/>
      <c r="G67" s="50" t="s">
        <v>330</v>
      </c>
      <c r="H67" s="50" t="s">
        <v>555</v>
      </c>
      <c r="I67" s="50" t="s">
        <v>556</v>
      </c>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M67" s="291" t="s">
        <v>584</v>
      </c>
      <c r="AN67" s="291">
        <v>200</v>
      </c>
      <c r="AO67" s="291" t="s">
        <v>585</v>
      </c>
    </row>
    <row r="68" spans="1:46" x14ac:dyDescent="0.25">
      <c r="A68" s="9" t="str">
        <f>AN13</f>
        <v>I-IS-SCP_PRD</v>
      </c>
      <c r="B68" s="9" t="str">
        <f>AO13</f>
        <v>IND Scrap IS Dummy</v>
      </c>
      <c r="C68" s="9">
        <v>2019</v>
      </c>
      <c r="G68" s="9"/>
      <c r="H68" s="9" t="s">
        <v>586</v>
      </c>
      <c r="I68" s="9" t="s">
        <v>587</v>
      </c>
      <c r="J68" s="9">
        <v>0</v>
      </c>
      <c r="K68" s="9">
        <v>0</v>
      </c>
      <c r="L68" s="9">
        <v>0</v>
      </c>
      <c r="M68" s="9">
        <v>0</v>
      </c>
      <c r="N68" s="9">
        <v>0</v>
      </c>
      <c r="O68" s="9">
        <v>0</v>
      </c>
      <c r="P68" s="9">
        <v>0</v>
      </c>
      <c r="Q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M68" s="291"/>
      <c r="AN68" s="291">
        <v>300</v>
      </c>
      <c r="AO68" s="291" t="s">
        <v>585</v>
      </c>
    </row>
    <row r="69" spans="1:46" x14ac:dyDescent="0.25">
      <c r="C69" s="9">
        <v>2050</v>
      </c>
      <c r="G69" s="9"/>
      <c r="H69" s="9" t="s">
        <v>586</v>
      </c>
      <c r="I69" s="9" t="s">
        <v>587</v>
      </c>
      <c r="J69" s="9">
        <v>0</v>
      </c>
      <c r="K69" s="9">
        <v>0</v>
      </c>
      <c r="L69" s="9">
        <v>0</v>
      </c>
      <c r="M69" s="9">
        <v>0</v>
      </c>
      <c r="N69" s="9">
        <v>0</v>
      </c>
      <c r="O69" s="9">
        <v>0</v>
      </c>
      <c r="P69" s="9">
        <v>0</v>
      </c>
      <c r="Q69" s="9">
        <v>0</v>
      </c>
      <c r="R69" s="9">
        <v>0</v>
      </c>
      <c r="S69" s="9">
        <v>0</v>
      </c>
      <c r="T69" s="9">
        <v>0</v>
      </c>
      <c r="U69" s="9">
        <v>0</v>
      </c>
      <c r="V69" s="9">
        <v>0</v>
      </c>
      <c r="W69" s="9">
        <v>0</v>
      </c>
      <c r="X69" s="9">
        <v>0</v>
      </c>
      <c r="Y69" s="9">
        <v>0</v>
      </c>
      <c r="Z69" s="9">
        <v>0</v>
      </c>
      <c r="AA69" s="9">
        <v>0</v>
      </c>
      <c r="AB69" s="9">
        <v>0</v>
      </c>
      <c r="AC69" s="9">
        <v>0</v>
      </c>
      <c r="AD69" s="9">
        <v>0</v>
      </c>
      <c r="AE69" s="9">
        <v>0</v>
      </c>
      <c r="AF69" s="9">
        <v>0</v>
      </c>
      <c r="AG69" s="9">
        <v>0</v>
      </c>
      <c r="AH69" s="9">
        <v>0</v>
      </c>
      <c r="AI69" s="9">
        <v>0</v>
      </c>
      <c r="AJ69" s="9">
        <v>0</v>
      </c>
      <c r="AK69" s="9">
        <v>0</v>
      </c>
      <c r="AN69" s="473">
        <f>AVERAGE(AN67:AN68)*(Legend!B71/Legend!B69)</f>
        <v>264.97348828461577</v>
      </c>
      <c r="AO69" s="9" t="s">
        <v>588</v>
      </c>
    </row>
    <row r="70" spans="1:46" x14ac:dyDescent="0.25">
      <c r="G70" s="9"/>
    </row>
    <row r="71" spans="1:46" x14ac:dyDescent="0.25">
      <c r="G71" s="9"/>
    </row>
    <row r="72" spans="1:46" ht="21" x14ac:dyDescent="0.25">
      <c r="A72" s="14" t="s">
        <v>589</v>
      </c>
      <c r="G72" s="9"/>
      <c r="AM72" s="14" t="s">
        <v>590</v>
      </c>
    </row>
    <row r="73" spans="1:46" x14ac:dyDescent="0.25">
      <c r="A73" s="52" t="s">
        <v>300</v>
      </c>
      <c r="G73" s="9"/>
      <c r="AM73" s="42" t="s">
        <v>338</v>
      </c>
      <c r="AN73" s="42"/>
      <c r="AO73" s="43"/>
      <c r="AP73" s="43"/>
      <c r="AQ73" s="43"/>
      <c r="AR73" s="43"/>
      <c r="AS73" s="43"/>
      <c r="AT73" s="43"/>
    </row>
    <row r="74" spans="1:46" ht="15.75" thickBot="1" x14ac:dyDescent="0.3">
      <c r="A74" s="54" t="s">
        <v>340</v>
      </c>
      <c r="B74" s="54" t="s">
        <v>591</v>
      </c>
      <c r="C74" s="54" t="s">
        <v>582</v>
      </c>
      <c r="D74" s="54" t="s">
        <v>575</v>
      </c>
      <c r="E74" s="54" t="s">
        <v>575</v>
      </c>
      <c r="F74" s="54" t="s">
        <v>575</v>
      </c>
      <c r="G74" s="54" t="s">
        <v>575</v>
      </c>
      <c r="H74" s="54" t="s">
        <v>326</v>
      </c>
      <c r="I74" s="54" t="s">
        <v>549</v>
      </c>
      <c r="J74" s="54" t="s">
        <v>162</v>
      </c>
      <c r="K74" s="54" t="s">
        <v>164</v>
      </c>
      <c r="L74" s="54" t="s">
        <v>166</v>
      </c>
      <c r="M74" s="54" t="s">
        <v>168</v>
      </c>
      <c r="N74" s="54" t="s">
        <v>170</v>
      </c>
      <c r="O74" s="54" t="s">
        <v>173</v>
      </c>
      <c r="P74" s="54" t="s">
        <v>175</v>
      </c>
      <c r="Q74" s="54" t="s">
        <v>177</v>
      </c>
      <c r="R74" s="54" t="s">
        <v>179</v>
      </c>
      <c r="S74" s="54" t="s">
        <v>181</v>
      </c>
      <c r="T74" s="54" t="s">
        <v>183</v>
      </c>
      <c r="U74" s="54" t="s">
        <v>185</v>
      </c>
      <c r="V74" s="54" t="s">
        <v>188</v>
      </c>
      <c r="W74" s="54" t="s">
        <v>190</v>
      </c>
      <c r="X74" s="54" t="s">
        <v>192</v>
      </c>
      <c r="Y74" s="54" t="s">
        <v>194</v>
      </c>
      <c r="Z74" s="54" t="s">
        <v>196</v>
      </c>
      <c r="AA74" s="54" t="s">
        <v>198</v>
      </c>
      <c r="AB74" s="54" t="s">
        <v>9</v>
      </c>
      <c r="AC74" s="54" t="s">
        <v>201</v>
      </c>
      <c r="AD74" s="54" t="s">
        <v>203</v>
      </c>
      <c r="AE74" s="54" t="s">
        <v>205</v>
      </c>
      <c r="AF74" s="54" t="s">
        <v>207</v>
      </c>
      <c r="AG74" s="54" t="s">
        <v>210</v>
      </c>
      <c r="AH74" s="54" t="s">
        <v>212</v>
      </c>
      <c r="AI74" s="54" t="s">
        <v>214</v>
      </c>
      <c r="AJ74" s="54" t="s">
        <v>217</v>
      </c>
      <c r="AK74" s="54" t="s">
        <v>219</v>
      </c>
      <c r="AM74" s="44" t="s">
        <v>339</v>
      </c>
      <c r="AN74" s="44" t="s">
        <v>340</v>
      </c>
      <c r="AO74" s="44" t="s">
        <v>341</v>
      </c>
      <c r="AP74" s="44" t="s">
        <v>342</v>
      </c>
      <c r="AQ74" s="44" t="s">
        <v>327</v>
      </c>
      <c r="AR74" s="44" t="s">
        <v>343</v>
      </c>
      <c r="AS74" s="44" t="s">
        <v>344</v>
      </c>
      <c r="AT74" s="44" t="s">
        <v>345</v>
      </c>
    </row>
    <row r="75" spans="1:46" ht="25.5" x14ac:dyDescent="0.25">
      <c r="A75" s="50" t="s">
        <v>592</v>
      </c>
      <c r="B75" s="50" t="s">
        <v>26</v>
      </c>
      <c r="C75" s="56" t="s">
        <v>582</v>
      </c>
      <c r="D75" s="56"/>
      <c r="E75" s="56"/>
      <c r="F75" s="56"/>
      <c r="G75" s="56"/>
      <c r="H75" s="56" t="s">
        <v>329</v>
      </c>
      <c r="I75" s="56" t="s">
        <v>342</v>
      </c>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M75" s="45" t="s">
        <v>346</v>
      </c>
      <c r="AN75" s="46" t="s">
        <v>347</v>
      </c>
      <c r="AO75" s="46" t="s">
        <v>26</v>
      </c>
      <c r="AP75" s="46" t="s">
        <v>348</v>
      </c>
      <c r="AQ75" s="46"/>
      <c r="AR75" s="46"/>
      <c r="AS75" s="46"/>
      <c r="AT75" s="46"/>
    </row>
    <row r="76" spans="1:46" x14ac:dyDescent="0.25">
      <c r="A76" s="59" t="s">
        <v>366</v>
      </c>
      <c r="B76" s="59" t="s">
        <v>593</v>
      </c>
      <c r="C76" s="59">
        <v>2019</v>
      </c>
      <c r="D76" s="59"/>
      <c r="E76" s="59"/>
      <c r="F76" s="59"/>
      <c r="G76" s="59"/>
      <c r="H76" s="59" t="s">
        <v>594</v>
      </c>
      <c r="I76" s="60" t="s">
        <v>454</v>
      </c>
      <c r="J76" s="144">
        <f>'Inputs_BY IIS'!E81</f>
        <v>5.5066776402422843E-2</v>
      </c>
      <c r="K76" s="144">
        <f>'Inputs_BY IIS'!F81</f>
        <v>4.7763804196893949</v>
      </c>
      <c r="L76" s="144">
        <f>'Inputs_BY IIS'!G81</f>
        <v>6.057345404266512E-2</v>
      </c>
      <c r="M76" s="144">
        <f>'Inputs_BY IIS'!H81</f>
        <v>7.9477234984739642</v>
      </c>
      <c r="N76" s="144">
        <f>'Inputs_BY IIS'!I81</f>
        <v>5.7290694480789606</v>
      </c>
      <c r="O76" s="144">
        <f>'Inputs_BY IIS'!J81</f>
        <v>3.9504670812909222</v>
      </c>
      <c r="P76" s="144">
        <f>'Inputs_BY IIS'!K81</f>
        <v>5.4087257695453799</v>
      </c>
      <c r="Q76" s="144">
        <f>'Inputs_BY IIS'!L81</f>
        <v>3.406371427651028</v>
      </c>
      <c r="R76" s="144">
        <f>'Inputs_BY IIS'!M81</f>
        <v>31.608432960053861</v>
      </c>
      <c r="S76" s="144">
        <f>'Inputs_BY IIS'!N81</f>
        <v>14.111264981580216</v>
      </c>
      <c r="T76" s="144">
        <f>'Inputs_BY IIS'!O81</f>
        <v>1.7982155095334285</v>
      </c>
      <c r="U76" s="144">
        <f>'Inputs_BY IIS'!P81</f>
        <v>948.27015782017122</v>
      </c>
      <c r="V76" s="144">
        <f>'Inputs_BY IIS'!Q81</f>
        <v>44.490302324945468</v>
      </c>
      <c r="W76" s="144">
        <f>'Inputs_BY IIS'!R81</f>
        <v>9.4376345634494712</v>
      </c>
      <c r="X76" s="144">
        <f>'Inputs_BY IIS'!S81</f>
        <v>26.275772601159172</v>
      </c>
      <c r="Y76" s="144">
        <f>'Inputs_BY IIS'!T81</f>
        <v>52.97076151296131</v>
      </c>
      <c r="Z76" s="144">
        <f>'Inputs_BY IIS'!U81</f>
        <v>69.421262747059799</v>
      </c>
      <c r="AA76" s="144">
        <f>'Inputs_BY IIS'!V81</f>
        <v>18.996950034818447</v>
      </c>
      <c r="AB76" s="144">
        <f>'Inputs_BY IIS'!W81</f>
        <v>104.75098773562429</v>
      </c>
      <c r="AC76" s="144">
        <f>'Inputs_BY IIS'!X81</f>
        <v>102.44869839239163</v>
      </c>
      <c r="AD76" s="144">
        <f>'Inputs_BY IIS'!Y81</f>
        <v>10.039200439706883</v>
      </c>
      <c r="AE76" s="144">
        <f>'Inputs_BY IIS'!Z81</f>
        <v>20.382632129203255</v>
      </c>
      <c r="AF76" s="144">
        <f>'Inputs_BY IIS'!AA81</f>
        <v>18.769494017392546</v>
      </c>
      <c r="AG76" s="144">
        <f>'Inputs_BY IIS'!AB81</f>
        <v>17.686480760385052</v>
      </c>
      <c r="AH76" s="144">
        <f>'Inputs_BY IIS'!AC81</f>
        <v>0.11013355280484567</v>
      </c>
      <c r="AI76" s="144">
        <f>'Inputs_BY IIS'!AD81</f>
        <v>75.781657678224093</v>
      </c>
      <c r="AJ76" s="144">
        <f>'Inputs_BY IIS'!AE81</f>
        <v>69.314507454923486</v>
      </c>
      <c r="AK76" s="144">
        <f>'Inputs_BY IIS'!AF81</f>
        <v>86.712625662558452</v>
      </c>
      <c r="AM76" s="60" t="s">
        <v>595</v>
      </c>
      <c r="AN76" s="60" t="s">
        <v>366</v>
      </c>
      <c r="AO76" s="60" t="s">
        <v>593</v>
      </c>
      <c r="AP76" s="60" t="s">
        <v>454</v>
      </c>
      <c r="AQ76" s="60"/>
      <c r="AR76" s="60"/>
      <c r="AS76" s="60"/>
      <c r="AT76" s="60"/>
    </row>
    <row r="77" spans="1:46" x14ac:dyDescent="0.25">
      <c r="AM77" t="s">
        <v>571</v>
      </c>
      <c r="AN77" t="s">
        <v>578</v>
      </c>
      <c r="AO77" t="s">
        <v>596</v>
      </c>
      <c r="AP77" t="s">
        <v>454</v>
      </c>
    </row>
    <row r="98" spans="39:46" x14ac:dyDescent="0.25">
      <c r="AO98" s="53"/>
      <c r="AP98" s="53"/>
      <c r="AQ98" s="53"/>
      <c r="AR98" s="53"/>
      <c r="AS98" s="53"/>
      <c r="AT98" s="53"/>
    </row>
    <row r="102" spans="39:46" x14ac:dyDescent="0.25">
      <c r="AM102" s="47"/>
      <c r="AN102" s="47"/>
      <c r="AO102" s="47"/>
      <c r="AP102" s="47"/>
      <c r="AQ102" s="47"/>
      <c r="AR102" s="47"/>
      <c r="AS102" s="47"/>
      <c r="AT102" s="47"/>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C73F1-219B-41C4-9463-76DF43958874}">
  <sheetPr>
    <tabColor theme="9" tint="0.59999389629810485"/>
  </sheetPr>
  <dimension ref="A1:AS129"/>
  <sheetViews>
    <sheetView showGridLines="0" topLeftCell="A105" zoomScale="70" zoomScaleNormal="70" workbookViewId="0">
      <selection activeCell="G5" sqref="G5"/>
    </sheetView>
  </sheetViews>
  <sheetFormatPr defaultColWidth="9.28515625" defaultRowHeight="15" x14ac:dyDescent="0.25"/>
  <cols>
    <col min="1" max="1" width="31.28515625" style="9" customWidth="1"/>
    <col min="2" max="2" width="61.42578125" style="9" customWidth="1"/>
    <col min="3" max="3" width="22.7109375" style="9" bestFit="1" customWidth="1"/>
    <col min="4" max="4" width="10.42578125" style="9" customWidth="1"/>
    <col min="5" max="5" width="13.28515625" style="9" bestFit="1" customWidth="1"/>
    <col min="6" max="6" width="10.28515625" style="9" bestFit="1" customWidth="1"/>
    <col min="7" max="7" width="9.28515625" customWidth="1"/>
    <col min="8" max="8" width="10.7109375" style="9" bestFit="1" customWidth="1"/>
    <col min="9" max="9" width="10.42578125" style="9" bestFit="1" customWidth="1"/>
    <col min="10" max="10" width="5.28515625" style="9" customWidth="1"/>
    <col min="11" max="20" width="10.42578125" style="9" bestFit="1" customWidth="1"/>
    <col min="21" max="21" width="6.28515625" style="9" customWidth="1"/>
    <col min="22" max="23" width="10.42578125" style="9" bestFit="1" customWidth="1"/>
    <col min="24" max="24" width="6.28515625" style="9" customWidth="1"/>
    <col min="25" max="27" width="10.42578125" style="9" bestFit="1" customWidth="1"/>
    <col min="28" max="28" width="6.7109375" style="9" customWidth="1"/>
    <col min="29" max="29" width="4.7109375" style="9" customWidth="1"/>
    <col min="30" max="35" width="10.42578125" style="9" bestFit="1" customWidth="1"/>
    <col min="36" max="36" width="3.7109375" style="9" bestFit="1" customWidth="1"/>
    <col min="37" max="37" width="9.28515625" style="9"/>
    <col min="38" max="38" width="36.7109375" style="9" customWidth="1"/>
    <col min="39" max="39" width="50.42578125" style="9" bestFit="1" customWidth="1"/>
    <col min="40" max="16384" width="9.28515625" style="9"/>
  </cols>
  <sheetData>
    <row r="1" spans="1:45" ht="23.25" x14ac:dyDescent="0.25">
      <c r="A1" s="8" t="s">
        <v>597</v>
      </c>
    </row>
    <row r="2" spans="1:45" customFormat="1" x14ac:dyDescent="0.25">
      <c r="A2" s="5" t="s">
        <v>7</v>
      </c>
      <c r="B2" t="s">
        <v>88</v>
      </c>
    </row>
    <row r="3" spans="1:45" x14ac:dyDescent="0.25">
      <c r="A3" s="12" t="s">
        <v>541</v>
      </c>
      <c r="B3" t="s">
        <v>89</v>
      </c>
    </row>
    <row r="6" spans="1:45" customFormat="1" x14ac:dyDescent="0.25">
      <c r="AI6" s="9"/>
    </row>
    <row r="7" spans="1:45" ht="21" x14ac:dyDescent="0.25">
      <c r="A7" s="14" t="s">
        <v>598</v>
      </c>
      <c r="F7"/>
      <c r="G7" s="9"/>
      <c r="U7" s="14"/>
      <c r="AK7" s="14" t="s">
        <v>544</v>
      </c>
    </row>
    <row r="8" spans="1:45" x14ac:dyDescent="0.25">
      <c r="A8" s="52" t="s">
        <v>300</v>
      </c>
      <c r="F8"/>
      <c r="G8" s="9"/>
      <c r="T8" s="53"/>
      <c r="U8" s="53"/>
      <c r="V8" s="53"/>
      <c r="W8" s="53"/>
      <c r="X8" s="53"/>
      <c r="Y8" s="53"/>
      <c r="Z8" s="53"/>
      <c r="AA8" s="53"/>
      <c r="AB8" s="53"/>
      <c r="AC8" s="53"/>
      <c r="AD8" s="53"/>
      <c r="AE8" s="53"/>
      <c r="AF8" s="53"/>
      <c r="AG8" s="53"/>
      <c r="AH8" s="53"/>
      <c r="AI8" s="53"/>
      <c r="AJ8" s="53"/>
      <c r="AK8" s="42" t="s">
        <v>301</v>
      </c>
      <c r="AL8" s="57"/>
      <c r="AM8" s="57"/>
      <c r="AN8" s="57"/>
      <c r="AO8" s="57"/>
      <c r="AP8" s="57"/>
      <c r="AQ8" s="57"/>
      <c r="AR8" s="57"/>
    </row>
    <row r="9" spans="1:45" ht="25.5" customHeight="1" thickBot="1" x14ac:dyDescent="0.3">
      <c r="A9" s="54" t="s">
        <v>306</v>
      </c>
      <c r="B9" s="55" t="s">
        <v>545</v>
      </c>
      <c r="C9" s="55" t="s">
        <v>550</v>
      </c>
      <c r="D9" s="54" t="s">
        <v>302</v>
      </c>
      <c r="E9" s="54" t="s">
        <v>546</v>
      </c>
      <c r="F9" s="54" t="s">
        <v>303</v>
      </c>
      <c r="G9" s="54" t="s">
        <v>599</v>
      </c>
      <c r="H9" s="54" t="s">
        <v>569</v>
      </c>
      <c r="I9" s="74"/>
      <c r="T9" s="74"/>
      <c r="U9" s="74"/>
      <c r="V9" s="74"/>
      <c r="W9" s="74"/>
      <c r="X9" s="74"/>
      <c r="Y9" s="74"/>
      <c r="Z9" s="74"/>
      <c r="AA9" s="74"/>
      <c r="AB9" s="74"/>
      <c r="AC9" s="74"/>
      <c r="AD9" s="74"/>
      <c r="AE9" s="74"/>
      <c r="AF9" s="74"/>
      <c r="AG9" s="74"/>
      <c r="AH9" s="74"/>
      <c r="AI9" s="74"/>
      <c r="AJ9" s="74"/>
      <c r="AK9" s="44" t="s">
        <v>305</v>
      </c>
      <c r="AL9" s="44" t="s">
        <v>306</v>
      </c>
      <c r="AM9" s="44" t="s">
        <v>307</v>
      </c>
      <c r="AN9" s="44" t="s">
        <v>308</v>
      </c>
      <c r="AO9" s="44" t="s">
        <v>309</v>
      </c>
      <c r="AP9" s="44" t="s">
        <v>550</v>
      </c>
      <c r="AQ9" s="44" t="s">
        <v>310</v>
      </c>
      <c r="AR9" s="44" t="s">
        <v>311</v>
      </c>
      <c r="AS9" s="44" t="s">
        <v>312</v>
      </c>
    </row>
    <row r="10" spans="1:45" ht="51" x14ac:dyDescent="0.25">
      <c r="A10" s="50" t="s">
        <v>551</v>
      </c>
      <c r="B10" s="50" t="s">
        <v>26</v>
      </c>
      <c r="C10" s="50" t="s">
        <v>328</v>
      </c>
      <c r="D10" s="50" t="s">
        <v>313</v>
      </c>
      <c r="E10" s="50" t="s">
        <v>314</v>
      </c>
      <c r="F10" s="50" t="s">
        <v>552</v>
      </c>
      <c r="G10" s="50" t="s">
        <v>600</v>
      </c>
      <c r="H10" s="50" t="s">
        <v>554</v>
      </c>
      <c r="I10" s="75"/>
      <c r="T10" s="75"/>
      <c r="U10" s="75"/>
      <c r="V10" s="75"/>
      <c r="W10" s="75"/>
      <c r="X10" s="75"/>
      <c r="Y10" s="75"/>
      <c r="Z10" s="75"/>
      <c r="AA10" s="75"/>
      <c r="AB10" s="75"/>
      <c r="AC10" s="75"/>
      <c r="AD10" s="75"/>
      <c r="AE10" s="75"/>
      <c r="AF10" s="75"/>
      <c r="AG10" s="75"/>
      <c r="AH10" s="75"/>
      <c r="AI10" s="75"/>
      <c r="AJ10" s="75"/>
      <c r="AK10" s="51" t="s">
        <v>557</v>
      </c>
      <c r="AL10" s="51" t="s">
        <v>316</v>
      </c>
      <c r="AM10" s="51" t="s">
        <v>26</v>
      </c>
      <c r="AN10" s="51" t="s">
        <v>317</v>
      </c>
      <c r="AO10" s="51" t="s">
        <v>318</v>
      </c>
      <c r="AP10" s="51" t="s">
        <v>328</v>
      </c>
      <c r="AQ10" s="51" t="s">
        <v>319</v>
      </c>
      <c r="AR10" s="51" t="s">
        <v>320</v>
      </c>
      <c r="AS10" s="51" t="s">
        <v>321</v>
      </c>
    </row>
    <row r="11" spans="1:45" x14ac:dyDescent="0.25">
      <c r="A11" s="9" t="str">
        <f t="shared" ref="A11:B16" si="0">AL11</f>
        <v>I-IS-BF_BOF01</v>
      </c>
      <c r="B11" s="9" t="str">
        <f t="shared" si="0"/>
        <v>IND Iron and Steel technology: BF-BOF</v>
      </c>
      <c r="D11" s="9" t="s">
        <v>366</v>
      </c>
      <c r="E11" s="9">
        <v>1</v>
      </c>
      <c r="F11" s="207">
        <v>0.95</v>
      </c>
      <c r="G11" s="9">
        <v>2020</v>
      </c>
      <c r="H11" s="9">
        <v>30</v>
      </c>
      <c r="I11" s="62"/>
      <c r="T11" s="68"/>
      <c r="U11" s="68"/>
      <c r="V11" s="68"/>
      <c r="W11" s="68"/>
      <c r="X11" s="68"/>
      <c r="Y11" s="68"/>
      <c r="Z11" s="68"/>
      <c r="AA11" s="68"/>
      <c r="AB11" s="68"/>
      <c r="AC11" s="68"/>
      <c r="AD11" s="68"/>
      <c r="AE11" s="68"/>
      <c r="AF11" s="68"/>
      <c r="AG11" s="68"/>
      <c r="AH11" s="68"/>
      <c r="AI11" s="68"/>
      <c r="AJ11" s="68"/>
      <c r="AK11" s="9" t="s">
        <v>560</v>
      </c>
      <c r="AL11" s="9" t="s">
        <v>601</v>
      </c>
      <c r="AM11" s="9" t="s">
        <v>562</v>
      </c>
      <c r="AN11" s="9" t="s">
        <v>454</v>
      </c>
      <c r="AO11" s="9" t="s">
        <v>602</v>
      </c>
      <c r="AP11" s="9" t="s">
        <v>558</v>
      </c>
      <c r="AQ11" s="9" t="s">
        <v>558</v>
      </c>
    </row>
    <row r="12" spans="1:45" x14ac:dyDescent="0.25">
      <c r="A12" s="9" t="str">
        <f t="shared" si="0"/>
        <v>I-IS-BF_BOF02</v>
      </c>
      <c r="B12" s="9" t="str">
        <f t="shared" si="0"/>
        <v>IND Iron and Steel technology: BF-BOF - High bio</v>
      </c>
      <c r="D12" s="9" t="s">
        <v>366</v>
      </c>
      <c r="E12" s="9">
        <v>1</v>
      </c>
      <c r="F12" s="207">
        <v>0.95</v>
      </c>
      <c r="G12" s="9">
        <v>2020</v>
      </c>
      <c r="H12" s="9">
        <v>30</v>
      </c>
      <c r="I12" s="62"/>
      <c r="T12" s="68"/>
      <c r="U12" s="68"/>
      <c r="V12" s="68"/>
      <c r="W12" s="68"/>
      <c r="X12" s="68"/>
      <c r="Y12" s="68"/>
      <c r="Z12" s="68"/>
      <c r="AA12" s="68"/>
      <c r="AB12" s="68"/>
      <c r="AC12" s="68"/>
      <c r="AD12" s="68"/>
      <c r="AE12" s="68"/>
      <c r="AF12" s="68"/>
      <c r="AG12" s="68"/>
      <c r="AH12" s="68"/>
      <c r="AI12" s="68"/>
      <c r="AJ12" s="68"/>
      <c r="AK12" s="9" t="s">
        <v>560</v>
      </c>
      <c r="AL12" s="9" t="s">
        <v>603</v>
      </c>
      <c r="AM12" s="9" t="s">
        <v>604</v>
      </c>
      <c r="AN12" s="9" t="s">
        <v>454</v>
      </c>
      <c r="AO12" s="9" t="s">
        <v>602</v>
      </c>
      <c r="AP12" s="9" t="s">
        <v>558</v>
      </c>
      <c r="AQ12" s="9" t="s">
        <v>558</v>
      </c>
    </row>
    <row r="13" spans="1:45" x14ac:dyDescent="0.25">
      <c r="A13" s="9" t="str">
        <f t="shared" si="0"/>
        <v>I-IS-DRI_EAF_COA01</v>
      </c>
      <c r="B13" s="9" t="str">
        <f t="shared" si="0"/>
        <v>IND Iron and Steel technology: DRI using coal plus EAF</v>
      </c>
      <c r="D13" s="9" t="s">
        <v>366</v>
      </c>
      <c r="E13" s="9">
        <v>1</v>
      </c>
      <c r="F13" s="207">
        <v>0.95</v>
      </c>
      <c r="G13" s="9">
        <v>2020</v>
      </c>
      <c r="H13" s="9">
        <v>30</v>
      </c>
      <c r="I13" s="62"/>
      <c r="T13" s="68"/>
      <c r="U13" s="68"/>
      <c r="V13" s="68"/>
      <c r="W13" s="68"/>
      <c r="X13" s="68"/>
      <c r="Y13" s="68"/>
      <c r="Z13" s="68"/>
      <c r="AA13" s="68"/>
      <c r="AB13" s="68"/>
      <c r="AC13" s="68"/>
      <c r="AD13" s="68"/>
      <c r="AE13" s="68"/>
      <c r="AF13" s="68"/>
      <c r="AG13" s="68"/>
      <c r="AH13" s="68"/>
      <c r="AI13" s="68"/>
      <c r="AJ13" s="68"/>
      <c r="AK13" s="9" t="s">
        <v>560</v>
      </c>
      <c r="AL13" s="9" t="s">
        <v>605</v>
      </c>
      <c r="AM13" s="9" t="s">
        <v>564</v>
      </c>
      <c r="AN13" s="9" t="s">
        <v>454</v>
      </c>
      <c r="AO13" s="9" t="s">
        <v>602</v>
      </c>
      <c r="AP13" s="9" t="s">
        <v>558</v>
      </c>
      <c r="AQ13" s="9" t="s">
        <v>558</v>
      </c>
    </row>
    <row r="14" spans="1:45" x14ac:dyDescent="0.25">
      <c r="A14" s="9" t="str">
        <f t="shared" si="0"/>
        <v>I-IS-DRI_EAF_NGA01</v>
      </c>
      <c r="B14" s="9" t="str">
        <f t="shared" si="0"/>
        <v>IND Iron and Steel technology: DRI using gas plus EAF</v>
      </c>
      <c r="D14" s="9" t="s">
        <v>366</v>
      </c>
      <c r="E14" s="9">
        <v>1</v>
      </c>
      <c r="F14" s="207">
        <v>0.95</v>
      </c>
      <c r="G14" s="9">
        <v>2020</v>
      </c>
      <c r="H14" s="9">
        <v>30</v>
      </c>
      <c r="I14" s="62"/>
      <c r="T14" s="68"/>
      <c r="U14" s="68"/>
      <c r="V14" s="68"/>
      <c r="W14" s="68"/>
      <c r="X14" s="68"/>
      <c r="Y14" s="68"/>
      <c r="Z14" s="68"/>
      <c r="AA14" s="68"/>
      <c r="AB14" s="68"/>
      <c r="AC14" s="68"/>
      <c r="AD14" s="68"/>
      <c r="AE14" s="68"/>
      <c r="AF14" s="68"/>
      <c r="AG14" s="68"/>
      <c r="AH14" s="68"/>
      <c r="AI14" s="68"/>
      <c r="AJ14" s="68"/>
      <c r="AK14" s="9" t="s">
        <v>560</v>
      </c>
      <c r="AL14" s="9" t="s">
        <v>606</v>
      </c>
      <c r="AM14" s="9" t="s">
        <v>566</v>
      </c>
      <c r="AN14" s="9" t="s">
        <v>454</v>
      </c>
      <c r="AO14" s="9" t="s">
        <v>602</v>
      </c>
    </row>
    <row r="15" spans="1:45" x14ac:dyDescent="0.25">
      <c r="A15" s="9" t="str">
        <f t="shared" si="0"/>
        <v>I-IS-DRI_EAF_H201</v>
      </c>
      <c r="B15" s="9" t="str">
        <f t="shared" si="0"/>
        <v>IND Iron and Steel technology: DRI using H2 plus EAF</v>
      </c>
      <c r="D15" s="9" t="s">
        <v>366</v>
      </c>
      <c r="E15" s="9">
        <v>1</v>
      </c>
      <c r="F15" s="207">
        <v>0.95</v>
      </c>
      <c r="G15" s="9">
        <v>2020</v>
      </c>
      <c r="H15" s="9">
        <v>30</v>
      </c>
      <c r="I15" s="62"/>
      <c r="T15" s="68"/>
      <c r="U15" s="68"/>
      <c r="V15" s="68"/>
      <c r="W15" s="68"/>
      <c r="X15" s="68"/>
      <c r="Y15" s="68"/>
      <c r="Z15" s="68"/>
      <c r="AA15" s="68"/>
      <c r="AB15" s="68"/>
      <c r="AC15" s="68"/>
      <c r="AD15" s="68"/>
      <c r="AE15" s="68"/>
      <c r="AF15" s="68"/>
      <c r="AG15" s="68"/>
      <c r="AH15" s="68"/>
      <c r="AI15" s="68"/>
      <c r="AJ15" s="68"/>
      <c r="AK15" s="9" t="s">
        <v>560</v>
      </c>
      <c r="AL15" s="9" t="s">
        <v>607</v>
      </c>
      <c r="AM15" s="9" t="s">
        <v>608</v>
      </c>
      <c r="AN15" s="9" t="s">
        <v>454</v>
      </c>
      <c r="AO15" s="9" t="s">
        <v>602</v>
      </c>
      <c r="AP15" s="9" t="s">
        <v>558</v>
      </c>
      <c r="AQ15" s="9" t="s">
        <v>558</v>
      </c>
    </row>
    <row r="16" spans="1:45" x14ac:dyDescent="0.25">
      <c r="A16" s="9" t="str">
        <f t="shared" si="0"/>
        <v>I-IS-SCP_EAF01</v>
      </c>
      <c r="B16" s="9" t="str">
        <f t="shared" si="0"/>
        <v>IND Iron and Steel technology: EAF using scrap (secondary)</v>
      </c>
      <c r="D16" s="9" t="s">
        <v>366</v>
      </c>
      <c r="E16" s="9">
        <v>1</v>
      </c>
      <c r="F16" s="207">
        <v>0.95</v>
      </c>
      <c r="G16" s="9">
        <v>2020</v>
      </c>
      <c r="H16" s="9">
        <v>30</v>
      </c>
      <c r="I16" s="62"/>
      <c r="T16" s="68"/>
      <c r="U16" s="68"/>
      <c r="V16" s="68"/>
      <c r="W16" s="68"/>
      <c r="X16" s="68"/>
      <c r="Y16" s="68"/>
      <c r="Z16" s="68"/>
      <c r="AA16" s="68"/>
      <c r="AB16" s="68"/>
      <c r="AC16" s="68"/>
      <c r="AD16" s="68"/>
      <c r="AE16" s="68"/>
      <c r="AF16" s="68"/>
      <c r="AG16" s="68"/>
      <c r="AH16" s="68"/>
      <c r="AI16" s="68"/>
      <c r="AJ16" s="68"/>
      <c r="AK16" s="9" t="s">
        <v>560</v>
      </c>
      <c r="AL16" s="9" t="s">
        <v>609</v>
      </c>
      <c r="AM16" s="9" t="s">
        <v>568</v>
      </c>
      <c r="AN16" s="9" t="s">
        <v>454</v>
      </c>
      <c r="AO16" s="9" t="s">
        <v>602</v>
      </c>
    </row>
    <row r="17" spans="1:41" x14ac:dyDescent="0.25">
      <c r="A17" s="9" t="str">
        <f t="shared" ref="A17:A20" si="1">AL17</f>
        <v>I-IS-BF_BOF01_CCS</v>
      </c>
      <c r="B17" s="9" t="str">
        <f>AM17</f>
        <v>IND Iron and Steel technology: BF-BOF w/CCS</v>
      </c>
      <c r="D17" s="9" t="s">
        <v>366</v>
      </c>
      <c r="E17" s="9">
        <v>1</v>
      </c>
      <c r="F17" s="207">
        <v>0.95</v>
      </c>
      <c r="G17" s="9">
        <v>2035</v>
      </c>
      <c r="H17" s="9">
        <v>30</v>
      </c>
      <c r="I17" s="62"/>
      <c r="J17" s="462"/>
      <c r="T17" s="68"/>
      <c r="U17" s="68"/>
      <c r="V17" s="68"/>
      <c r="W17" s="68"/>
      <c r="X17" s="68"/>
      <c r="Y17" s="68"/>
      <c r="Z17" s="68"/>
      <c r="AA17" s="68"/>
      <c r="AB17" s="68"/>
      <c r="AC17" s="68"/>
      <c r="AD17" s="68"/>
      <c r="AE17" s="68"/>
      <c r="AF17" s="68"/>
      <c r="AG17" s="68"/>
      <c r="AH17" s="68"/>
      <c r="AI17" s="68"/>
      <c r="AJ17" s="68"/>
      <c r="AK17" s="9" t="s">
        <v>560</v>
      </c>
      <c r="AL17" s="9" t="s">
        <v>610</v>
      </c>
      <c r="AM17" s="9" t="s">
        <v>611</v>
      </c>
      <c r="AN17" s="9" t="s">
        <v>454</v>
      </c>
      <c r="AO17" s="9" t="s">
        <v>602</v>
      </c>
    </row>
    <row r="18" spans="1:41" x14ac:dyDescent="0.25">
      <c r="A18" s="9" t="str">
        <f t="shared" si="1"/>
        <v>I-IS-BF_BOF02_CCS</v>
      </c>
      <c r="B18" s="9" t="str">
        <f t="shared" ref="B18:B20" si="2">AM18</f>
        <v>IND Iron and Steel technology: BF-BOF - High bio w/CCS</v>
      </c>
      <c r="D18" s="9" t="s">
        <v>366</v>
      </c>
      <c r="E18" s="9">
        <v>1</v>
      </c>
      <c r="F18" s="207">
        <v>0.95</v>
      </c>
      <c r="G18" s="9">
        <v>2035</v>
      </c>
      <c r="H18" s="9">
        <v>30</v>
      </c>
      <c r="I18" s="62"/>
      <c r="J18" s="462"/>
      <c r="R18" s="68"/>
      <c r="S18" s="68"/>
      <c r="T18" s="68"/>
      <c r="U18" s="68"/>
      <c r="V18" s="68"/>
      <c r="W18" s="68"/>
      <c r="X18" s="68"/>
      <c r="Y18" s="68"/>
      <c r="Z18" s="68"/>
      <c r="AA18" s="68"/>
      <c r="AB18" s="68"/>
      <c r="AC18" s="68"/>
      <c r="AD18" s="68"/>
      <c r="AE18" s="68"/>
      <c r="AF18" s="68"/>
      <c r="AG18" s="68"/>
      <c r="AH18" s="68"/>
      <c r="AI18" s="68"/>
      <c r="AJ18" s="68"/>
      <c r="AK18" s="9" t="s">
        <v>560</v>
      </c>
      <c r="AL18" s="9" t="s">
        <v>612</v>
      </c>
      <c r="AM18" s="9" t="s">
        <v>613</v>
      </c>
      <c r="AN18" s="9" t="s">
        <v>454</v>
      </c>
      <c r="AO18" s="9" t="s">
        <v>602</v>
      </c>
    </row>
    <row r="19" spans="1:41" x14ac:dyDescent="0.25">
      <c r="A19" s="9" t="str">
        <f t="shared" si="1"/>
        <v>I-IS-DRI_EAF_COA01_CCS</v>
      </c>
      <c r="B19" s="9" t="str">
        <f t="shared" si="2"/>
        <v>IND Iron and Steel technology: DRI using coal plus EAF w/CCS</v>
      </c>
      <c r="D19" s="9" t="s">
        <v>366</v>
      </c>
      <c r="E19" s="9">
        <v>1</v>
      </c>
      <c r="F19" s="207">
        <v>0.95</v>
      </c>
      <c r="G19" s="9">
        <v>2035</v>
      </c>
      <c r="H19" s="9">
        <v>30</v>
      </c>
      <c r="I19" s="62"/>
      <c r="J19" s="462"/>
      <c r="K19"/>
      <c r="L19"/>
      <c r="R19" s="68"/>
      <c r="S19" s="68"/>
      <c r="T19" s="68"/>
      <c r="U19" s="68"/>
      <c r="V19" s="68"/>
      <c r="W19" s="68"/>
      <c r="X19" s="68"/>
      <c r="Y19" s="68"/>
      <c r="Z19" s="68"/>
      <c r="AA19" s="68"/>
      <c r="AB19" s="68"/>
      <c r="AC19" s="68"/>
      <c r="AD19" s="68"/>
      <c r="AE19" s="68"/>
      <c r="AF19" s="68"/>
      <c r="AG19" s="68"/>
      <c r="AH19" s="68"/>
      <c r="AI19" s="68"/>
      <c r="AJ19" s="68"/>
      <c r="AK19" s="9" t="s">
        <v>560</v>
      </c>
      <c r="AL19" s="9" t="s">
        <v>614</v>
      </c>
      <c r="AM19" s="9" t="s">
        <v>615</v>
      </c>
      <c r="AN19" s="9" t="s">
        <v>454</v>
      </c>
      <c r="AO19" s="9" t="s">
        <v>602</v>
      </c>
    </row>
    <row r="20" spans="1:41" x14ac:dyDescent="0.25">
      <c r="A20" s="9" t="str">
        <f t="shared" si="1"/>
        <v>I-IS-DRI_EAF_NGA01_CCS</v>
      </c>
      <c r="B20" s="9" t="str">
        <f t="shared" si="2"/>
        <v>IND Iron and Steel technology: DRI using gas plus EAF w/CCS</v>
      </c>
      <c r="D20" s="9" t="s">
        <v>366</v>
      </c>
      <c r="E20" s="9">
        <v>1</v>
      </c>
      <c r="F20" s="207">
        <v>0.95</v>
      </c>
      <c r="G20" s="9">
        <v>2035</v>
      </c>
      <c r="H20" s="9">
        <v>30</v>
      </c>
      <c r="I20" s="62"/>
      <c r="J20" s="462"/>
      <c r="K20"/>
      <c r="L20"/>
      <c r="R20" s="68"/>
      <c r="S20" s="68"/>
      <c r="T20" s="68"/>
      <c r="U20" s="68"/>
      <c r="V20" s="68"/>
      <c r="W20" s="68"/>
      <c r="X20" s="68"/>
      <c r="Y20" s="68"/>
      <c r="Z20" s="68"/>
      <c r="AA20" s="68"/>
      <c r="AB20" s="68"/>
      <c r="AC20" s="68"/>
      <c r="AD20" s="68"/>
      <c r="AE20" s="68"/>
      <c r="AF20" s="68"/>
      <c r="AG20" s="68"/>
      <c r="AH20" s="68"/>
      <c r="AI20" s="68"/>
      <c r="AJ20" s="68"/>
      <c r="AK20" s="9" t="s">
        <v>560</v>
      </c>
      <c r="AL20" s="9" t="s">
        <v>616</v>
      </c>
      <c r="AM20" s="9" t="s">
        <v>617</v>
      </c>
      <c r="AN20" s="9" t="s">
        <v>454</v>
      </c>
      <c r="AO20" s="9" t="s">
        <v>602</v>
      </c>
    </row>
    <row r="21" spans="1:41" x14ac:dyDescent="0.25">
      <c r="A21" s="9" t="str">
        <f t="shared" ref="A21" si="3">AL21</f>
        <v>I-IS-MOE01</v>
      </c>
      <c r="B21" s="9" t="str">
        <f t="shared" ref="B21" si="4">AM21</f>
        <v>IND Iron and Steel technology: Molten Oxide Electrolysis</v>
      </c>
      <c r="D21" s="9" t="s">
        <v>366</v>
      </c>
      <c r="E21" s="9">
        <v>1</v>
      </c>
      <c r="F21" s="207">
        <v>0.95</v>
      </c>
      <c r="G21" s="9">
        <v>2035</v>
      </c>
      <c r="H21" s="9">
        <v>30</v>
      </c>
      <c r="I21" s="62"/>
      <c r="K21"/>
      <c r="L21"/>
      <c r="R21" s="68"/>
      <c r="S21" s="68"/>
      <c r="T21" s="68"/>
      <c r="U21" s="68"/>
      <c r="V21" s="68"/>
      <c r="W21" s="68"/>
      <c r="X21" s="68"/>
      <c r="Y21" s="68"/>
      <c r="Z21" s="68"/>
      <c r="AA21" s="68"/>
      <c r="AB21" s="68"/>
      <c r="AC21" s="68"/>
      <c r="AD21" s="68"/>
      <c r="AE21" s="68"/>
      <c r="AF21" s="68"/>
      <c r="AG21" s="68"/>
      <c r="AH21" s="68"/>
      <c r="AI21" s="68"/>
      <c r="AJ21" s="68"/>
      <c r="AK21" s="9" t="s">
        <v>560</v>
      </c>
      <c r="AL21" s="9" t="s">
        <v>618</v>
      </c>
      <c r="AM21" s="9" t="s">
        <v>619</v>
      </c>
      <c r="AN21" s="9" t="s">
        <v>454</v>
      </c>
      <c r="AO21" s="9" t="s">
        <v>602</v>
      </c>
    </row>
    <row r="22" spans="1:41" x14ac:dyDescent="0.25">
      <c r="G22" s="146"/>
      <c r="I22" s="62"/>
      <c r="K22"/>
      <c r="L22"/>
      <c r="R22" s="68"/>
      <c r="S22" s="68"/>
      <c r="T22" s="68"/>
      <c r="U22" s="68"/>
      <c r="V22" s="68"/>
      <c r="W22" s="68"/>
      <c r="X22" s="68"/>
      <c r="Y22" s="68"/>
      <c r="Z22" s="68"/>
      <c r="AA22" s="68"/>
      <c r="AB22" s="68"/>
      <c r="AC22" s="68"/>
      <c r="AD22" s="68"/>
      <c r="AE22" s="68"/>
      <c r="AF22" s="68"/>
      <c r="AG22" s="68"/>
      <c r="AH22" s="68"/>
      <c r="AI22" s="68"/>
      <c r="AJ22" s="68"/>
    </row>
    <row r="23" spans="1:41" x14ac:dyDescent="0.25">
      <c r="G23" s="146"/>
      <c r="I23" s="62"/>
      <c r="K23"/>
      <c r="L23"/>
      <c r="R23" s="68"/>
      <c r="S23" s="68"/>
      <c r="T23" s="68"/>
      <c r="U23" s="68"/>
      <c r="V23" s="68"/>
      <c r="W23" s="68"/>
      <c r="X23" s="68"/>
      <c r="Y23" s="68"/>
      <c r="Z23" s="68"/>
      <c r="AA23" s="68"/>
      <c r="AB23" s="68"/>
      <c r="AC23" s="68"/>
      <c r="AD23" s="68"/>
      <c r="AE23" s="68"/>
      <c r="AF23" s="68"/>
      <c r="AG23" s="68"/>
      <c r="AH23" s="68"/>
      <c r="AI23" s="68"/>
      <c r="AJ23" s="68"/>
    </row>
    <row r="24" spans="1:41" x14ac:dyDescent="0.25">
      <c r="A24" s="52" t="s">
        <v>300</v>
      </c>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row>
    <row r="25" spans="1:41" ht="30.75" thickBot="1" x14ac:dyDescent="0.3">
      <c r="A25" s="54" t="s">
        <v>306</v>
      </c>
      <c r="B25" s="55" t="s">
        <v>545</v>
      </c>
      <c r="C25" s="54" t="s">
        <v>325</v>
      </c>
      <c r="D25" s="54" t="s">
        <v>302</v>
      </c>
      <c r="E25" s="54" t="s">
        <v>327</v>
      </c>
      <c r="F25" s="54" t="s">
        <v>326</v>
      </c>
      <c r="G25" s="54" t="s">
        <v>549</v>
      </c>
      <c r="H25" s="54" t="s">
        <v>162</v>
      </c>
      <c r="I25" s="54" t="s">
        <v>164</v>
      </c>
      <c r="J25" s="54" t="s">
        <v>166</v>
      </c>
      <c r="K25" s="54" t="s">
        <v>168</v>
      </c>
      <c r="L25" s="54" t="s">
        <v>170</v>
      </c>
      <c r="M25" s="54" t="s">
        <v>173</v>
      </c>
      <c r="N25" s="54" t="s">
        <v>175</v>
      </c>
      <c r="O25" s="54" t="s">
        <v>177</v>
      </c>
      <c r="P25" s="54" t="s">
        <v>179</v>
      </c>
      <c r="Q25" s="54" t="s">
        <v>181</v>
      </c>
      <c r="R25" s="54" t="s">
        <v>183</v>
      </c>
      <c r="S25" s="54" t="s">
        <v>185</v>
      </c>
      <c r="T25" s="54" t="s">
        <v>188</v>
      </c>
      <c r="U25" s="54" t="s">
        <v>190</v>
      </c>
      <c r="V25" s="54" t="s">
        <v>192</v>
      </c>
      <c r="W25" s="54" t="s">
        <v>194</v>
      </c>
      <c r="X25" s="54" t="s">
        <v>196</v>
      </c>
      <c r="Y25" s="54" t="s">
        <v>198</v>
      </c>
      <c r="Z25" s="54" t="s">
        <v>9</v>
      </c>
      <c r="AA25" s="54" t="s">
        <v>201</v>
      </c>
      <c r="AB25" s="54" t="s">
        <v>203</v>
      </c>
      <c r="AC25" s="54" t="s">
        <v>205</v>
      </c>
      <c r="AD25" s="54" t="s">
        <v>207</v>
      </c>
      <c r="AE25" s="54" t="s">
        <v>210</v>
      </c>
      <c r="AF25" s="54" t="s">
        <v>212</v>
      </c>
      <c r="AG25" s="54" t="s">
        <v>214</v>
      </c>
      <c r="AH25" s="54" t="s">
        <v>217</v>
      </c>
      <c r="AI25" s="54" t="s">
        <v>219</v>
      </c>
    </row>
    <row r="26" spans="1:41" ht="76.5" x14ac:dyDescent="0.25">
      <c r="A26" s="50" t="s">
        <v>551</v>
      </c>
      <c r="B26" s="50" t="s">
        <v>26</v>
      </c>
      <c r="C26" s="50" t="s">
        <v>328</v>
      </c>
      <c r="D26" s="50" t="s">
        <v>576</v>
      </c>
      <c r="E26" s="50" t="s">
        <v>330</v>
      </c>
      <c r="F26" s="50" t="s">
        <v>555</v>
      </c>
      <c r="G26" s="50" t="s">
        <v>556</v>
      </c>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row>
    <row r="27" spans="1:41" x14ac:dyDescent="0.25">
      <c r="A27" s="9" t="str">
        <f>AL11</f>
        <v>I-IS-BF_BOF01</v>
      </c>
      <c r="B27" s="9" t="str">
        <f>AM11</f>
        <v>IND Iron and Steel technology: BF-BOF</v>
      </c>
      <c r="C27" s="75" t="s">
        <v>120</v>
      </c>
      <c r="D27" s="75"/>
      <c r="E27" s="75"/>
      <c r="F27" s="75" t="s">
        <v>470</v>
      </c>
      <c r="G27" s="75" t="s">
        <v>449</v>
      </c>
      <c r="H27" s="319">
        <f t="shared" ref="H27:W43" si="5">$AK27</f>
        <v>1.5</v>
      </c>
      <c r="I27" s="319">
        <f t="shared" si="5"/>
        <v>1.5</v>
      </c>
      <c r="J27" s="319">
        <f t="shared" si="5"/>
        <v>1.5</v>
      </c>
      <c r="K27" s="319">
        <f t="shared" si="5"/>
        <v>1.5</v>
      </c>
      <c r="L27" s="319">
        <f t="shared" si="5"/>
        <v>1.5</v>
      </c>
      <c r="M27" s="319">
        <f t="shared" si="5"/>
        <v>1.5</v>
      </c>
      <c r="N27" s="319">
        <f t="shared" si="5"/>
        <v>1.5</v>
      </c>
      <c r="O27" s="319">
        <f t="shared" si="5"/>
        <v>1.5</v>
      </c>
      <c r="P27" s="319">
        <f t="shared" si="5"/>
        <v>1.5</v>
      </c>
      <c r="Q27" s="319">
        <f t="shared" si="5"/>
        <v>1.5</v>
      </c>
      <c r="R27" s="319">
        <f t="shared" si="5"/>
        <v>1.5</v>
      </c>
      <c r="S27" s="319">
        <f t="shared" si="5"/>
        <v>1.5</v>
      </c>
      <c r="T27" s="319">
        <f t="shared" si="5"/>
        <v>1.5</v>
      </c>
      <c r="U27" s="319">
        <f t="shared" si="5"/>
        <v>1.5</v>
      </c>
      <c r="V27" s="319">
        <f t="shared" si="5"/>
        <v>1.5</v>
      </c>
      <c r="W27" s="319">
        <f t="shared" si="5"/>
        <v>1.5</v>
      </c>
      <c r="X27" s="319">
        <f t="shared" ref="I27:AI37" si="6">$AK27</f>
        <v>1.5</v>
      </c>
      <c r="Y27" s="319">
        <f t="shared" si="6"/>
        <v>1.5</v>
      </c>
      <c r="Z27" s="319">
        <f t="shared" si="6"/>
        <v>1.5</v>
      </c>
      <c r="AA27" s="319">
        <f t="shared" si="6"/>
        <v>1.5</v>
      </c>
      <c r="AB27" s="319">
        <f t="shared" si="6"/>
        <v>1.5</v>
      </c>
      <c r="AC27" s="319">
        <f t="shared" si="6"/>
        <v>1.5</v>
      </c>
      <c r="AD27" s="319">
        <f t="shared" si="6"/>
        <v>1.5</v>
      </c>
      <c r="AE27" s="319">
        <f t="shared" si="6"/>
        <v>1.5</v>
      </c>
      <c r="AF27" s="319">
        <f t="shared" si="6"/>
        <v>1.5</v>
      </c>
      <c r="AG27" s="319">
        <f t="shared" si="6"/>
        <v>1.5</v>
      </c>
      <c r="AH27" s="319">
        <f t="shared" si="6"/>
        <v>1.5</v>
      </c>
      <c r="AI27" s="319">
        <f t="shared" si="6"/>
        <v>1.5</v>
      </c>
      <c r="AK27" s="318">
        <v>1.5</v>
      </c>
    </row>
    <row r="28" spans="1:41" x14ac:dyDescent="0.25">
      <c r="C28" s="75" t="s">
        <v>122</v>
      </c>
      <c r="D28" s="75"/>
      <c r="E28" s="75"/>
      <c r="F28" s="75" t="s">
        <v>470</v>
      </c>
      <c r="G28" s="75" t="s">
        <v>449</v>
      </c>
      <c r="H28" s="319">
        <f t="shared" si="5"/>
        <v>1</v>
      </c>
      <c r="I28" s="319">
        <f t="shared" si="6"/>
        <v>1</v>
      </c>
      <c r="J28" s="319">
        <f t="shared" si="6"/>
        <v>1</v>
      </c>
      <c r="K28" s="319">
        <f t="shared" si="6"/>
        <v>1</v>
      </c>
      <c r="L28" s="319">
        <f t="shared" si="6"/>
        <v>1</v>
      </c>
      <c r="M28" s="319">
        <f t="shared" si="6"/>
        <v>1</v>
      </c>
      <c r="N28" s="319">
        <f t="shared" si="6"/>
        <v>1</v>
      </c>
      <c r="O28" s="319">
        <f t="shared" si="6"/>
        <v>1</v>
      </c>
      <c r="P28" s="319">
        <f t="shared" si="6"/>
        <v>1</v>
      </c>
      <c r="Q28" s="319">
        <f t="shared" si="6"/>
        <v>1</v>
      </c>
      <c r="R28" s="319">
        <f t="shared" si="6"/>
        <v>1</v>
      </c>
      <c r="S28" s="319">
        <f t="shared" si="6"/>
        <v>1</v>
      </c>
      <c r="T28" s="319">
        <f t="shared" si="6"/>
        <v>1</v>
      </c>
      <c r="U28" s="319">
        <f t="shared" si="6"/>
        <v>1</v>
      </c>
      <c r="V28" s="319">
        <f t="shared" si="6"/>
        <v>1</v>
      </c>
      <c r="W28" s="319">
        <f t="shared" si="6"/>
        <v>1</v>
      </c>
      <c r="X28" s="319">
        <f t="shared" si="6"/>
        <v>1</v>
      </c>
      <c r="Y28" s="319">
        <f t="shared" si="6"/>
        <v>1</v>
      </c>
      <c r="Z28" s="319">
        <f t="shared" si="6"/>
        <v>1</v>
      </c>
      <c r="AA28" s="319">
        <f t="shared" si="6"/>
        <v>1</v>
      </c>
      <c r="AB28" s="319">
        <f t="shared" si="6"/>
        <v>1</v>
      </c>
      <c r="AC28" s="319">
        <f t="shared" si="6"/>
        <v>1</v>
      </c>
      <c r="AD28" s="319">
        <f t="shared" si="6"/>
        <v>1</v>
      </c>
      <c r="AE28" s="319">
        <f t="shared" si="6"/>
        <v>1</v>
      </c>
      <c r="AF28" s="319">
        <f t="shared" si="6"/>
        <v>1</v>
      </c>
      <c r="AG28" s="319">
        <f t="shared" si="6"/>
        <v>1</v>
      </c>
      <c r="AH28" s="319">
        <f t="shared" si="6"/>
        <v>1</v>
      </c>
      <c r="AI28" s="319">
        <f t="shared" si="6"/>
        <v>1</v>
      </c>
      <c r="AK28" s="318">
        <v>1</v>
      </c>
    </row>
    <row r="29" spans="1:41" x14ac:dyDescent="0.25">
      <c r="C29" s="75" t="s">
        <v>124</v>
      </c>
      <c r="D29" s="75"/>
      <c r="E29" s="75"/>
      <c r="F29" s="75" t="s">
        <v>470</v>
      </c>
      <c r="G29" s="75" t="s">
        <v>449</v>
      </c>
      <c r="H29" s="319">
        <f t="shared" si="5"/>
        <v>1.5</v>
      </c>
      <c r="I29" s="319">
        <f t="shared" si="6"/>
        <v>1.5</v>
      </c>
      <c r="J29" s="319">
        <f t="shared" si="6"/>
        <v>1.5</v>
      </c>
      <c r="K29" s="319">
        <f t="shared" si="6"/>
        <v>1.5</v>
      </c>
      <c r="L29" s="319">
        <f t="shared" si="6"/>
        <v>1.5</v>
      </c>
      <c r="M29" s="319">
        <f t="shared" si="6"/>
        <v>1.5</v>
      </c>
      <c r="N29" s="319">
        <f t="shared" si="6"/>
        <v>1.5</v>
      </c>
      <c r="O29" s="319">
        <f t="shared" si="6"/>
        <v>1.5</v>
      </c>
      <c r="P29" s="319">
        <f t="shared" si="6"/>
        <v>1.5</v>
      </c>
      <c r="Q29" s="319">
        <f t="shared" si="6"/>
        <v>1.5</v>
      </c>
      <c r="R29" s="319">
        <f t="shared" si="6"/>
        <v>1.5</v>
      </c>
      <c r="S29" s="319">
        <f t="shared" si="6"/>
        <v>1.5</v>
      </c>
      <c r="T29" s="319">
        <f t="shared" si="6"/>
        <v>1.5</v>
      </c>
      <c r="U29" s="319">
        <f t="shared" si="6"/>
        <v>1.5</v>
      </c>
      <c r="V29" s="319">
        <f t="shared" si="6"/>
        <v>1.5</v>
      </c>
      <c r="W29" s="319">
        <f t="shared" si="6"/>
        <v>1.5</v>
      </c>
      <c r="X29" s="319">
        <f t="shared" si="6"/>
        <v>1.5</v>
      </c>
      <c r="Y29" s="319">
        <f t="shared" si="6"/>
        <v>1.5</v>
      </c>
      <c r="Z29" s="319">
        <f t="shared" si="6"/>
        <v>1.5</v>
      </c>
      <c r="AA29" s="319">
        <f t="shared" si="6"/>
        <v>1.5</v>
      </c>
      <c r="AB29" s="319">
        <f t="shared" si="6"/>
        <v>1.5</v>
      </c>
      <c r="AC29" s="319">
        <f t="shared" si="6"/>
        <v>1.5</v>
      </c>
      <c r="AD29" s="319">
        <f t="shared" si="6"/>
        <v>1.5</v>
      </c>
      <c r="AE29" s="319">
        <f t="shared" si="6"/>
        <v>1.5</v>
      </c>
      <c r="AF29" s="319">
        <f t="shared" si="6"/>
        <v>1.5</v>
      </c>
      <c r="AG29" s="319">
        <f t="shared" si="6"/>
        <v>1.5</v>
      </c>
      <c r="AH29" s="319">
        <f t="shared" si="6"/>
        <v>1.5</v>
      </c>
      <c r="AI29" s="319">
        <f t="shared" si="6"/>
        <v>1.5</v>
      </c>
      <c r="AK29" s="318">
        <v>1.5</v>
      </c>
    </row>
    <row r="30" spans="1:41" x14ac:dyDescent="0.25">
      <c r="C30" s="75" t="s">
        <v>126</v>
      </c>
      <c r="D30" s="75"/>
      <c r="E30" s="75"/>
      <c r="F30" s="75" t="s">
        <v>470</v>
      </c>
      <c r="G30" s="75" t="s">
        <v>449</v>
      </c>
      <c r="H30" s="319">
        <f t="shared" si="5"/>
        <v>1.5</v>
      </c>
      <c r="I30" s="319">
        <f t="shared" si="6"/>
        <v>1.5</v>
      </c>
      <c r="J30" s="319">
        <f t="shared" si="6"/>
        <v>1.5</v>
      </c>
      <c r="K30" s="319">
        <f t="shared" si="6"/>
        <v>1.5</v>
      </c>
      <c r="L30" s="319">
        <f t="shared" si="6"/>
        <v>1.5</v>
      </c>
      <c r="M30" s="319">
        <f t="shared" si="6"/>
        <v>1.5</v>
      </c>
      <c r="N30" s="319">
        <f t="shared" si="6"/>
        <v>1.5</v>
      </c>
      <c r="O30" s="319">
        <f t="shared" si="6"/>
        <v>1.5</v>
      </c>
      <c r="P30" s="319">
        <f t="shared" si="6"/>
        <v>1.5</v>
      </c>
      <c r="Q30" s="319">
        <f t="shared" si="6"/>
        <v>1.5</v>
      </c>
      <c r="R30" s="319">
        <f t="shared" si="6"/>
        <v>1.5</v>
      </c>
      <c r="S30" s="319">
        <f t="shared" si="6"/>
        <v>1.5</v>
      </c>
      <c r="T30" s="319">
        <f t="shared" si="6"/>
        <v>1.5</v>
      </c>
      <c r="U30" s="319">
        <f t="shared" si="6"/>
        <v>1.5</v>
      </c>
      <c r="V30" s="319">
        <f t="shared" si="6"/>
        <v>1.5</v>
      </c>
      <c r="W30" s="319">
        <f t="shared" si="6"/>
        <v>1.5</v>
      </c>
      <c r="X30" s="319">
        <f t="shared" si="6"/>
        <v>1.5</v>
      </c>
      <c r="Y30" s="319">
        <f t="shared" si="6"/>
        <v>1.5</v>
      </c>
      <c r="Z30" s="319">
        <f t="shared" si="6"/>
        <v>1.5</v>
      </c>
      <c r="AA30" s="319">
        <f t="shared" si="6"/>
        <v>1.5</v>
      </c>
      <c r="AB30" s="319">
        <f t="shared" si="6"/>
        <v>1.5</v>
      </c>
      <c r="AC30" s="319">
        <f t="shared" si="6"/>
        <v>1.5</v>
      </c>
      <c r="AD30" s="319">
        <f t="shared" si="6"/>
        <v>1.5</v>
      </c>
      <c r="AE30" s="319">
        <f t="shared" si="6"/>
        <v>1.5</v>
      </c>
      <c r="AF30" s="319">
        <f t="shared" si="6"/>
        <v>1.5</v>
      </c>
      <c r="AG30" s="319">
        <f t="shared" si="6"/>
        <v>1.5</v>
      </c>
      <c r="AH30" s="319">
        <f t="shared" si="6"/>
        <v>1.5</v>
      </c>
      <c r="AI30" s="319">
        <f t="shared" si="6"/>
        <v>1.5</v>
      </c>
      <c r="AK30" s="318">
        <v>1.5</v>
      </c>
    </row>
    <row r="31" spans="1:41" x14ac:dyDescent="0.25">
      <c r="C31" s="75" t="s">
        <v>128</v>
      </c>
      <c r="D31" s="75"/>
      <c r="E31" s="75"/>
      <c r="F31" s="75" t="s">
        <v>470</v>
      </c>
      <c r="G31" s="75" t="s">
        <v>449</v>
      </c>
      <c r="H31" s="319">
        <f t="shared" si="5"/>
        <v>2</v>
      </c>
      <c r="I31" s="319">
        <f t="shared" si="6"/>
        <v>2</v>
      </c>
      <c r="J31" s="319">
        <f t="shared" si="6"/>
        <v>2</v>
      </c>
      <c r="K31" s="319">
        <f t="shared" si="6"/>
        <v>2</v>
      </c>
      <c r="L31" s="319">
        <f t="shared" si="6"/>
        <v>2</v>
      </c>
      <c r="M31" s="319">
        <f t="shared" si="6"/>
        <v>2</v>
      </c>
      <c r="N31" s="319">
        <f t="shared" si="6"/>
        <v>2</v>
      </c>
      <c r="O31" s="319">
        <f t="shared" si="6"/>
        <v>2</v>
      </c>
      <c r="P31" s="319">
        <f t="shared" si="6"/>
        <v>2</v>
      </c>
      <c r="Q31" s="319">
        <f t="shared" si="6"/>
        <v>2</v>
      </c>
      <c r="R31" s="319">
        <f t="shared" si="6"/>
        <v>2</v>
      </c>
      <c r="S31" s="319">
        <f t="shared" si="6"/>
        <v>2</v>
      </c>
      <c r="T31" s="319">
        <f t="shared" si="6"/>
        <v>2</v>
      </c>
      <c r="U31" s="319">
        <f t="shared" si="6"/>
        <v>2</v>
      </c>
      <c r="V31" s="319">
        <f t="shared" si="6"/>
        <v>2</v>
      </c>
      <c r="W31" s="319">
        <f t="shared" si="6"/>
        <v>2</v>
      </c>
      <c r="X31" s="319">
        <f t="shared" si="6"/>
        <v>2</v>
      </c>
      <c r="Y31" s="319">
        <f t="shared" si="6"/>
        <v>2</v>
      </c>
      <c r="Z31" s="319">
        <f t="shared" si="6"/>
        <v>2</v>
      </c>
      <c r="AA31" s="319">
        <f t="shared" si="6"/>
        <v>2</v>
      </c>
      <c r="AB31" s="319">
        <f t="shared" si="6"/>
        <v>2</v>
      </c>
      <c r="AC31" s="319">
        <f t="shared" si="6"/>
        <v>2</v>
      </c>
      <c r="AD31" s="319">
        <f t="shared" si="6"/>
        <v>2</v>
      </c>
      <c r="AE31" s="319">
        <f t="shared" si="6"/>
        <v>2</v>
      </c>
      <c r="AF31" s="319">
        <f t="shared" si="6"/>
        <v>2</v>
      </c>
      <c r="AG31" s="319">
        <f t="shared" si="6"/>
        <v>2</v>
      </c>
      <c r="AH31" s="319">
        <f t="shared" si="6"/>
        <v>2</v>
      </c>
      <c r="AI31" s="319">
        <f t="shared" si="6"/>
        <v>2</v>
      </c>
      <c r="AK31" s="318">
        <v>2</v>
      </c>
    </row>
    <row r="32" spans="1:41" x14ac:dyDescent="0.25">
      <c r="C32" s="9" t="s">
        <v>390</v>
      </c>
      <c r="D32" s="75"/>
      <c r="E32" s="75"/>
      <c r="F32" s="75" t="s">
        <v>470</v>
      </c>
      <c r="G32" s="75" t="s">
        <v>449</v>
      </c>
      <c r="H32" s="319">
        <f t="shared" si="5"/>
        <v>2</v>
      </c>
      <c r="I32" s="319">
        <f t="shared" si="6"/>
        <v>2</v>
      </c>
      <c r="J32" s="319">
        <f t="shared" si="6"/>
        <v>2</v>
      </c>
      <c r="K32" s="319">
        <f t="shared" si="6"/>
        <v>2</v>
      </c>
      <c r="L32" s="319">
        <f t="shared" si="6"/>
        <v>2</v>
      </c>
      <c r="M32" s="319">
        <f t="shared" si="6"/>
        <v>2</v>
      </c>
      <c r="N32" s="319">
        <f t="shared" si="6"/>
        <v>2</v>
      </c>
      <c r="O32" s="319">
        <f t="shared" si="6"/>
        <v>2</v>
      </c>
      <c r="P32" s="319">
        <f t="shared" si="6"/>
        <v>2</v>
      </c>
      <c r="Q32" s="319">
        <f t="shared" si="6"/>
        <v>2</v>
      </c>
      <c r="R32" s="319">
        <f t="shared" si="6"/>
        <v>2</v>
      </c>
      <c r="S32" s="319">
        <f t="shared" si="6"/>
        <v>2</v>
      </c>
      <c r="T32" s="319">
        <f t="shared" si="6"/>
        <v>2</v>
      </c>
      <c r="U32" s="319">
        <f t="shared" si="6"/>
        <v>2</v>
      </c>
      <c r="V32" s="319">
        <f t="shared" si="6"/>
        <v>2</v>
      </c>
      <c r="W32" s="319">
        <f t="shared" si="6"/>
        <v>2</v>
      </c>
      <c r="X32" s="319">
        <f t="shared" si="6"/>
        <v>2</v>
      </c>
      <c r="Y32" s="319">
        <f t="shared" si="6"/>
        <v>2</v>
      </c>
      <c r="Z32" s="319">
        <f t="shared" si="6"/>
        <v>2</v>
      </c>
      <c r="AA32" s="319">
        <f t="shared" si="6"/>
        <v>2</v>
      </c>
      <c r="AB32" s="319">
        <f t="shared" si="6"/>
        <v>2</v>
      </c>
      <c r="AC32" s="319">
        <f t="shared" si="6"/>
        <v>2</v>
      </c>
      <c r="AD32" s="319">
        <f t="shared" si="6"/>
        <v>2</v>
      </c>
      <c r="AE32" s="319">
        <f t="shared" si="6"/>
        <v>2</v>
      </c>
      <c r="AF32" s="319">
        <f t="shared" si="6"/>
        <v>2</v>
      </c>
      <c r="AG32" s="319">
        <f t="shared" si="6"/>
        <v>2</v>
      </c>
      <c r="AH32" s="319">
        <f t="shared" si="6"/>
        <v>2</v>
      </c>
      <c r="AI32" s="319">
        <f t="shared" si="6"/>
        <v>2</v>
      </c>
      <c r="AK32" s="318">
        <v>2</v>
      </c>
    </row>
    <row r="33" spans="1:39" x14ac:dyDescent="0.25">
      <c r="C33" s="75" t="s">
        <v>391</v>
      </c>
      <c r="D33" s="75"/>
      <c r="E33" s="75"/>
      <c r="F33" s="75" t="s">
        <v>470</v>
      </c>
      <c r="G33" s="75" t="s">
        <v>449</v>
      </c>
      <c r="H33" s="319">
        <f t="shared" si="5"/>
        <v>8</v>
      </c>
      <c r="I33" s="319">
        <f t="shared" si="6"/>
        <v>8</v>
      </c>
      <c r="J33" s="319">
        <f t="shared" si="6"/>
        <v>8</v>
      </c>
      <c r="K33" s="319">
        <f t="shared" si="6"/>
        <v>8</v>
      </c>
      <c r="L33" s="319">
        <f t="shared" si="6"/>
        <v>8</v>
      </c>
      <c r="M33" s="319">
        <f t="shared" si="6"/>
        <v>8</v>
      </c>
      <c r="N33" s="319">
        <f t="shared" si="6"/>
        <v>8</v>
      </c>
      <c r="O33" s="319">
        <f t="shared" si="6"/>
        <v>8</v>
      </c>
      <c r="P33" s="319">
        <f t="shared" si="6"/>
        <v>8</v>
      </c>
      <c r="Q33" s="319">
        <f t="shared" si="6"/>
        <v>8</v>
      </c>
      <c r="R33" s="319">
        <f t="shared" si="6"/>
        <v>8</v>
      </c>
      <c r="S33" s="319">
        <f t="shared" si="6"/>
        <v>8</v>
      </c>
      <c r="T33" s="319">
        <f t="shared" si="6"/>
        <v>8</v>
      </c>
      <c r="U33" s="319">
        <f t="shared" si="6"/>
        <v>8</v>
      </c>
      <c r="V33" s="319">
        <f t="shared" si="6"/>
        <v>8</v>
      </c>
      <c r="W33" s="319">
        <f t="shared" si="6"/>
        <v>8</v>
      </c>
      <c r="X33" s="319">
        <f t="shared" si="6"/>
        <v>8</v>
      </c>
      <c r="Y33" s="319">
        <f t="shared" si="6"/>
        <v>8</v>
      </c>
      <c r="Z33" s="319">
        <f t="shared" si="6"/>
        <v>8</v>
      </c>
      <c r="AA33" s="319">
        <f t="shared" si="6"/>
        <v>8</v>
      </c>
      <c r="AB33" s="319">
        <f t="shared" si="6"/>
        <v>8</v>
      </c>
      <c r="AC33" s="319">
        <f t="shared" si="6"/>
        <v>8</v>
      </c>
      <c r="AD33" s="319">
        <f t="shared" si="6"/>
        <v>8</v>
      </c>
      <c r="AE33" s="319">
        <f t="shared" si="6"/>
        <v>8</v>
      </c>
      <c r="AF33" s="319">
        <f t="shared" si="6"/>
        <v>8</v>
      </c>
      <c r="AG33" s="319">
        <f t="shared" si="6"/>
        <v>8</v>
      </c>
      <c r="AH33" s="319">
        <f t="shared" si="6"/>
        <v>8</v>
      </c>
      <c r="AI33" s="319">
        <f t="shared" si="6"/>
        <v>8</v>
      </c>
      <c r="AK33" s="318">
        <v>8</v>
      </c>
    </row>
    <row r="34" spans="1:39" x14ac:dyDescent="0.25">
      <c r="C34" s="75"/>
      <c r="D34" s="75" t="s">
        <v>159</v>
      </c>
      <c r="E34" s="75"/>
      <c r="F34" s="61" t="s">
        <v>472</v>
      </c>
      <c r="G34" t="s">
        <v>1628</v>
      </c>
      <c r="H34" s="76">
        <f>$AL34*1000</f>
        <v>1580</v>
      </c>
      <c r="I34" s="76">
        <f t="shared" ref="I34:AI34" si="7">$AL34*1000</f>
        <v>1580</v>
      </c>
      <c r="J34" s="76">
        <f t="shared" si="7"/>
        <v>1580</v>
      </c>
      <c r="K34" s="76">
        <f t="shared" si="7"/>
        <v>1580</v>
      </c>
      <c r="L34" s="76">
        <f t="shared" si="7"/>
        <v>1580</v>
      </c>
      <c r="M34" s="76">
        <f t="shared" si="7"/>
        <v>1580</v>
      </c>
      <c r="N34" s="76">
        <f t="shared" si="7"/>
        <v>1580</v>
      </c>
      <c r="O34" s="76">
        <f t="shared" si="7"/>
        <v>1580</v>
      </c>
      <c r="P34" s="76">
        <f t="shared" si="7"/>
        <v>1580</v>
      </c>
      <c r="Q34" s="76">
        <f t="shared" si="7"/>
        <v>1580</v>
      </c>
      <c r="R34" s="76">
        <f t="shared" si="7"/>
        <v>1580</v>
      </c>
      <c r="S34" s="76">
        <f t="shared" si="7"/>
        <v>1580</v>
      </c>
      <c r="T34" s="76">
        <f t="shared" si="7"/>
        <v>1580</v>
      </c>
      <c r="U34" s="76">
        <f t="shared" si="7"/>
        <v>1580</v>
      </c>
      <c r="V34" s="76">
        <f t="shared" si="7"/>
        <v>1580</v>
      </c>
      <c r="W34" s="76">
        <f t="shared" si="7"/>
        <v>1580</v>
      </c>
      <c r="X34" s="76">
        <f t="shared" si="7"/>
        <v>1580</v>
      </c>
      <c r="Y34" s="76">
        <f t="shared" si="7"/>
        <v>1580</v>
      </c>
      <c r="Z34" s="76">
        <f t="shared" si="7"/>
        <v>1580</v>
      </c>
      <c r="AA34" s="76">
        <f t="shared" si="7"/>
        <v>1580</v>
      </c>
      <c r="AB34" s="76">
        <f t="shared" si="7"/>
        <v>1580</v>
      </c>
      <c r="AC34" s="76">
        <f t="shared" si="7"/>
        <v>1580</v>
      </c>
      <c r="AD34" s="76">
        <f t="shared" si="7"/>
        <v>1580</v>
      </c>
      <c r="AE34" s="76">
        <f t="shared" si="7"/>
        <v>1580</v>
      </c>
      <c r="AF34" s="76">
        <f t="shared" si="7"/>
        <v>1580</v>
      </c>
      <c r="AG34" s="76">
        <f t="shared" si="7"/>
        <v>1580</v>
      </c>
      <c r="AH34" s="76">
        <f t="shared" si="7"/>
        <v>1580</v>
      </c>
      <c r="AI34" s="76">
        <f t="shared" si="7"/>
        <v>1580</v>
      </c>
      <c r="AK34" s="318"/>
      <c r="AL34" s="1">
        <f>1.58</f>
        <v>1.58</v>
      </c>
      <c r="AM34" s="9" t="s">
        <v>581</v>
      </c>
    </row>
    <row r="35" spans="1:39" x14ac:dyDescent="0.25">
      <c r="C35" s="75"/>
      <c r="D35" s="9" t="s">
        <v>1627</v>
      </c>
      <c r="F35" s="61" t="s">
        <v>472</v>
      </c>
      <c r="G35" t="s">
        <v>512</v>
      </c>
      <c r="H35" s="318">
        <f>$AL$35</f>
        <v>1.2624923303772864</v>
      </c>
      <c r="I35" s="318">
        <f t="shared" ref="I35:AI35" si="8">$AL$35</f>
        <v>1.2624923303772864</v>
      </c>
      <c r="J35" s="318">
        <f t="shared" si="8"/>
        <v>1.2624923303772864</v>
      </c>
      <c r="K35" s="318">
        <f t="shared" si="8"/>
        <v>1.2624923303772864</v>
      </c>
      <c r="L35" s="318">
        <f t="shared" si="8"/>
        <v>1.2624923303772864</v>
      </c>
      <c r="M35" s="318">
        <f t="shared" si="8"/>
        <v>1.2624923303772864</v>
      </c>
      <c r="N35" s="318">
        <f t="shared" si="8"/>
        <v>1.2624923303772864</v>
      </c>
      <c r="O35" s="318">
        <f t="shared" si="8"/>
        <v>1.2624923303772864</v>
      </c>
      <c r="P35" s="318">
        <f t="shared" si="8"/>
        <v>1.2624923303772864</v>
      </c>
      <c r="Q35" s="318">
        <f t="shared" si="8"/>
        <v>1.2624923303772864</v>
      </c>
      <c r="R35" s="318">
        <f t="shared" si="8"/>
        <v>1.2624923303772864</v>
      </c>
      <c r="S35" s="318">
        <f t="shared" si="8"/>
        <v>1.2624923303772864</v>
      </c>
      <c r="T35" s="318">
        <f t="shared" si="8"/>
        <v>1.2624923303772864</v>
      </c>
      <c r="U35" s="318">
        <f t="shared" si="8"/>
        <v>1.2624923303772864</v>
      </c>
      <c r="V35" s="318">
        <f t="shared" si="8"/>
        <v>1.2624923303772864</v>
      </c>
      <c r="W35" s="318">
        <f t="shared" si="8"/>
        <v>1.2624923303772864</v>
      </c>
      <c r="X35" s="318">
        <f t="shared" si="8"/>
        <v>1.2624923303772864</v>
      </c>
      <c r="Y35" s="318">
        <f t="shared" si="8"/>
        <v>1.2624923303772864</v>
      </c>
      <c r="Z35" s="318">
        <f t="shared" si="8"/>
        <v>1.2624923303772864</v>
      </c>
      <c r="AA35" s="318">
        <f t="shared" si="8"/>
        <v>1.2624923303772864</v>
      </c>
      <c r="AB35" s="318">
        <f t="shared" si="8"/>
        <v>1.2624923303772864</v>
      </c>
      <c r="AC35" s="318">
        <f t="shared" si="8"/>
        <v>1.2624923303772864</v>
      </c>
      <c r="AD35" s="318">
        <f t="shared" si="8"/>
        <v>1.2624923303772864</v>
      </c>
      <c r="AE35" s="318">
        <f t="shared" si="8"/>
        <v>1.2624923303772864</v>
      </c>
      <c r="AF35" s="318">
        <f t="shared" si="8"/>
        <v>1.2624923303772864</v>
      </c>
      <c r="AG35" s="318">
        <f t="shared" si="8"/>
        <v>1.2624923303772864</v>
      </c>
      <c r="AH35" s="318">
        <f t="shared" si="8"/>
        <v>1.2624923303772864</v>
      </c>
      <c r="AI35" s="318">
        <f t="shared" si="8"/>
        <v>1.2624923303772864</v>
      </c>
      <c r="AK35" s="318"/>
      <c r="AL35" s="612">
        <f>'IIS_BY Techs'!U42</f>
        <v>1.2624923303772864</v>
      </c>
      <c r="AM35" s="9" t="s">
        <v>1629</v>
      </c>
    </row>
    <row r="36" spans="1:39" x14ac:dyDescent="0.25">
      <c r="C36" s="75" t="s">
        <v>578</v>
      </c>
      <c r="D36" s="75"/>
      <c r="E36" s="75"/>
      <c r="F36" s="75" t="s">
        <v>470</v>
      </c>
      <c r="G36" s="75" t="s">
        <v>580</v>
      </c>
      <c r="H36" s="319">
        <f t="shared" si="5"/>
        <v>0.125</v>
      </c>
      <c r="I36" s="319">
        <f t="shared" si="6"/>
        <v>0.125</v>
      </c>
      <c r="J36" s="319">
        <f t="shared" si="6"/>
        <v>0.125</v>
      </c>
      <c r="K36" s="319">
        <f t="shared" si="6"/>
        <v>0.125</v>
      </c>
      <c r="L36" s="319">
        <f t="shared" si="6"/>
        <v>0.125</v>
      </c>
      <c r="M36" s="319">
        <f t="shared" si="6"/>
        <v>0.125</v>
      </c>
      <c r="N36" s="319">
        <f t="shared" si="6"/>
        <v>0.125</v>
      </c>
      <c r="O36" s="319">
        <f t="shared" si="6"/>
        <v>0.125</v>
      </c>
      <c r="P36" s="319">
        <f t="shared" si="6"/>
        <v>0.125</v>
      </c>
      <c r="Q36" s="319">
        <f t="shared" si="6"/>
        <v>0.125</v>
      </c>
      <c r="R36" s="319">
        <f t="shared" si="6"/>
        <v>0.125</v>
      </c>
      <c r="S36" s="319">
        <f t="shared" si="6"/>
        <v>0.125</v>
      </c>
      <c r="T36" s="319">
        <f t="shared" si="6"/>
        <v>0.125</v>
      </c>
      <c r="U36" s="319">
        <f t="shared" si="6"/>
        <v>0.125</v>
      </c>
      <c r="V36" s="319">
        <f t="shared" si="6"/>
        <v>0.125</v>
      </c>
      <c r="W36" s="319">
        <f t="shared" si="6"/>
        <v>0.125</v>
      </c>
      <c r="X36" s="319">
        <f t="shared" si="6"/>
        <v>0.125</v>
      </c>
      <c r="Y36" s="319">
        <f t="shared" si="6"/>
        <v>0.125</v>
      </c>
      <c r="Z36" s="319">
        <f t="shared" si="6"/>
        <v>0.125</v>
      </c>
      <c r="AA36" s="319">
        <f t="shared" si="6"/>
        <v>0.125</v>
      </c>
      <c r="AB36" s="319">
        <f t="shared" si="6"/>
        <v>0.125</v>
      </c>
      <c r="AC36" s="319">
        <f t="shared" si="6"/>
        <v>0.125</v>
      </c>
      <c r="AD36" s="319">
        <f t="shared" si="6"/>
        <v>0.125</v>
      </c>
      <c r="AE36" s="319">
        <f t="shared" si="6"/>
        <v>0.125</v>
      </c>
      <c r="AF36" s="319">
        <f t="shared" si="6"/>
        <v>0.125</v>
      </c>
      <c r="AG36" s="319">
        <f t="shared" si="6"/>
        <v>0.125</v>
      </c>
      <c r="AH36" s="319">
        <f t="shared" si="6"/>
        <v>0.125</v>
      </c>
      <c r="AI36" s="319">
        <f t="shared" si="6"/>
        <v>0.125</v>
      </c>
      <c r="AK36" s="9">
        <v>0.125</v>
      </c>
    </row>
    <row r="37" spans="1:39" x14ac:dyDescent="0.25">
      <c r="A37" s="70" t="str">
        <f>AL12</f>
        <v>I-IS-BF_BOF02</v>
      </c>
      <c r="B37" s="70" t="str">
        <f>AM12</f>
        <v>IND Iron and Steel technology: BF-BOF - High bio</v>
      </c>
      <c r="C37" s="321" t="s">
        <v>120</v>
      </c>
      <c r="D37" s="321"/>
      <c r="E37" s="321"/>
      <c r="F37" s="321" t="s">
        <v>470</v>
      </c>
      <c r="G37" s="321" t="s">
        <v>449</v>
      </c>
      <c r="H37" s="322">
        <f t="shared" si="5"/>
        <v>1.1571428571428573</v>
      </c>
      <c r="I37" s="322">
        <f t="shared" si="6"/>
        <v>1.1571428571428573</v>
      </c>
      <c r="J37" s="322">
        <f t="shared" si="6"/>
        <v>1.1571428571428573</v>
      </c>
      <c r="K37" s="322">
        <f t="shared" si="6"/>
        <v>1.1571428571428573</v>
      </c>
      <c r="L37" s="322">
        <f t="shared" si="6"/>
        <v>1.1571428571428573</v>
      </c>
      <c r="M37" s="322">
        <f t="shared" si="6"/>
        <v>1.1571428571428573</v>
      </c>
      <c r="N37" s="322">
        <f t="shared" si="6"/>
        <v>1.1571428571428573</v>
      </c>
      <c r="O37" s="322">
        <f t="shared" si="6"/>
        <v>1.1571428571428573</v>
      </c>
      <c r="P37" s="322">
        <f t="shared" si="6"/>
        <v>1.1571428571428573</v>
      </c>
      <c r="Q37" s="322">
        <f t="shared" si="6"/>
        <v>1.1571428571428573</v>
      </c>
      <c r="R37" s="322">
        <f t="shared" si="6"/>
        <v>1.1571428571428573</v>
      </c>
      <c r="S37" s="322">
        <f t="shared" si="6"/>
        <v>1.1571428571428573</v>
      </c>
      <c r="T37" s="322">
        <f t="shared" si="6"/>
        <v>1.1571428571428573</v>
      </c>
      <c r="U37" s="322">
        <f t="shared" si="6"/>
        <v>1.1571428571428573</v>
      </c>
      <c r="V37" s="322">
        <f t="shared" si="6"/>
        <v>1.1571428571428573</v>
      </c>
      <c r="W37" s="322">
        <f t="shared" si="6"/>
        <v>1.1571428571428573</v>
      </c>
      <c r="X37" s="322">
        <f t="shared" ref="I37:AI51" si="9">$AK37</f>
        <v>1.1571428571428573</v>
      </c>
      <c r="Y37" s="322">
        <f t="shared" si="9"/>
        <v>1.1571428571428573</v>
      </c>
      <c r="Z37" s="322">
        <f t="shared" si="9"/>
        <v>1.1571428571428573</v>
      </c>
      <c r="AA37" s="322">
        <f t="shared" si="9"/>
        <v>1.1571428571428573</v>
      </c>
      <c r="AB37" s="322">
        <f t="shared" si="9"/>
        <v>1.1571428571428573</v>
      </c>
      <c r="AC37" s="322">
        <f t="shared" si="9"/>
        <v>1.1571428571428573</v>
      </c>
      <c r="AD37" s="322">
        <f t="shared" si="9"/>
        <v>1.1571428571428573</v>
      </c>
      <c r="AE37" s="322">
        <f t="shared" si="9"/>
        <v>1.1571428571428573</v>
      </c>
      <c r="AF37" s="322">
        <f t="shared" si="9"/>
        <v>1.1571428571428573</v>
      </c>
      <c r="AG37" s="322">
        <f t="shared" si="9"/>
        <v>1.1571428571428573</v>
      </c>
      <c r="AH37" s="322">
        <f t="shared" si="9"/>
        <v>1.1571428571428573</v>
      </c>
      <c r="AI37" s="322">
        <f t="shared" si="9"/>
        <v>1.1571428571428573</v>
      </c>
      <c r="AJ37" s="288"/>
      <c r="AK37" s="318">
        <f>((SUM($AK$27:$AK$33)-$AK$42)/SUM($AK$27:$AK$33))*AK27</f>
        <v>1.1571428571428573</v>
      </c>
    </row>
    <row r="38" spans="1:39" x14ac:dyDescent="0.25">
      <c r="C38" s="75" t="s">
        <v>122</v>
      </c>
      <c r="D38" s="75"/>
      <c r="E38" s="75"/>
      <c r="F38" s="75" t="s">
        <v>470</v>
      </c>
      <c r="G38" s="75" t="s">
        <v>449</v>
      </c>
      <c r="H38" s="319">
        <f t="shared" si="5"/>
        <v>0.77142857142857146</v>
      </c>
      <c r="I38" s="319">
        <f t="shared" si="9"/>
        <v>0.77142857142857146</v>
      </c>
      <c r="J38" s="319">
        <f t="shared" si="9"/>
        <v>0.77142857142857146</v>
      </c>
      <c r="K38" s="319">
        <f t="shared" si="9"/>
        <v>0.77142857142857146</v>
      </c>
      <c r="L38" s="319">
        <f t="shared" si="9"/>
        <v>0.77142857142857146</v>
      </c>
      <c r="M38" s="319">
        <f t="shared" si="9"/>
        <v>0.77142857142857146</v>
      </c>
      <c r="N38" s="319">
        <f t="shared" si="9"/>
        <v>0.77142857142857146</v>
      </c>
      <c r="O38" s="319">
        <f t="shared" si="9"/>
        <v>0.77142857142857146</v>
      </c>
      <c r="P38" s="319">
        <f t="shared" si="9"/>
        <v>0.77142857142857146</v>
      </c>
      <c r="Q38" s="319">
        <f t="shared" si="9"/>
        <v>0.77142857142857146</v>
      </c>
      <c r="R38" s="319">
        <f t="shared" si="9"/>
        <v>0.77142857142857146</v>
      </c>
      <c r="S38" s="319">
        <f t="shared" si="9"/>
        <v>0.77142857142857146</v>
      </c>
      <c r="T38" s="319">
        <f t="shared" si="9"/>
        <v>0.77142857142857146</v>
      </c>
      <c r="U38" s="319">
        <f t="shared" si="9"/>
        <v>0.77142857142857146</v>
      </c>
      <c r="V38" s="319">
        <f t="shared" si="9"/>
        <v>0.77142857142857146</v>
      </c>
      <c r="W38" s="319">
        <f t="shared" si="9"/>
        <v>0.77142857142857146</v>
      </c>
      <c r="X38" s="319">
        <f t="shared" si="9"/>
        <v>0.77142857142857146</v>
      </c>
      <c r="Y38" s="319">
        <f t="shared" si="9"/>
        <v>0.77142857142857146</v>
      </c>
      <c r="Z38" s="319">
        <f t="shared" si="9"/>
        <v>0.77142857142857146</v>
      </c>
      <c r="AA38" s="319">
        <f t="shared" si="9"/>
        <v>0.77142857142857146</v>
      </c>
      <c r="AB38" s="319">
        <f t="shared" si="9"/>
        <v>0.77142857142857146</v>
      </c>
      <c r="AC38" s="319">
        <f t="shared" si="9"/>
        <v>0.77142857142857146</v>
      </c>
      <c r="AD38" s="319">
        <f t="shared" si="9"/>
        <v>0.77142857142857146</v>
      </c>
      <c r="AE38" s="319">
        <f t="shared" si="9"/>
        <v>0.77142857142857146</v>
      </c>
      <c r="AF38" s="319">
        <f t="shared" si="9"/>
        <v>0.77142857142857146</v>
      </c>
      <c r="AG38" s="319">
        <f t="shared" si="9"/>
        <v>0.77142857142857146</v>
      </c>
      <c r="AH38" s="319">
        <f t="shared" si="9"/>
        <v>0.77142857142857146</v>
      </c>
      <c r="AI38" s="319">
        <f t="shared" si="9"/>
        <v>0.77142857142857146</v>
      </c>
      <c r="AJ38" s="288"/>
      <c r="AK38" s="318">
        <f>((SUM($AK$27:$AK$33)-$AK$42)/SUM($AK$27:$AK$33))*AK28</f>
        <v>0.77142857142857146</v>
      </c>
    </row>
    <row r="39" spans="1:39" x14ac:dyDescent="0.25">
      <c r="C39" s="75" t="s">
        <v>124</v>
      </c>
      <c r="D39" s="75"/>
      <c r="E39" s="75"/>
      <c r="F39" s="75" t="s">
        <v>470</v>
      </c>
      <c r="G39" s="75" t="s">
        <v>449</v>
      </c>
      <c r="H39" s="319">
        <f t="shared" si="5"/>
        <v>1.1571428571428573</v>
      </c>
      <c r="I39" s="319">
        <f t="shared" si="9"/>
        <v>1.1571428571428573</v>
      </c>
      <c r="J39" s="319">
        <f t="shared" si="9"/>
        <v>1.1571428571428573</v>
      </c>
      <c r="K39" s="319">
        <f t="shared" si="9"/>
        <v>1.1571428571428573</v>
      </c>
      <c r="L39" s="319">
        <f t="shared" si="9"/>
        <v>1.1571428571428573</v>
      </c>
      <c r="M39" s="319">
        <f t="shared" si="9"/>
        <v>1.1571428571428573</v>
      </c>
      <c r="N39" s="319">
        <f t="shared" si="9"/>
        <v>1.1571428571428573</v>
      </c>
      <c r="O39" s="319">
        <f t="shared" si="9"/>
        <v>1.1571428571428573</v>
      </c>
      <c r="P39" s="319">
        <f t="shared" si="9"/>
        <v>1.1571428571428573</v>
      </c>
      <c r="Q39" s="319">
        <f t="shared" si="9"/>
        <v>1.1571428571428573</v>
      </c>
      <c r="R39" s="319">
        <f t="shared" si="9"/>
        <v>1.1571428571428573</v>
      </c>
      <c r="S39" s="319">
        <f t="shared" si="9"/>
        <v>1.1571428571428573</v>
      </c>
      <c r="T39" s="319">
        <f t="shared" si="9"/>
        <v>1.1571428571428573</v>
      </c>
      <c r="U39" s="319">
        <f t="shared" si="9"/>
        <v>1.1571428571428573</v>
      </c>
      <c r="V39" s="319">
        <f t="shared" si="9"/>
        <v>1.1571428571428573</v>
      </c>
      <c r="W39" s="319">
        <f t="shared" si="9"/>
        <v>1.1571428571428573</v>
      </c>
      <c r="X39" s="319">
        <f t="shared" si="9"/>
        <v>1.1571428571428573</v>
      </c>
      <c r="Y39" s="319">
        <f t="shared" si="9"/>
        <v>1.1571428571428573</v>
      </c>
      <c r="Z39" s="319">
        <f t="shared" si="9"/>
        <v>1.1571428571428573</v>
      </c>
      <c r="AA39" s="319">
        <f t="shared" si="9"/>
        <v>1.1571428571428573</v>
      </c>
      <c r="AB39" s="319">
        <f t="shared" si="9"/>
        <v>1.1571428571428573</v>
      </c>
      <c r="AC39" s="319">
        <f t="shared" si="9"/>
        <v>1.1571428571428573</v>
      </c>
      <c r="AD39" s="319">
        <f t="shared" si="9"/>
        <v>1.1571428571428573</v>
      </c>
      <c r="AE39" s="319">
        <f t="shared" si="9"/>
        <v>1.1571428571428573</v>
      </c>
      <c r="AF39" s="319">
        <f t="shared" si="9"/>
        <v>1.1571428571428573</v>
      </c>
      <c r="AG39" s="319">
        <f t="shared" si="9"/>
        <v>1.1571428571428573</v>
      </c>
      <c r="AH39" s="319">
        <f t="shared" si="9"/>
        <v>1.1571428571428573</v>
      </c>
      <c r="AI39" s="319">
        <f t="shared" si="9"/>
        <v>1.1571428571428573</v>
      </c>
      <c r="AJ39" s="288"/>
      <c r="AK39" s="318">
        <f>((SUM($AK$27:$AK$33)-$AK$42)/SUM($AK$27:$AK$33))*AK29</f>
        <v>1.1571428571428573</v>
      </c>
    </row>
    <row r="40" spans="1:39" x14ac:dyDescent="0.25">
      <c r="C40" s="75" t="s">
        <v>126</v>
      </c>
      <c r="D40" s="75"/>
      <c r="E40" s="75"/>
      <c r="F40" s="75" t="s">
        <v>470</v>
      </c>
      <c r="G40" s="75" t="s">
        <v>449</v>
      </c>
      <c r="H40" s="319">
        <f t="shared" si="5"/>
        <v>1.1571428571428573</v>
      </c>
      <c r="I40" s="319">
        <f t="shared" si="9"/>
        <v>1.1571428571428573</v>
      </c>
      <c r="J40" s="319">
        <f t="shared" si="9"/>
        <v>1.1571428571428573</v>
      </c>
      <c r="K40" s="319">
        <f t="shared" si="9"/>
        <v>1.1571428571428573</v>
      </c>
      <c r="L40" s="319">
        <f t="shared" si="9"/>
        <v>1.1571428571428573</v>
      </c>
      <c r="M40" s="319">
        <f t="shared" si="9"/>
        <v>1.1571428571428573</v>
      </c>
      <c r="N40" s="319">
        <f t="shared" si="9"/>
        <v>1.1571428571428573</v>
      </c>
      <c r="O40" s="319">
        <f t="shared" si="9"/>
        <v>1.1571428571428573</v>
      </c>
      <c r="P40" s="319">
        <f t="shared" si="9"/>
        <v>1.1571428571428573</v>
      </c>
      <c r="Q40" s="319">
        <f t="shared" si="9"/>
        <v>1.1571428571428573</v>
      </c>
      <c r="R40" s="319">
        <f t="shared" si="9"/>
        <v>1.1571428571428573</v>
      </c>
      <c r="S40" s="319">
        <f t="shared" si="9"/>
        <v>1.1571428571428573</v>
      </c>
      <c r="T40" s="319">
        <f t="shared" si="9"/>
        <v>1.1571428571428573</v>
      </c>
      <c r="U40" s="319">
        <f t="shared" si="9"/>
        <v>1.1571428571428573</v>
      </c>
      <c r="V40" s="319">
        <f t="shared" si="9"/>
        <v>1.1571428571428573</v>
      </c>
      <c r="W40" s="319">
        <f t="shared" si="9"/>
        <v>1.1571428571428573</v>
      </c>
      <c r="X40" s="319">
        <f t="shared" si="9"/>
        <v>1.1571428571428573</v>
      </c>
      <c r="Y40" s="319">
        <f t="shared" si="9"/>
        <v>1.1571428571428573</v>
      </c>
      <c r="Z40" s="319">
        <f t="shared" si="9"/>
        <v>1.1571428571428573</v>
      </c>
      <c r="AA40" s="319">
        <f t="shared" si="9"/>
        <v>1.1571428571428573</v>
      </c>
      <c r="AB40" s="319">
        <f t="shared" si="9"/>
        <v>1.1571428571428573</v>
      </c>
      <c r="AC40" s="319">
        <f t="shared" si="9"/>
        <v>1.1571428571428573</v>
      </c>
      <c r="AD40" s="319">
        <f t="shared" si="9"/>
        <v>1.1571428571428573</v>
      </c>
      <c r="AE40" s="319">
        <f t="shared" si="9"/>
        <v>1.1571428571428573</v>
      </c>
      <c r="AF40" s="319">
        <f t="shared" si="9"/>
        <v>1.1571428571428573</v>
      </c>
      <c r="AG40" s="319">
        <f t="shared" si="9"/>
        <v>1.1571428571428573</v>
      </c>
      <c r="AH40" s="319">
        <f t="shared" si="9"/>
        <v>1.1571428571428573</v>
      </c>
      <c r="AI40" s="319">
        <f t="shared" si="9"/>
        <v>1.1571428571428573</v>
      </c>
      <c r="AJ40" s="288"/>
      <c r="AK40" s="318">
        <f>((SUM($AK$27:$AK$33)-$AK$42)/SUM($AK$27:$AK$33))*AK30</f>
        <v>1.1571428571428573</v>
      </c>
    </row>
    <row r="41" spans="1:39" x14ac:dyDescent="0.25">
      <c r="C41" s="75" t="s">
        <v>128</v>
      </c>
      <c r="D41" s="75"/>
      <c r="E41" s="75"/>
      <c r="F41" s="75" t="s">
        <v>470</v>
      </c>
      <c r="G41" s="75" t="s">
        <v>449</v>
      </c>
      <c r="H41" s="319">
        <f t="shared" si="5"/>
        <v>1.5428571428571429</v>
      </c>
      <c r="I41" s="319">
        <f t="shared" si="9"/>
        <v>1.5428571428571429</v>
      </c>
      <c r="J41" s="319">
        <f t="shared" si="9"/>
        <v>1.5428571428571429</v>
      </c>
      <c r="K41" s="319">
        <f t="shared" si="9"/>
        <v>1.5428571428571429</v>
      </c>
      <c r="L41" s="319">
        <f t="shared" si="9"/>
        <v>1.5428571428571429</v>
      </c>
      <c r="M41" s="319">
        <f t="shared" si="9"/>
        <v>1.5428571428571429</v>
      </c>
      <c r="N41" s="319">
        <f t="shared" si="9"/>
        <v>1.5428571428571429</v>
      </c>
      <c r="O41" s="319">
        <f t="shared" si="9"/>
        <v>1.5428571428571429</v>
      </c>
      <c r="P41" s="319">
        <f t="shared" si="9"/>
        <v>1.5428571428571429</v>
      </c>
      <c r="Q41" s="319">
        <f t="shared" si="9"/>
        <v>1.5428571428571429</v>
      </c>
      <c r="R41" s="319">
        <f t="shared" si="9"/>
        <v>1.5428571428571429</v>
      </c>
      <c r="S41" s="319">
        <f t="shared" si="9"/>
        <v>1.5428571428571429</v>
      </c>
      <c r="T41" s="319">
        <f t="shared" si="9"/>
        <v>1.5428571428571429</v>
      </c>
      <c r="U41" s="319">
        <f t="shared" si="9"/>
        <v>1.5428571428571429</v>
      </c>
      <c r="V41" s="319">
        <f t="shared" si="9"/>
        <v>1.5428571428571429</v>
      </c>
      <c r="W41" s="319">
        <f t="shared" si="9"/>
        <v>1.5428571428571429</v>
      </c>
      <c r="X41" s="319">
        <f t="shared" si="9"/>
        <v>1.5428571428571429</v>
      </c>
      <c r="Y41" s="319">
        <f t="shared" si="9"/>
        <v>1.5428571428571429</v>
      </c>
      <c r="Z41" s="319">
        <f t="shared" si="9"/>
        <v>1.5428571428571429</v>
      </c>
      <c r="AA41" s="319">
        <f t="shared" si="9"/>
        <v>1.5428571428571429</v>
      </c>
      <c r="AB41" s="319">
        <f t="shared" si="9"/>
        <v>1.5428571428571429</v>
      </c>
      <c r="AC41" s="319">
        <f t="shared" si="9"/>
        <v>1.5428571428571429</v>
      </c>
      <c r="AD41" s="319">
        <f t="shared" si="9"/>
        <v>1.5428571428571429</v>
      </c>
      <c r="AE41" s="319">
        <f t="shared" si="9"/>
        <v>1.5428571428571429</v>
      </c>
      <c r="AF41" s="319">
        <f t="shared" si="9"/>
        <v>1.5428571428571429</v>
      </c>
      <c r="AG41" s="319">
        <f t="shared" si="9"/>
        <v>1.5428571428571429</v>
      </c>
      <c r="AH41" s="319">
        <f t="shared" si="9"/>
        <v>1.5428571428571429</v>
      </c>
      <c r="AI41" s="319">
        <f t="shared" si="9"/>
        <v>1.5428571428571429</v>
      </c>
      <c r="AJ41" s="288"/>
      <c r="AK41" s="318">
        <f>((SUM($AK$27:$AK$33)-$AK$42)/SUM($AK$27:$AK$33))*AK31</f>
        <v>1.5428571428571429</v>
      </c>
    </row>
    <row r="42" spans="1:39" x14ac:dyDescent="0.25">
      <c r="C42" s="75" t="s">
        <v>117</v>
      </c>
      <c r="D42" s="75"/>
      <c r="E42" s="75"/>
      <c r="F42" s="75" t="s">
        <v>470</v>
      </c>
      <c r="G42" s="75" t="s">
        <v>449</v>
      </c>
      <c r="H42" s="319">
        <f t="shared" si="5"/>
        <v>4</v>
      </c>
      <c r="I42" s="319">
        <f t="shared" si="9"/>
        <v>4</v>
      </c>
      <c r="J42" s="319">
        <f t="shared" si="9"/>
        <v>4</v>
      </c>
      <c r="K42" s="319">
        <f t="shared" si="9"/>
        <v>4</v>
      </c>
      <c r="L42" s="319">
        <f t="shared" si="9"/>
        <v>4</v>
      </c>
      <c r="M42" s="319">
        <f t="shared" si="9"/>
        <v>4</v>
      </c>
      <c r="N42" s="319">
        <f t="shared" si="9"/>
        <v>4</v>
      </c>
      <c r="O42" s="319">
        <f t="shared" si="9"/>
        <v>4</v>
      </c>
      <c r="P42" s="319">
        <f t="shared" si="9"/>
        <v>4</v>
      </c>
      <c r="Q42" s="319">
        <f t="shared" si="9"/>
        <v>4</v>
      </c>
      <c r="R42" s="319">
        <f t="shared" si="9"/>
        <v>4</v>
      </c>
      <c r="S42" s="319">
        <f t="shared" si="9"/>
        <v>4</v>
      </c>
      <c r="T42" s="319">
        <f t="shared" si="9"/>
        <v>4</v>
      </c>
      <c r="U42" s="319">
        <f t="shared" si="9"/>
        <v>4</v>
      </c>
      <c r="V42" s="319">
        <f t="shared" si="9"/>
        <v>4</v>
      </c>
      <c r="W42" s="319">
        <f t="shared" si="9"/>
        <v>4</v>
      </c>
      <c r="X42" s="319">
        <f t="shared" si="9"/>
        <v>4</v>
      </c>
      <c r="Y42" s="319">
        <f t="shared" si="9"/>
        <v>4</v>
      </c>
      <c r="Z42" s="319">
        <f t="shared" si="9"/>
        <v>4</v>
      </c>
      <c r="AA42" s="319">
        <f t="shared" si="9"/>
        <v>4</v>
      </c>
      <c r="AB42" s="319">
        <f t="shared" si="9"/>
        <v>4</v>
      </c>
      <c r="AC42" s="319">
        <f t="shared" si="9"/>
        <v>4</v>
      </c>
      <c r="AD42" s="319">
        <f t="shared" si="9"/>
        <v>4</v>
      </c>
      <c r="AE42" s="319">
        <f t="shared" si="9"/>
        <v>4</v>
      </c>
      <c r="AF42" s="319">
        <f t="shared" si="9"/>
        <v>4</v>
      </c>
      <c r="AG42" s="319">
        <f t="shared" si="9"/>
        <v>4</v>
      </c>
      <c r="AH42" s="319">
        <f t="shared" si="9"/>
        <v>4</v>
      </c>
      <c r="AI42" s="319">
        <f t="shared" si="9"/>
        <v>4</v>
      </c>
      <c r="AJ42" s="288"/>
      <c r="AK42" s="9">
        <v>4</v>
      </c>
    </row>
    <row r="43" spans="1:39" x14ac:dyDescent="0.25">
      <c r="C43" s="9" t="s">
        <v>390</v>
      </c>
      <c r="D43" s="75"/>
      <c r="E43" s="75"/>
      <c r="F43" s="75" t="s">
        <v>470</v>
      </c>
      <c r="G43" s="75" t="s">
        <v>449</v>
      </c>
      <c r="H43" s="319">
        <f t="shared" si="5"/>
        <v>1.5428571428571429</v>
      </c>
      <c r="I43" s="319">
        <f t="shared" si="9"/>
        <v>1.5428571428571429</v>
      </c>
      <c r="J43" s="319">
        <f t="shared" si="9"/>
        <v>1.5428571428571429</v>
      </c>
      <c r="K43" s="319">
        <f t="shared" si="9"/>
        <v>1.5428571428571429</v>
      </c>
      <c r="L43" s="319">
        <f t="shared" si="9"/>
        <v>1.5428571428571429</v>
      </c>
      <c r="M43" s="319">
        <f t="shared" si="9"/>
        <v>1.5428571428571429</v>
      </c>
      <c r="N43" s="319">
        <f t="shared" si="9"/>
        <v>1.5428571428571429</v>
      </c>
      <c r="O43" s="319">
        <f t="shared" si="9"/>
        <v>1.5428571428571429</v>
      </c>
      <c r="P43" s="319">
        <f t="shared" si="9"/>
        <v>1.5428571428571429</v>
      </c>
      <c r="Q43" s="319">
        <f t="shared" si="9"/>
        <v>1.5428571428571429</v>
      </c>
      <c r="R43" s="319">
        <f t="shared" si="9"/>
        <v>1.5428571428571429</v>
      </c>
      <c r="S43" s="319">
        <f t="shared" si="9"/>
        <v>1.5428571428571429</v>
      </c>
      <c r="T43" s="319">
        <f t="shared" si="9"/>
        <v>1.5428571428571429</v>
      </c>
      <c r="U43" s="319">
        <f t="shared" si="9"/>
        <v>1.5428571428571429</v>
      </c>
      <c r="V43" s="319">
        <f t="shared" si="9"/>
        <v>1.5428571428571429</v>
      </c>
      <c r="W43" s="319">
        <f t="shared" si="9"/>
        <v>1.5428571428571429</v>
      </c>
      <c r="X43" s="319">
        <f t="shared" si="9"/>
        <v>1.5428571428571429</v>
      </c>
      <c r="Y43" s="319">
        <f t="shared" si="9"/>
        <v>1.5428571428571429</v>
      </c>
      <c r="Z43" s="319">
        <f t="shared" si="9"/>
        <v>1.5428571428571429</v>
      </c>
      <c r="AA43" s="319">
        <f t="shared" si="9"/>
        <v>1.5428571428571429</v>
      </c>
      <c r="AB43" s="319">
        <f t="shared" si="9"/>
        <v>1.5428571428571429</v>
      </c>
      <c r="AC43" s="319">
        <f t="shared" si="9"/>
        <v>1.5428571428571429</v>
      </c>
      <c r="AD43" s="319">
        <f t="shared" si="9"/>
        <v>1.5428571428571429</v>
      </c>
      <c r="AE43" s="319">
        <f t="shared" si="9"/>
        <v>1.5428571428571429</v>
      </c>
      <c r="AF43" s="319">
        <f t="shared" si="9"/>
        <v>1.5428571428571429</v>
      </c>
      <c r="AG43" s="319">
        <f t="shared" si="9"/>
        <v>1.5428571428571429</v>
      </c>
      <c r="AH43" s="319">
        <f t="shared" si="9"/>
        <v>1.5428571428571429</v>
      </c>
      <c r="AI43" s="319">
        <f t="shared" si="9"/>
        <v>1.5428571428571429</v>
      </c>
      <c r="AJ43" s="288"/>
      <c r="AK43" s="318">
        <f>((SUM($AK$27:$AK$33)-$AK$42)/SUM($AK$27:$AK$33))*AK32</f>
        <v>1.5428571428571429</v>
      </c>
    </row>
    <row r="44" spans="1:39" x14ac:dyDescent="0.25">
      <c r="C44" s="75" t="s">
        <v>391</v>
      </c>
      <c r="D44" s="75"/>
      <c r="E44" s="75"/>
      <c r="F44" s="75" t="s">
        <v>470</v>
      </c>
      <c r="G44" s="75" t="s">
        <v>449</v>
      </c>
      <c r="H44" s="319">
        <f t="shared" ref="H44:W64" si="10">$AK44</f>
        <v>6.1714285714285717</v>
      </c>
      <c r="I44" s="319">
        <f t="shared" si="10"/>
        <v>6.1714285714285717</v>
      </c>
      <c r="J44" s="319">
        <f t="shared" si="10"/>
        <v>6.1714285714285717</v>
      </c>
      <c r="K44" s="319">
        <f t="shared" si="10"/>
        <v>6.1714285714285717</v>
      </c>
      <c r="L44" s="319">
        <f t="shared" si="10"/>
        <v>6.1714285714285717</v>
      </c>
      <c r="M44" s="319">
        <f t="shared" si="10"/>
        <v>6.1714285714285717</v>
      </c>
      <c r="N44" s="319">
        <f t="shared" si="10"/>
        <v>6.1714285714285717</v>
      </c>
      <c r="O44" s="319">
        <f t="shared" si="10"/>
        <v>6.1714285714285717</v>
      </c>
      <c r="P44" s="319">
        <f t="shared" si="10"/>
        <v>6.1714285714285717</v>
      </c>
      <c r="Q44" s="319">
        <f t="shared" si="10"/>
        <v>6.1714285714285717</v>
      </c>
      <c r="R44" s="319">
        <f t="shared" si="10"/>
        <v>6.1714285714285717</v>
      </c>
      <c r="S44" s="319">
        <f t="shared" si="10"/>
        <v>6.1714285714285717</v>
      </c>
      <c r="T44" s="319">
        <f t="shared" si="10"/>
        <v>6.1714285714285717</v>
      </c>
      <c r="U44" s="319">
        <f t="shared" si="10"/>
        <v>6.1714285714285717</v>
      </c>
      <c r="V44" s="319">
        <f t="shared" si="10"/>
        <v>6.1714285714285717</v>
      </c>
      <c r="W44" s="319">
        <f t="shared" si="10"/>
        <v>6.1714285714285717</v>
      </c>
      <c r="X44" s="319">
        <f t="shared" si="9"/>
        <v>6.1714285714285717</v>
      </c>
      <c r="Y44" s="319">
        <f t="shared" si="9"/>
        <v>6.1714285714285717</v>
      </c>
      <c r="Z44" s="319">
        <f t="shared" si="9"/>
        <v>6.1714285714285717</v>
      </c>
      <c r="AA44" s="319">
        <f t="shared" si="9"/>
        <v>6.1714285714285717</v>
      </c>
      <c r="AB44" s="319">
        <f t="shared" si="9"/>
        <v>6.1714285714285717</v>
      </c>
      <c r="AC44" s="319">
        <f t="shared" si="9"/>
        <v>6.1714285714285717</v>
      </c>
      <c r="AD44" s="319">
        <f t="shared" si="9"/>
        <v>6.1714285714285717</v>
      </c>
      <c r="AE44" s="319">
        <f t="shared" si="9"/>
        <v>6.1714285714285717</v>
      </c>
      <c r="AF44" s="319">
        <f t="shared" si="9"/>
        <v>6.1714285714285717</v>
      </c>
      <c r="AG44" s="319">
        <f t="shared" si="9"/>
        <v>6.1714285714285717</v>
      </c>
      <c r="AH44" s="319">
        <f t="shared" si="9"/>
        <v>6.1714285714285717</v>
      </c>
      <c r="AI44" s="319">
        <f t="shared" si="9"/>
        <v>6.1714285714285717</v>
      </c>
      <c r="AJ44" s="288"/>
      <c r="AK44" s="318">
        <f>((SUM($AK$27:$AK$33)-$AK$42)/SUM($AK$27:$AK$33))*AK33</f>
        <v>6.1714285714285717</v>
      </c>
    </row>
    <row r="45" spans="1:39" x14ac:dyDescent="0.25">
      <c r="C45" s="75"/>
      <c r="D45" s="75" t="s">
        <v>159</v>
      </c>
      <c r="E45" s="75"/>
      <c r="F45" s="61" t="s">
        <v>472</v>
      </c>
      <c r="G45" t="s">
        <v>1628</v>
      </c>
      <c r="H45" s="76">
        <f>$AL45*1000</f>
        <v>1580</v>
      </c>
      <c r="I45" s="76">
        <f t="shared" ref="I45:AI45" si="11">$AL45*1000</f>
        <v>1580</v>
      </c>
      <c r="J45" s="76">
        <f t="shared" si="11"/>
        <v>1580</v>
      </c>
      <c r="K45" s="76">
        <f t="shared" si="11"/>
        <v>1580</v>
      </c>
      <c r="L45" s="76">
        <f t="shared" si="11"/>
        <v>1580</v>
      </c>
      <c r="M45" s="76">
        <f t="shared" si="11"/>
        <v>1580</v>
      </c>
      <c r="N45" s="76">
        <f t="shared" si="11"/>
        <v>1580</v>
      </c>
      <c r="O45" s="76">
        <f t="shared" si="11"/>
        <v>1580</v>
      </c>
      <c r="P45" s="76">
        <f t="shared" si="11"/>
        <v>1580</v>
      </c>
      <c r="Q45" s="76">
        <f t="shared" si="11"/>
        <v>1580</v>
      </c>
      <c r="R45" s="76">
        <f t="shared" si="11"/>
        <v>1580</v>
      </c>
      <c r="S45" s="76">
        <f t="shared" si="11"/>
        <v>1580</v>
      </c>
      <c r="T45" s="76">
        <f t="shared" si="11"/>
        <v>1580</v>
      </c>
      <c r="U45" s="76">
        <f t="shared" si="11"/>
        <v>1580</v>
      </c>
      <c r="V45" s="76">
        <f t="shared" si="11"/>
        <v>1580</v>
      </c>
      <c r="W45" s="76">
        <f t="shared" si="11"/>
        <v>1580</v>
      </c>
      <c r="X45" s="76">
        <f t="shared" si="11"/>
        <v>1580</v>
      </c>
      <c r="Y45" s="76">
        <f t="shared" si="11"/>
        <v>1580</v>
      </c>
      <c r="Z45" s="76">
        <f t="shared" si="11"/>
        <v>1580</v>
      </c>
      <c r="AA45" s="76">
        <f t="shared" si="11"/>
        <v>1580</v>
      </c>
      <c r="AB45" s="76">
        <f t="shared" si="11"/>
        <v>1580</v>
      </c>
      <c r="AC45" s="76">
        <f t="shared" si="11"/>
        <v>1580</v>
      </c>
      <c r="AD45" s="76">
        <f t="shared" si="11"/>
        <v>1580</v>
      </c>
      <c r="AE45" s="76">
        <f t="shared" si="11"/>
        <v>1580</v>
      </c>
      <c r="AF45" s="76">
        <f t="shared" si="11"/>
        <v>1580</v>
      </c>
      <c r="AG45" s="76">
        <f t="shared" si="11"/>
        <v>1580</v>
      </c>
      <c r="AH45" s="76">
        <f t="shared" si="11"/>
        <v>1580</v>
      </c>
      <c r="AI45" s="76">
        <f t="shared" si="11"/>
        <v>1580</v>
      </c>
      <c r="AJ45" s="288"/>
      <c r="AK45" s="318"/>
      <c r="AL45" s="1">
        <f>1.58</f>
        <v>1.58</v>
      </c>
      <c r="AM45" s="9" t="s">
        <v>581</v>
      </c>
    </row>
    <row r="46" spans="1:39" x14ac:dyDescent="0.25">
      <c r="C46" s="75"/>
      <c r="D46" s="9" t="s">
        <v>1627</v>
      </c>
      <c r="F46" s="61" t="s">
        <v>472</v>
      </c>
      <c r="G46" t="s">
        <v>512</v>
      </c>
      <c r="H46" s="318">
        <f>$AL$46</f>
        <v>1.2624923303772864</v>
      </c>
      <c r="I46" s="318">
        <f t="shared" ref="I46:AI46" si="12">$AL$46</f>
        <v>1.2624923303772864</v>
      </c>
      <c r="J46" s="318">
        <f t="shared" si="12"/>
        <v>1.2624923303772864</v>
      </c>
      <c r="K46" s="318">
        <f t="shared" si="12"/>
        <v>1.2624923303772864</v>
      </c>
      <c r="L46" s="318">
        <f t="shared" si="12"/>
        <v>1.2624923303772864</v>
      </c>
      <c r="M46" s="318">
        <f t="shared" si="12"/>
        <v>1.2624923303772864</v>
      </c>
      <c r="N46" s="318">
        <f t="shared" si="12"/>
        <v>1.2624923303772864</v>
      </c>
      <c r="O46" s="318">
        <f t="shared" si="12"/>
        <v>1.2624923303772864</v>
      </c>
      <c r="P46" s="318">
        <f t="shared" si="12"/>
        <v>1.2624923303772864</v>
      </c>
      <c r="Q46" s="318">
        <f t="shared" si="12"/>
        <v>1.2624923303772864</v>
      </c>
      <c r="R46" s="318">
        <f t="shared" si="12"/>
        <v>1.2624923303772864</v>
      </c>
      <c r="S46" s="318">
        <f t="shared" si="12"/>
        <v>1.2624923303772864</v>
      </c>
      <c r="T46" s="318">
        <f t="shared" si="12"/>
        <v>1.2624923303772864</v>
      </c>
      <c r="U46" s="318">
        <f t="shared" si="12"/>
        <v>1.2624923303772864</v>
      </c>
      <c r="V46" s="318">
        <f t="shared" si="12"/>
        <v>1.2624923303772864</v>
      </c>
      <c r="W46" s="318">
        <f t="shared" si="12"/>
        <v>1.2624923303772864</v>
      </c>
      <c r="X46" s="318">
        <f t="shared" si="12"/>
        <v>1.2624923303772864</v>
      </c>
      <c r="Y46" s="318">
        <f t="shared" si="12"/>
        <v>1.2624923303772864</v>
      </c>
      <c r="Z46" s="318">
        <f t="shared" si="12"/>
        <v>1.2624923303772864</v>
      </c>
      <c r="AA46" s="318">
        <f t="shared" si="12"/>
        <v>1.2624923303772864</v>
      </c>
      <c r="AB46" s="318">
        <f t="shared" si="12"/>
        <v>1.2624923303772864</v>
      </c>
      <c r="AC46" s="318">
        <f t="shared" si="12"/>
        <v>1.2624923303772864</v>
      </c>
      <c r="AD46" s="318">
        <f t="shared" si="12"/>
        <v>1.2624923303772864</v>
      </c>
      <c r="AE46" s="318">
        <f t="shared" si="12"/>
        <v>1.2624923303772864</v>
      </c>
      <c r="AF46" s="318">
        <f t="shared" si="12"/>
        <v>1.2624923303772864</v>
      </c>
      <c r="AG46" s="318">
        <f t="shared" si="12"/>
        <v>1.2624923303772864</v>
      </c>
      <c r="AH46" s="318">
        <f t="shared" si="12"/>
        <v>1.2624923303772864</v>
      </c>
      <c r="AI46" s="318">
        <f t="shared" si="12"/>
        <v>1.2624923303772864</v>
      </c>
      <c r="AJ46" s="288"/>
      <c r="AK46" s="318"/>
      <c r="AL46" s="612">
        <f>AL35</f>
        <v>1.2624923303772864</v>
      </c>
      <c r="AM46" s="9" t="s">
        <v>1629</v>
      </c>
    </row>
    <row r="47" spans="1:39" x14ac:dyDescent="0.25">
      <c r="C47" s="75" t="s">
        <v>578</v>
      </c>
      <c r="D47" s="75"/>
      <c r="E47" s="75"/>
      <c r="F47" s="75" t="s">
        <v>470</v>
      </c>
      <c r="G47" s="75" t="s">
        <v>580</v>
      </c>
      <c r="H47" s="319">
        <f t="shared" si="10"/>
        <v>0.125</v>
      </c>
      <c r="I47" s="319">
        <f t="shared" si="9"/>
        <v>0.125</v>
      </c>
      <c r="J47" s="319">
        <f t="shared" si="9"/>
        <v>0.125</v>
      </c>
      <c r="K47" s="319">
        <f t="shared" si="9"/>
        <v>0.125</v>
      </c>
      <c r="L47" s="319">
        <f t="shared" si="9"/>
        <v>0.125</v>
      </c>
      <c r="M47" s="319">
        <f t="shared" si="9"/>
        <v>0.125</v>
      </c>
      <c r="N47" s="319">
        <f t="shared" si="9"/>
        <v>0.125</v>
      </c>
      <c r="O47" s="319">
        <f t="shared" si="9"/>
        <v>0.125</v>
      </c>
      <c r="P47" s="319">
        <f t="shared" si="9"/>
        <v>0.125</v>
      </c>
      <c r="Q47" s="319">
        <f t="shared" si="9"/>
        <v>0.125</v>
      </c>
      <c r="R47" s="319">
        <f t="shared" si="9"/>
        <v>0.125</v>
      </c>
      <c r="S47" s="319">
        <f t="shared" si="9"/>
        <v>0.125</v>
      </c>
      <c r="T47" s="319">
        <f t="shared" si="9"/>
        <v>0.125</v>
      </c>
      <c r="U47" s="319">
        <f t="shared" si="9"/>
        <v>0.125</v>
      </c>
      <c r="V47" s="319">
        <f t="shared" si="9"/>
        <v>0.125</v>
      </c>
      <c r="W47" s="319">
        <f t="shared" si="9"/>
        <v>0.125</v>
      </c>
      <c r="X47" s="319">
        <f t="shared" si="9"/>
        <v>0.125</v>
      </c>
      <c r="Y47" s="319">
        <f t="shared" si="9"/>
        <v>0.125</v>
      </c>
      <c r="Z47" s="319">
        <f t="shared" si="9"/>
        <v>0.125</v>
      </c>
      <c r="AA47" s="319">
        <f t="shared" si="9"/>
        <v>0.125</v>
      </c>
      <c r="AB47" s="319">
        <f t="shared" si="9"/>
        <v>0.125</v>
      </c>
      <c r="AC47" s="319">
        <f t="shared" si="9"/>
        <v>0.125</v>
      </c>
      <c r="AD47" s="319">
        <f t="shared" si="9"/>
        <v>0.125</v>
      </c>
      <c r="AE47" s="319">
        <f t="shared" si="9"/>
        <v>0.125</v>
      </c>
      <c r="AF47" s="319">
        <f t="shared" si="9"/>
        <v>0.125</v>
      </c>
      <c r="AG47" s="319">
        <f t="shared" si="9"/>
        <v>0.125</v>
      </c>
      <c r="AH47" s="319">
        <f t="shared" si="9"/>
        <v>0.125</v>
      </c>
      <c r="AI47" s="319">
        <f t="shared" si="9"/>
        <v>0.125</v>
      </c>
      <c r="AJ47" s="288"/>
      <c r="AK47" s="9">
        <v>0.125</v>
      </c>
    </row>
    <row r="48" spans="1:39" x14ac:dyDescent="0.25">
      <c r="A48" s="70" t="str">
        <f>AL13</f>
        <v>I-IS-DRI_EAF_COA01</v>
      </c>
      <c r="B48" s="70" t="str">
        <f>AM13</f>
        <v>IND Iron and Steel technology: DRI using coal plus EAF</v>
      </c>
      <c r="C48" s="215" t="s">
        <v>120</v>
      </c>
      <c r="D48" s="70"/>
      <c r="E48" s="70"/>
      <c r="F48" s="321" t="s">
        <v>470</v>
      </c>
      <c r="G48" s="321" t="s">
        <v>449</v>
      </c>
      <c r="H48" s="322">
        <f t="shared" si="10"/>
        <v>15.214999999999998</v>
      </c>
      <c r="I48" s="322">
        <f t="shared" si="10"/>
        <v>15.214999999999998</v>
      </c>
      <c r="J48" s="322">
        <f t="shared" si="10"/>
        <v>15.214999999999998</v>
      </c>
      <c r="K48" s="322">
        <f t="shared" si="10"/>
        <v>15.214999999999998</v>
      </c>
      <c r="L48" s="322">
        <f t="shared" si="10"/>
        <v>15.214999999999998</v>
      </c>
      <c r="M48" s="322">
        <f t="shared" si="10"/>
        <v>15.214999999999998</v>
      </c>
      <c r="N48" s="322">
        <f t="shared" si="10"/>
        <v>15.214999999999998</v>
      </c>
      <c r="O48" s="322">
        <f t="shared" si="10"/>
        <v>15.214999999999998</v>
      </c>
      <c r="P48" s="322">
        <f t="shared" si="10"/>
        <v>15.214999999999998</v>
      </c>
      <c r="Q48" s="322">
        <f t="shared" si="10"/>
        <v>15.214999999999998</v>
      </c>
      <c r="R48" s="322">
        <f t="shared" si="10"/>
        <v>15.214999999999998</v>
      </c>
      <c r="S48" s="322">
        <f t="shared" si="10"/>
        <v>15.214999999999998</v>
      </c>
      <c r="T48" s="322">
        <f t="shared" si="10"/>
        <v>15.214999999999998</v>
      </c>
      <c r="U48" s="322">
        <f t="shared" si="10"/>
        <v>15.214999999999998</v>
      </c>
      <c r="V48" s="322">
        <f t="shared" si="10"/>
        <v>15.214999999999998</v>
      </c>
      <c r="W48" s="322">
        <f t="shared" si="10"/>
        <v>15.214999999999998</v>
      </c>
      <c r="X48" s="322">
        <f t="shared" si="9"/>
        <v>15.214999999999998</v>
      </c>
      <c r="Y48" s="322">
        <f t="shared" si="9"/>
        <v>15.214999999999998</v>
      </c>
      <c r="Z48" s="322">
        <f t="shared" si="9"/>
        <v>15.214999999999998</v>
      </c>
      <c r="AA48" s="322">
        <f t="shared" si="9"/>
        <v>15.214999999999998</v>
      </c>
      <c r="AB48" s="322">
        <f t="shared" si="9"/>
        <v>15.214999999999998</v>
      </c>
      <c r="AC48" s="322">
        <f t="shared" si="9"/>
        <v>15.214999999999998</v>
      </c>
      <c r="AD48" s="322">
        <f t="shared" si="9"/>
        <v>15.214999999999998</v>
      </c>
      <c r="AE48" s="322">
        <f t="shared" si="9"/>
        <v>15.214999999999998</v>
      </c>
      <c r="AF48" s="322">
        <f t="shared" si="9"/>
        <v>15.214999999999998</v>
      </c>
      <c r="AG48" s="322">
        <f t="shared" si="9"/>
        <v>15.214999999999998</v>
      </c>
      <c r="AH48" s="322">
        <f t="shared" si="9"/>
        <v>15.214999999999998</v>
      </c>
      <c r="AI48" s="322">
        <f t="shared" si="9"/>
        <v>15.214999999999998</v>
      </c>
      <c r="AK48" s="318">
        <f>('Inputs_BY IIS'!AK132-'Inputs_BY IIS'!AI131)*85%</f>
        <v>15.214999999999998</v>
      </c>
    </row>
    <row r="49" spans="1:39" x14ac:dyDescent="0.25">
      <c r="C49" t="s">
        <v>126</v>
      </c>
      <c r="F49" s="75" t="s">
        <v>470</v>
      </c>
      <c r="G49" s="75" t="s">
        <v>449</v>
      </c>
      <c r="H49" s="319">
        <f t="shared" si="10"/>
        <v>2.1</v>
      </c>
      <c r="I49" s="319">
        <f t="shared" si="9"/>
        <v>2.1</v>
      </c>
      <c r="J49" s="319">
        <f t="shared" si="9"/>
        <v>2.1</v>
      </c>
      <c r="K49" s="319">
        <f t="shared" si="9"/>
        <v>2.1</v>
      </c>
      <c r="L49" s="319">
        <f t="shared" si="9"/>
        <v>2.1</v>
      </c>
      <c r="M49" s="319">
        <f t="shared" si="9"/>
        <v>2.1</v>
      </c>
      <c r="N49" s="319">
        <f t="shared" si="9"/>
        <v>2.1</v>
      </c>
      <c r="O49" s="319">
        <f t="shared" si="9"/>
        <v>2.1</v>
      </c>
      <c r="P49" s="319">
        <f t="shared" si="9"/>
        <v>2.1</v>
      </c>
      <c r="Q49" s="319">
        <f t="shared" si="9"/>
        <v>2.1</v>
      </c>
      <c r="R49" s="319">
        <f t="shared" si="9"/>
        <v>2.1</v>
      </c>
      <c r="S49" s="319">
        <f t="shared" si="9"/>
        <v>2.1</v>
      </c>
      <c r="T49" s="319">
        <f t="shared" si="9"/>
        <v>2.1</v>
      </c>
      <c r="U49" s="319">
        <f t="shared" si="9"/>
        <v>2.1</v>
      </c>
      <c r="V49" s="319">
        <f t="shared" si="9"/>
        <v>2.1</v>
      </c>
      <c r="W49" s="319">
        <f t="shared" si="9"/>
        <v>2.1</v>
      </c>
      <c r="X49" s="319">
        <f t="shared" si="9"/>
        <v>2.1</v>
      </c>
      <c r="Y49" s="319">
        <f t="shared" si="9"/>
        <v>2.1</v>
      </c>
      <c r="Z49" s="319">
        <f t="shared" si="9"/>
        <v>2.1</v>
      </c>
      <c r="AA49" s="319">
        <f t="shared" si="9"/>
        <v>2.1</v>
      </c>
      <c r="AB49" s="319">
        <f t="shared" si="9"/>
        <v>2.1</v>
      </c>
      <c r="AC49" s="319">
        <f t="shared" si="9"/>
        <v>2.1</v>
      </c>
      <c r="AD49" s="319">
        <f t="shared" si="9"/>
        <v>2.1</v>
      </c>
      <c r="AE49" s="319">
        <f t="shared" si="9"/>
        <v>2.1</v>
      </c>
      <c r="AF49" s="319">
        <f t="shared" si="9"/>
        <v>2.1</v>
      </c>
      <c r="AG49" s="319">
        <f t="shared" si="9"/>
        <v>2.1</v>
      </c>
      <c r="AH49" s="319">
        <f t="shared" si="9"/>
        <v>2.1</v>
      </c>
      <c r="AI49" s="319">
        <f t="shared" si="9"/>
        <v>2.1</v>
      </c>
      <c r="AK49" s="9">
        <v>2.1</v>
      </c>
    </row>
    <row r="50" spans="1:39" x14ac:dyDescent="0.25">
      <c r="C50" s="75"/>
      <c r="D50" s="75" t="s">
        <v>159</v>
      </c>
      <c r="E50" s="75"/>
      <c r="F50" s="61" t="s">
        <v>472</v>
      </c>
      <c r="G50" t="s">
        <v>1628</v>
      </c>
      <c r="H50" s="76">
        <f>$AL50*1000</f>
        <v>879.99999999999989</v>
      </c>
      <c r="I50" s="76">
        <f t="shared" ref="I50:AI50" si="13">$AL50*1000</f>
        <v>879.99999999999989</v>
      </c>
      <c r="J50" s="76">
        <f t="shared" si="13"/>
        <v>879.99999999999989</v>
      </c>
      <c r="K50" s="76">
        <f t="shared" si="13"/>
        <v>879.99999999999989</v>
      </c>
      <c r="L50" s="76">
        <f t="shared" si="13"/>
        <v>879.99999999999989</v>
      </c>
      <c r="M50" s="76">
        <f t="shared" si="13"/>
        <v>879.99999999999989</v>
      </c>
      <c r="N50" s="76">
        <f t="shared" si="13"/>
        <v>879.99999999999989</v>
      </c>
      <c r="O50" s="76">
        <f t="shared" si="13"/>
        <v>879.99999999999989</v>
      </c>
      <c r="P50" s="76">
        <f t="shared" si="13"/>
        <v>879.99999999999989</v>
      </c>
      <c r="Q50" s="76">
        <f t="shared" si="13"/>
        <v>879.99999999999989</v>
      </c>
      <c r="R50" s="76">
        <f t="shared" si="13"/>
        <v>879.99999999999989</v>
      </c>
      <c r="S50" s="76">
        <f t="shared" si="13"/>
        <v>879.99999999999989</v>
      </c>
      <c r="T50" s="76">
        <f t="shared" si="13"/>
        <v>879.99999999999989</v>
      </c>
      <c r="U50" s="76">
        <f t="shared" si="13"/>
        <v>879.99999999999989</v>
      </c>
      <c r="V50" s="76">
        <f t="shared" si="13"/>
        <v>879.99999999999989</v>
      </c>
      <c r="W50" s="76">
        <f t="shared" si="13"/>
        <v>879.99999999999989</v>
      </c>
      <c r="X50" s="76">
        <f t="shared" si="13"/>
        <v>879.99999999999989</v>
      </c>
      <c r="Y50" s="76">
        <f t="shared" si="13"/>
        <v>879.99999999999989</v>
      </c>
      <c r="Z50" s="76">
        <f t="shared" si="13"/>
        <v>879.99999999999989</v>
      </c>
      <c r="AA50" s="76">
        <f t="shared" si="13"/>
        <v>879.99999999999989</v>
      </c>
      <c r="AB50" s="76">
        <f t="shared" si="13"/>
        <v>879.99999999999989</v>
      </c>
      <c r="AC50" s="76">
        <f t="shared" si="13"/>
        <v>879.99999999999989</v>
      </c>
      <c r="AD50" s="76">
        <f t="shared" si="13"/>
        <v>879.99999999999989</v>
      </c>
      <c r="AE50" s="76">
        <f t="shared" si="13"/>
        <v>879.99999999999989</v>
      </c>
      <c r="AF50" s="76">
        <f t="shared" si="13"/>
        <v>879.99999999999989</v>
      </c>
      <c r="AG50" s="76">
        <f t="shared" si="13"/>
        <v>879.99999999999989</v>
      </c>
      <c r="AH50" s="76">
        <f t="shared" si="13"/>
        <v>879.99999999999989</v>
      </c>
      <c r="AI50" s="76">
        <f t="shared" si="13"/>
        <v>879.99999999999989</v>
      </c>
      <c r="AL50" s="294">
        <f>0.7+0.18</f>
        <v>0.87999999999999989</v>
      </c>
      <c r="AM50" s="9" t="s">
        <v>581</v>
      </c>
    </row>
    <row r="51" spans="1:39" x14ac:dyDescent="0.25">
      <c r="C51" t="s">
        <v>578</v>
      </c>
      <c r="F51" s="75" t="s">
        <v>470</v>
      </c>
      <c r="G51" s="75" t="s">
        <v>580</v>
      </c>
      <c r="H51" s="319">
        <f t="shared" si="10"/>
        <v>0.125</v>
      </c>
      <c r="I51" s="319">
        <f t="shared" si="9"/>
        <v>0.125</v>
      </c>
      <c r="J51" s="319">
        <f t="shared" si="9"/>
        <v>0.125</v>
      </c>
      <c r="K51" s="319">
        <f t="shared" si="9"/>
        <v>0.125</v>
      </c>
      <c r="L51" s="319">
        <f t="shared" ref="L51:AI64" si="14">$AK51</f>
        <v>0.125</v>
      </c>
      <c r="M51" s="319">
        <f t="shared" si="14"/>
        <v>0.125</v>
      </c>
      <c r="N51" s="319">
        <f t="shared" si="14"/>
        <v>0.125</v>
      </c>
      <c r="O51" s="319">
        <f t="shared" si="14"/>
        <v>0.125</v>
      </c>
      <c r="P51" s="319">
        <f t="shared" si="14"/>
        <v>0.125</v>
      </c>
      <c r="Q51" s="319">
        <f t="shared" si="14"/>
        <v>0.125</v>
      </c>
      <c r="R51" s="319">
        <f t="shared" si="14"/>
        <v>0.125</v>
      </c>
      <c r="S51" s="319">
        <f t="shared" si="14"/>
        <v>0.125</v>
      </c>
      <c r="T51" s="319">
        <f t="shared" si="14"/>
        <v>0.125</v>
      </c>
      <c r="U51" s="319">
        <f t="shared" si="14"/>
        <v>0.125</v>
      </c>
      <c r="V51" s="319">
        <f t="shared" si="14"/>
        <v>0.125</v>
      </c>
      <c r="W51" s="319">
        <f t="shared" si="14"/>
        <v>0.125</v>
      </c>
      <c r="X51" s="319">
        <f t="shared" si="14"/>
        <v>0.125</v>
      </c>
      <c r="Y51" s="319">
        <f t="shared" si="14"/>
        <v>0.125</v>
      </c>
      <c r="Z51" s="319">
        <f t="shared" si="14"/>
        <v>0.125</v>
      </c>
      <c r="AA51" s="319">
        <f t="shared" si="14"/>
        <v>0.125</v>
      </c>
      <c r="AB51" s="319">
        <f t="shared" si="14"/>
        <v>0.125</v>
      </c>
      <c r="AC51" s="319">
        <f t="shared" si="14"/>
        <v>0.125</v>
      </c>
      <c r="AD51" s="319">
        <f t="shared" si="14"/>
        <v>0.125</v>
      </c>
      <c r="AE51" s="319">
        <f t="shared" si="14"/>
        <v>0.125</v>
      </c>
      <c r="AF51" s="319">
        <f t="shared" si="14"/>
        <v>0.125</v>
      </c>
      <c r="AG51" s="319">
        <f t="shared" si="14"/>
        <v>0.125</v>
      </c>
      <c r="AH51" s="319">
        <f t="shared" si="14"/>
        <v>0.125</v>
      </c>
      <c r="AI51" s="319">
        <f t="shared" si="14"/>
        <v>0.125</v>
      </c>
      <c r="AK51" s="9">
        <v>0.125</v>
      </c>
    </row>
    <row r="52" spans="1:39" x14ac:dyDescent="0.25">
      <c r="A52" s="70" t="str">
        <f>AL14</f>
        <v>I-IS-DRI_EAF_NGA01</v>
      </c>
      <c r="B52" s="70" t="str">
        <f>AM14</f>
        <v>IND Iron and Steel technology: DRI using gas plus EAF</v>
      </c>
      <c r="C52" s="215" t="s">
        <v>128</v>
      </c>
      <c r="D52" s="70"/>
      <c r="E52" s="70"/>
      <c r="F52" s="321" t="s">
        <v>470</v>
      </c>
      <c r="G52" s="321" t="s">
        <v>449</v>
      </c>
      <c r="H52" s="322">
        <f t="shared" si="10"/>
        <v>12.000000000000002</v>
      </c>
      <c r="I52" s="322">
        <f t="shared" si="10"/>
        <v>12.000000000000002</v>
      </c>
      <c r="J52" s="322">
        <f t="shared" si="10"/>
        <v>12.000000000000002</v>
      </c>
      <c r="K52" s="322">
        <f t="shared" si="10"/>
        <v>12.000000000000002</v>
      </c>
      <c r="L52" s="322">
        <f t="shared" si="10"/>
        <v>12.000000000000002</v>
      </c>
      <c r="M52" s="322">
        <f t="shared" si="10"/>
        <v>12.000000000000002</v>
      </c>
      <c r="N52" s="322">
        <f t="shared" si="10"/>
        <v>12.000000000000002</v>
      </c>
      <c r="O52" s="322">
        <f t="shared" si="10"/>
        <v>12.000000000000002</v>
      </c>
      <c r="P52" s="322">
        <f t="shared" si="10"/>
        <v>12.000000000000002</v>
      </c>
      <c r="Q52" s="322">
        <f t="shared" si="10"/>
        <v>12.000000000000002</v>
      </c>
      <c r="R52" s="322">
        <f t="shared" si="10"/>
        <v>12.000000000000002</v>
      </c>
      <c r="S52" s="322">
        <f t="shared" si="10"/>
        <v>12.000000000000002</v>
      </c>
      <c r="T52" s="322">
        <f t="shared" si="10"/>
        <v>12.000000000000002</v>
      </c>
      <c r="U52" s="322">
        <f t="shared" si="10"/>
        <v>12.000000000000002</v>
      </c>
      <c r="V52" s="322">
        <f t="shared" si="10"/>
        <v>12.000000000000002</v>
      </c>
      <c r="W52" s="322">
        <f t="shared" si="10"/>
        <v>12.000000000000002</v>
      </c>
      <c r="X52" s="322">
        <f t="shared" si="14"/>
        <v>12.000000000000002</v>
      </c>
      <c r="Y52" s="322">
        <f t="shared" si="14"/>
        <v>12.000000000000002</v>
      </c>
      <c r="Z52" s="322">
        <f t="shared" si="14"/>
        <v>12.000000000000002</v>
      </c>
      <c r="AA52" s="322">
        <f t="shared" si="14"/>
        <v>12.000000000000002</v>
      </c>
      <c r="AB52" s="322">
        <f t="shared" si="14"/>
        <v>12.000000000000002</v>
      </c>
      <c r="AC52" s="322">
        <f t="shared" si="14"/>
        <v>12.000000000000002</v>
      </c>
      <c r="AD52" s="322">
        <f t="shared" si="14"/>
        <v>12.000000000000002</v>
      </c>
      <c r="AE52" s="322">
        <f t="shared" si="14"/>
        <v>12.000000000000002</v>
      </c>
      <c r="AF52" s="322">
        <f t="shared" si="14"/>
        <v>12.000000000000002</v>
      </c>
      <c r="AG52" s="322">
        <f t="shared" si="14"/>
        <v>12.000000000000002</v>
      </c>
      <c r="AH52" s="322">
        <f t="shared" si="14"/>
        <v>12.000000000000002</v>
      </c>
      <c r="AI52" s="322">
        <f t="shared" si="14"/>
        <v>12.000000000000002</v>
      </c>
      <c r="AK52" s="318">
        <f>('Inputs_BY IIS'!AI132-'Inputs_BY IIS'!AI131)*80%</f>
        <v>12.000000000000002</v>
      </c>
    </row>
    <row r="53" spans="1:39" x14ac:dyDescent="0.25">
      <c r="C53" t="s">
        <v>126</v>
      </c>
      <c r="F53" s="75" t="s">
        <v>470</v>
      </c>
      <c r="G53" s="75" t="s">
        <v>449</v>
      </c>
      <c r="H53" s="319">
        <f t="shared" si="10"/>
        <v>2.1</v>
      </c>
      <c r="I53" s="319">
        <f t="shared" si="10"/>
        <v>2.1</v>
      </c>
      <c r="J53" s="319">
        <f t="shared" si="10"/>
        <v>2.1</v>
      </c>
      <c r="K53" s="319">
        <f t="shared" si="10"/>
        <v>2.1</v>
      </c>
      <c r="L53" s="319">
        <f t="shared" si="10"/>
        <v>2.1</v>
      </c>
      <c r="M53" s="319">
        <f t="shared" si="10"/>
        <v>2.1</v>
      </c>
      <c r="N53" s="319">
        <f t="shared" si="10"/>
        <v>2.1</v>
      </c>
      <c r="O53" s="319">
        <f t="shared" si="10"/>
        <v>2.1</v>
      </c>
      <c r="P53" s="319">
        <f t="shared" si="10"/>
        <v>2.1</v>
      </c>
      <c r="Q53" s="319">
        <f t="shared" si="10"/>
        <v>2.1</v>
      </c>
      <c r="R53" s="319">
        <f t="shared" si="10"/>
        <v>2.1</v>
      </c>
      <c r="S53" s="319">
        <f t="shared" si="10"/>
        <v>2.1</v>
      </c>
      <c r="T53" s="319">
        <f t="shared" si="10"/>
        <v>2.1</v>
      </c>
      <c r="U53" s="319">
        <f t="shared" si="10"/>
        <v>2.1</v>
      </c>
      <c r="V53" s="319">
        <f t="shared" si="10"/>
        <v>2.1</v>
      </c>
      <c r="W53" s="319">
        <f t="shared" si="10"/>
        <v>2.1</v>
      </c>
      <c r="X53" s="319">
        <f t="shared" si="14"/>
        <v>2.1</v>
      </c>
      <c r="Y53" s="319">
        <f t="shared" si="14"/>
        <v>2.1</v>
      </c>
      <c r="Z53" s="319">
        <f t="shared" si="14"/>
        <v>2.1</v>
      </c>
      <c r="AA53" s="319">
        <f t="shared" si="14"/>
        <v>2.1</v>
      </c>
      <c r="AB53" s="319">
        <f t="shared" si="14"/>
        <v>2.1</v>
      </c>
      <c r="AC53" s="319">
        <f t="shared" si="14"/>
        <v>2.1</v>
      </c>
      <c r="AD53" s="319">
        <f t="shared" si="14"/>
        <v>2.1</v>
      </c>
      <c r="AE53" s="319">
        <f t="shared" si="14"/>
        <v>2.1</v>
      </c>
      <c r="AF53" s="319">
        <f t="shared" si="14"/>
        <v>2.1</v>
      </c>
      <c r="AG53" s="319">
        <f t="shared" si="14"/>
        <v>2.1</v>
      </c>
      <c r="AH53" s="319">
        <f t="shared" si="14"/>
        <v>2.1</v>
      </c>
      <c r="AI53" s="319">
        <f t="shared" si="14"/>
        <v>2.1</v>
      </c>
      <c r="AK53" s="9">
        <v>2.1</v>
      </c>
    </row>
    <row r="54" spans="1:39" x14ac:dyDescent="0.25">
      <c r="C54" s="75"/>
      <c r="D54" s="75" t="s">
        <v>159</v>
      </c>
      <c r="E54" s="75"/>
      <c r="F54" s="61" t="s">
        <v>472</v>
      </c>
      <c r="G54" t="s">
        <v>1628</v>
      </c>
      <c r="H54" s="76">
        <f>$AL54*1000</f>
        <v>879.99999999999989</v>
      </c>
      <c r="I54" s="76">
        <f t="shared" ref="I54:AI54" si="15">$AL54*1000</f>
        <v>879.99999999999989</v>
      </c>
      <c r="J54" s="76">
        <f t="shared" si="15"/>
        <v>879.99999999999989</v>
      </c>
      <c r="K54" s="76">
        <f t="shared" si="15"/>
        <v>879.99999999999989</v>
      </c>
      <c r="L54" s="76">
        <f t="shared" si="15"/>
        <v>879.99999999999989</v>
      </c>
      <c r="M54" s="76">
        <f t="shared" si="15"/>
        <v>879.99999999999989</v>
      </c>
      <c r="N54" s="76">
        <f t="shared" si="15"/>
        <v>879.99999999999989</v>
      </c>
      <c r="O54" s="76">
        <f t="shared" si="15"/>
        <v>879.99999999999989</v>
      </c>
      <c r="P54" s="76">
        <f t="shared" si="15"/>
        <v>879.99999999999989</v>
      </c>
      <c r="Q54" s="76">
        <f t="shared" si="15"/>
        <v>879.99999999999989</v>
      </c>
      <c r="R54" s="76">
        <f t="shared" si="15"/>
        <v>879.99999999999989</v>
      </c>
      <c r="S54" s="76">
        <f t="shared" si="15"/>
        <v>879.99999999999989</v>
      </c>
      <c r="T54" s="76">
        <f t="shared" si="15"/>
        <v>879.99999999999989</v>
      </c>
      <c r="U54" s="76">
        <f t="shared" si="15"/>
        <v>879.99999999999989</v>
      </c>
      <c r="V54" s="76">
        <f t="shared" si="15"/>
        <v>879.99999999999989</v>
      </c>
      <c r="W54" s="76">
        <f t="shared" si="15"/>
        <v>879.99999999999989</v>
      </c>
      <c r="X54" s="76">
        <f t="shared" si="15"/>
        <v>879.99999999999989</v>
      </c>
      <c r="Y54" s="76">
        <f t="shared" si="15"/>
        <v>879.99999999999989</v>
      </c>
      <c r="Z54" s="76">
        <f t="shared" si="15"/>
        <v>879.99999999999989</v>
      </c>
      <c r="AA54" s="76">
        <f t="shared" si="15"/>
        <v>879.99999999999989</v>
      </c>
      <c r="AB54" s="76">
        <f t="shared" si="15"/>
        <v>879.99999999999989</v>
      </c>
      <c r="AC54" s="76">
        <f t="shared" si="15"/>
        <v>879.99999999999989</v>
      </c>
      <c r="AD54" s="76">
        <f t="shared" si="15"/>
        <v>879.99999999999989</v>
      </c>
      <c r="AE54" s="76">
        <f t="shared" si="15"/>
        <v>879.99999999999989</v>
      </c>
      <c r="AF54" s="76">
        <f t="shared" si="15"/>
        <v>879.99999999999989</v>
      </c>
      <c r="AG54" s="76">
        <f t="shared" si="15"/>
        <v>879.99999999999989</v>
      </c>
      <c r="AH54" s="76">
        <f t="shared" si="15"/>
        <v>879.99999999999989</v>
      </c>
      <c r="AI54" s="76">
        <f t="shared" si="15"/>
        <v>879.99999999999989</v>
      </c>
      <c r="AL54" s="294">
        <f>0.7+0.18</f>
        <v>0.87999999999999989</v>
      </c>
      <c r="AM54" s="9" t="s">
        <v>581</v>
      </c>
    </row>
    <row r="55" spans="1:39" x14ac:dyDescent="0.25">
      <c r="C55" t="s">
        <v>578</v>
      </c>
      <c r="F55" s="75" t="s">
        <v>470</v>
      </c>
      <c r="G55" s="75" t="s">
        <v>580</v>
      </c>
      <c r="H55" s="319">
        <f t="shared" si="10"/>
        <v>0.125</v>
      </c>
      <c r="I55" s="319">
        <f t="shared" si="10"/>
        <v>0.125</v>
      </c>
      <c r="J55" s="319">
        <f t="shared" si="10"/>
        <v>0.125</v>
      </c>
      <c r="K55" s="319">
        <f t="shared" si="10"/>
        <v>0.125</v>
      </c>
      <c r="L55" s="319">
        <f t="shared" si="14"/>
        <v>0.125</v>
      </c>
      <c r="M55" s="319">
        <f t="shared" si="14"/>
        <v>0.125</v>
      </c>
      <c r="N55" s="319">
        <f t="shared" si="14"/>
        <v>0.125</v>
      </c>
      <c r="O55" s="319">
        <f t="shared" si="14"/>
        <v>0.125</v>
      </c>
      <c r="P55" s="319">
        <f t="shared" si="14"/>
        <v>0.125</v>
      </c>
      <c r="Q55" s="319">
        <f t="shared" si="14"/>
        <v>0.125</v>
      </c>
      <c r="R55" s="319">
        <f t="shared" si="14"/>
        <v>0.125</v>
      </c>
      <c r="S55" s="319">
        <f t="shared" si="14"/>
        <v>0.125</v>
      </c>
      <c r="T55" s="319">
        <f t="shared" si="14"/>
        <v>0.125</v>
      </c>
      <c r="U55" s="319">
        <f t="shared" si="14"/>
        <v>0.125</v>
      </c>
      <c r="V55" s="319">
        <f t="shared" si="14"/>
        <v>0.125</v>
      </c>
      <c r="W55" s="319">
        <f t="shared" si="14"/>
        <v>0.125</v>
      </c>
      <c r="X55" s="319">
        <f t="shared" si="14"/>
        <v>0.125</v>
      </c>
      <c r="Y55" s="319">
        <f t="shared" si="14"/>
        <v>0.125</v>
      </c>
      <c r="Z55" s="319">
        <f t="shared" si="14"/>
        <v>0.125</v>
      </c>
      <c r="AA55" s="319">
        <f t="shared" si="14"/>
        <v>0.125</v>
      </c>
      <c r="AB55" s="319">
        <f t="shared" si="14"/>
        <v>0.125</v>
      </c>
      <c r="AC55" s="319">
        <f t="shared" si="14"/>
        <v>0.125</v>
      </c>
      <c r="AD55" s="319">
        <f t="shared" si="14"/>
        <v>0.125</v>
      </c>
      <c r="AE55" s="319">
        <f t="shared" si="14"/>
        <v>0.125</v>
      </c>
      <c r="AF55" s="319">
        <f t="shared" si="14"/>
        <v>0.125</v>
      </c>
      <c r="AG55" s="319">
        <f t="shared" si="14"/>
        <v>0.125</v>
      </c>
      <c r="AH55" s="319">
        <f t="shared" si="14"/>
        <v>0.125</v>
      </c>
      <c r="AI55" s="319">
        <f t="shared" si="14"/>
        <v>0.125</v>
      </c>
      <c r="AK55" s="9">
        <v>0.125</v>
      </c>
    </row>
    <row r="56" spans="1:39" x14ac:dyDescent="0.25">
      <c r="A56" s="70" t="str">
        <f>AL15</f>
        <v>I-IS-DRI_EAF_H201</v>
      </c>
      <c r="B56" s="70" t="str">
        <f>AM15</f>
        <v>IND Iron and Steel technology: DRI using H2 plus EAF</v>
      </c>
      <c r="C56" s="215" t="s">
        <v>141</v>
      </c>
      <c r="D56" s="70"/>
      <c r="E56" s="70"/>
      <c r="F56" s="321" t="s">
        <v>470</v>
      </c>
      <c r="G56" s="321" t="s">
        <v>449</v>
      </c>
      <c r="H56" s="70">
        <f t="shared" si="10"/>
        <v>7.2</v>
      </c>
      <c r="I56" s="70">
        <f t="shared" si="10"/>
        <v>7.2</v>
      </c>
      <c r="J56" s="70">
        <f t="shared" si="10"/>
        <v>7.2</v>
      </c>
      <c r="K56" s="70">
        <f t="shared" si="10"/>
        <v>7.2</v>
      </c>
      <c r="L56" s="70">
        <f t="shared" si="14"/>
        <v>7.2</v>
      </c>
      <c r="M56" s="70">
        <f t="shared" si="14"/>
        <v>7.2</v>
      </c>
      <c r="N56" s="70">
        <f t="shared" si="14"/>
        <v>7.2</v>
      </c>
      <c r="O56" s="70">
        <f t="shared" si="14"/>
        <v>7.2</v>
      </c>
      <c r="P56" s="70">
        <f t="shared" si="14"/>
        <v>7.2</v>
      </c>
      <c r="Q56" s="70">
        <f t="shared" si="14"/>
        <v>7.2</v>
      </c>
      <c r="R56" s="70">
        <f t="shared" si="14"/>
        <v>7.2</v>
      </c>
      <c r="S56" s="70">
        <f t="shared" si="14"/>
        <v>7.2</v>
      </c>
      <c r="T56" s="70">
        <f t="shared" si="14"/>
        <v>7.2</v>
      </c>
      <c r="U56" s="70">
        <f t="shared" si="14"/>
        <v>7.2</v>
      </c>
      <c r="V56" s="70">
        <f t="shared" si="14"/>
        <v>7.2</v>
      </c>
      <c r="W56" s="70">
        <f t="shared" si="14"/>
        <v>7.2</v>
      </c>
      <c r="X56" s="70">
        <f t="shared" si="14"/>
        <v>7.2</v>
      </c>
      <c r="Y56" s="70">
        <f t="shared" si="14"/>
        <v>7.2</v>
      </c>
      <c r="Z56" s="70">
        <f t="shared" si="14"/>
        <v>7.2</v>
      </c>
      <c r="AA56" s="70">
        <f t="shared" si="14"/>
        <v>7.2</v>
      </c>
      <c r="AB56" s="70">
        <f t="shared" si="14"/>
        <v>7.2</v>
      </c>
      <c r="AC56" s="70">
        <f t="shared" si="14"/>
        <v>7.2</v>
      </c>
      <c r="AD56" s="70">
        <f t="shared" si="14"/>
        <v>7.2</v>
      </c>
      <c r="AE56" s="70">
        <f t="shared" si="14"/>
        <v>7.2</v>
      </c>
      <c r="AF56" s="70">
        <f t="shared" si="14"/>
        <v>7.2</v>
      </c>
      <c r="AG56" s="70">
        <f t="shared" si="14"/>
        <v>7.2</v>
      </c>
      <c r="AH56" s="70">
        <f t="shared" si="14"/>
        <v>7.2</v>
      </c>
      <c r="AI56" s="70">
        <f t="shared" si="14"/>
        <v>7.2</v>
      </c>
      <c r="AK56" s="9">
        <v>7.2</v>
      </c>
      <c r="AL56" s="146" t="s">
        <v>620</v>
      </c>
    </row>
    <row r="57" spans="1:39" x14ac:dyDescent="0.25">
      <c r="C57" t="s">
        <v>126</v>
      </c>
      <c r="F57" s="75" t="s">
        <v>470</v>
      </c>
      <c r="G57" s="75" t="s">
        <v>449</v>
      </c>
      <c r="H57" s="9">
        <f t="shared" si="10"/>
        <v>2.1</v>
      </c>
      <c r="I57" s="9">
        <f t="shared" si="10"/>
        <v>2.1</v>
      </c>
      <c r="J57" s="9">
        <f t="shared" si="10"/>
        <v>2.1</v>
      </c>
      <c r="K57" s="9">
        <f t="shared" si="10"/>
        <v>2.1</v>
      </c>
      <c r="L57" s="9">
        <f t="shared" si="14"/>
        <v>2.1</v>
      </c>
      <c r="M57" s="9">
        <f t="shared" si="14"/>
        <v>2.1</v>
      </c>
      <c r="N57" s="9">
        <f t="shared" si="14"/>
        <v>2.1</v>
      </c>
      <c r="O57" s="9">
        <f t="shared" si="14"/>
        <v>2.1</v>
      </c>
      <c r="P57" s="9">
        <f t="shared" si="14"/>
        <v>2.1</v>
      </c>
      <c r="Q57" s="9">
        <f t="shared" si="14"/>
        <v>2.1</v>
      </c>
      <c r="R57" s="9">
        <f t="shared" si="14"/>
        <v>2.1</v>
      </c>
      <c r="S57" s="9">
        <f t="shared" si="14"/>
        <v>2.1</v>
      </c>
      <c r="T57" s="9">
        <f t="shared" si="14"/>
        <v>2.1</v>
      </c>
      <c r="U57" s="9">
        <f t="shared" si="14"/>
        <v>2.1</v>
      </c>
      <c r="V57" s="9">
        <f t="shared" si="14"/>
        <v>2.1</v>
      </c>
      <c r="W57" s="9">
        <f t="shared" si="14"/>
        <v>2.1</v>
      </c>
      <c r="X57" s="9">
        <f t="shared" si="14"/>
        <v>2.1</v>
      </c>
      <c r="Y57" s="9">
        <f t="shared" si="14"/>
        <v>2.1</v>
      </c>
      <c r="Z57" s="9">
        <f t="shared" si="14"/>
        <v>2.1</v>
      </c>
      <c r="AA57" s="9">
        <f t="shared" si="14"/>
        <v>2.1</v>
      </c>
      <c r="AB57" s="9">
        <f t="shared" si="14"/>
        <v>2.1</v>
      </c>
      <c r="AC57" s="9">
        <f t="shared" si="14"/>
        <v>2.1</v>
      </c>
      <c r="AD57" s="9">
        <f t="shared" si="14"/>
        <v>2.1</v>
      </c>
      <c r="AE57" s="9">
        <f t="shared" si="14"/>
        <v>2.1</v>
      </c>
      <c r="AF57" s="9">
        <f t="shared" si="14"/>
        <v>2.1</v>
      </c>
      <c r="AG57" s="9">
        <f t="shared" si="14"/>
        <v>2.1</v>
      </c>
      <c r="AH57" s="9">
        <f t="shared" si="14"/>
        <v>2.1</v>
      </c>
      <c r="AI57" s="9">
        <f t="shared" si="14"/>
        <v>2.1</v>
      </c>
      <c r="AK57" s="9">
        <v>2.1</v>
      </c>
    </row>
    <row r="58" spans="1:39" x14ac:dyDescent="0.25">
      <c r="C58" s="75"/>
      <c r="D58" s="75" t="s">
        <v>159</v>
      </c>
      <c r="E58" s="75"/>
      <c r="F58" s="61" t="s">
        <v>472</v>
      </c>
      <c r="G58" t="s">
        <v>1628</v>
      </c>
      <c r="H58" s="76">
        <f>$AL58*1000</f>
        <v>180</v>
      </c>
      <c r="I58" s="76">
        <f t="shared" ref="I58:AI58" si="16">$AL58*1000</f>
        <v>180</v>
      </c>
      <c r="J58" s="76">
        <f t="shared" si="16"/>
        <v>180</v>
      </c>
      <c r="K58" s="76">
        <f t="shared" si="16"/>
        <v>180</v>
      </c>
      <c r="L58" s="76">
        <f t="shared" si="16"/>
        <v>180</v>
      </c>
      <c r="M58" s="76">
        <f t="shared" si="16"/>
        <v>180</v>
      </c>
      <c r="N58" s="76">
        <f t="shared" si="16"/>
        <v>180</v>
      </c>
      <c r="O58" s="76">
        <f t="shared" si="16"/>
        <v>180</v>
      </c>
      <c r="P58" s="76">
        <f t="shared" si="16"/>
        <v>180</v>
      </c>
      <c r="Q58" s="76">
        <f t="shared" si="16"/>
        <v>180</v>
      </c>
      <c r="R58" s="76">
        <f t="shared" si="16"/>
        <v>180</v>
      </c>
      <c r="S58" s="76">
        <f t="shared" si="16"/>
        <v>180</v>
      </c>
      <c r="T58" s="76">
        <f t="shared" si="16"/>
        <v>180</v>
      </c>
      <c r="U58" s="76">
        <f t="shared" si="16"/>
        <v>180</v>
      </c>
      <c r="V58" s="76">
        <f t="shared" si="16"/>
        <v>180</v>
      </c>
      <c r="W58" s="76">
        <f t="shared" si="16"/>
        <v>180</v>
      </c>
      <c r="X58" s="76">
        <f t="shared" si="16"/>
        <v>180</v>
      </c>
      <c r="Y58" s="76">
        <f t="shared" si="16"/>
        <v>180</v>
      </c>
      <c r="Z58" s="76">
        <f t="shared" si="16"/>
        <v>180</v>
      </c>
      <c r="AA58" s="76">
        <f t="shared" si="16"/>
        <v>180</v>
      </c>
      <c r="AB58" s="76">
        <f t="shared" si="16"/>
        <v>180</v>
      </c>
      <c r="AC58" s="76">
        <f t="shared" si="16"/>
        <v>180</v>
      </c>
      <c r="AD58" s="76">
        <f t="shared" si="16"/>
        <v>180</v>
      </c>
      <c r="AE58" s="76">
        <f t="shared" si="16"/>
        <v>180</v>
      </c>
      <c r="AF58" s="76">
        <f t="shared" si="16"/>
        <v>180</v>
      </c>
      <c r="AG58" s="76">
        <f t="shared" si="16"/>
        <v>180</v>
      </c>
      <c r="AH58" s="76">
        <f t="shared" si="16"/>
        <v>180</v>
      </c>
      <c r="AI58" s="76">
        <f t="shared" si="16"/>
        <v>180</v>
      </c>
      <c r="AL58" s="294">
        <f>0.18</f>
        <v>0.18</v>
      </c>
      <c r="AM58" s="9" t="s">
        <v>581</v>
      </c>
    </row>
    <row r="59" spans="1:39" x14ac:dyDescent="0.25">
      <c r="C59" t="s">
        <v>578</v>
      </c>
      <c r="F59" s="75" t="s">
        <v>470</v>
      </c>
      <c r="G59" s="75" t="s">
        <v>580</v>
      </c>
      <c r="H59" s="9">
        <f t="shared" si="10"/>
        <v>0.15</v>
      </c>
      <c r="I59" s="9">
        <f t="shared" si="10"/>
        <v>0.15</v>
      </c>
      <c r="J59" s="9">
        <f t="shared" si="10"/>
        <v>0.15</v>
      </c>
      <c r="K59" s="9">
        <f t="shared" si="10"/>
        <v>0.15</v>
      </c>
      <c r="L59" s="9">
        <f t="shared" si="14"/>
        <v>0.15</v>
      </c>
      <c r="M59" s="9">
        <f t="shared" si="14"/>
        <v>0.15</v>
      </c>
      <c r="N59" s="9">
        <f t="shared" si="14"/>
        <v>0.15</v>
      </c>
      <c r="O59" s="9">
        <f t="shared" si="14"/>
        <v>0.15</v>
      </c>
      <c r="P59" s="9">
        <f t="shared" si="14"/>
        <v>0.15</v>
      </c>
      <c r="Q59" s="9">
        <f t="shared" si="14"/>
        <v>0.15</v>
      </c>
      <c r="R59" s="9">
        <f t="shared" si="14"/>
        <v>0.15</v>
      </c>
      <c r="S59" s="9">
        <f t="shared" si="14"/>
        <v>0.15</v>
      </c>
      <c r="T59" s="9">
        <f t="shared" si="14"/>
        <v>0.15</v>
      </c>
      <c r="U59" s="9">
        <f t="shared" si="14"/>
        <v>0.15</v>
      </c>
      <c r="V59" s="9">
        <f t="shared" si="14"/>
        <v>0.15</v>
      </c>
      <c r="W59" s="9">
        <f t="shared" si="14"/>
        <v>0.15</v>
      </c>
      <c r="X59" s="9">
        <f t="shared" si="14"/>
        <v>0.15</v>
      </c>
      <c r="Y59" s="9">
        <f t="shared" si="14"/>
        <v>0.15</v>
      </c>
      <c r="Z59" s="9">
        <f t="shared" si="14"/>
        <v>0.15</v>
      </c>
      <c r="AA59" s="9">
        <f t="shared" si="14"/>
        <v>0.15</v>
      </c>
      <c r="AB59" s="9">
        <f t="shared" si="14"/>
        <v>0.15</v>
      </c>
      <c r="AC59" s="9">
        <f t="shared" si="14"/>
        <v>0.15</v>
      </c>
      <c r="AD59" s="9">
        <f t="shared" si="14"/>
        <v>0.15</v>
      </c>
      <c r="AE59" s="9">
        <f t="shared" si="14"/>
        <v>0.15</v>
      </c>
      <c r="AF59" s="9">
        <f t="shared" si="14"/>
        <v>0.15</v>
      </c>
      <c r="AG59" s="9">
        <f t="shared" si="14"/>
        <v>0.15</v>
      </c>
      <c r="AH59" s="9">
        <f t="shared" si="14"/>
        <v>0.15</v>
      </c>
      <c r="AI59" s="9">
        <f t="shared" si="14"/>
        <v>0.15</v>
      </c>
      <c r="AK59" s="9">
        <v>0.15</v>
      </c>
    </row>
    <row r="60" spans="1:39" x14ac:dyDescent="0.25">
      <c r="A60" s="70" t="str">
        <f>AL16</f>
        <v>I-IS-SCP_EAF01</v>
      </c>
      <c r="B60" s="70" t="str">
        <f>AM16</f>
        <v>IND Iron and Steel technology: EAF using scrap (secondary)</v>
      </c>
      <c r="C60" s="215" t="s">
        <v>126</v>
      </c>
      <c r="D60" s="70"/>
      <c r="E60" s="70"/>
      <c r="F60" s="321" t="s">
        <v>470</v>
      </c>
      <c r="G60" s="321" t="s">
        <v>449</v>
      </c>
      <c r="H60" s="70">
        <f t="shared" si="10"/>
        <v>2.1</v>
      </c>
      <c r="I60" s="70">
        <f t="shared" si="10"/>
        <v>2.1</v>
      </c>
      <c r="J60" s="70">
        <f t="shared" si="10"/>
        <v>2.1</v>
      </c>
      <c r="K60" s="70">
        <f t="shared" si="10"/>
        <v>2.1</v>
      </c>
      <c r="L60" s="70">
        <f t="shared" si="14"/>
        <v>2.1</v>
      </c>
      <c r="M60" s="70">
        <f t="shared" si="14"/>
        <v>2.1</v>
      </c>
      <c r="N60" s="70">
        <f t="shared" si="14"/>
        <v>2.1</v>
      </c>
      <c r="O60" s="70">
        <f t="shared" si="14"/>
        <v>2.1</v>
      </c>
      <c r="P60" s="70">
        <f t="shared" si="14"/>
        <v>2.1</v>
      </c>
      <c r="Q60" s="70">
        <f t="shared" si="14"/>
        <v>2.1</v>
      </c>
      <c r="R60" s="70">
        <f t="shared" si="14"/>
        <v>2.1</v>
      </c>
      <c r="S60" s="70">
        <f t="shared" si="14"/>
        <v>2.1</v>
      </c>
      <c r="T60" s="70">
        <f t="shared" si="14"/>
        <v>2.1</v>
      </c>
      <c r="U60" s="70">
        <f t="shared" si="14"/>
        <v>2.1</v>
      </c>
      <c r="V60" s="70">
        <f t="shared" si="14"/>
        <v>2.1</v>
      </c>
      <c r="W60" s="70">
        <f t="shared" si="14"/>
        <v>2.1</v>
      </c>
      <c r="X60" s="70">
        <f t="shared" si="14"/>
        <v>2.1</v>
      </c>
      <c r="Y60" s="70">
        <f t="shared" si="14"/>
        <v>2.1</v>
      </c>
      <c r="Z60" s="70">
        <f t="shared" si="14"/>
        <v>2.1</v>
      </c>
      <c r="AA60" s="70">
        <f t="shared" si="14"/>
        <v>2.1</v>
      </c>
      <c r="AB60" s="70">
        <f t="shared" si="14"/>
        <v>2.1</v>
      </c>
      <c r="AC60" s="70">
        <f t="shared" si="14"/>
        <v>2.1</v>
      </c>
      <c r="AD60" s="70">
        <f t="shared" si="14"/>
        <v>2.1</v>
      </c>
      <c r="AE60" s="70">
        <f t="shared" si="14"/>
        <v>2.1</v>
      </c>
      <c r="AF60" s="70">
        <f t="shared" si="14"/>
        <v>2.1</v>
      </c>
      <c r="AG60" s="70">
        <f t="shared" si="14"/>
        <v>2.1</v>
      </c>
      <c r="AH60" s="70">
        <f t="shared" si="14"/>
        <v>2.1</v>
      </c>
      <c r="AI60" s="70">
        <f t="shared" si="14"/>
        <v>2.1</v>
      </c>
      <c r="AK60" s="9">
        <v>2.1</v>
      </c>
    </row>
    <row r="61" spans="1:39" x14ac:dyDescent="0.25">
      <c r="C61" s="75"/>
      <c r="D61" s="75" t="s">
        <v>159</v>
      </c>
      <c r="E61" s="75"/>
      <c r="F61" s="61" t="s">
        <v>472</v>
      </c>
      <c r="G61" t="s">
        <v>1628</v>
      </c>
      <c r="H61" s="76">
        <f>$AL61*1000</f>
        <v>180</v>
      </c>
      <c r="I61" s="76">
        <f t="shared" ref="I61:AI61" si="17">$AL61*1000</f>
        <v>180</v>
      </c>
      <c r="J61" s="76">
        <f t="shared" si="17"/>
        <v>180</v>
      </c>
      <c r="K61" s="76">
        <f t="shared" si="17"/>
        <v>180</v>
      </c>
      <c r="L61" s="76">
        <f t="shared" si="17"/>
        <v>180</v>
      </c>
      <c r="M61" s="76">
        <f t="shared" si="17"/>
        <v>180</v>
      </c>
      <c r="N61" s="76">
        <f t="shared" si="17"/>
        <v>180</v>
      </c>
      <c r="O61" s="76">
        <f t="shared" si="17"/>
        <v>180</v>
      </c>
      <c r="P61" s="76">
        <f t="shared" si="17"/>
        <v>180</v>
      </c>
      <c r="Q61" s="76">
        <f t="shared" si="17"/>
        <v>180</v>
      </c>
      <c r="R61" s="76">
        <f t="shared" si="17"/>
        <v>180</v>
      </c>
      <c r="S61" s="76">
        <f t="shared" si="17"/>
        <v>180</v>
      </c>
      <c r="T61" s="76">
        <f t="shared" si="17"/>
        <v>180</v>
      </c>
      <c r="U61" s="76">
        <f t="shared" si="17"/>
        <v>180</v>
      </c>
      <c r="V61" s="76">
        <f t="shared" si="17"/>
        <v>180</v>
      </c>
      <c r="W61" s="76">
        <f t="shared" si="17"/>
        <v>180</v>
      </c>
      <c r="X61" s="76">
        <f t="shared" si="17"/>
        <v>180</v>
      </c>
      <c r="Y61" s="76">
        <f t="shared" si="17"/>
        <v>180</v>
      </c>
      <c r="Z61" s="76">
        <f t="shared" si="17"/>
        <v>180</v>
      </c>
      <c r="AA61" s="76">
        <f t="shared" si="17"/>
        <v>180</v>
      </c>
      <c r="AB61" s="76">
        <f t="shared" si="17"/>
        <v>180</v>
      </c>
      <c r="AC61" s="76">
        <f t="shared" si="17"/>
        <v>180</v>
      </c>
      <c r="AD61" s="76">
        <f t="shared" si="17"/>
        <v>180</v>
      </c>
      <c r="AE61" s="76">
        <f t="shared" si="17"/>
        <v>180</v>
      </c>
      <c r="AF61" s="76">
        <f t="shared" si="17"/>
        <v>180</v>
      </c>
      <c r="AG61" s="76">
        <f t="shared" si="17"/>
        <v>180</v>
      </c>
      <c r="AH61" s="76">
        <f t="shared" si="17"/>
        <v>180</v>
      </c>
      <c r="AI61" s="76">
        <f t="shared" si="17"/>
        <v>180</v>
      </c>
      <c r="AL61" s="294">
        <f>0.18</f>
        <v>0.18</v>
      </c>
      <c r="AM61" s="9" t="s">
        <v>581</v>
      </c>
    </row>
    <row r="62" spans="1:39" x14ac:dyDescent="0.25">
      <c r="C62" t="s">
        <v>578</v>
      </c>
      <c r="F62" s="75" t="s">
        <v>470</v>
      </c>
      <c r="G62" s="75" t="s">
        <v>580</v>
      </c>
      <c r="H62" s="9">
        <f t="shared" si="10"/>
        <v>1.05</v>
      </c>
      <c r="I62" s="9">
        <f t="shared" si="10"/>
        <v>1.05</v>
      </c>
      <c r="J62" s="9">
        <f t="shared" si="10"/>
        <v>1.05</v>
      </c>
      <c r="K62" s="9">
        <f t="shared" si="10"/>
        <v>1.05</v>
      </c>
      <c r="L62" s="9">
        <f t="shared" si="14"/>
        <v>1.05</v>
      </c>
      <c r="M62" s="9">
        <f t="shared" si="14"/>
        <v>1.05</v>
      </c>
      <c r="N62" s="9">
        <f t="shared" si="14"/>
        <v>1.05</v>
      </c>
      <c r="O62" s="9">
        <f t="shared" si="14"/>
        <v>1.05</v>
      </c>
      <c r="P62" s="9">
        <f t="shared" si="14"/>
        <v>1.05</v>
      </c>
      <c r="Q62" s="9">
        <f t="shared" si="14"/>
        <v>1.05</v>
      </c>
      <c r="R62" s="9">
        <f t="shared" si="14"/>
        <v>1.05</v>
      </c>
      <c r="S62" s="9">
        <f t="shared" si="14"/>
        <v>1.05</v>
      </c>
      <c r="T62" s="9">
        <f t="shared" si="14"/>
        <v>1.05</v>
      </c>
      <c r="U62" s="9">
        <f t="shared" si="14"/>
        <v>1.05</v>
      </c>
      <c r="V62" s="9">
        <f t="shared" si="14"/>
        <v>1.05</v>
      </c>
      <c r="W62" s="9">
        <f t="shared" si="14"/>
        <v>1.05</v>
      </c>
      <c r="X62" s="9">
        <f t="shared" si="14"/>
        <v>1.05</v>
      </c>
      <c r="Y62" s="9">
        <f t="shared" si="14"/>
        <v>1.05</v>
      </c>
      <c r="Z62" s="9">
        <f t="shared" si="14"/>
        <v>1.05</v>
      </c>
      <c r="AA62" s="9">
        <f t="shared" si="14"/>
        <v>1.05</v>
      </c>
      <c r="AB62" s="9">
        <f t="shared" si="14"/>
        <v>1.05</v>
      </c>
      <c r="AC62" s="9">
        <f t="shared" si="14"/>
        <v>1.05</v>
      </c>
      <c r="AD62" s="9">
        <f t="shared" si="14"/>
        <v>1.05</v>
      </c>
      <c r="AE62" s="9">
        <f t="shared" si="14"/>
        <v>1.05</v>
      </c>
      <c r="AF62" s="9">
        <f t="shared" si="14"/>
        <v>1.05</v>
      </c>
      <c r="AG62" s="9">
        <f t="shared" si="14"/>
        <v>1.05</v>
      </c>
      <c r="AH62" s="9">
        <f t="shared" si="14"/>
        <v>1.05</v>
      </c>
      <c r="AI62" s="9">
        <f t="shared" si="14"/>
        <v>1.05</v>
      </c>
      <c r="AK62" s="9">
        <v>1.05</v>
      </c>
    </row>
    <row r="63" spans="1:39" x14ac:dyDescent="0.25">
      <c r="A63" s="70" t="str">
        <f>A17</f>
        <v>I-IS-BF_BOF01_CCS</v>
      </c>
      <c r="B63" s="70" t="str">
        <f>B17</f>
        <v>IND Iron and Steel technology: BF-BOF w/CCS</v>
      </c>
      <c r="C63" s="70" t="str">
        <f t="shared" ref="C63:C69" si="18">C27</f>
        <v>INDCOA</v>
      </c>
      <c r="D63" s="70"/>
      <c r="E63" s="70"/>
      <c r="F63" s="321" t="s">
        <v>470</v>
      </c>
      <c r="G63" s="321" t="s">
        <v>449</v>
      </c>
      <c r="H63" s="70">
        <f t="shared" si="10"/>
        <v>1.6500000000000001</v>
      </c>
      <c r="I63" s="70">
        <f t="shared" si="10"/>
        <v>1.6500000000000001</v>
      </c>
      <c r="J63" s="70">
        <f t="shared" si="10"/>
        <v>1.6500000000000001</v>
      </c>
      <c r="K63" s="70">
        <f t="shared" si="10"/>
        <v>1.6500000000000001</v>
      </c>
      <c r="L63" s="70">
        <f t="shared" si="14"/>
        <v>1.6500000000000001</v>
      </c>
      <c r="M63" s="70">
        <f t="shared" si="14"/>
        <v>1.6500000000000001</v>
      </c>
      <c r="N63" s="70">
        <f t="shared" si="14"/>
        <v>1.6500000000000001</v>
      </c>
      <c r="O63" s="70">
        <f t="shared" si="14"/>
        <v>1.6500000000000001</v>
      </c>
      <c r="P63" s="70">
        <f t="shared" si="14"/>
        <v>1.6500000000000001</v>
      </c>
      <c r="Q63" s="70">
        <f t="shared" si="14"/>
        <v>1.6500000000000001</v>
      </c>
      <c r="R63" s="70">
        <f t="shared" si="14"/>
        <v>1.6500000000000001</v>
      </c>
      <c r="S63" s="70">
        <f t="shared" si="14"/>
        <v>1.6500000000000001</v>
      </c>
      <c r="T63" s="70">
        <f t="shared" si="14"/>
        <v>1.6500000000000001</v>
      </c>
      <c r="U63" s="70">
        <f t="shared" si="14"/>
        <v>1.6500000000000001</v>
      </c>
      <c r="V63" s="70">
        <f t="shared" si="14"/>
        <v>1.6500000000000001</v>
      </c>
      <c r="W63" s="70">
        <f t="shared" si="14"/>
        <v>1.6500000000000001</v>
      </c>
      <c r="X63" s="70">
        <f t="shared" si="14"/>
        <v>1.6500000000000001</v>
      </c>
      <c r="Y63" s="70">
        <f t="shared" si="14"/>
        <v>1.6500000000000001</v>
      </c>
      <c r="Z63" s="70">
        <f t="shared" si="14"/>
        <v>1.6500000000000001</v>
      </c>
      <c r="AA63" s="70">
        <f t="shared" si="14"/>
        <v>1.6500000000000001</v>
      </c>
      <c r="AB63" s="70">
        <f t="shared" si="14"/>
        <v>1.6500000000000001</v>
      </c>
      <c r="AC63" s="70">
        <f t="shared" si="14"/>
        <v>1.6500000000000001</v>
      </c>
      <c r="AD63" s="70">
        <f t="shared" si="14"/>
        <v>1.6500000000000001</v>
      </c>
      <c r="AE63" s="70">
        <f t="shared" si="14"/>
        <v>1.6500000000000001</v>
      </c>
      <c r="AF63" s="70">
        <f t="shared" si="14"/>
        <v>1.6500000000000001</v>
      </c>
      <c r="AG63" s="70">
        <f t="shared" si="14"/>
        <v>1.6500000000000001</v>
      </c>
      <c r="AH63" s="70">
        <f t="shared" si="14"/>
        <v>1.6500000000000001</v>
      </c>
      <c r="AI63" s="70">
        <f t="shared" si="14"/>
        <v>1.6500000000000001</v>
      </c>
      <c r="AK63" s="9">
        <f t="shared" ref="AK63:AK69" si="19">AK27*$AL$63</f>
        <v>1.6500000000000001</v>
      </c>
      <c r="AL63" s="620">
        <v>1.1000000000000001</v>
      </c>
      <c r="AM63" s="9" t="s">
        <v>1635</v>
      </c>
    </row>
    <row r="64" spans="1:39" x14ac:dyDescent="0.25">
      <c r="C64" s="9" t="str">
        <f t="shared" si="18"/>
        <v>INDCOG</v>
      </c>
      <c r="F64" s="75" t="s">
        <v>470</v>
      </c>
      <c r="G64" s="75" t="s">
        <v>449</v>
      </c>
      <c r="H64" s="9">
        <f t="shared" si="10"/>
        <v>1.1000000000000001</v>
      </c>
      <c r="I64" s="9">
        <f t="shared" si="10"/>
        <v>1.1000000000000001</v>
      </c>
      <c r="J64" s="9">
        <f t="shared" si="10"/>
        <v>1.1000000000000001</v>
      </c>
      <c r="K64" s="9">
        <f t="shared" si="10"/>
        <v>1.1000000000000001</v>
      </c>
      <c r="L64" s="9">
        <f t="shared" si="14"/>
        <v>1.1000000000000001</v>
      </c>
      <c r="M64" s="9">
        <f t="shared" si="14"/>
        <v>1.1000000000000001</v>
      </c>
      <c r="N64" s="9">
        <f t="shared" si="14"/>
        <v>1.1000000000000001</v>
      </c>
      <c r="O64" s="9">
        <f t="shared" si="14"/>
        <v>1.1000000000000001</v>
      </c>
      <c r="P64" s="9">
        <f t="shared" si="14"/>
        <v>1.1000000000000001</v>
      </c>
      <c r="Q64" s="9">
        <f t="shared" si="14"/>
        <v>1.1000000000000001</v>
      </c>
      <c r="R64" s="9">
        <f t="shared" si="14"/>
        <v>1.1000000000000001</v>
      </c>
      <c r="S64" s="9">
        <f t="shared" si="14"/>
        <v>1.1000000000000001</v>
      </c>
      <c r="T64" s="9">
        <f t="shared" si="14"/>
        <v>1.1000000000000001</v>
      </c>
      <c r="U64" s="9">
        <f t="shared" si="14"/>
        <v>1.1000000000000001</v>
      </c>
      <c r="V64" s="9">
        <f t="shared" si="14"/>
        <v>1.1000000000000001</v>
      </c>
      <c r="W64" s="9">
        <f t="shared" si="14"/>
        <v>1.1000000000000001</v>
      </c>
      <c r="X64" s="9">
        <f t="shared" si="14"/>
        <v>1.1000000000000001</v>
      </c>
      <c r="Y64" s="9">
        <f t="shared" si="14"/>
        <v>1.1000000000000001</v>
      </c>
      <c r="Z64" s="9">
        <f t="shared" si="14"/>
        <v>1.1000000000000001</v>
      </c>
      <c r="AA64" s="9">
        <f t="shared" ref="AA64:AI64" si="20">$AK64</f>
        <v>1.1000000000000001</v>
      </c>
      <c r="AB64" s="9">
        <f t="shared" si="20"/>
        <v>1.1000000000000001</v>
      </c>
      <c r="AC64" s="9">
        <f t="shared" si="20"/>
        <v>1.1000000000000001</v>
      </c>
      <c r="AD64" s="9">
        <f t="shared" si="20"/>
        <v>1.1000000000000001</v>
      </c>
      <c r="AE64" s="9">
        <f t="shared" si="20"/>
        <v>1.1000000000000001</v>
      </c>
      <c r="AF64" s="9">
        <f t="shared" si="20"/>
        <v>1.1000000000000001</v>
      </c>
      <c r="AG64" s="9">
        <f t="shared" si="20"/>
        <v>1.1000000000000001</v>
      </c>
      <c r="AH64" s="9">
        <f t="shared" si="20"/>
        <v>1.1000000000000001</v>
      </c>
      <c r="AI64" s="9">
        <f t="shared" si="20"/>
        <v>1.1000000000000001</v>
      </c>
      <c r="AK64" s="9">
        <f t="shared" si="19"/>
        <v>1.1000000000000001</v>
      </c>
      <c r="AM64" s="12"/>
    </row>
    <row r="65" spans="1:39" x14ac:dyDescent="0.25">
      <c r="C65" s="9" t="str">
        <f t="shared" si="18"/>
        <v>INDCOK</v>
      </c>
      <c r="F65" s="75" t="s">
        <v>470</v>
      </c>
      <c r="G65" s="75" t="s">
        <v>449</v>
      </c>
      <c r="H65" s="9">
        <f t="shared" ref="H65:W85" si="21">$AK65</f>
        <v>1.6500000000000001</v>
      </c>
      <c r="I65" s="9">
        <f t="shared" si="21"/>
        <v>1.6500000000000001</v>
      </c>
      <c r="J65" s="9">
        <f t="shared" si="21"/>
        <v>1.6500000000000001</v>
      </c>
      <c r="K65" s="9">
        <f t="shared" si="21"/>
        <v>1.6500000000000001</v>
      </c>
      <c r="L65" s="9">
        <f t="shared" si="21"/>
        <v>1.6500000000000001</v>
      </c>
      <c r="M65" s="9">
        <f t="shared" si="21"/>
        <v>1.6500000000000001</v>
      </c>
      <c r="N65" s="9">
        <f t="shared" si="21"/>
        <v>1.6500000000000001</v>
      </c>
      <c r="O65" s="9">
        <f t="shared" si="21"/>
        <v>1.6500000000000001</v>
      </c>
      <c r="P65" s="9">
        <f t="shared" si="21"/>
        <v>1.6500000000000001</v>
      </c>
      <c r="Q65" s="9">
        <f t="shared" si="21"/>
        <v>1.6500000000000001</v>
      </c>
      <c r="R65" s="9">
        <f t="shared" si="21"/>
        <v>1.6500000000000001</v>
      </c>
      <c r="S65" s="9">
        <f t="shared" si="21"/>
        <v>1.6500000000000001</v>
      </c>
      <c r="T65" s="9">
        <f t="shared" si="21"/>
        <v>1.6500000000000001</v>
      </c>
      <c r="U65" s="9">
        <f t="shared" si="21"/>
        <v>1.6500000000000001</v>
      </c>
      <c r="V65" s="9">
        <f t="shared" si="21"/>
        <v>1.6500000000000001</v>
      </c>
      <c r="W65" s="9">
        <f t="shared" si="21"/>
        <v>1.6500000000000001</v>
      </c>
      <c r="X65" s="9">
        <f t="shared" ref="X65:AI81" si="22">$AK65</f>
        <v>1.6500000000000001</v>
      </c>
      <c r="Y65" s="9">
        <f t="shared" si="22"/>
        <v>1.6500000000000001</v>
      </c>
      <c r="Z65" s="9">
        <f t="shared" si="22"/>
        <v>1.6500000000000001</v>
      </c>
      <c r="AA65" s="9">
        <f t="shared" si="22"/>
        <v>1.6500000000000001</v>
      </c>
      <c r="AB65" s="9">
        <f t="shared" si="22"/>
        <v>1.6500000000000001</v>
      </c>
      <c r="AC65" s="9">
        <f t="shared" si="22"/>
        <v>1.6500000000000001</v>
      </c>
      <c r="AD65" s="9">
        <f t="shared" si="22"/>
        <v>1.6500000000000001</v>
      </c>
      <c r="AE65" s="9">
        <f t="shared" si="22"/>
        <v>1.6500000000000001</v>
      </c>
      <c r="AF65" s="9">
        <f t="shared" si="22"/>
        <v>1.6500000000000001</v>
      </c>
      <c r="AG65" s="9">
        <f t="shared" si="22"/>
        <v>1.6500000000000001</v>
      </c>
      <c r="AH65" s="9">
        <f t="shared" si="22"/>
        <v>1.6500000000000001</v>
      </c>
      <c r="AI65" s="9">
        <f t="shared" si="22"/>
        <v>1.6500000000000001</v>
      </c>
      <c r="AK65" s="9">
        <f t="shared" si="19"/>
        <v>1.6500000000000001</v>
      </c>
      <c r="AM65" s="12"/>
    </row>
    <row r="66" spans="1:39" x14ac:dyDescent="0.25">
      <c r="C66" s="9" t="str">
        <f t="shared" si="18"/>
        <v>INDELC</v>
      </c>
      <c r="F66" s="75" t="s">
        <v>470</v>
      </c>
      <c r="G66" s="75" t="s">
        <v>449</v>
      </c>
      <c r="H66" s="9">
        <f t="shared" si="21"/>
        <v>1.6500000000000001</v>
      </c>
      <c r="I66" s="9">
        <f t="shared" si="21"/>
        <v>1.6500000000000001</v>
      </c>
      <c r="J66" s="9">
        <f t="shared" si="21"/>
        <v>1.6500000000000001</v>
      </c>
      <c r="K66" s="9">
        <f t="shared" si="21"/>
        <v>1.6500000000000001</v>
      </c>
      <c r="L66" s="9">
        <f t="shared" si="21"/>
        <v>1.6500000000000001</v>
      </c>
      <c r="M66" s="9">
        <f t="shared" si="21"/>
        <v>1.6500000000000001</v>
      </c>
      <c r="N66" s="9">
        <f t="shared" si="21"/>
        <v>1.6500000000000001</v>
      </c>
      <c r="O66" s="9">
        <f t="shared" si="21"/>
        <v>1.6500000000000001</v>
      </c>
      <c r="P66" s="9">
        <f t="shared" si="21"/>
        <v>1.6500000000000001</v>
      </c>
      <c r="Q66" s="9">
        <f t="shared" si="21"/>
        <v>1.6500000000000001</v>
      </c>
      <c r="R66" s="9">
        <f t="shared" si="21"/>
        <v>1.6500000000000001</v>
      </c>
      <c r="S66" s="9">
        <f t="shared" si="21"/>
        <v>1.6500000000000001</v>
      </c>
      <c r="T66" s="9">
        <f t="shared" si="21"/>
        <v>1.6500000000000001</v>
      </c>
      <c r="U66" s="9">
        <f t="shared" si="21"/>
        <v>1.6500000000000001</v>
      </c>
      <c r="V66" s="9">
        <f t="shared" si="21"/>
        <v>1.6500000000000001</v>
      </c>
      <c r="W66" s="9">
        <f t="shared" si="21"/>
        <v>1.6500000000000001</v>
      </c>
      <c r="X66" s="9">
        <f t="shared" si="22"/>
        <v>1.6500000000000001</v>
      </c>
      <c r="Y66" s="9">
        <f t="shared" si="22"/>
        <v>1.6500000000000001</v>
      </c>
      <c r="Z66" s="9">
        <f t="shared" si="22"/>
        <v>1.6500000000000001</v>
      </c>
      <c r="AA66" s="9">
        <f t="shared" si="22"/>
        <v>1.6500000000000001</v>
      </c>
      <c r="AB66" s="9">
        <f t="shared" si="22"/>
        <v>1.6500000000000001</v>
      </c>
      <c r="AC66" s="9">
        <f t="shared" si="22"/>
        <v>1.6500000000000001</v>
      </c>
      <c r="AD66" s="9">
        <f t="shared" si="22"/>
        <v>1.6500000000000001</v>
      </c>
      <c r="AE66" s="9">
        <f t="shared" si="22"/>
        <v>1.6500000000000001</v>
      </c>
      <c r="AF66" s="9">
        <f t="shared" si="22"/>
        <v>1.6500000000000001</v>
      </c>
      <c r="AG66" s="9">
        <f t="shared" si="22"/>
        <v>1.6500000000000001</v>
      </c>
      <c r="AH66" s="9">
        <f t="shared" si="22"/>
        <v>1.6500000000000001</v>
      </c>
      <c r="AI66" s="9">
        <f t="shared" si="22"/>
        <v>1.6500000000000001</v>
      </c>
      <c r="AK66" s="9">
        <f t="shared" si="19"/>
        <v>1.6500000000000001</v>
      </c>
      <c r="AM66" s="12"/>
    </row>
    <row r="67" spans="1:39" x14ac:dyDescent="0.25">
      <c r="C67" s="9" t="str">
        <f t="shared" si="18"/>
        <v>INDGAS</v>
      </c>
      <c r="F67" s="75" t="s">
        <v>470</v>
      </c>
      <c r="G67" s="75" t="s">
        <v>449</v>
      </c>
      <c r="H67" s="9">
        <f t="shared" si="21"/>
        <v>2.2000000000000002</v>
      </c>
      <c r="I67" s="9">
        <f t="shared" si="21"/>
        <v>2.2000000000000002</v>
      </c>
      <c r="J67" s="9">
        <f t="shared" si="21"/>
        <v>2.2000000000000002</v>
      </c>
      <c r="K67" s="9">
        <f t="shared" si="21"/>
        <v>2.2000000000000002</v>
      </c>
      <c r="L67" s="9">
        <f t="shared" si="21"/>
        <v>2.2000000000000002</v>
      </c>
      <c r="M67" s="9">
        <f t="shared" si="21"/>
        <v>2.2000000000000002</v>
      </c>
      <c r="N67" s="9">
        <f t="shared" si="21"/>
        <v>2.2000000000000002</v>
      </c>
      <c r="O67" s="9">
        <f t="shared" si="21"/>
        <v>2.2000000000000002</v>
      </c>
      <c r="P67" s="9">
        <f t="shared" si="21"/>
        <v>2.2000000000000002</v>
      </c>
      <c r="Q67" s="9">
        <f t="shared" si="21"/>
        <v>2.2000000000000002</v>
      </c>
      <c r="R67" s="9">
        <f t="shared" si="21"/>
        <v>2.2000000000000002</v>
      </c>
      <c r="S67" s="9">
        <f t="shared" si="21"/>
        <v>2.2000000000000002</v>
      </c>
      <c r="T67" s="9">
        <f t="shared" si="21"/>
        <v>2.2000000000000002</v>
      </c>
      <c r="U67" s="9">
        <f t="shared" si="21"/>
        <v>2.2000000000000002</v>
      </c>
      <c r="V67" s="9">
        <f t="shared" si="21"/>
        <v>2.2000000000000002</v>
      </c>
      <c r="W67" s="9">
        <f t="shared" si="21"/>
        <v>2.2000000000000002</v>
      </c>
      <c r="X67" s="9">
        <f t="shared" si="22"/>
        <v>2.2000000000000002</v>
      </c>
      <c r="Y67" s="9">
        <f t="shared" si="22"/>
        <v>2.2000000000000002</v>
      </c>
      <c r="Z67" s="9">
        <f t="shared" si="22"/>
        <v>2.2000000000000002</v>
      </c>
      <c r="AA67" s="9">
        <f t="shared" si="22"/>
        <v>2.2000000000000002</v>
      </c>
      <c r="AB67" s="9">
        <f t="shared" si="22"/>
        <v>2.2000000000000002</v>
      </c>
      <c r="AC67" s="9">
        <f t="shared" si="22"/>
        <v>2.2000000000000002</v>
      </c>
      <c r="AD67" s="9">
        <f t="shared" si="22"/>
        <v>2.2000000000000002</v>
      </c>
      <c r="AE67" s="9">
        <f t="shared" si="22"/>
        <v>2.2000000000000002</v>
      </c>
      <c r="AF67" s="9">
        <f t="shared" si="22"/>
        <v>2.2000000000000002</v>
      </c>
      <c r="AG67" s="9">
        <f t="shared" si="22"/>
        <v>2.2000000000000002</v>
      </c>
      <c r="AH67" s="9">
        <f t="shared" si="22"/>
        <v>2.2000000000000002</v>
      </c>
      <c r="AI67" s="9">
        <f t="shared" si="22"/>
        <v>2.2000000000000002</v>
      </c>
      <c r="AK67" s="9">
        <f t="shared" si="19"/>
        <v>2.2000000000000002</v>
      </c>
      <c r="AM67" s="12"/>
    </row>
    <row r="68" spans="1:39" x14ac:dyDescent="0.25">
      <c r="C68" s="9" t="str">
        <f t="shared" si="18"/>
        <v>UPSCOA</v>
      </c>
      <c r="F68" s="75" t="s">
        <v>470</v>
      </c>
      <c r="G68" s="75" t="s">
        <v>449</v>
      </c>
      <c r="H68" s="9">
        <f t="shared" si="21"/>
        <v>2.2000000000000002</v>
      </c>
      <c r="I68" s="9">
        <f t="shared" si="21"/>
        <v>2.2000000000000002</v>
      </c>
      <c r="J68" s="9">
        <f t="shared" si="21"/>
        <v>2.2000000000000002</v>
      </c>
      <c r="K68" s="9">
        <f t="shared" si="21"/>
        <v>2.2000000000000002</v>
      </c>
      <c r="L68" s="9">
        <f t="shared" si="21"/>
        <v>2.2000000000000002</v>
      </c>
      <c r="M68" s="9">
        <f t="shared" si="21"/>
        <v>2.2000000000000002</v>
      </c>
      <c r="N68" s="9">
        <f t="shared" si="21"/>
        <v>2.2000000000000002</v>
      </c>
      <c r="O68" s="9">
        <f t="shared" si="21"/>
        <v>2.2000000000000002</v>
      </c>
      <c r="P68" s="9">
        <f t="shared" si="21"/>
        <v>2.2000000000000002</v>
      </c>
      <c r="Q68" s="9">
        <f t="shared" si="21"/>
        <v>2.2000000000000002</v>
      </c>
      <c r="R68" s="9">
        <f t="shared" si="21"/>
        <v>2.2000000000000002</v>
      </c>
      <c r="S68" s="9">
        <f t="shared" si="21"/>
        <v>2.2000000000000002</v>
      </c>
      <c r="T68" s="9">
        <f t="shared" si="21"/>
        <v>2.2000000000000002</v>
      </c>
      <c r="U68" s="9">
        <f t="shared" si="21"/>
        <v>2.2000000000000002</v>
      </c>
      <c r="V68" s="9">
        <f t="shared" si="21"/>
        <v>2.2000000000000002</v>
      </c>
      <c r="W68" s="9">
        <f t="shared" si="21"/>
        <v>2.2000000000000002</v>
      </c>
      <c r="X68" s="9">
        <f t="shared" si="22"/>
        <v>2.2000000000000002</v>
      </c>
      <c r="Y68" s="9">
        <f t="shared" si="22"/>
        <v>2.2000000000000002</v>
      </c>
      <c r="Z68" s="9">
        <f t="shared" si="22"/>
        <v>2.2000000000000002</v>
      </c>
      <c r="AA68" s="9">
        <f t="shared" si="22"/>
        <v>2.2000000000000002</v>
      </c>
      <c r="AB68" s="9">
        <f t="shared" si="22"/>
        <v>2.2000000000000002</v>
      </c>
      <c r="AC68" s="9">
        <f t="shared" si="22"/>
        <v>2.2000000000000002</v>
      </c>
      <c r="AD68" s="9">
        <f t="shared" si="22"/>
        <v>2.2000000000000002</v>
      </c>
      <c r="AE68" s="9">
        <f t="shared" si="22"/>
        <v>2.2000000000000002</v>
      </c>
      <c r="AF68" s="9">
        <f t="shared" si="22"/>
        <v>2.2000000000000002</v>
      </c>
      <c r="AG68" s="9">
        <f t="shared" si="22"/>
        <v>2.2000000000000002</v>
      </c>
      <c r="AH68" s="9">
        <f t="shared" si="22"/>
        <v>2.2000000000000002</v>
      </c>
      <c r="AI68" s="9">
        <f t="shared" si="22"/>
        <v>2.2000000000000002</v>
      </c>
      <c r="AK68" s="9">
        <f t="shared" si="19"/>
        <v>2.2000000000000002</v>
      </c>
      <c r="AM68" s="12"/>
    </row>
    <row r="69" spans="1:39" x14ac:dyDescent="0.25">
      <c r="C69" s="9" t="str">
        <f t="shared" si="18"/>
        <v>UPSCOK</v>
      </c>
      <c r="F69" s="75" t="s">
        <v>470</v>
      </c>
      <c r="G69" s="75" t="s">
        <v>449</v>
      </c>
      <c r="H69" s="9">
        <f t="shared" si="21"/>
        <v>8.8000000000000007</v>
      </c>
      <c r="I69" s="9">
        <f t="shared" si="21"/>
        <v>8.8000000000000007</v>
      </c>
      <c r="J69" s="9">
        <f t="shared" si="21"/>
        <v>8.8000000000000007</v>
      </c>
      <c r="K69" s="9">
        <f t="shared" si="21"/>
        <v>8.8000000000000007</v>
      </c>
      <c r="L69" s="9">
        <f t="shared" si="21"/>
        <v>8.8000000000000007</v>
      </c>
      <c r="M69" s="9">
        <f t="shared" si="21"/>
        <v>8.8000000000000007</v>
      </c>
      <c r="N69" s="9">
        <f t="shared" si="21"/>
        <v>8.8000000000000007</v>
      </c>
      <c r="O69" s="9">
        <f t="shared" si="21"/>
        <v>8.8000000000000007</v>
      </c>
      <c r="P69" s="9">
        <f t="shared" si="21"/>
        <v>8.8000000000000007</v>
      </c>
      <c r="Q69" s="9">
        <f t="shared" si="21"/>
        <v>8.8000000000000007</v>
      </c>
      <c r="R69" s="9">
        <f t="shared" si="21"/>
        <v>8.8000000000000007</v>
      </c>
      <c r="S69" s="9">
        <f t="shared" si="21"/>
        <v>8.8000000000000007</v>
      </c>
      <c r="T69" s="9">
        <f t="shared" si="21"/>
        <v>8.8000000000000007</v>
      </c>
      <c r="U69" s="9">
        <f t="shared" si="21"/>
        <v>8.8000000000000007</v>
      </c>
      <c r="V69" s="9">
        <f t="shared" si="21"/>
        <v>8.8000000000000007</v>
      </c>
      <c r="W69" s="9">
        <f t="shared" si="21"/>
        <v>8.8000000000000007</v>
      </c>
      <c r="X69" s="9">
        <f t="shared" si="22"/>
        <v>8.8000000000000007</v>
      </c>
      <c r="Y69" s="9">
        <f t="shared" si="22"/>
        <v>8.8000000000000007</v>
      </c>
      <c r="Z69" s="9">
        <f t="shared" si="22"/>
        <v>8.8000000000000007</v>
      </c>
      <c r="AA69" s="9">
        <f t="shared" si="22"/>
        <v>8.8000000000000007</v>
      </c>
      <c r="AB69" s="9">
        <f t="shared" si="22"/>
        <v>8.8000000000000007</v>
      </c>
      <c r="AC69" s="9">
        <f t="shared" si="22"/>
        <v>8.8000000000000007</v>
      </c>
      <c r="AD69" s="9">
        <f t="shared" si="22"/>
        <v>8.8000000000000007</v>
      </c>
      <c r="AE69" s="9">
        <f t="shared" si="22"/>
        <v>8.8000000000000007</v>
      </c>
      <c r="AF69" s="9">
        <f t="shared" si="22"/>
        <v>8.8000000000000007</v>
      </c>
      <c r="AG69" s="9">
        <f t="shared" si="22"/>
        <v>8.8000000000000007</v>
      </c>
      <c r="AH69" s="9">
        <f t="shared" si="22"/>
        <v>8.8000000000000007</v>
      </c>
      <c r="AI69" s="9">
        <f t="shared" si="22"/>
        <v>8.8000000000000007</v>
      </c>
      <c r="AK69" s="9">
        <f t="shared" si="19"/>
        <v>8.8000000000000007</v>
      </c>
    </row>
    <row r="70" spans="1:39" x14ac:dyDescent="0.25">
      <c r="D70" s="75" t="s">
        <v>159</v>
      </c>
      <c r="E70" s="75"/>
      <c r="F70" s="61" t="s">
        <v>472</v>
      </c>
      <c r="G70" t="s">
        <v>1628</v>
      </c>
      <c r="H70" s="411">
        <f t="shared" ref="H70:AI70" si="23">$AL70*(1-$AL72)*1000</f>
        <v>79.000000000000071</v>
      </c>
      <c r="I70" s="411">
        <f t="shared" si="23"/>
        <v>79.000000000000071</v>
      </c>
      <c r="J70" s="411">
        <f t="shared" si="23"/>
        <v>79.000000000000071</v>
      </c>
      <c r="K70" s="411">
        <f t="shared" si="23"/>
        <v>79.000000000000071</v>
      </c>
      <c r="L70" s="411">
        <f t="shared" si="23"/>
        <v>79.000000000000071</v>
      </c>
      <c r="M70" s="411">
        <f t="shared" si="23"/>
        <v>79.000000000000071</v>
      </c>
      <c r="N70" s="411">
        <f t="shared" si="23"/>
        <v>79.000000000000071</v>
      </c>
      <c r="O70" s="411">
        <f t="shared" si="23"/>
        <v>79.000000000000071</v>
      </c>
      <c r="P70" s="411">
        <f t="shared" si="23"/>
        <v>79.000000000000071</v>
      </c>
      <c r="Q70" s="411">
        <f t="shared" si="23"/>
        <v>79.000000000000071</v>
      </c>
      <c r="R70" s="411">
        <f t="shared" si="23"/>
        <v>79.000000000000071</v>
      </c>
      <c r="S70" s="411">
        <f t="shared" si="23"/>
        <v>79.000000000000071</v>
      </c>
      <c r="T70" s="411">
        <f t="shared" si="23"/>
        <v>79.000000000000071</v>
      </c>
      <c r="U70" s="411">
        <f t="shared" si="23"/>
        <v>79.000000000000071</v>
      </c>
      <c r="V70" s="411">
        <f t="shared" si="23"/>
        <v>79.000000000000071</v>
      </c>
      <c r="W70" s="411">
        <f t="shared" si="23"/>
        <v>79.000000000000071</v>
      </c>
      <c r="X70" s="411">
        <f t="shared" si="23"/>
        <v>79.000000000000071</v>
      </c>
      <c r="Y70" s="411">
        <f t="shared" si="23"/>
        <v>79.000000000000071</v>
      </c>
      <c r="Z70" s="411">
        <f t="shared" si="23"/>
        <v>79.000000000000071</v>
      </c>
      <c r="AA70" s="411">
        <f t="shared" si="23"/>
        <v>79.000000000000071</v>
      </c>
      <c r="AB70" s="411">
        <f t="shared" si="23"/>
        <v>79.000000000000071</v>
      </c>
      <c r="AC70" s="411">
        <f t="shared" si="23"/>
        <v>79.000000000000071</v>
      </c>
      <c r="AD70" s="411">
        <f t="shared" si="23"/>
        <v>79.000000000000071</v>
      </c>
      <c r="AE70" s="411">
        <f t="shared" si="23"/>
        <v>79.000000000000071</v>
      </c>
      <c r="AF70" s="411">
        <f t="shared" si="23"/>
        <v>79.000000000000071</v>
      </c>
      <c r="AG70" s="411">
        <f t="shared" si="23"/>
        <v>79.000000000000071</v>
      </c>
      <c r="AH70" s="411">
        <f t="shared" si="23"/>
        <v>79.000000000000071</v>
      </c>
      <c r="AI70" s="411">
        <f t="shared" si="23"/>
        <v>79.000000000000071</v>
      </c>
      <c r="AL70" s="327">
        <f>AL45</f>
        <v>1.58</v>
      </c>
      <c r="AM70" s="9" t="s">
        <v>1636</v>
      </c>
    </row>
    <row r="71" spans="1:39" x14ac:dyDescent="0.25">
      <c r="D71" s="75" t="s">
        <v>1627</v>
      </c>
      <c r="E71" s="75"/>
      <c r="F71" s="61" t="s">
        <v>472</v>
      </c>
      <c r="G71" t="s">
        <v>449</v>
      </c>
      <c r="H71" s="411">
        <f>$AL71</f>
        <v>1.2624923303772864</v>
      </c>
      <c r="I71" s="411">
        <f t="shared" ref="I71:AI71" si="24">$AL71</f>
        <v>1.2624923303772864</v>
      </c>
      <c r="J71" s="411">
        <f t="shared" si="24"/>
        <v>1.2624923303772864</v>
      </c>
      <c r="K71" s="411">
        <f t="shared" si="24"/>
        <v>1.2624923303772864</v>
      </c>
      <c r="L71" s="411">
        <f t="shared" si="24"/>
        <v>1.2624923303772864</v>
      </c>
      <c r="M71" s="411">
        <f t="shared" si="24"/>
        <v>1.2624923303772864</v>
      </c>
      <c r="N71" s="411">
        <f t="shared" si="24"/>
        <v>1.2624923303772864</v>
      </c>
      <c r="O71" s="411">
        <f t="shared" si="24"/>
        <v>1.2624923303772864</v>
      </c>
      <c r="P71" s="411">
        <f t="shared" si="24"/>
        <v>1.2624923303772864</v>
      </c>
      <c r="Q71" s="411">
        <f t="shared" si="24"/>
        <v>1.2624923303772864</v>
      </c>
      <c r="R71" s="411">
        <f t="shared" si="24"/>
        <v>1.2624923303772864</v>
      </c>
      <c r="S71" s="411">
        <f t="shared" si="24"/>
        <v>1.2624923303772864</v>
      </c>
      <c r="T71" s="411">
        <f t="shared" si="24"/>
        <v>1.2624923303772864</v>
      </c>
      <c r="U71" s="411">
        <f t="shared" si="24"/>
        <v>1.2624923303772864</v>
      </c>
      <c r="V71" s="411">
        <f t="shared" si="24"/>
        <v>1.2624923303772864</v>
      </c>
      <c r="W71" s="411">
        <f t="shared" si="24"/>
        <v>1.2624923303772864</v>
      </c>
      <c r="X71" s="411">
        <f t="shared" si="24"/>
        <v>1.2624923303772864</v>
      </c>
      <c r="Y71" s="411">
        <f t="shared" si="24"/>
        <v>1.2624923303772864</v>
      </c>
      <c r="Z71" s="411">
        <f t="shared" si="24"/>
        <v>1.2624923303772864</v>
      </c>
      <c r="AA71" s="411">
        <f t="shared" si="24"/>
        <v>1.2624923303772864</v>
      </c>
      <c r="AB71" s="411">
        <f t="shared" si="24"/>
        <v>1.2624923303772864</v>
      </c>
      <c r="AC71" s="411">
        <f t="shared" si="24"/>
        <v>1.2624923303772864</v>
      </c>
      <c r="AD71" s="411">
        <f t="shared" si="24"/>
        <v>1.2624923303772864</v>
      </c>
      <c r="AE71" s="411">
        <f t="shared" si="24"/>
        <v>1.2624923303772864</v>
      </c>
      <c r="AF71" s="411">
        <f t="shared" si="24"/>
        <v>1.2624923303772864</v>
      </c>
      <c r="AG71" s="411">
        <f t="shared" si="24"/>
        <v>1.2624923303772864</v>
      </c>
      <c r="AH71" s="411">
        <f t="shared" si="24"/>
        <v>1.2624923303772864</v>
      </c>
      <c r="AI71" s="411">
        <f t="shared" si="24"/>
        <v>1.2624923303772864</v>
      </c>
      <c r="AL71" s="619">
        <f>AL35</f>
        <v>1.2624923303772864</v>
      </c>
      <c r="AM71" s="9" t="s">
        <v>1629</v>
      </c>
    </row>
    <row r="72" spans="1:39" x14ac:dyDescent="0.25">
      <c r="D72" s="75" t="s">
        <v>621</v>
      </c>
      <c r="E72" s="75"/>
      <c r="F72" s="61" t="s">
        <v>472</v>
      </c>
      <c r="G72" t="s">
        <v>1628</v>
      </c>
      <c r="H72" s="411">
        <f t="shared" ref="H72:AI72" si="25">$AL70*$AL72*1000</f>
        <v>1501</v>
      </c>
      <c r="I72" s="411">
        <f t="shared" si="25"/>
        <v>1501</v>
      </c>
      <c r="J72" s="411">
        <f t="shared" si="25"/>
        <v>1501</v>
      </c>
      <c r="K72" s="411">
        <f t="shared" si="25"/>
        <v>1501</v>
      </c>
      <c r="L72" s="411">
        <f t="shared" si="25"/>
        <v>1501</v>
      </c>
      <c r="M72" s="411">
        <f t="shared" si="25"/>
        <v>1501</v>
      </c>
      <c r="N72" s="411">
        <f t="shared" si="25"/>
        <v>1501</v>
      </c>
      <c r="O72" s="411">
        <f t="shared" si="25"/>
        <v>1501</v>
      </c>
      <c r="P72" s="411">
        <f t="shared" si="25"/>
        <v>1501</v>
      </c>
      <c r="Q72" s="411">
        <f t="shared" si="25"/>
        <v>1501</v>
      </c>
      <c r="R72" s="411">
        <f t="shared" si="25"/>
        <v>1501</v>
      </c>
      <c r="S72" s="411">
        <f t="shared" si="25"/>
        <v>1501</v>
      </c>
      <c r="T72" s="411">
        <f t="shared" si="25"/>
        <v>1501</v>
      </c>
      <c r="U72" s="411">
        <f t="shared" si="25"/>
        <v>1501</v>
      </c>
      <c r="V72" s="411">
        <f t="shared" si="25"/>
        <v>1501</v>
      </c>
      <c r="W72" s="411">
        <f t="shared" si="25"/>
        <v>1501</v>
      </c>
      <c r="X72" s="411">
        <f t="shared" si="25"/>
        <v>1501</v>
      </c>
      <c r="Y72" s="411">
        <f t="shared" si="25"/>
        <v>1501</v>
      </c>
      <c r="Z72" s="411">
        <f t="shared" si="25"/>
        <v>1501</v>
      </c>
      <c r="AA72" s="411">
        <f t="shared" si="25"/>
        <v>1501</v>
      </c>
      <c r="AB72" s="411">
        <f t="shared" si="25"/>
        <v>1501</v>
      </c>
      <c r="AC72" s="411">
        <f t="shared" si="25"/>
        <v>1501</v>
      </c>
      <c r="AD72" s="411">
        <f t="shared" si="25"/>
        <v>1501</v>
      </c>
      <c r="AE72" s="411">
        <f t="shared" si="25"/>
        <v>1501</v>
      </c>
      <c r="AF72" s="411">
        <f t="shared" si="25"/>
        <v>1501</v>
      </c>
      <c r="AG72" s="411">
        <f t="shared" si="25"/>
        <v>1501</v>
      </c>
      <c r="AH72" s="411">
        <f t="shared" si="25"/>
        <v>1501</v>
      </c>
      <c r="AI72" s="411">
        <f t="shared" si="25"/>
        <v>1501</v>
      </c>
      <c r="AL72" s="621">
        <v>0.95</v>
      </c>
      <c r="AM72" s="9" t="s">
        <v>622</v>
      </c>
    </row>
    <row r="73" spans="1:39" x14ac:dyDescent="0.25">
      <c r="C73" s="9" t="str">
        <f t="shared" ref="C73:C81" si="26">C36</f>
        <v>IISSCP</v>
      </c>
      <c r="F73" s="75" t="s">
        <v>470</v>
      </c>
      <c r="G73" s="75" t="s">
        <v>580</v>
      </c>
      <c r="H73" s="9">
        <f t="shared" si="21"/>
        <v>0.125</v>
      </c>
      <c r="I73" s="9">
        <f t="shared" si="21"/>
        <v>0.125</v>
      </c>
      <c r="J73" s="9">
        <f t="shared" si="21"/>
        <v>0.125</v>
      </c>
      <c r="K73" s="9">
        <f t="shared" si="21"/>
        <v>0.125</v>
      </c>
      <c r="L73" s="9">
        <f t="shared" si="21"/>
        <v>0.125</v>
      </c>
      <c r="M73" s="9">
        <f t="shared" si="21"/>
        <v>0.125</v>
      </c>
      <c r="N73" s="9">
        <f t="shared" si="21"/>
        <v>0.125</v>
      </c>
      <c r="O73" s="9">
        <f t="shared" si="21"/>
        <v>0.125</v>
      </c>
      <c r="P73" s="9">
        <f t="shared" si="21"/>
        <v>0.125</v>
      </c>
      <c r="Q73" s="9">
        <f t="shared" si="21"/>
        <v>0.125</v>
      </c>
      <c r="R73" s="9">
        <f t="shared" si="21"/>
        <v>0.125</v>
      </c>
      <c r="S73" s="9">
        <f t="shared" si="21"/>
        <v>0.125</v>
      </c>
      <c r="T73" s="9">
        <f t="shared" si="21"/>
        <v>0.125</v>
      </c>
      <c r="U73" s="9">
        <f t="shared" si="21"/>
        <v>0.125</v>
      </c>
      <c r="V73" s="9">
        <f t="shared" si="21"/>
        <v>0.125</v>
      </c>
      <c r="W73" s="9">
        <f t="shared" si="21"/>
        <v>0.125</v>
      </c>
      <c r="X73" s="9">
        <f t="shared" si="22"/>
        <v>0.125</v>
      </c>
      <c r="Y73" s="9">
        <f t="shared" si="22"/>
        <v>0.125</v>
      </c>
      <c r="Z73" s="9">
        <f t="shared" si="22"/>
        <v>0.125</v>
      </c>
      <c r="AA73" s="9">
        <f t="shared" si="22"/>
        <v>0.125</v>
      </c>
      <c r="AB73" s="9">
        <f t="shared" si="22"/>
        <v>0.125</v>
      </c>
      <c r="AC73" s="9">
        <f t="shared" si="22"/>
        <v>0.125</v>
      </c>
      <c r="AD73" s="9">
        <f t="shared" si="22"/>
        <v>0.125</v>
      </c>
      <c r="AE73" s="9">
        <f t="shared" si="22"/>
        <v>0.125</v>
      </c>
      <c r="AF73" s="9">
        <f t="shared" si="22"/>
        <v>0.125</v>
      </c>
      <c r="AG73" s="9">
        <f t="shared" si="22"/>
        <v>0.125</v>
      </c>
      <c r="AH73" s="9">
        <f t="shared" si="22"/>
        <v>0.125</v>
      </c>
      <c r="AI73" s="9">
        <f t="shared" si="22"/>
        <v>0.125</v>
      </c>
      <c r="AK73" s="472">
        <f>AK36</f>
        <v>0.125</v>
      </c>
      <c r="AM73" s="12"/>
    </row>
    <row r="74" spans="1:39" x14ac:dyDescent="0.25">
      <c r="A74" s="70" t="str">
        <f>A18</f>
        <v>I-IS-BF_BOF02_CCS</v>
      </c>
      <c r="B74" s="70" t="str">
        <f>B18</f>
        <v>IND Iron and Steel technology: BF-BOF - High bio w/CCS</v>
      </c>
      <c r="C74" s="70" t="str">
        <f t="shared" si="26"/>
        <v>INDCOA</v>
      </c>
      <c r="D74" s="70"/>
      <c r="E74" s="70"/>
      <c r="F74" s="321" t="s">
        <v>470</v>
      </c>
      <c r="G74" s="321" t="s">
        <v>449</v>
      </c>
      <c r="H74" s="328">
        <f t="shared" si="21"/>
        <v>1.2728571428571431</v>
      </c>
      <c r="I74" s="328">
        <f t="shared" si="21"/>
        <v>1.2728571428571431</v>
      </c>
      <c r="J74" s="328">
        <f t="shared" si="21"/>
        <v>1.2728571428571431</v>
      </c>
      <c r="K74" s="328">
        <f t="shared" si="21"/>
        <v>1.2728571428571431</v>
      </c>
      <c r="L74" s="328">
        <f t="shared" si="21"/>
        <v>1.2728571428571431</v>
      </c>
      <c r="M74" s="328">
        <f t="shared" si="21"/>
        <v>1.2728571428571431</v>
      </c>
      <c r="N74" s="328">
        <f t="shared" si="21"/>
        <v>1.2728571428571431</v>
      </c>
      <c r="O74" s="328">
        <f t="shared" si="21"/>
        <v>1.2728571428571431</v>
      </c>
      <c r="P74" s="328">
        <f t="shared" si="21"/>
        <v>1.2728571428571431</v>
      </c>
      <c r="Q74" s="328">
        <f t="shared" si="21"/>
        <v>1.2728571428571431</v>
      </c>
      <c r="R74" s="328">
        <f t="shared" si="21"/>
        <v>1.2728571428571431</v>
      </c>
      <c r="S74" s="328">
        <f t="shared" si="21"/>
        <v>1.2728571428571431</v>
      </c>
      <c r="T74" s="328">
        <f t="shared" si="21"/>
        <v>1.2728571428571431</v>
      </c>
      <c r="U74" s="328">
        <f t="shared" si="21"/>
        <v>1.2728571428571431</v>
      </c>
      <c r="V74" s="328">
        <f t="shared" si="21"/>
        <v>1.2728571428571431</v>
      </c>
      <c r="W74" s="328">
        <f t="shared" si="21"/>
        <v>1.2728571428571431</v>
      </c>
      <c r="X74" s="328">
        <f t="shared" si="22"/>
        <v>1.2728571428571431</v>
      </c>
      <c r="Y74" s="328">
        <f t="shared" si="22"/>
        <v>1.2728571428571431</v>
      </c>
      <c r="Z74" s="328">
        <f t="shared" si="22"/>
        <v>1.2728571428571431</v>
      </c>
      <c r="AA74" s="328">
        <f t="shared" si="22"/>
        <v>1.2728571428571431</v>
      </c>
      <c r="AB74" s="328">
        <f t="shared" si="22"/>
        <v>1.2728571428571431</v>
      </c>
      <c r="AC74" s="328">
        <f t="shared" si="22"/>
        <v>1.2728571428571431</v>
      </c>
      <c r="AD74" s="328">
        <f t="shared" si="22"/>
        <v>1.2728571428571431</v>
      </c>
      <c r="AE74" s="328">
        <f t="shared" si="22"/>
        <v>1.2728571428571431</v>
      </c>
      <c r="AF74" s="328">
        <f t="shared" si="22"/>
        <v>1.2728571428571431</v>
      </c>
      <c r="AG74" s="328">
        <f t="shared" si="22"/>
        <v>1.2728571428571431</v>
      </c>
      <c r="AH74" s="328">
        <f t="shared" si="22"/>
        <v>1.2728571428571431</v>
      </c>
      <c r="AI74" s="328">
        <f t="shared" si="22"/>
        <v>1.2728571428571431</v>
      </c>
      <c r="AK74" s="76">
        <f t="shared" ref="AK74:AK81" si="27">AK37*$AL$74</f>
        <v>1.2728571428571431</v>
      </c>
      <c r="AL74" s="620">
        <v>1.1000000000000001</v>
      </c>
      <c r="AM74" s="9" t="s">
        <v>1635</v>
      </c>
    </row>
    <row r="75" spans="1:39" x14ac:dyDescent="0.25">
      <c r="C75" s="9" t="str">
        <f t="shared" si="26"/>
        <v>INDCOG</v>
      </c>
      <c r="F75" s="75" t="s">
        <v>470</v>
      </c>
      <c r="G75" s="75" t="s">
        <v>449</v>
      </c>
      <c r="H75" s="76">
        <f t="shared" si="21"/>
        <v>0.84857142857142864</v>
      </c>
      <c r="I75" s="76">
        <f t="shared" si="21"/>
        <v>0.84857142857142864</v>
      </c>
      <c r="J75" s="76">
        <f t="shared" si="21"/>
        <v>0.84857142857142864</v>
      </c>
      <c r="K75" s="76">
        <f t="shared" si="21"/>
        <v>0.84857142857142864</v>
      </c>
      <c r="L75" s="76">
        <f t="shared" si="21"/>
        <v>0.84857142857142864</v>
      </c>
      <c r="M75" s="76">
        <f t="shared" si="21"/>
        <v>0.84857142857142864</v>
      </c>
      <c r="N75" s="76">
        <f t="shared" si="21"/>
        <v>0.84857142857142864</v>
      </c>
      <c r="O75" s="76">
        <f t="shared" si="21"/>
        <v>0.84857142857142864</v>
      </c>
      <c r="P75" s="76">
        <f t="shared" si="21"/>
        <v>0.84857142857142864</v>
      </c>
      <c r="Q75" s="76">
        <f t="shared" si="21"/>
        <v>0.84857142857142864</v>
      </c>
      <c r="R75" s="76">
        <f t="shared" si="21"/>
        <v>0.84857142857142864</v>
      </c>
      <c r="S75" s="76">
        <f t="shared" si="21"/>
        <v>0.84857142857142864</v>
      </c>
      <c r="T75" s="76">
        <f t="shared" si="21"/>
        <v>0.84857142857142864</v>
      </c>
      <c r="U75" s="76">
        <f t="shared" si="21"/>
        <v>0.84857142857142864</v>
      </c>
      <c r="V75" s="76">
        <f t="shared" si="21"/>
        <v>0.84857142857142864</v>
      </c>
      <c r="W75" s="76">
        <f t="shared" si="21"/>
        <v>0.84857142857142864</v>
      </c>
      <c r="X75" s="76">
        <f t="shared" si="22"/>
        <v>0.84857142857142864</v>
      </c>
      <c r="Y75" s="76">
        <f t="shared" si="22"/>
        <v>0.84857142857142864</v>
      </c>
      <c r="Z75" s="76">
        <f t="shared" si="22"/>
        <v>0.84857142857142864</v>
      </c>
      <c r="AA75" s="76">
        <f t="shared" si="22"/>
        <v>0.84857142857142864</v>
      </c>
      <c r="AB75" s="76">
        <f t="shared" si="22"/>
        <v>0.84857142857142864</v>
      </c>
      <c r="AC75" s="76">
        <f t="shared" si="22"/>
        <v>0.84857142857142864</v>
      </c>
      <c r="AD75" s="76">
        <f t="shared" si="22"/>
        <v>0.84857142857142864</v>
      </c>
      <c r="AE75" s="76">
        <f t="shared" si="22"/>
        <v>0.84857142857142864</v>
      </c>
      <c r="AF75" s="76">
        <f t="shared" si="22"/>
        <v>0.84857142857142864</v>
      </c>
      <c r="AG75" s="76">
        <f t="shared" si="22"/>
        <v>0.84857142857142864</v>
      </c>
      <c r="AH75" s="76">
        <f t="shared" si="22"/>
        <v>0.84857142857142864</v>
      </c>
      <c r="AI75" s="76">
        <f t="shared" si="22"/>
        <v>0.84857142857142864</v>
      </c>
      <c r="AK75" s="76">
        <f t="shared" si="27"/>
        <v>0.84857142857142864</v>
      </c>
      <c r="AM75" s="12"/>
    </row>
    <row r="76" spans="1:39" x14ac:dyDescent="0.25">
      <c r="C76" s="9" t="str">
        <f t="shared" si="26"/>
        <v>INDCOK</v>
      </c>
      <c r="F76" s="75" t="s">
        <v>470</v>
      </c>
      <c r="G76" s="75" t="s">
        <v>449</v>
      </c>
      <c r="H76" s="76">
        <f t="shared" si="21"/>
        <v>1.2728571428571431</v>
      </c>
      <c r="I76" s="76">
        <f t="shared" si="21"/>
        <v>1.2728571428571431</v>
      </c>
      <c r="J76" s="76">
        <f t="shared" si="21"/>
        <v>1.2728571428571431</v>
      </c>
      <c r="K76" s="76">
        <f t="shared" si="21"/>
        <v>1.2728571428571431</v>
      </c>
      <c r="L76" s="76">
        <f t="shared" si="21"/>
        <v>1.2728571428571431</v>
      </c>
      <c r="M76" s="76">
        <f t="shared" si="21"/>
        <v>1.2728571428571431</v>
      </c>
      <c r="N76" s="76">
        <f t="shared" si="21"/>
        <v>1.2728571428571431</v>
      </c>
      <c r="O76" s="76">
        <f t="shared" si="21"/>
        <v>1.2728571428571431</v>
      </c>
      <c r="P76" s="76">
        <f t="shared" si="21"/>
        <v>1.2728571428571431</v>
      </c>
      <c r="Q76" s="76">
        <f t="shared" si="21"/>
        <v>1.2728571428571431</v>
      </c>
      <c r="R76" s="76">
        <f t="shared" si="21"/>
        <v>1.2728571428571431</v>
      </c>
      <c r="S76" s="76">
        <f t="shared" si="21"/>
        <v>1.2728571428571431</v>
      </c>
      <c r="T76" s="76">
        <f t="shared" si="21"/>
        <v>1.2728571428571431</v>
      </c>
      <c r="U76" s="76">
        <f t="shared" si="21"/>
        <v>1.2728571428571431</v>
      </c>
      <c r="V76" s="76">
        <f t="shared" si="21"/>
        <v>1.2728571428571431</v>
      </c>
      <c r="W76" s="76">
        <f t="shared" si="21"/>
        <v>1.2728571428571431</v>
      </c>
      <c r="X76" s="76">
        <f t="shared" si="22"/>
        <v>1.2728571428571431</v>
      </c>
      <c r="Y76" s="76">
        <f t="shared" si="22"/>
        <v>1.2728571428571431</v>
      </c>
      <c r="Z76" s="76">
        <f t="shared" si="22"/>
        <v>1.2728571428571431</v>
      </c>
      <c r="AA76" s="76">
        <f t="shared" si="22"/>
        <v>1.2728571428571431</v>
      </c>
      <c r="AB76" s="76">
        <f t="shared" si="22"/>
        <v>1.2728571428571431</v>
      </c>
      <c r="AC76" s="76">
        <f t="shared" si="22"/>
        <v>1.2728571428571431</v>
      </c>
      <c r="AD76" s="76">
        <f t="shared" si="22"/>
        <v>1.2728571428571431</v>
      </c>
      <c r="AE76" s="76">
        <f t="shared" si="22"/>
        <v>1.2728571428571431</v>
      </c>
      <c r="AF76" s="76">
        <f t="shared" si="22"/>
        <v>1.2728571428571431</v>
      </c>
      <c r="AG76" s="76">
        <f t="shared" si="22"/>
        <v>1.2728571428571431</v>
      </c>
      <c r="AH76" s="76">
        <f t="shared" si="22"/>
        <v>1.2728571428571431</v>
      </c>
      <c r="AI76" s="76">
        <f t="shared" si="22"/>
        <v>1.2728571428571431</v>
      </c>
      <c r="AK76" s="76">
        <f t="shared" si="27"/>
        <v>1.2728571428571431</v>
      </c>
      <c r="AM76" s="12"/>
    </row>
    <row r="77" spans="1:39" x14ac:dyDescent="0.25">
      <c r="C77" s="9" t="str">
        <f t="shared" si="26"/>
        <v>INDELC</v>
      </c>
      <c r="F77" s="75" t="s">
        <v>470</v>
      </c>
      <c r="G77" s="75" t="s">
        <v>449</v>
      </c>
      <c r="H77" s="76">
        <f t="shared" si="21"/>
        <v>1.2728571428571431</v>
      </c>
      <c r="I77" s="76">
        <f t="shared" si="21"/>
        <v>1.2728571428571431</v>
      </c>
      <c r="J77" s="76">
        <f t="shared" si="21"/>
        <v>1.2728571428571431</v>
      </c>
      <c r="K77" s="76">
        <f t="shared" si="21"/>
        <v>1.2728571428571431</v>
      </c>
      <c r="L77" s="76">
        <f t="shared" si="21"/>
        <v>1.2728571428571431</v>
      </c>
      <c r="M77" s="76">
        <f t="shared" si="21"/>
        <v>1.2728571428571431</v>
      </c>
      <c r="N77" s="76">
        <f t="shared" si="21"/>
        <v>1.2728571428571431</v>
      </c>
      <c r="O77" s="76">
        <f t="shared" si="21"/>
        <v>1.2728571428571431</v>
      </c>
      <c r="P77" s="76">
        <f t="shared" si="21"/>
        <v>1.2728571428571431</v>
      </c>
      <c r="Q77" s="76">
        <f t="shared" si="21"/>
        <v>1.2728571428571431</v>
      </c>
      <c r="R77" s="76">
        <f t="shared" si="21"/>
        <v>1.2728571428571431</v>
      </c>
      <c r="S77" s="76">
        <f t="shared" si="21"/>
        <v>1.2728571428571431</v>
      </c>
      <c r="T77" s="76">
        <f t="shared" si="21"/>
        <v>1.2728571428571431</v>
      </c>
      <c r="U77" s="76">
        <f t="shared" si="21"/>
        <v>1.2728571428571431</v>
      </c>
      <c r="V77" s="76">
        <f t="shared" si="21"/>
        <v>1.2728571428571431</v>
      </c>
      <c r="W77" s="76">
        <f t="shared" si="21"/>
        <v>1.2728571428571431</v>
      </c>
      <c r="X77" s="76">
        <f t="shared" si="22"/>
        <v>1.2728571428571431</v>
      </c>
      <c r="Y77" s="76">
        <f t="shared" si="22"/>
        <v>1.2728571428571431</v>
      </c>
      <c r="Z77" s="76">
        <f t="shared" si="22"/>
        <v>1.2728571428571431</v>
      </c>
      <c r="AA77" s="76">
        <f t="shared" si="22"/>
        <v>1.2728571428571431</v>
      </c>
      <c r="AB77" s="76">
        <f t="shared" si="22"/>
        <v>1.2728571428571431</v>
      </c>
      <c r="AC77" s="76">
        <f t="shared" si="22"/>
        <v>1.2728571428571431</v>
      </c>
      <c r="AD77" s="76">
        <f t="shared" si="22"/>
        <v>1.2728571428571431</v>
      </c>
      <c r="AE77" s="76">
        <f t="shared" si="22"/>
        <v>1.2728571428571431</v>
      </c>
      <c r="AF77" s="76">
        <f t="shared" si="22"/>
        <v>1.2728571428571431</v>
      </c>
      <c r="AG77" s="76">
        <f t="shared" si="22"/>
        <v>1.2728571428571431</v>
      </c>
      <c r="AH77" s="76">
        <f t="shared" si="22"/>
        <v>1.2728571428571431</v>
      </c>
      <c r="AI77" s="76">
        <f t="shared" si="22"/>
        <v>1.2728571428571431</v>
      </c>
      <c r="AK77" s="76">
        <f t="shared" si="27"/>
        <v>1.2728571428571431</v>
      </c>
      <c r="AM77" s="12"/>
    </row>
    <row r="78" spans="1:39" x14ac:dyDescent="0.25">
      <c r="C78" s="9" t="str">
        <f t="shared" si="26"/>
        <v>INDGAS</v>
      </c>
      <c r="F78" s="75" t="s">
        <v>470</v>
      </c>
      <c r="G78" s="75" t="s">
        <v>449</v>
      </c>
      <c r="H78" s="76">
        <f t="shared" si="21"/>
        <v>1.6971428571428573</v>
      </c>
      <c r="I78" s="76">
        <f t="shared" si="21"/>
        <v>1.6971428571428573</v>
      </c>
      <c r="J78" s="76">
        <f t="shared" si="21"/>
        <v>1.6971428571428573</v>
      </c>
      <c r="K78" s="76">
        <f t="shared" si="21"/>
        <v>1.6971428571428573</v>
      </c>
      <c r="L78" s="76">
        <f t="shared" si="21"/>
        <v>1.6971428571428573</v>
      </c>
      <c r="M78" s="76">
        <f t="shared" si="21"/>
        <v>1.6971428571428573</v>
      </c>
      <c r="N78" s="76">
        <f t="shared" si="21"/>
        <v>1.6971428571428573</v>
      </c>
      <c r="O78" s="76">
        <f t="shared" si="21"/>
        <v>1.6971428571428573</v>
      </c>
      <c r="P78" s="76">
        <f t="shared" si="21"/>
        <v>1.6971428571428573</v>
      </c>
      <c r="Q78" s="76">
        <f t="shared" si="21"/>
        <v>1.6971428571428573</v>
      </c>
      <c r="R78" s="76">
        <f t="shared" si="21"/>
        <v>1.6971428571428573</v>
      </c>
      <c r="S78" s="76">
        <f t="shared" si="21"/>
        <v>1.6971428571428573</v>
      </c>
      <c r="T78" s="76">
        <f t="shared" si="21"/>
        <v>1.6971428571428573</v>
      </c>
      <c r="U78" s="76">
        <f t="shared" si="21"/>
        <v>1.6971428571428573</v>
      </c>
      <c r="V78" s="76">
        <f t="shared" si="21"/>
        <v>1.6971428571428573</v>
      </c>
      <c r="W78" s="76">
        <f t="shared" si="21"/>
        <v>1.6971428571428573</v>
      </c>
      <c r="X78" s="76">
        <f t="shared" si="22"/>
        <v>1.6971428571428573</v>
      </c>
      <c r="Y78" s="76">
        <f t="shared" si="22"/>
        <v>1.6971428571428573</v>
      </c>
      <c r="Z78" s="76">
        <f t="shared" si="22"/>
        <v>1.6971428571428573</v>
      </c>
      <c r="AA78" s="76">
        <f t="shared" si="22"/>
        <v>1.6971428571428573</v>
      </c>
      <c r="AB78" s="76">
        <f t="shared" si="22"/>
        <v>1.6971428571428573</v>
      </c>
      <c r="AC78" s="76">
        <f t="shared" si="22"/>
        <v>1.6971428571428573</v>
      </c>
      <c r="AD78" s="76">
        <f t="shared" si="22"/>
        <v>1.6971428571428573</v>
      </c>
      <c r="AE78" s="76">
        <f t="shared" si="22"/>
        <v>1.6971428571428573</v>
      </c>
      <c r="AF78" s="76">
        <f t="shared" si="22"/>
        <v>1.6971428571428573</v>
      </c>
      <c r="AG78" s="76">
        <f t="shared" si="22"/>
        <v>1.6971428571428573</v>
      </c>
      <c r="AH78" s="76">
        <f t="shared" si="22"/>
        <v>1.6971428571428573</v>
      </c>
      <c r="AI78" s="76">
        <f t="shared" si="22"/>
        <v>1.6971428571428573</v>
      </c>
      <c r="AK78" s="76">
        <f t="shared" si="27"/>
        <v>1.6971428571428573</v>
      </c>
      <c r="AM78" s="12"/>
    </row>
    <row r="79" spans="1:39" x14ac:dyDescent="0.25">
      <c r="C79" s="9" t="str">
        <f t="shared" si="26"/>
        <v>INDBIO</v>
      </c>
      <c r="F79" s="75" t="s">
        <v>470</v>
      </c>
      <c r="G79" s="75" t="s">
        <v>449</v>
      </c>
      <c r="H79" s="76">
        <f t="shared" si="21"/>
        <v>4.4000000000000004</v>
      </c>
      <c r="I79" s="76">
        <f t="shared" si="21"/>
        <v>4.4000000000000004</v>
      </c>
      <c r="J79" s="76">
        <f t="shared" si="21"/>
        <v>4.4000000000000004</v>
      </c>
      <c r="K79" s="76">
        <f t="shared" si="21"/>
        <v>4.4000000000000004</v>
      </c>
      <c r="L79" s="76">
        <f t="shared" si="21"/>
        <v>4.4000000000000004</v>
      </c>
      <c r="M79" s="76">
        <f t="shared" si="21"/>
        <v>4.4000000000000004</v>
      </c>
      <c r="N79" s="76">
        <f t="shared" si="21"/>
        <v>4.4000000000000004</v>
      </c>
      <c r="O79" s="76">
        <f t="shared" si="21"/>
        <v>4.4000000000000004</v>
      </c>
      <c r="P79" s="76">
        <f t="shared" si="21"/>
        <v>4.4000000000000004</v>
      </c>
      <c r="Q79" s="76">
        <f t="shared" si="21"/>
        <v>4.4000000000000004</v>
      </c>
      <c r="R79" s="76">
        <f t="shared" si="21"/>
        <v>4.4000000000000004</v>
      </c>
      <c r="S79" s="76">
        <f t="shared" si="21"/>
        <v>4.4000000000000004</v>
      </c>
      <c r="T79" s="76">
        <f t="shared" si="21"/>
        <v>4.4000000000000004</v>
      </c>
      <c r="U79" s="76">
        <f t="shared" si="21"/>
        <v>4.4000000000000004</v>
      </c>
      <c r="V79" s="76">
        <f t="shared" si="21"/>
        <v>4.4000000000000004</v>
      </c>
      <c r="W79" s="76">
        <f t="shared" si="21"/>
        <v>4.4000000000000004</v>
      </c>
      <c r="X79" s="76">
        <f t="shared" si="22"/>
        <v>4.4000000000000004</v>
      </c>
      <c r="Y79" s="76">
        <f t="shared" si="22"/>
        <v>4.4000000000000004</v>
      </c>
      <c r="Z79" s="76">
        <f t="shared" si="22"/>
        <v>4.4000000000000004</v>
      </c>
      <c r="AA79" s="76">
        <f t="shared" si="22"/>
        <v>4.4000000000000004</v>
      </c>
      <c r="AB79" s="76">
        <f t="shared" si="22"/>
        <v>4.4000000000000004</v>
      </c>
      <c r="AC79" s="76">
        <f t="shared" si="22"/>
        <v>4.4000000000000004</v>
      </c>
      <c r="AD79" s="76">
        <f t="shared" si="22"/>
        <v>4.4000000000000004</v>
      </c>
      <c r="AE79" s="76">
        <f t="shared" si="22"/>
        <v>4.4000000000000004</v>
      </c>
      <c r="AF79" s="76">
        <f t="shared" si="22"/>
        <v>4.4000000000000004</v>
      </c>
      <c r="AG79" s="76">
        <f t="shared" si="22"/>
        <v>4.4000000000000004</v>
      </c>
      <c r="AH79" s="76">
        <f t="shared" si="22"/>
        <v>4.4000000000000004</v>
      </c>
      <c r="AI79" s="76">
        <f t="shared" si="22"/>
        <v>4.4000000000000004</v>
      </c>
      <c r="AK79" s="76">
        <f t="shared" si="27"/>
        <v>4.4000000000000004</v>
      </c>
      <c r="AM79" s="12"/>
    </row>
    <row r="80" spans="1:39" x14ac:dyDescent="0.25">
      <c r="C80" s="9" t="str">
        <f t="shared" si="26"/>
        <v>UPSCOA</v>
      </c>
      <c r="F80" s="75" t="s">
        <v>470</v>
      </c>
      <c r="G80" s="75" t="s">
        <v>449</v>
      </c>
      <c r="H80" s="76">
        <f t="shared" si="21"/>
        <v>1.6971428571428573</v>
      </c>
      <c r="I80" s="76">
        <f t="shared" si="21"/>
        <v>1.6971428571428573</v>
      </c>
      <c r="J80" s="76">
        <f t="shared" si="21"/>
        <v>1.6971428571428573</v>
      </c>
      <c r="K80" s="76">
        <f t="shared" si="21"/>
        <v>1.6971428571428573</v>
      </c>
      <c r="L80" s="76">
        <f t="shared" si="21"/>
        <v>1.6971428571428573</v>
      </c>
      <c r="M80" s="76">
        <f t="shared" si="21"/>
        <v>1.6971428571428573</v>
      </c>
      <c r="N80" s="76">
        <f t="shared" si="21"/>
        <v>1.6971428571428573</v>
      </c>
      <c r="O80" s="76">
        <f t="shared" si="21"/>
        <v>1.6971428571428573</v>
      </c>
      <c r="P80" s="76">
        <f t="shared" si="21"/>
        <v>1.6971428571428573</v>
      </c>
      <c r="Q80" s="76">
        <f t="shared" si="21"/>
        <v>1.6971428571428573</v>
      </c>
      <c r="R80" s="76">
        <f t="shared" si="21"/>
        <v>1.6971428571428573</v>
      </c>
      <c r="S80" s="76">
        <f t="shared" si="21"/>
        <v>1.6971428571428573</v>
      </c>
      <c r="T80" s="76">
        <f t="shared" si="21"/>
        <v>1.6971428571428573</v>
      </c>
      <c r="U80" s="76">
        <f t="shared" si="21"/>
        <v>1.6971428571428573</v>
      </c>
      <c r="V80" s="76">
        <f t="shared" si="21"/>
        <v>1.6971428571428573</v>
      </c>
      <c r="W80" s="76">
        <f t="shared" si="21"/>
        <v>1.6971428571428573</v>
      </c>
      <c r="X80" s="76">
        <f t="shared" si="22"/>
        <v>1.6971428571428573</v>
      </c>
      <c r="Y80" s="76">
        <f t="shared" si="22"/>
        <v>1.6971428571428573</v>
      </c>
      <c r="Z80" s="76">
        <f t="shared" si="22"/>
        <v>1.6971428571428573</v>
      </c>
      <c r="AA80" s="76">
        <f t="shared" si="22"/>
        <v>1.6971428571428573</v>
      </c>
      <c r="AB80" s="76">
        <f t="shared" si="22"/>
        <v>1.6971428571428573</v>
      </c>
      <c r="AC80" s="76">
        <f t="shared" si="22"/>
        <v>1.6971428571428573</v>
      </c>
      <c r="AD80" s="76">
        <f t="shared" si="22"/>
        <v>1.6971428571428573</v>
      </c>
      <c r="AE80" s="76">
        <f t="shared" si="22"/>
        <v>1.6971428571428573</v>
      </c>
      <c r="AF80" s="76">
        <f t="shared" si="22"/>
        <v>1.6971428571428573</v>
      </c>
      <c r="AG80" s="76">
        <f t="shared" si="22"/>
        <v>1.6971428571428573</v>
      </c>
      <c r="AH80" s="76">
        <f t="shared" si="22"/>
        <v>1.6971428571428573</v>
      </c>
      <c r="AI80" s="76">
        <f t="shared" si="22"/>
        <v>1.6971428571428573</v>
      </c>
      <c r="AK80" s="76">
        <f t="shared" si="27"/>
        <v>1.6971428571428573</v>
      </c>
      <c r="AM80" s="12"/>
    </row>
    <row r="81" spans="1:39" x14ac:dyDescent="0.25">
      <c r="C81" s="9" t="str">
        <f t="shared" si="26"/>
        <v>UPSCOK</v>
      </c>
      <c r="F81" s="75" t="s">
        <v>470</v>
      </c>
      <c r="G81" s="75" t="s">
        <v>449</v>
      </c>
      <c r="H81" s="76">
        <f t="shared" si="21"/>
        <v>6.7885714285714291</v>
      </c>
      <c r="I81" s="76">
        <f t="shared" si="21"/>
        <v>6.7885714285714291</v>
      </c>
      <c r="J81" s="76">
        <f t="shared" si="21"/>
        <v>6.7885714285714291</v>
      </c>
      <c r="K81" s="76">
        <f t="shared" si="21"/>
        <v>6.7885714285714291</v>
      </c>
      <c r="L81" s="76">
        <f t="shared" si="21"/>
        <v>6.7885714285714291</v>
      </c>
      <c r="M81" s="76">
        <f t="shared" si="21"/>
        <v>6.7885714285714291</v>
      </c>
      <c r="N81" s="76">
        <f t="shared" si="21"/>
        <v>6.7885714285714291</v>
      </c>
      <c r="O81" s="76">
        <f t="shared" si="21"/>
        <v>6.7885714285714291</v>
      </c>
      <c r="P81" s="76">
        <f t="shared" si="21"/>
        <v>6.7885714285714291</v>
      </c>
      <c r="Q81" s="76">
        <f t="shared" si="21"/>
        <v>6.7885714285714291</v>
      </c>
      <c r="R81" s="76">
        <f t="shared" si="21"/>
        <v>6.7885714285714291</v>
      </c>
      <c r="S81" s="76">
        <f t="shared" si="21"/>
        <v>6.7885714285714291</v>
      </c>
      <c r="T81" s="76">
        <f t="shared" si="21"/>
        <v>6.7885714285714291</v>
      </c>
      <c r="U81" s="76">
        <f t="shared" si="21"/>
        <v>6.7885714285714291</v>
      </c>
      <c r="V81" s="76">
        <f t="shared" si="21"/>
        <v>6.7885714285714291</v>
      </c>
      <c r="W81" s="76">
        <f t="shared" si="21"/>
        <v>6.7885714285714291</v>
      </c>
      <c r="X81" s="76">
        <f t="shared" si="22"/>
        <v>6.7885714285714291</v>
      </c>
      <c r="Y81" s="76">
        <f t="shared" si="22"/>
        <v>6.7885714285714291</v>
      </c>
      <c r="Z81" s="76">
        <f t="shared" si="22"/>
        <v>6.7885714285714291</v>
      </c>
      <c r="AA81" s="76">
        <f t="shared" si="22"/>
        <v>6.7885714285714291</v>
      </c>
      <c r="AB81" s="76">
        <f t="shared" si="22"/>
        <v>6.7885714285714291</v>
      </c>
      <c r="AC81" s="76">
        <f t="shared" si="22"/>
        <v>6.7885714285714291</v>
      </c>
      <c r="AD81" s="76">
        <f t="shared" si="22"/>
        <v>6.7885714285714291</v>
      </c>
      <c r="AE81" s="76">
        <f t="shared" si="22"/>
        <v>6.7885714285714291</v>
      </c>
      <c r="AF81" s="76">
        <f t="shared" si="22"/>
        <v>6.7885714285714291</v>
      </c>
      <c r="AG81" s="76">
        <f t="shared" si="22"/>
        <v>6.7885714285714291</v>
      </c>
      <c r="AH81" s="76">
        <f t="shared" si="22"/>
        <v>6.7885714285714291</v>
      </c>
      <c r="AI81" s="76">
        <f t="shared" si="22"/>
        <v>6.7885714285714291</v>
      </c>
      <c r="AK81" s="76">
        <f t="shared" si="27"/>
        <v>6.7885714285714291</v>
      </c>
      <c r="AM81" s="12"/>
    </row>
    <row r="82" spans="1:39" x14ac:dyDescent="0.25">
      <c r="D82" s="75" t="s">
        <v>159</v>
      </c>
      <c r="E82" s="75"/>
      <c r="F82" s="61" t="s">
        <v>472</v>
      </c>
      <c r="G82" t="s">
        <v>1628</v>
      </c>
      <c r="H82" s="411">
        <f t="shared" ref="H82:AI82" si="28">$AL82*(1-$AL84)*1000</f>
        <v>79.000000000000071</v>
      </c>
      <c r="I82" s="411">
        <f t="shared" si="28"/>
        <v>79.000000000000071</v>
      </c>
      <c r="J82" s="411">
        <f t="shared" si="28"/>
        <v>79.000000000000071</v>
      </c>
      <c r="K82" s="411">
        <f t="shared" si="28"/>
        <v>79.000000000000071</v>
      </c>
      <c r="L82" s="411">
        <f t="shared" si="28"/>
        <v>79.000000000000071</v>
      </c>
      <c r="M82" s="411">
        <f t="shared" si="28"/>
        <v>79.000000000000071</v>
      </c>
      <c r="N82" s="411">
        <f t="shared" si="28"/>
        <v>79.000000000000071</v>
      </c>
      <c r="O82" s="411">
        <f t="shared" si="28"/>
        <v>79.000000000000071</v>
      </c>
      <c r="P82" s="411">
        <f t="shared" si="28"/>
        <v>79.000000000000071</v>
      </c>
      <c r="Q82" s="411">
        <f t="shared" si="28"/>
        <v>79.000000000000071</v>
      </c>
      <c r="R82" s="411">
        <f t="shared" si="28"/>
        <v>79.000000000000071</v>
      </c>
      <c r="S82" s="411">
        <f t="shared" si="28"/>
        <v>79.000000000000071</v>
      </c>
      <c r="T82" s="411">
        <f t="shared" si="28"/>
        <v>79.000000000000071</v>
      </c>
      <c r="U82" s="411">
        <f t="shared" si="28"/>
        <v>79.000000000000071</v>
      </c>
      <c r="V82" s="411">
        <f t="shared" si="28"/>
        <v>79.000000000000071</v>
      </c>
      <c r="W82" s="411">
        <f t="shared" si="28"/>
        <v>79.000000000000071</v>
      </c>
      <c r="X82" s="411">
        <f t="shared" si="28"/>
        <v>79.000000000000071</v>
      </c>
      <c r="Y82" s="411">
        <f t="shared" si="28"/>
        <v>79.000000000000071</v>
      </c>
      <c r="Z82" s="411">
        <f t="shared" si="28"/>
        <v>79.000000000000071</v>
      </c>
      <c r="AA82" s="411">
        <f t="shared" si="28"/>
        <v>79.000000000000071</v>
      </c>
      <c r="AB82" s="411">
        <f t="shared" si="28"/>
        <v>79.000000000000071</v>
      </c>
      <c r="AC82" s="411">
        <f t="shared" si="28"/>
        <v>79.000000000000071</v>
      </c>
      <c r="AD82" s="411">
        <f t="shared" si="28"/>
        <v>79.000000000000071</v>
      </c>
      <c r="AE82" s="411">
        <f t="shared" si="28"/>
        <v>79.000000000000071</v>
      </c>
      <c r="AF82" s="411">
        <f t="shared" si="28"/>
        <v>79.000000000000071</v>
      </c>
      <c r="AG82" s="411">
        <f t="shared" si="28"/>
        <v>79.000000000000071</v>
      </c>
      <c r="AH82" s="411">
        <f t="shared" si="28"/>
        <v>79.000000000000071</v>
      </c>
      <c r="AI82" s="411">
        <f t="shared" si="28"/>
        <v>79.000000000000071</v>
      </c>
      <c r="AL82" s="1">
        <f>AL70</f>
        <v>1.58</v>
      </c>
      <c r="AM82" s="9" t="s">
        <v>1636</v>
      </c>
    </row>
    <row r="83" spans="1:39" x14ac:dyDescent="0.25">
      <c r="D83" s="9" t="s">
        <v>1627</v>
      </c>
      <c r="E83" s="75"/>
      <c r="F83" s="61" t="s">
        <v>472</v>
      </c>
      <c r="G83" t="s">
        <v>449</v>
      </c>
      <c r="H83" s="411">
        <f>$AL83</f>
        <v>1.2624923303772864</v>
      </c>
      <c r="I83" s="411">
        <f t="shared" ref="I83:AI83" si="29">$AL83</f>
        <v>1.2624923303772864</v>
      </c>
      <c r="J83" s="411">
        <f t="shared" si="29"/>
        <v>1.2624923303772864</v>
      </c>
      <c r="K83" s="411">
        <f t="shared" si="29"/>
        <v>1.2624923303772864</v>
      </c>
      <c r="L83" s="411">
        <f t="shared" si="29"/>
        <v>1.2624923303772864</v>
      </c>
      <c r="M83" s="411">
        <f t="shared" si="29"/>
        <v>1.2624923303772864</v>
      </c>
      <c r="N83" s="411">
        <f t="shared" si="29"/>
        <v>1.2624923303772864</v>
      </c>
      <c r="O83" s="411">
        <f t="shared" si="29"/>
        <v>1.2624923303772864</v>
      </c>
      <c r="P83" s="411">
        <f t="shared" si="29"/>
        <v>1.2624923303772864</v>
      </c>
      <c r="Q83" s="411">
        <f t="shared" si="29"/>
        <v>1.2624923303772864</v>
      </c>
      <c r="R83" s="411">
        <f t="shared" si="29"/>
        <v>1.2624923303772864</v>
      </c>
      <c r="S83" s="411">
        <f t="shared" si="29"/>
        <v>1.2624923303772864</v>
      </c>
      <c r="T83" s="411">
        <f t="shared" si="29"/>
        <v>1.2624923303772864</v>
      </c>
      <c r="U83" s="411">
        <f t="shared" si="29"/>
        <v>1.2624923303772864</v>
      </c>
      <c r="V83" s="411">
        <f t="shared" si="29"/>
        <v>1.2624923303772864</v>
      </c>
      <c r="W83" s="411">
        <f t="shared" si="29"/>
        <v>1.2624923303772864</v>
      </c>
      <c r="X83" s="411">
        <f t="shared" si="29"/>
        <v>1.2624923303772864</v>
      </c>
      <c r="Y83" s="411">
        <f t="shared" si="29"/>
        <v>1.2624923303772864</v>
      </c>
      <c r="Z83" s="411">
        <f t="shared" si="29"/>
        <v>1.2624923303772864</v>
      </c>
      <c r="AA83" s="411">
        <f t="shared" si="29"/>
        <v>1.2624923303772864</v>
      </c>
      <c r="AB83" s="411">
        <f t="shared" si="29"/>
        <v>1.2624923303772864</v>
      </c>
      <c r="AC83" s="411">
        <f t="shared" si="29"/>
        <v>1.2624923303772864</v>
      </c>
      <c r="AD83" s="411">
        <f t="shared" si="29"/>
        <v>1.2624923303772864</v>
      </c>
      <c r="AE83" s="411">
        <f t="shared" si="29"/>
        <v>1.2624923303772864</v>
      </c>
      <c r="AF83" s="411">
        <f t="shared" si="29"/>
        <v>1.2624923303772864</v>
      </c>
      <c r="AG83" s="411">
        <f t="shared" si="29"/>
        <v>1.2624923303772864</v>
      </c>
      <c r="AH83" s="411">
        <f t="shared" si="29"/>
        <v>1.2624923303772864</v>
      </c>
      <c r="AI83" s="411">
        <f t="shared" si="29"/>
        <v>1.2624923303772864</v>
      </c>
      <c r="AL83" s="619">
        <f>AL35</f>
        <v>1.2624923303772864</v>
      </c>
      <c r="AM83" s="9" t="s">
        <v>1629</v>
      </c>
    </row>
    <row r="84" spans="1:39" x14ac:dyDescent="0.25">
      <c r="D84" s="75" t="s">
        <v>621</v>
      </c>
      <c r="E84" s="75"/>
      <c r="F84" s="61" t="s">
        <v>472</v>
      </c>
      <c r="G84" t="s">
        <v>1628</v>
      </c>
      <c r="H84" s="411">
        <f t="shared" ref="H84:AI84" si="30">$AL82*$AL84*1000</f>
        <v>1501</v>
      </c>
      <c r="I84" s="411">
        <f t="shared" si="30"/>
        <v>1501</v>
      </c>
      <c r="J84" s="411">
        <f t="shared" si="30"/>
        <v>1501</v>
      </c>
      <c r="K84" s="411">
        <f t="shared" si="30"/>
        <v>1501</v>
      </c>
      <c r="L84" s="411">
        <f t="shared" si="30"/>
        <v>1501</v>
      </c>
      <c r="M84" s="411">
        <f t="shared" si="30"/>
        <v>1501</v>
      </c>
      <c r="N84" s="411">
        <f t="shared" si="30"/>
        <v>1501</v>
      </c>
      <c r="O84" s="411">
        <f t="shared" si="30"/>
        <v>1501</v>
      </c>
      <c r="P84" s="411">
        <f t="shared" si="30"/>
        <v>1501</v>
      </c>
      <c r="Q84" s="411">
        <f t="shared" si="30"/>
        <v>1501</v>
      </c>
      <c r="R84" s="411">
        <f t="shared" si="30"/>
        <v>1501</v>
      </c>
      <c r="S84" s="411">
        <f t="shared" si="30"/>
        <v>1501</v>
      </c>
      <c r="T84" s="411">
        <f t="shared" si="30"/>
        <v>1501</v>
      </c>
      <c r="U84" s="411">
        <f t="shared" si="30"/>
        <v>1501</v>
      </c>
      <c r="V84" s="411">
        <f t="shared" si="30"/>
        <v>1501</v>
      </c>
      <c r="W84" s="411">
        <f t="shared" si="30"/>
        <v>1501</v>
      </c>
      <c r="X84" s="411">
        <f t="shared" si="30"/>
        <v>1501</v>
      </c>
      <c r="Y84" s="411">
        <f t="shared" si="30"/>
        <v>1501</v>
      </c>
      <c r="Z84" s="411">
        <f t="shared" si="30"/>
        <v>1501</v>
      </c>
      <c r="AA84" s="411">
        <f t="shared" si="30"/>
        <v>1501</v>
      </c>
      <c r="AB84" s="411">
        <f t="shared" si="30"/>
        <v>1501</v>
      </c>
      <c r="AC84" s="411">
        <f t="shared" si="30"/>
        <v>1501</v>
      </c>
      <c r="AD84" s="411">
        <f t="shared" si="30"/>
        <v>1501</v>
      </c>
      <c r="AE84" s="411">
        <f t="shared" si="30"/>
        <v>1501</v>
      </c>
      <c r="AF84" s="411">
        <f t="shared" si="30"/>
        <v>1501</v>
      </c>
      <c r="AG84" s="411">
        <f t="shared" si="30"/>
        <v>1501</v>
      </c>
      <c r="AH84" s="411">
        <f t="shared" si="30"/>
        <v>1501</v>
      </c>
      <c r="AI84" s="411">
        <f t="shared" si="30"/>
        <v>1501</v>
      </c>
      <c r="AL84" s="621">
        <v>0.95</v>
      </c>
      <c r="AM84" s="9" t="s">
        <v>622</v>
      </c>
    </row>
    <row r="85" spans="1:39" x14ac:dyDescent="0.25">
      <c r="A85" s="47"/>
      <c r="B85" s="47"/>
      <c r="C85" s="47" t="str">
        <f>C47</f>
        <v>IISSCP</v>
      </c>
      <c r="D85" s="47"/>
      <c r="E85" s="47"/>
      <c r="F85" s="326" t="s">
        <v>470</v>
      </c>
      <c r="G85" s="326" t="s">
        <v>580</v>
      </c>
      <c r="H85" s="76">
        <f t="shared" si="21"/>
        <v>0.125</v>
      </c>
      <c r="I85" s="76">
        <f t="shared" si="21"/>
        <v>0.125</v>
      </c>
      <c r="J85" s="76">
        <f t="shared" si="21"/>
        <v>0.125</v>
      </c>
      <c r="K85" s="76">
        <f t="shared" si="21"/>
        <v>0.125</v>
      </c>
      <c r="L85" s="76">
        <f t="shared" si="21"/>
        <v>0.125</v>
      </c>
      <c r="M85" s="76">
        <f t="shared" si="21"/>
        <v>0.125</v>
      </c>
      <c r="N85" s="76">
        <f t="shared" si="21"/>
        <v>0.125</v>
      </c>
      <c r="O85" s="76">
        <f t="shared" si="21"/>
        <v>0.125</v>
      </c>
      <c r="P85" s="76">
        <f t="shared" si="21"/>
        <v>0.125</v>
      </c>
      <c r="Q85" s="76">
        <f t="shared" si="21"/>
        <v>0.125</v>
      </c>
      <c r="R85" s="76">
        <f t="shared" si="21"/>
        <v>0.125</v>
      </c>
      <c r="S85" s="76">
        <f t="shared" si="21"/>
        <v>0.125</v>
      </c>
      <c r="T85" s="76">
        <f t="shared" si="21"/>
        <v>0.125</v>
      </c>
      <c r="U85" s="76">
        <f t="shared" si="21"/>
        <v>0.125</v>
      </c>
      <c r="V85" s="76">
        <f t="shared" si="21"/>
        <v>0.125</v>
      </c>
      <c r="W85" s="76">
        <f t="shared" ref="W85:AI96" si="31">$AK85</f>
        <v>0.125</v>
      </c>
      <c r="X85" s="76">
        <f t="shared" si="31"/>
        <v>0.125</v>
      </c>
      <c r="Y85" s="76">
        <f t="shared" si="31"/>
        <v>0.125</v>
      </c>
      <c r="Z85" s="76">
        <f t="shared" si="31"/>
        <v>0.125</v>
      </c>
      <c r="AA85" s="76">
        <f t="shared" si="31"/>
        <v>0.125</v>
      </c>
      <c r="AB85" s="76">
        <f t="shared" si="31"/>
        <v>0.125</v>
      </c>
      <c r="AC85" s="76">
        <f t="shared" si="31"/>
        <v>0.125</v>
      </c>
      <c r="AD85" s="76">
        <f t="shared" si="31"/>
        <v>0.125</v>
      </c>
      <c r="AE85" s="76">
        <f t="shared" si="31"/>
        <v>0.125</v>
      </c>
      <c r="AF85" s="76">
        <f t="shared" si="31"/>
        <v>0.125</v>
      </c>
      <c r="AG85" s="76">
        <f t="shared" si="31"/>
        <v>0.125</v>
      </c>
      <c r="AH85" s="76">
        <f t="shared" si="31"/>
        <v>0.125</v>
      </c>
      <c r="AI85" s="76">
        <f t="shared" si="31"/>
        <v>0.125</v>
      </c>
      <c r="AK85" s="472">
        <f>AK47</f>
        <v>0.125</v>
      </c>
      <c r="AM85" s="12"/>
    </row>
    <row r="86" spans="1:39" x14ac:dyDescent="0.25">
      <c r="A86" s="9" t="str">
        <f>A19</f>
        <v>I-IS-DRI_EAF_COA01_CCS</v>
      </c>
      <c r="B86" s="9" t="str">
        <f>B19</f>
        <v>IND Iron and Steel technology: DRI using coal plus EAF w/CCS</v>
      </c>
      <c r="C86" s="9" t="str">
        <f>C48</f>
        <v>INDCOA</v>
      </c>
      <c r="F86" s="75" t="s">
        <v>470</v>
      </c>
      <c r="G86" s="75" t="s">
        <v>449</v>
      </c>
      <c r="H86" s="328">
        <f t="shared" ref="H86:V96" si="32">$AK86</f>
        <v>16.736499999999999</v>
      </c>
      <c r="I86" s="328">
        <f t="shared" si="32"/>
        <v>16.736499999999999</v>
      </c>
      <c r="J86" s="328">
        <f t="shared" si="32"/>
        <v>16.736499999999999</v>
      </c>
      <c r="K86" s="328">
        <f t="shared" si="32"/>
        <v>16.736499999999999</v>
      </c>
      <c r="L86" s="328">
        <f t="shared" si="32"/>
        <v>16.736499999999999</v>
      </c>
      <c r="M86" s="328">
        <f t="shared" si="32"/>
        <v>16.736499999999999</v>
      </c>
      <c r="N86" s="328">
        <f t="shared" si="32"/>
        <v>16.736499999999999</v>
      </c>
      <c r="O86" s="328">
        <f t="shared" si="32"/>
        <v>16.736499999999999</v>
      </c>
      <c r="P86" s="328">
        <f t="shared" si="32"/>
        <v>16.736499999999999</v>
      </c>
      <c r="Q86" s="328">
        <f t="shared" si="32"/>
        <v>16.736499999999999</v>
      </c>
      <c r="R86" s="328">
        <f t="shared" si="32"/>
        <v>16.736499999999999</v>
      </c>
      <c r="S86" s="328">
        <f t="shared" si="32"/>
        <v>16.736499999999999</v>
      </c>
      <c r="T86" s="328">
        <f t="shared" si="32"/>
        <v>16.736499999999999</v>
      </c>
      <c r="U86" s="328">
        <f t="shared" si="32"/>
        <v>16.736499999999999</v>
      </c>
      <c r="V86" s="328">
        <f t="shared" si="32"/>
        <v>16.736499999999999</v>
      </c>
      <c r="W86" s="328">
        <f t="shared" si="31"/>
        <v>16.736499999999999</v>
      </c>
      <c r="X86" s="328">
        <f t="shared" si="31"/>
        <v>16.736499999999999</v>
      </c>
      <c r="Y86" s="328">
        <f t="shared" si="31"/>
        <v>16.736499999999999</v>
      </c>
      <c r="Z86" s="328">
        <f t="shared" si="31"/>
        <v>16.736499999999999</v>
      </c>
      <c r="AA86" s="328">
        <f t="shared" si="31"/>
        <v>16.736499999999999</v>
      </c>
      <c r="AB86" s="328">
        <f t="shared" si="31"/>
        <v>16.736499999999999</v>
      </c>
      <c r="AC86" s="328">
        <f t="shared" si="31"/>
        <v>16.736499999999999</v>
      </c>
      <c r="AD86" s="328">
        <f t="shared" si="31"/>
        <v>16.736499999999999</v>
      </c>
      <c r="AE86" s="328">
        <f t="shared" si="31"/>
        <v>16.736499999999999</v>
      </c>
      <c r="AF86" s="328">
        <f t="shared" si="31"/>
        <v>16.736499999999999</v>
      </c>
      <c r="AG86" s="328">
        <f t="shared" si="31"/>
        <v>16.736499999999999</v>
      </c>
      <c r="AH86" s="328">
        <f t="shared" si="31"/>
        <v>16.736499999999999</v>
      </c>
      <c r="AI86" s="328">
        <f t="shared" si="31"/>
        <v>16.736499999999999</v>
      </c>
      <c r="AK86" s="76">
        <f>AK48*$AL$86</f>
        <v>16.736499999999999</v>
      </c>
      <c r="AL86" s="620">
        <v>1.1000000000000001</v>
      </c>
      <c r="AM86" s="9" t="s">
        <v>1635</v>
      </c>
    </row>
    <row r="87" spans="1:39" x14ac:dyDescent="0.25">
      <c r="C87" s="9" t="str">
        <f>C49</f>
        <v>INDELC</v>
      </c>
      <c r="F87" s="75" t="s">
        <v>470</v>
      </c>
      <c r="G87" s="75" t="s">
        <v>449</v>
      </c>
      <c r="H87" s="76">
        <f t="shared" si="32"/>
        <v>2.3100000000000005</v>
      </c>
      <c r="I87" s="76">
        <f t="shared" si="32"/>
        <v>2.3100000000000005</v>
      </c>
      <c r="J87" s="76">
        <f t="shared" si="32"/>
        <v>2.3100000000000005</v>
      </c>
      <c r="K87" s="76">
        <f t="shared" si="32"/>
        <v>2.3100000000000005</v>
      </c>
      <c r="L87" s="76">
        <f t="shared" si="32"/>
        <v>2.3100000000000005</v>
      </c>
      <c r="M87" s="76">
        <f t="shared" si="32"/>
        <v>2.3100000000000005</v>
      </c>
      <c r="N87" s="76">
        <f t="shared" si="32"/>
        <v>2.3100000000000005</v>
      </c>
      <c r="O87" s="76">
        <f t="shared" si="32"/>
        <v>2.3100000000000005</v>
      </c>
      <c r="P87" s="76">
        <f t="shared" si="32"/>
        <v>2.3100000000000005</v>
      </c>
      <c r="Q87" s="76">
        <f t="shared" si="32"/>
        <v>2.3100000000000005</v>
      </c>
      <c r="R87" s="76">
        <f t="shared" si="32"/>
        <v>2.3100000000000005</v>
      </c>
      <c r="S87" s="76">
        <f t="shared" si="32"/>
        <v>2.3100000000000005</v>
      </c>
      <c r="T87" s="76">
        <f t="shared" si="32"/>
        <v>2.3100000000000005</v>
      </c>
      <c r="U87" s="76">
        <f t="shared" si="32"/>
        <v>2.3100000000000005</v>
      </c>
      <c r="V87" s="76">
        <f t="shared" si="32"/>
        <v>2.3100000000000005</v>
      </c>
      <c r="W87" s="76">
        <f t="shared" si="31"/>
        <v>2.3100000000000005</v>
      </c>
      <c r="X87" s="76">
        <f t="shared" si="31"/>
        <v>2.3100000000000005</v>
      </c>
      <c r="Y87" s="76">
        <f t="shared" si="31"/>
        <v>2.3100000000000005</v>
      </c>
      <c r="Z87" s="76">
        <f t="shared" si="31"/>
        <v>2.3100000000000005</v>
      </c>
      <c r="AA87" s="76">
        <f t="shared" si="31"/>
        <v>2.3100000000000005</v>
      </c>
      <c r="AB87" s="76">
        <f t="shared" si="31"/>
        <v>2.3100000000000005</v>
      </c>
      <c r="AC87" s="76">
        <f t="shared" si="31"/>
        <v>2.3100000000000005</v>
      </c>
      <c r="AD87" s="76">
        <f t="shared" si="31"/>
        <v>2.3100000000000005</v>
      </c>
      <c r="AE87" s="76">
        <f t="shared" si="31"/>
        <v>2.3100000000000005</v>
      </c>
      <c r="AF87" s="76">
        <f t="shared" si="31"/>
        <v>2.3100000000000005</v>
      </c>
      <c r="AG87" s="76">
        <f t="shared" si="31"/>
        <v>2.3100000000000005</v>
      </c>
      <c r="AH87" s="76">
        <f t="shared" si="31"/>
        <v>2.3100000000000005</v>
      </c>
      <c r="AI87" s="76">
        <f t="shared" si="31"/>
        <v>2.3100000000000005</v>
      </c>
      <c r="AK87" s="76">
        <f>AK49*$AL$86</f>
        <v>2.3100000000000005</v>
      </c>
      <c r="AM87" s="12"/>
    </row>
    <row r="88" spans="1:39" x14ac:dyDescent="0.25">
      <c r="D88" s="75" t="s">
        <v>159</v>
      </c>
      <c r="E88" s="75"/>
      <c r="F88" s="61" t="s">
        <v>472</v>
      </c>
      <c r="G88" t="s">
        <v>1628</v>
      </c>
      <c r="H88" s="411">
        <f t="shared" ref="H88:AI88" si="33">$AL88*(1-$AL89)*1000</f>
        <v>44.000000000000036</v>
      </c>
      <c r="I88" s="411">
        <f t="shared" si="33"/>
        <v>44.000000000000036</v>
      </c>
      <c r="J88" s="411">
        <f t="shared" si="33"/>
        <v>44.000000000000036</v>
      </c>
      <c r="K88" s="411">
        <f t="shared" si="33"/>
        <v>44.000000000000036</v>
      </c>
      <c r="L88" s="411">
        <f t="shared" si="33"/>
        <v>44.000000000000036</v>
      </c>
      <c r="M88" s="411">
        <f t="shared" si="33"/>
        <v>44.000000000000036</v>
      </c>
      <c r="N88" s="411">
        <f t="shared" si="33"/>
        <v>44.000000000000036</v>
      </c>
      <c r="O88" s="411">
        <f t="shared" si="33"/>
        <v>44.000000000000036</v>
      </c>
      <c r="P88" s="411">
        <f t="shared" si="33"/>
        <v>44.000000000000036</v>
      </c>
      <c r="Q88" s="411">
        <f t="shared" si="33"/>
        <v>44.000000000000036</v>
      </c>
      <c r="R88" s="411">
        <f t="shared" si="33"/>
        <v>44.000000000000036</v>
      </c>
      <c r="S88" s="411">
        <f t="shared" si="33"/>
        <v>44.000000000000036</v>
      </c>
      <c r="T88" s="411">
        <f t="shared" si="33"/>
        <v>44.000000000000036</v>
      </c>
      <c r="U88" s="411">
        <f t="shared" si="33"/>
        <v>44.000000000000036</v>
      </c>
      <c r="V88" s="411">
        <f t="shared" si="33"/>
        <v>44.000000000000036</v>
      </c>
      <c r="W88" s="411">
        <f t="shared" si="33"/>
        <v>44.000000000000036</v>
      </c>
      <c r="X88" s="411">
        <f t="shared" si="33"/>
        <v>44.000000000000036</v>
      </c>
      <c r="Y88" s="411">
        <f t="shared" si="33"/>
        <v>44.000000000000036</v>
      </c>
      <c r="Z88" s="411">
        <f t="shared" si="33"/>
        <v>44.000000000000036</v>
      </c>
      <c r="AA88" s="411">
        <f t="shared" si="33"/>
        <v>44.000000000000036</v>
      </c>
      <c r="AB88" s="411">
        <f t="shared" si="33"/>
        <v>44.000000000000036</v>
      </c>
      <c r="AC88" s="411">
        <f t="shared" si="33"/>
        <v>44.000000000000036</v>
      </c>
      <c r="AD88" s="411">
        <f t="shared" si="33"/>
        <v>44.000000000000036</v>
      </c>
      <c r="AE88" s="411">
        <f t="shared" si="33"/>
        <v>44.000000000000036</v>
      </c>
      <c r="AF88" s="411">
        <f t="shared" si="33"/>
        <v>44.000000000000036</v>
      </c>
      <c r="AG88" s="411">
        <f t="shared" si="33"/>
        <v>44.000000000000036</v>
      </c>
      <c r="AH88" s="411">
        <f t="shared" si="33"/>
        <v>44.000000000000036</v>
      </c>
      <c r="AI88" s="411">
        <f t="shared" si="33"/>
        <v>44.000000000000036</v>
      </c>
      <c r="AL88" s="612">
        <f>'IIS_BY Techs'!AM49</f>
        <v>0.87999999999999989</v>
      </c>
      <c r="AM88" s="9" t="s">
        <v>1636</v>
      </c>
    </row>
    <row r="89" spans="1:39" x14ac:dyDescent="0.25">
      <c r="D89" s="75" t="s">
        <v>621</v>
      </c>
      <c r="E89" s="75"/>
      <c r="F89" s="61" t="s">
        <v>472</v>
      </c>
      <c r="G89" t="s">
        <v>1628</v>
      </c>
      <c r="H89" s="411">
        <f t="shared" ref="H89:AI89" si="34">$AL88*$AL89*1000</f>
        <v>835.99999999999989</v>
      </c>
      <c r="I89" s="411">
        <f t="shared" si="34"/>
        <v>835.99999999999989</v>
      </c>
      <c r="J89" s="411">
        <f t="shared" si="34"/>
        <v>835.99999999999989</v>
      </c>
      <c r="K89" s="411">
        <f t="shared" si="34"/>
        <v>835.99999999999989</v>
      </c>
      <c r="L89" s="411">
        <f t="shared" si="34"/>
        <v>835.99999999999989</v>
      </c>
      <c r="M89" s="411">
        <f t="shared" si="34"/>
        <v>835.99999999999989</v>
      </c>
      <c r="N89" s="411">
        <f t="shared" si="34"/>
        <v>835.99999999999989</v>
      </c>
      <c r="O89" s="411">
        <f t="shared" si="34"/>
        <v>835.99999999999989</v>
      </c>
      <c r="P89" s="411">
        <f t="shared" si="34"/>
        <v>835.99999999999989</v>
      </c>
      <c r="Q89" s="411">
        <f t="shared" si="34"/>
        <v>835.99999999999989</v>
      </c>
      <c r="R89" s="411">
        <f t="shared" si="34"/>
        <v>835.99999999999989</v>
      </c>
      <c r="S89" s="411">
        <f t="shared" si="34"/>
        <v>835.99999999999989</v>
      </c>
      <c r="T89" s="411">
        <f t="shared" si="34"/>
        <v>835.99999999999989</v>
      </c>
      <c r="U89" s="411">
        <f t="shared" si="34"/>
        <v>835.99999999999989</v>
      </c>
      <c r="V89" s="411">
        <f t="shared" si="34"/>
        <v>835.99999999999989</v>
      </c>
      <c r="W89" s="411">
        <f t="shared" si="34"/>
        <v>835.99999999999989</v>
      </c>
      <c r="X89" s="411">
        <f t="shared" si="34"/>
        <v>835.99999999999989</v>
      </c>
      <c r="Y89" s="411">
        <f t="shared" si="34"/>
        <v>835.99999999999989</v>
      </c>
      <c r="Z89" s="411">
        <f t="shared" si="34"/>
        <v>835.99999999999989</v>
      </c>
      <c r="AA89" s="411">
        <f t="shared" si="34"/>
        <v>835.99999999999989</v>
      </c>
      <c r="AB89" s="411">
        <f t="shared" si="34"/>
        <v>835.99999999999989</v>
      </c>
      <c r="AC89" s="411">
        <f t="shared" si="34"/>
        <v>835.99999999999989</v>
      </c>
      <c r="AD89" s="411">
        <f t="shared" si="34"/>
        <v>835.99999999999989</v>
      </c>
      <c r="AE89" s="411">
        <f t="shared" si="34"/>
        <v>835.99999999999989</v>
      </c>
      <c r="AF89" s="411">
        <f t="shared" si="34"/>
        <v>835.99999999999989</v>
      </c>
      <c r="AG89" s="411">
        <f t="shared" si="34"/>
        <v>835.99999999999989</v>
      </c>
      <c r="AH89" s="411">
        <f t="shared" si="34"/>
        <v>835.99999999999989</v>
      </c>
      <c r="AI89" s="411">
        <f t="shared" si="34"/>
        <v>835.99999999999989</v>
      </c>
      <c r="AL89" s="621">
        <v>0.95</v>
      </c>
      <c r="AM89" s="9" t="s">
        <v>622</v>
      </c>
    </row>
    <row r="90" spans="1:39" x14ac:dyDescent="0.25">
      <c r="A90" s="47"/>
      <c r="B90" s="47"/>
      <c r="C90" s="47" t="str">
        <f>C51</f>
        <v>IISSCP</v>
      </c>
      <c r="D90" s="47"/>
      <c r="E90" s="47"/>
      <c r="F90" s="326" t="s">
        <v>470</v>
      </c>
      <c r="G90" s="326" t="s">
        <v>580</v>
      </c>
      <c r="H90" s="77">
        <f t="shared" si="32"/>
        <v>0.125</v>
      </c>
      <c r="I90" s="77">
        <f t="shared" si="32"/>
        <v>0.125</v>
      </c>
      <c r="J90" s="77">
        <f t="shared" si="32"/>
        <v>0.125</v>
      </c>
      <c r="K90" s="77">
        <f t="shared" si="32"/>
        <v>0.125</v>
      </c>
      <c r="L90" s="77">
        <f t="shared" si="32"/>
        <v>0.125</v>
      </c>
      <c r="M90" s="77">
        <f t="shared" si="32"/>
        <v>0.125</v>
      </c>
      <c r="N90" s="77">
        <f t="shared" si="32"/>
        <v>0.125</v>
      </c>
      <c r="O90" s="77">
        <f t="shared" si="32"/>
        <v>0.125</v>
      </c>
      <c r="P90" s="77">
        <f t="shared" si="32"/>
        <v>0.125</v>
      </c>
      <c r="Q90" s="77">
        <f t="shared" si="32"/>
        <v>0.125</v>
      </c>
      <c r="R90" s="77">
        <f t="shared" si="32"/>
        <v>0.125</v>
      </c>
      <c r="S90" s="77">
        <f t="shared" si="32"/>
        <v>0.125</v>
      </c>
      <c r="T90" s="77">
        <f t="shared" si="32"/>
        <v>0.125</v>
      </c>
      <c r="U90" s="77">
        <f t="shared" si="32"/>
        <v>0.125</v>
      </c>
      <c r="V90" s="77">
        <f t="shared" si="32"/>
        <v>0.125</v>
      </c>
      <c r="W90" s="77">
        <f t="shared" si="31"/>
        <v>0.125</v>
      </c>
      <c r="X90" s="77">
        <f t="shared" si="31"/>
        <v>0.125</v>
      </c>
      <c r="Y90" s="77">
        <f t="shared" si="31"/>
        <v>0.125</v>
      </c>
      <c r="Z90" s="77">
        <f t="shared" si="31"/>
        <v>0.125</v>
      </c>
      <c r="AA90" s="77">
        <f t="shared" si="31"/>
        <v>0.125</v>
      </c>
      <c r="AB90" s="77">
        <f t="shared" si="31"/>
        <v>0.125</v>
      </c>
      <c r="AC90" s="77">
        <f t="shared" si="31"/>
        <v>0.125</v>
      </c>
      <c r="AD90" s="77">
        <f t="shared" si="31"/>
        <v>0.125</v>
      </c>
      <c r="AE90" s="77">
        <f t="shared" si="31"/>
        <v>0.125</v>
      </c>
      <c r="AF90" s="77">
        <f t="shared" si="31"/>
        <v>0.125</v>
      </c>
      <c r="AG90" s="77">
        <f t="shared" si="31"/>
        <v>0.125</v>
      </c>
      <c r="AH90" s="77">
        <f t="shared" si="31"/>
        <v>0.125</v>
      </c>
      <c r="AI90" s="77">
        <f t="shared" si="31"/>
        <v>0.125</v>
      </c>
      <c r="AK90" s="76">
        <f>AK51</f>
        <v>0.125</v>
      </c>
      <c r="AM90" s="12"/>
    </row>
    <row r="91" spans="1:39" x14ac:dyDescent="0.25">
      <c r="A91" s="9" t="str">
        <f>A20</f>
        <v>I-IS-DRI_EAF_NGA01_CCS</v>
      </c>
      <c r="B91" s="9" t="str">
        <f>B20</f>
        <v>IND Iron and Steel technology: DRI using gas plus EAF w/CCS</v>
      </c>
      <c r="C91" s="9" t="str">
        <f>C52</f>
        <v>INDGAS</v>
      </c>
      <c r="F91" s="75" t="s">
        <v>470</v>
      </c>
      <c r="G91" s="75" t="s">
        <v>449</v>
      </c>
      <c r="H91" s="76">
        <f t="shared" si="32"/>
        <v>13.200000000000003</v>
      </c>
      <c r="I91" s="76">
        <f t="shared" si="32"/>
        <v>13.200000000000003</v>
      </c>
      <c r="J91" s="76">
        <f t="shared" si="32"/>
        <v>13.200000000000003</v>
      </c>
      <c r="K91" s="76">
        <f t="shared" si="32"/>
        <v>13.200000000000003</v>
      </c>
      <c r="L91" s="76">
        <f t="shared" si="32"/>
        <v>13.200000000000003</v>
      </c>
      <c r="M91" s="76">
        <f t="shared" si="32"/>
        <v>13.200000000000003</v>
      </c>
      <c r="N91" s="76">
        <f t="shared" si="32"/>
        <v>13.200000000000003</v>
      </c>
      <c r="O91" s="76">
        <f t="shared" si="32"/>
        <v>13.200000000000003</v>
      </c>
      <c r="P91" s="76">
        <f t="shared" si="32"/>
        <v>13.200000000000003</v>
      </c>
      <c r="Q91" s="76">
        <f t="shared" si="32"/>
        <v>13.200000000000003</v>
      </c>
      <c r="R91" s="76">
        <f t="shared" si="32"/>
        <v>13.200000000000003</v>
      </c>
      <c r="S91" s="76">
        <f t="shared" si="32"/>
        <v>13.200000000000003</v>
      </c>
      <c r="T91" s="76">
        <f t="shared" si="32"/>
        <v>13.200000000000003</v>
      </c>
      <c r="U91" s="76">
        <f t="shared" si="32"/>
        <v>13.200000000000003</v>
      </c>
      <c r="V91" s="76">
        <f t="shared" si="32"/>
        <v>13.200000000000003</v>
      </c>
      <c r="W91" s="76">
        <f t="shared" si="31"/>
        <v>13.200000000000003</v>
      </c>
      <c r="X91" s="76">
        <f t="shared" si="31"/>
        <v>13.200000000000003</v>
      </c>
      <c r="Y91" s="76">
        <f t="shared" si="31"/>
        <v>13.200000000000003</v>
      </c>
      <c r="Z91" s="76">
        <f t="shared" si="31"/>
        <v>13.200000000000003</v>
      </c>
      <c r="AA91" s="76">
        <f t="shared" si="31"/>
        <v>13.200000000000003</v>
      </c>
      <c r="AB91" s="76">
        <f t="shared" si="31"/>
        <v>13.200000000000003</v>
      </c>
      <c r="AC91" s="76">
        <f t="shared" si="31"/>
        <v>13.200000000000003</v>
      </c>
      <c r="AD91" s="76">
        <f t="shared" si="31"/>
        <v>13.200000000000003</v>
      </c>
      <c r="AE91" s="76">
        <f t="shared" si="31"/>
        <v>13.200000000000003</v>
      </c>
      <c r="AF91" s="76">
        <f t="shared" si="31"/>
        <v>13.200000000000003</v>
      </c>
      <c r="AG91" s="76">
        <f t="shared" si="31"/>
        <v>13.200000000000003</v>
      </c>
      <c r="AH91" s="76">
        <f t="shared" si="31"/>
        <v>13.200000000000003</v>
      </c>
      <c r="AI91" s="76">
        <f t="shared" si="31"/>
        <v>13.200000000000003</v>
      </c>
      <c r="AK91" s="76">
        <f>AK52*$AL$86</f>
        <v>13.200000000000003</v>
      </c>
      <c r="AL91" s="620">
        <v>1.1000000000000001</v>
      </c>
      <c r="AM91" s="9" t="s">
        <v>1635</v>
      </c>
    </row>
    <row r="92" spans="1:39" x14ac:dyDescent="0.25">
      <c r="C92" s="9" t="str">
        <f>C53</f>
        <v>INDELC</v>
      </c>
      <c r="F92" s="75" t="s">
        <v>470</v>
      </c>
      <c r="G92" s="75" t="s">
        <v>449</v>
      </c>
      <c r="H92" s="76">
        <f t="shared" si="32"/>
        <v>2.3100000000000005</v>
      </c>
      <c r="I92" s="76">
        <f t="shared" si="32"/>
        <v>2.3100000000000005</v>
      </c>
      <c r="J92" s="76">
        <f t="shared" si="32"/>
        <v>2.3100000000000005</v>
      </c>
      <c r="K92" s="76">
        <f t="shared" si="32"/>
        <v>2.3100000000000005</v>
      </c>
      <c r="L92" s="76">
        <f t="shared" si="32"/>
        <v>2.3100000000000005</v>
      </c>
      <c r="M92" s="76">
        <f t="shared" si="32"/>
        <v>2.3100000000000005</v>
      </c>
      <c r="N92" s="76">
        <f t="shared" si="32"/>
        <v>2.3100000000000005</v>
      </c>
      <c r="O92" s="76">
        <f t="shared" si="32"/>
        <v>2.3100000000000005</v>
      </c>
      <c r="P92" s="76">
        <f t="shared" si="32"/>
        <v>2.3100000000000005</v>
      </c>
      <c r="Q92" s="76">
        <f t="shared" si="32"/>
        <v>2.3100000000000005</v>
      </c>
      <c r="R92" s="76">
        <f t="shared" si="32"/>
        <v>2.3100000000000005</v>
      </c>
      <c r="S92" s="76">
        <f t="shared" si="32"/>
        <v>2.3100000000000005</v>
      </c>
      <c r="T92" s="76">
        <f t="shared" si="32"/>
        <v>2.3100000000000005</v>
      </c>
      <c r="U92" s="76">
        <f t="shared" si="32"/>
        <v>2.3100000000000005</v>
      </c>
      <c r="V92" s="76">
        <f t="shared" si="32"/>
        <v>2.3100000000000005</v>
      </c>
      <c r="W92" s="76">
        <f t="shared" si="31"/>
        <v>2.3100000000000005</v>
      </c>
      <c r="X92" s="76">
        <f t="shared" si="31"/>
        <v>2.3100000000000005</v>
      </c>
      <c r="Y92" s="76">
        <f t="shared" si="31"/>
        <v>2.3100000000000005</v>
      </c>
      <c r="Z92" s="76">
        <f t="shared" si="31"/>
        <v>2.3100000000000005</v>
      </c>
      <c r="AA92" s="76">
        <f t="shared" si="31"/>
        <v>2.3100000000000005</v>
      </c>
      <c r="AB92" s="76">
        <f t="shared" si="31"/>
        <v>2.3100000000000005</v>
      </c>
      <c r="AC92" s="76">
        <f t="shared" si="31"/>
        <v>2.3100000000000005</v>
      </c>
      <c r="AD92" s="76">
        <f t="shared" si="31"/>
        <v>2.3100000000000005</v>
      </c>
      <c r="AE92" s="76">
        <f t="shared" si="31"/>
        <v>2.3100000000000005</v>
      </c>
      <c r="AF92" s="76">
        <f t="shared" si="31"/>
        <v>2.3100000000000005</v>
      </c>
      <c r="AG92" s="76">
        <f t="shared" si="31"/>
        <v>2.3100000000000005</v>
      </c>
      <c r="AH92" s="76">
        <f t="shared" si="31"/>
        <v>2.3100000000000005</v>
      </c>
      <c r="AI92" s="76">
        <f t="shared" si="31"/>
        <v>2.3100000000000005</v>
      </c>
      <c r="AK92" s="76">
        <f>AK53*$AL$86</f>
        <v>2.3100000000000005</v>
      </c>
      <c r="AM92" s="12"/>
    </row>
    <row r="93" spans="1:39" x14ac:dyDescent="0.25">
      <c r="D93" s="75" t="s">
        <v>159</v>
      </c>
      <c r="E93" s="75"/>
      <c r="F93" s="61" t="s">
        <v>472</v>
      </c>
      <c r="G93" t="s">
        <v>1628</v>
      </c>
      <c r="H93" s="411">
        <f>$AL93*(1-$AL94)*1000</f>
        <v>44.000000000000036</v>
      </c>
      <c r="I93" s="411">
        <f t="shared" ref="I93:AI93" si="35">$AL93*(1-$AL94)*1000</f>
        <v>44.000000000000036</v>
      </c>
      <c r="J93" s="411">
        <f t="shared" si="35"/>
        <v>44.000000000000036</v>
      </c>
      <c r="K93" s="411">
        <f t="shared" si="35"/>
        <v>44.000000000000036</v>
      </c>
      <c r="L93" s="411">
        <f t="shared" si="35"/>
        <v>44.000000000000036</v>
      </c>
      <c r="M93" s="411">
        <f t="shared" si="35"/>
        <v>44.000000000000036</v>
      </c>
      <c r="N93" s="411">
        <f t="shared" si="35"/>
        <v>44.000000000000036</v>
      </c>
      <c r="O93" s="411">
        <f t="shared" si="35"/>
        <v>44.000000000000036</v>
      </c>
      <c r="P93" s="411">
        <f t="shared" si="35"/>
        <v>44.000000000000036</v>
      </c>
      <c r="Q93" s="411">
        <f t="shared" si="35"/>
        <v>44.000000000000036</v>
      </c>
      <c r="R93" s="411">
        <f t="shared" si="35"/>
        <v>44.000000000000036</v>
      </c>
      <c r="S93" s="411">
        <f t="shared" si="35"/>
        <v>44.000000000000036</v>
      </c>
      <c r="T93" s="411">
        <f t="shared" si="35"/>
        <v>44.000000000000036</v>
      </c>
      <c r="U93" s="411">
        <f t="shared" si="35"/>
        <v>44.000000000000036</v>
      </c>
      <c r="V93" s="411">
        <f t="shared" si="35"/>
        <v>44.000000000000036</v>
      </c>
      <c r="W93" s="411">
        <f t="shared" si="35"/>
        <v>44.000000000000036</v>
      </c>
      <c r="X93" s="411">
        <f t="shared" si="35"/>
        <v>44.000000000000036</v>
      </c>
      <c r="Y93" s="411">
        <f t="shared" si="35"/>
        <v>44.000000000000036</v>
      </c>
      <c r="Z93" s="411">
        <f t="shared" si="35"/>
        <v>44.000000000000036</v>
      </c>
      <c r="AA93" s="411">
        <f t="shared" si="35"/>
        <v>44.000000000000036</v>
      </c>
      <c r="AB93" s="411">
        <f t="shared" si="35"/>
        <v>44.000000000000036</v>
      </c>
      <c r="AC93" s="411">
        <f t="shared" si="35"/>
        <v>44.000000000000036</v>
      </c>
      <c r="AD93" s="411">
        <f t="shared" si="35"/>
        <v>44.000000000000036</v>
      </c>
      <c r="AE93" s="411">
        <f t="shared" si="35"/>
        <v>44.000000000000036</v>
      </c>
      <c r="AF93" s="411">
        <f t="shared" si="35"/>
        <v>44.000000000000036</v>
      </c>
      <c r="AG93" s="411">
        <f t="shared" si="35"/>
        <v>44.000000000000036</v>
      </c>
      <c r="AH93" s="411">
        <f t="shared" si="35"/>
        <v>44.000000000000036</v>
      </c>
      <c r="AI93" s="411">
        <f t="shared" si="35"/>
        <v>44.000000000000036</v>
      </c>
      <c r="AL93" s="612">
        <f>'IIS_BY Techs'!AM54</f>
        <v>0.87999999999999989</v>
      </c>
      <c r="AM93" s="9" t="s">
        <v>1636</v>
      </c>
    </row>
    <row r="94" spans="1:39" x14ac:dyDescent="0.25">
      <c r="D94" s="75" t="s">
        <v>621</v>
      </c>
      <c r="E94" s="75"/>
      <c r="F94" s="61" t="s">
        <v>472</v>
      </c>
      <c r="G94" t="s">
        <v>1628</v>
      </c>
      <c r="H94" s="411">
        <f t="shared" ref="H94:AI94" si="36">$AL93*$AL94</f>
        <v>0.83599999999999985</v>
      </c>
      <c r="I94" s="411">
        <f t="shared" si="36"/>
        <v>0.83599999999999985</v>
      </c>
      <c r="J94" s="411">
        <f t="shared" si="36"/>
        <v>0.83599999999999985</v>
      </c>
      <c r="K94" s="411">
        <f t="shared" si="36"/>
        <v>0.83599999999999985</v>
      </c>
      <c r="L94" s="411">
        <f t="shared" si="36"/>
        <v>0.83599999999999985</v>
      </c>
      <c r="M94" s="411">
        <f t="shared" si="36"/>
        <v>0.83599999999999985</v>
      </c>
      <c r="N94" s="411">
        <f t="shared" si="36"/>
        <v>0.83599999999999985</v>
      </c>
      <c r="O94" s="411">
        <f t="shared" si="36"/>
        <v>0.83599999999999985</v>
      </c>
      <c r="P94" s="411">
        <f t="shared" si="36"/>
        <v>0.83599999999999985</v>
      </c>
      <c r="Q94" s="411">
        <f t="shared" si="36"/>
        <v>0.83599999999999985</v>
      </c>
      <c r="R94" s="411">
        <f t="shared" si="36"/>
        <v>0.83599999999999985</v>
      </c>
      <c r="S94" s="411">
        <f t="shared" si="36"/>
        <v>0.83599999999999985</v>
      </c>
      <c r="T94" s="411">
        <f t="shared" si="36"/>
        <v>0.83599999999999985</v>
      </c>
      <c r="U94" s="411">
        <f t="shared" si="36"/>
        <v>0.83599999999999985</v>
      </c>
      <c r="V94" s="411">
        <f t="shared" si="36"/>
        <v>0.83599999999999985</v>
      </c>
      <c r="W94" s="411">
        <f t="shared" si="36"/>
        <v>0.83599999999999985</v>
      </c>
      <c r="X94" s="411">
        <f t="shared" si="36"/>
        <v>0.83599999999999985</v>
      </c>
      <c r="Y94" s="411">
        <f t="shared" si="36"/>
        <v>0.83599999999999985</v>
      </c>
      <c r="Z94" s="411">
        <f t="shared" si="36"/>
        <v>0.83599999999999985</v>
      </c>
      <c r="AA94" s="411">
        <f t="shared" si="36"/>
        <v>0.83599999999999985</v>
      </c>
      <c r="AB94" s="411">
        <f t="shared" si="36"/>
        <v>0.83599999999999985</v>
      </c>
      <c r="AC94" s="411">
        <f t="shared" si="36"/>
        <v>0.83599999999999985</v>
      </c>
      <c r="AD94" s="411">
        <f t="shared" si="36"/>
        <v>0.83599999999999985</v>
      </c>
      <c r="AE94" s="411">
        <f t="shared" si="36"/>
        <v>0.83599999999999985</v>
      </c>
      <c r="AF94" s="411">
        <f t="shared" si="36"/>
        <v>0.83599999999999985</v>
      </c>
      <c r="AG94" s="411">
        <f t="shared" si="36"/>
        <v>0.83599999999999985</v>
      </c>
      <c r="AH94" s="411">
        <f t="shared" si="36"/>
        <v>0.83599999999999985</v>
      </c>
      <c r="AI94" s="411">
        <f t="shared" si="36"/>
        <v>0.83599999999999985</v>
      </c>
      <c r="AL94" s="621">
        <v>0.95</v>
      </c>
      <c r="AM94" s="9" t="s">
        <v>622</v>
      </c>
    </row>
    <row r="95" spans="1:39" x14ac:dyDescent="0.25">
      <c r="A95" s="47"/>
      <c r="B95" s="47"/>
      <c r="C95" s="47" t="str">
        <f>C55</f>
        <v>IISSCP</v>
      </c>
      <c r="D95" s="47"/>
      <c r="E95" s="47"/>
      <c r="F95" s="326" t="s">
        <v>470</v>
      </c>
      <c r="G95" s="326" t="s">
        <v>580</v>
      </c>
      <c r="H95" s="77">
        <f t="shared" si="32"/>
        <v>0.125</v>
      </c>
      <c r="I95" s="77">
        <f t="shared" si="32"/>
        <v>0.125</v>
      </c>
      <c r="J95" s="77">
        <f t="shared" si="32"/>
        <v>0.125</v>
      </c>
      <c r="K95" s="77">
        <f t="shared" si="32"/>
        <v>0.125</v>
      </c>
      <c r="L95" s="77">
        <f t="shared" si="32"/>
        <v>0.125</v>
      </c>
      <c r="M95" s="77">
        <f t="shared" si="32"/>
        <v>0.125</v>
      </c>
      <c r="N95" s="77">
        <f t="shared" si="32"/>
        <v>0.125</v>
      </c>
      <c r="O95" s="77">
        <f t="shared" si="32"/>
        <v>0.125</v>
      </c>
      <c r="P95" s="77">
        <f t="shared" si="32"/>
        <v>0.125</v>
      </c>
      <c r="Q95" s="77">
        <f t="shared" si="32"/>
        <v>0.125</v>
      </c>
      <c r="R95" s="77">
        <f t="shared" si="32"/>
        <v>0.125</v>
      </c>
      <c r="S95" s="77">
        <f t="shared" si="32"/>
        <v>0.125</v>
      </c>
      <c r="T95" s="77">
        <f t="shared" si="32"/>
        <v>0.125</v>
      </c>
      <c r="U95" s="77">
        <f t="shared" si="32"/>
        <v>0.125</v>
      </c>
      <c r="V95" s="77">
        <f t="shared" si="32"/>
        <v>0.125</v>
      </c>
      <c r="W95" s="77">
        <f t="shared" si="31"/>
        <v>0.125</v>
      </c>
      <c r="X95" s="77">
        <f t="shared" si="31"/>
        <v>0.125</v>
      </c>
      <c r="Y95" s="77">
        <f t="shared" si="31"/>
        <v>0.125</v>
      </c>
      <c r="Z95" s="77">
        <f t="shared" si="31"/>
        <v>0.125</v>
      </c>
      <c r="AA95" s="77">
        <f t="shared" si="31"/>
        <v>0.125</v>
      </c>
      <c r="AB95" s="77">
        <f t="shared" si="31"/>
        <v>0.125</v>
      </c>
      <c r="AC95" s="77">
        <f t="shared" si="31"/>
        <v>0.125</v>
      </c>
      <c r="AD95" s="77">
        <f t="shared" si="31"/>
        <v>0.125</v>
      </c>
      <c r="AE95" s="77">
        <f t="shared" si="31"/>
        <v>0.125</v>
      </c>
      <c r="AF95" s="77">
        <f t="shared" si="31"/>
        <v>0.125</v>
      </c>
      <c r="AG95" s="77">
        <f t="shared" si="31"/>
        <v>0.125</v>
      </c>
      <c r="AH95" s="77">
        <f t="shared" si="31"/>
        <v>0.125</v>
      </c>
      <c r="AI95" s="77">
        <f t="shared" si="31"/>
        <v>0.125</v>
      </c>
      <c r="AK95" s="76">
        <f>AK55</f>
        <v>0.125</v>
      </c>
    </row>
    <row r="96" spans="1:39" x14ac:dyDescent="0.25">
      <c r="A96" s="9" t="str">
        <f>A21</f>
        <v>I-IS-MOE01</v>
      </c>
      <c r="B96" s="9" t="str">
        <f>B21</f>
        <v>IND Iron and Steel technology: Molten Oxide Electrolysis</v>
      </c>
      <c r="C96" s="9" t="s">
        <v>126</v>
      </c>
      <c r="F96" s="75" t="s">
        <v>470</v>
      </c>
      <c r="G96" s="75" t="s">
        <v>449</v>
      </c>
      <c r="H96" s="411">
        <f t="shared" si="32"/>
        <v>6.9300000000000015</v>
      </c>
      <c r="I96" s="411">
        <f t="shared" si="32"/>
        <v>6.9300000000000015</v>
      </c>
      <c r="J96" s="411">
        <f t="shared" si="32"/>
        <v>6.9300000000000015</v>
      </c>
      <c r="K96" s="411">
        <f t="shared" si="32"/>
        <v>6.9300000000000015</v>
      </c>
      <c r="L96" s="411">
        <f t="shared" si="32"/>
        <v>6.9300000000000015</v>
      </c>
      <c r="M96" s="411">
        <f t="shared" si="32"/>
        <v>6.9300000000000015</v>
      </c>
      <c r="N96" s="411">
        <f t="shared" si="32"/>
        <v>6.9300000000000015</v>
      </c>
      <c r="O96" s="411">
        <f t="shared" si="32"/>
        <v>6.9300000000000015</v>
      </c>
      <c r="P96" s="411">
        <f t="shared" si="32"/>
        <v>6.9300000000000015</v>
      </c>
      <c r="Q96" s="411">
        <f t="shared" si="32"/>
        <v>6.9300000000000015</v>
      </c>
      <c r="R96" s="411">
        <f t="shared" si="32"/>
        <v>6.9300000000000015</v>
      </c>
      <c r="S96" s="411">
        <f t="shared" si="32"/>
        <v>6.9300000000000015</v>
      </c>
      <c r="T96" s="411">
        <f t="shared" si="32"/>
        <v>6.9300000000000015</v>
      </c>
      <c r="U96" s="411">
        <f t="shared" si="32"/>
        <v>6.9300000000000015</v>
      </c>
      <c r="V96" s="411">
        <f t="shared" si="32"/>
        <v>6.9300000000000015</v>
      </c>
      <c r="W96" s="411">
        <f t="shared" si="31"/>
        <v>6.9300000000000015</v>
      </c>
      <c r="X96" s="411">
        <f t="shared" si="31"/>
        <v>6.9300000000000015</v>
      </c>
      <c r="Y96" s="411">
        <f t="shared" si="31"/>
        <v>6.9300000000000015</v>
      </c>
      <c r="Z96" s="411">
        <f t="shared" si="31"/>
        <v>6.9300000000000015</v>
      </c>
      <c r="AA96" s="411">
        <f t="shared" si="31"/>
        <v>6.9300000000000015</v>
      </c>
      <c r="AB96" s="411">
        <f t="shared" si="31"/>
        <v>6.9300000000000015</v>
      </c>
      <c r="AC96" s="411">
        <f t="shared" si="31"/>
        <v>6.9300000000000015</v>
      </c>
      <c r="AD96" s="411">
        <f t="shared" si="31"/>
        <v>6.9300000000000015</v>
      </c>
      <c r="AE96" s="411">
        <f t="shared" si="31"/>
        <v>6.9300000000000015</v>
      </c>
      <c r="AF96" s="411">
        <f t="shared" si="31"/>
        <v>6.9300000000000015</v>
      </c>
      <c r="AG96" s="411">
        <f t="shared" si="31"/>
        <v>6.9300000000000015</v>
      </c>
      <c r="AH96" s="411">
        <f t="shared" si="31"/>
        <v>6.9300000000000015</v>
      </c>
      <c r="AI96" s="411">
        <f t="shared" si="31"/>
        <v>6.9300000000000015</v>
      </c>
      <c r="AK96" s="9">
        <f>AK87*3</f>
        <v>6.9300000000000015</v>
      </c>
      <c r="AL96" s="462" t="s">
        <v>623</v>
      </c>
    </row>
    <row r="101" spans="1:38" x14ac:dyDescent="0.25">
      <c r="A101" s="52" t="s">
        <v>300</v>
      </c>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row>
    <row r="102" spans="1:38" ht="30.75" thickBot="1" x14ac:dyDescent="0.3">
      <c r="A102" s="54" t="s">
        <v>306</v>
      </c>
      <c r="B102" s="55" t="s">
        <v>545</v>
      </c>
      <c r="C102" s="54" t="s">
        <v>582</v>
      </c>
      <c r="D102" s="54" t="s">
        <v>575</v>
      </c>
      <c r="E102" s="54" t="s">
        <v>327</v>
      </c>
      <c r="F102" s="54" t="s">
        <v>326</v>
      </c>
      <c r="G102" s="54" t="s">
        <v>549</v>
      </c>
      <c r="H102" s="54" t="s">
        <v>162</v>
      </c>
      <c r="I102" s="54" t="s">
        <v>164</v>
      </c>
      <c r="J102" s="54" t="s">
        <v>166</v>
      </c>
      <c r="K102" s="54" t="s">
        <v>168</v>
      </c>
      <c r="L102" s="54" t="s">
        <v>170</v>
      </c>
      <c r="M102" s="54" t="s">
        <v>173</v>
      </c>
      <c r="N102" s="54" t="s">
        <v>175</v>
      </c>
      <c r="O102" s="54" t="s">
        <v>177</v>
      </c>
      <c r="P102" s="54" t="s">
        <v>179</v>
      </c>
      <c r="Q102" s="54" t="s">
        <v>181</v>
      </c>
      <c r="R102" s="54" t="s">
        <v>183</v>
      </c>
      <c r="S102" s="54" t="s">
        <v>185</v>
      </c>
      <c r="T102" s="54" t="s">
        <v>188</v>
      </c>
      <c r="U102" s="54" t="s">
        <v>190</v>
      </c>
      <c r="V102" s="54" t="s">
        <v>192</v>
      </c>
      <c r="W102" s="54" t="s">
        <v>194</v>
      </c>
      <c r="X102" s="54" t="s">
        <v>196</v>
      </c>
      <c r="Y102" s="54" t="s">
        <v>198</v>
      </c>
      <c r="Z102" s="54" t="s">
        <v>9</v>
      </c>
      <c r="AA102" s="54" t="s">
        <v>201</v>
      </c>
      <c r="AB102" s="54" t="s">
        <v>203</v>
      </c>
      <c r="AC102" s="54" t="s">
        <v>205</v>
      </c>
      <c r="AD102" s="54" t="s">
        <v>207</v>
      </c>
      <c r="AE102" s="54" t="s">
        <v>210</v>
      </c>
      <c r="AF102" s="54" t="s">
        <v>212</v>
      </c>
      <c r="AG102" s="54" t="s">
        <v>214</v>
      </c>
      <c r="AH102" s="54" t="s">
        <v>217</v>
      </c>
      <c r="AI102" s="54" t="s">
        <v>219</v>
      </c>
    </row>
    <row r="103" spans="1:38" ht="76.5" x14ac:dyDescent="0.25">
      <c r="A103" s="50" t="s">
        <v>551</v>
      </c>
      <c r="B103" s="50" t="s">
        <v>26</v>
      </c>
      <c r="C103" s="50" t="s">
        <v>582</v>
      </c>
      <c r="D103" s="50"/>
      <c r="E103" s="50" t="s">
        <v>330</v>
      </c>
      <c r="F103" s="50" t="s">
        <v>555</v>
      </c>
      <c r="G103" s="50" t="s">
        <v>556</v>
      </c>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row>
    <row r="104" spans="1:38" x14ac:dyDescent="0.25">
      <c r="A104" s="9" t="str">
        <f t="shared" ref="A104:B108" si="37">AL11</f>
        <v>I-IS-BF_BOF01</v>
      </c>
      <c r="B104" s="9" t="str">
        <f t="shared" si="37"/>
        <v>IND Iron and Steel technology: BF-BOF</v>
      </c>
      <c r="C104" s="75">
        <v>2020</v>
      </c>
      <c r="D104" s="75"/>
      <c r="E104" s="75"/>
      <c r="F104" s="75" t="s">
        <v>624</v>
      </c>
      <c r="G104" s="75" t="s">
        <v>625</v>
      </c>
      <c r="H104" s="319">
        <f>$AK104</f>
        <v>763.65359323626262</v>
      </c>
      <c r="I104" s="319">
        <f t="shared" ref="I104:AI113" si="38">$AK104</f>
        <v>763.65359323626262</v>
      </c>
      <c r="J104" s="319">
        <f t="shared" si="38"/>
        <v>763.65359323626262</v>
      </c>
      <c r="K104" s="319">
        <f t="shared" si="38"/>
        <v>763.65359323626262</v>
      </c>
      <c r="L104" s="319">
        <f t="shared" si="38"/>
        <v>763.65359323626262</v>
      </c>
      <c r="M104" s="319">
        <f t="shared" si="38"/>
        <v>763.65359323626262</v>
      </c>
      <c r="N104" s="319">
        <f t="shared" si="38"/>
        <v>763.65359323626262</v>
      </c>
      <c r="O104" s="319">
        <f t="shared" si="38"/>
        <v>763.65359323626262</v>
      </c>
      <c r="P104" s="319">
        <f t="shared" si="38"/>
        <v>763.65359323626262</v>
      </c>
      <c r="Q104" s="319">
        <f t="shared" si="38"/>
        <v>763.65359323626262</v>
      </c>
      <c r="R104" s="319">
        <f t="shared" si="38"/>
        <v>763.65359323626262</v>
      </c>
      <c r="S104" s="319">
        <f t="shared" si="38"/>
        <v>763.65359323626262</v>
      </c>
      <c r="T104" s="319">
        <f t="shared" si="38"/>
        <v>763.65359323626262</v>
      </c>
      <c r="U104" s="319">
        <f t="shared" si="38"/>
        <v>763.65359323626262</v>
      </c>
      <c r="V104" s="319">
        <f t="shared" si="38"/>
        <v>763.65359323626262</v>
      </c>
      <c r="W104" s="319">
        <f t="shared" si="38"/>
        <v>763.65359323626262</v>
      </c>
      <c r="X104" s="319">
        <f t="shared" si="38"/>
        <v>763.65359323626262</v>
      </c>
      <c r="Y104" s="319">
        <f t="shared" si="38"/>
        <v>763.65359323626262</v>
      </c>
      <c r="Z104" s="319">
        <f t="shared" si="38"/>
        <v>763.65359323626262</v>
      </c>
      <c r="AA104" s="319">
        <f t="shared" si="38"/>
        <v>763.65359323626262</v>
      </c>
      <c r="AB104" s="319">
        <f t="shared" si="38"/>
        <v>763.65359323626262</v>
      </c>
      <c r="AC104" s="319">
        <f t="shared" si="38"/>
        <v>763.65359323626262</v>
      </c>
      <c r="AD104" s="319">
        <f t="shared" si="38"/>
        <v>763.65359323626262</v>
      </c>
      <c r="AE104" s="319">
        <f t="shared" si="38"/>
        <v>763.65359323626262</v>
      </c>
      <c r="AF104" s="319">
        <f t="shared" si="38"/>
        <v>763.65359323626262</v>
      </c>
      <c r="AG104" s="319">
        <f t="shared" si="38"/>
        <v>763.65359323626262</v>
      </c>
      <c r="AH104" s="319">
        <f t="shared" si="38"/>
        <v>763.65359323626262</v>
      </c>
      <c r="AI104" s="319">
        <f t="shared" si="38"/>
        <v>763.65359323626262</v>
      </c>
      <c r="AK104" s="318">
        <f>IIS_Costs!F9*(Legend!$B$71/Legend!$B$69)</f>
        <v>763.65359323626262</v>
      </c>
    </row>
    <row r="105" spans="1:38" x14ac:dyDescent="0.25">
      <c r="A105" s="9" t="str">
        <f t="shared" si="37"/>
        <v>I-IS-BF_BOF02</v>
      </c>
      <c r="B105" s="9" t="str">
        <f t="shared" si="37"/>
        <v>IND Iron and Steel technology: BF-BOF - High bio</v>
      </c>
      <c r="C105" s="75">
        <v>2020</v>
      </c>
      <c r="F105" s="75" t="s">
        <v>624</v>
      </c>
      <c r="G105" s="75" t="s">
        <v>625</v>
      </c>
      <c r="H105" s="319">
        <f>$AK105</f>
        <v>763.65359323626262</v>
      </c>
      <c r="I105" s="319">
        <f t="shared" si="38"/>
        <v>763.65359323626262</v>
      </c>
      <c r="J105" s="319">
        <f t="shared" si="38"/>
        <v>763.65359323626262</v>
      </c>
      <c r="K105" s="319">
        <f t="shared" si="38"/>
        <v>763.65359323626262</v>
      </c>
      <c r="L105" s="319">
        <f t="shared" si="38"/>
        <v>763.65359323626262</v>
      </c>
      <c r="M105" s="319">
        <f t="shared" si="38"/>
        <v>763.65359323626262</v>
      </c>
      <c r="N105" s="319">
        <f t="shared" si="38"/>
        <v>763.65359323626262</v>
      </c>
      <c r="O105" s="319">
        <f t="shared" si="38"/>
        <v>763.65359323626262</v>
      </c>
      <c r="P105" s="319">
        <f t="shared" si="38"/>
        <v>763.65359323626262</v>
      </c>
      <c r="Q105" s="319">
        <f t="shared" si="38"/>
        <v>763.65359323626262</v>
      </c>
      <c r="R105" s="319">
        <f t="shared" si="38"/>
        <v>763.65359323626262</v>
      </c>
      <c r="S105" s="319">
        <f t="shared" si="38"/>
        <v>763.65359323626262</v>
      </c>
      <c r="T105" s="319">
        <f t="shared" si="38"/>
        <v>763.65359323626262</v>
      </c>
      <c r="U105" s="319">
        <f t="shared" si="38"/>
        <v>763.65359323626262</v>
      </c>
      <c r="V105" s="319">
        <f t="shared" si="38"/>
        <v>763.65359323626262</v>
      </c>
      <c r="W105" s="319">
        <f t="shared" si="38"/>
        <v>763.65359323626262</v>
      </c>
      <c r="X105" s="319">
        <f t="shared" si="38"/>
        <v>763.65359323626262</v>
      </c>
      <c r="Y105" s="319">
        <f t="shared" si="38"/>
        <v>763.65359323626262</v>
      </c>
      <c r="Z105" s="319">
        <f t="shared" si="38"/>
        <v>763.65359323626262</v>
      </c>
      <c r="AA105" s="319">
        <f t="shared" si="38"/>
        <v>763.65359323626262</v>
      </c>
      <c r="AB105" s="319">
        <f t="shared" si="38"/>
        <v>763.65359323626262</v>
      </c>
      <c r="AC105" s="319">
        <f t="shared" si="38"/>
        <v>763.65359323626262</v>
      </c>
      <c r="AD105" s="319">
        <f t="shared" si="38"/>
        <v>763.65359323626262</v>
      </c>
      <c r="AE105" s="319">
        <f t="shared" si="38"/>
        <v>763.65359323626262</v>
      </c>
      <c r="AF105" s="319">
        <f t="shared" si="38"/>
        <v>763.65359323626262</v>
      </c>
      <c r="AG105" s="319">
        <f t="shared" si="38"/>
        <v>763.65359323626262</v>
      </c>
      <c r="AH105" s="319">
        <f t="shared" si="38"/>
        <v>763.65359323626262</v>
      </c>
      <c r="AI105" s="319">
        <f t="shared" si="38"/>
        <v>763.65359323626262</v>
      </c>
      <c r="AK105" s="318">
        <f>AK104</f>
        <v>763.65359323626262</v>
      </c>
    </row>
    <row r="106" spans="1:38" x14ac:dyDescent="0.25">
      <c r="A106" s="9" t="str">
        <f t="shared" si="37"/>
        <v>I-IS-DRI_EAF_COA01</v>
      </c>
      <c r="B106" s="9" t="str">
        <f t="shared" si="37"/>
        <v>IND Iron and Steel technology: DRI using coal plus EAF</v>
      </c>
      <c r="C106" s="75">
        <v>2020</v>
      </c>
      <c r="F106" s="75" t="s">
        <v>624</v>
      </c>
      <c r="G106" s="75" t="s">
        <v>625</v>
      </c>
      <c r="H106" s="319">
        <f>$AK106</f>
        <v>645.63440155429475</v>
      </c>
      <c r="I106" s="319">
        <f t="shared" si="38"/>
        <v>645.63440155429475</v>
      </c>
      <c r="J106" s="319">
        <f t="shared" si="38"/>
        <v>645.63440155429475</v>
      </c>
      <c r="K106" s="319">
        <f t="shared" si="38"/>
        <v>645.63440155429475</v>
      </c>
      <c r="L106" s="319">
        <f t="shared" si="38"/>
        <v>645.63440155429475</v>
      </c>
      <c r="M106" s="319">
        <f t="shared" si="38"/>
        <v>645.63440155429475</v>
      </c>
      <c r="N106" s="319">
        <f t="shared" si="38"/>
        <v>645.63440155429475</v>
      </c>
      <c r="O106" s="319">
        <f t="shared" si="38"/>
        <v>645.63440155429475</v>
      </c>
      <c r="P106" s="319">
        <f t="shared" si="38"/>
        <v>645.63440155429475</v>
      </c>
      <c r="Q106" s="319">
        <f t="shared" si="38"/>
        <v>645.63440155429475</v>
      </c>
      <c r="R106" s="319">
        <f t="shared" si="38"/>
        <v>645.63440155429475</v>
      </c>
      <c r="S106" s="319">
        <f t="shared" si="38"/>
        <v>645.63440155429475</v>
      </c>
      <c r="T106" s="319">
        <f t="shared" si="38"/>
        <v>645.63440155429475</v>
      </c>
      <c r="U106" s="319">
        <f t="shared" si="38"/>
        <v>645.63440155429475</v>
      </c>
      <c r="V106" s="319">
        <f t="shared" si="38"/>
        <v>645.63440155429475</v>
      </c>
      <c r="W106" s="319">
        <f t="shared" si="38"/>
        <v>645.63440155429475</v>
      </c>
      <c r="X106" s="319">
        <f t="shared" si="38"/>
        <v>645.63440155429475</v>
      </c>
      <c r="Y106" s="319">
        <f t="shared" si="38"/>
        <v>645.63440155429475</v>
      </c>
      <c r="Z106" s="319">
        <f t="shared" si="38"/>
        <v>645.63440155429475</v>
      </c>
      <c r="AA106" s="319">
        <f t="shared" si="38"/>
        <v>645.63440155429475</v>
      </c>
      <c r="AB106" s="319">
        <f t="shared" si="38"/>
        <v>645.63440155429475</v>
      </c>
      <c r="AC106" s="319">
        <f t="shared" si="38"/>
        <v>645.63440155429475</v>
      </c>
      <c r="AD106" s="319">
        <f t="shared" si="38"/>
        <v>645.63440155429475</v>
      </c>
      <c r="AE106" s="319">
        <f t="shared" si="38"/>
        <v>645.63440155429475</v>
      </c>
      <c r="AF106" s="319">
        <f t="shared" si="38"/>
        <v>645.63440155429475</v>
      </c>
      <c r="AG106" s="319">
        <f t="shared" si="38"/>
        <v>645.63440155429475</v>
      </c>
      <c r="AH106" s="319">
        <f t="shared" si="38"/>
        <v>645.63440155429475</v>
      </c>
      <c r="AI106" s="319">
        <f t="shared" si="38"/>
        <v>645.63440155429475</v>
      </c>
      <c r="AK106" s="318">
        <f>IIS_Costs!F6*(Legend!$B$71/Legend!$B$69)</f>
        <v>645.63440155429475</v>
      </c>
    </row>
    <row r="107" spans="1:38" x14ac:dyDescent="0.25">
      <c r="A107" s="9" t="str">
        <f t="shared" si="37"/>
        <v>I-IS-DRI_EAF_NGA01</v>
      </c>
      <c r="B107" s="9" t="str">
        <f t="shared" si="37"/>
        <v>IND Iron and Steel technology: DRI using gas plus EAF</v>
      </c>
      <c r="C107" s="75">
        <v>2020</v>
      </c>
      <c r="F107" s="75" t="s">
        <v>624</v>
      </c>
      <c r="G107" s="75" t="s">
        <v>625</v>
      </c>
      <c r="H107" s="319">
        <f>$AK107</f>
        <v>645.63440155429475</v>
      </c>
      <c r="I107" s="319">
        <f t="shared" si="38"/>
        <v>645.63440155429475</v>
      </c>
      <c r="J107" s="319">
        <f t="shared" si="38"/>
        <v>645.63440155429475</v>
      </c>
      <c r="K107" s="319">
        <f t="shared" si="38"/>
        <v>645.63440155429475</v>
      </c>
      <c r="L107" s="319">
        <f t="shared" si="38"/>
        <v>645.63440155429475</v>
      </c>
      <c r="M107" s="319">
        <f t="shared" si="38"/>
        <v>645.63440155429475</v>
      </c>
      <c r="N107" s="319">
        <f t="shared" si="38"/>
        <v>645.63440155429475</v>
      </c>
      <c r="O107" s="319">
        <f t="shared" si="38"/>
        <v>645.63440155429475</v>
      </c>
      <c r="P107" s="319">
        <f t="shared" si="38"/>
        <v>645.63440155429475</v>
      </c>
      <c r="Q107" s="319">
        <f t="shared" si="38"/>
        <v>645.63440155429475</v>
      </c>
      <c r="R107" s="319">
        <f t="shared" si="38"/>
        <v>645.63440155429475</v>
      </c>
      <c r="S107" s="319">
        <f t="shared" si="38"/>
        <v>645.63440155429475</v>
      </c>
      <c r="T107" s="319">
        <f t="shared" si="38"/>
        <v>645.63440155429475</v>
      </c>
      <c r="U107" s="319">
        <f t="shared" si="38"/>
        <v>645.63440155429475</v>
      </c>
      <c r="V107" s="319">
        <f t="shared" si="38"/>
        <v>645.63440155429475</v>
      </c>
      <c r="W107" s="319">
        <f t="shared" si="38"/>
        <v>645.63440155429475</v>
      </c>
      <c r="X107" s="319">
        <f t="shared" si="38"/>
        <v>645.63440155429475</v>
      </c>
      <c r="Y107" s="319">
        <f t="shared" si="38"/>
        <v>645.63440155429475</v>
      </c>
      <c r="Z107" s="319">
        <f t="shared" si="38"/>
        <v>645.63440155429475</v>
      </c>
      <c r="AA107" s="319">
        <f t="shared" si="38"/>
        <v>645.63440155429475</v>
      </c>
      <c r="AB107" s="319">
        <f t="shared" si="38"/>
        <v>645.63440155429475</v>
      </c>
      <c r="AC107" s="319">
        <f t="shared" si="38"/>
        <v>645.63440155429475</v>
      </c>
      <c r="AD107" s="319">
        <f t="shared" si="38"/>
        <v>645.63440155429475</v>
      </c>
      <c r="AE107" s="319">
        <f t="shared" si="38"/>
        <v>645.63440155429475</v>
      </c>
      <c r="AF107" s="319">
        <f t="shared" si="38"/>
        <v>645.63440155429475</v>
      </c>
      <c r="AG107" s="319">
        <f t="shared" si="38"/>
        <v>645.63440155429475</v>
      </c>
      <c r="AH107" s="319">
        <f t="shared" si="38"/>
        <v>645.63440155429475</v>
      </c>
      <c r="AI107" s="319">
        <f t="shared" si="38"/>
        <v>645.63440155429475</v>
      </c>
      <c r="AK107" s="318">
        <f>AK106</f>
        <v>645.63440155429475</v>
      </c>
    </row>
    <row r="108" spans="1:38" x14ac:dyDescent="0.25">
      <c r="A108" s="9" t="str">
        <f t="shared" si="37"/>
        <v>I-IS-DRI_EAF_H201</v>
      </c>
      <c r="B108" s="9" t="str">
        <f t="shared" si="37"/>
        <v>IND Iron and Steel technology: DRI using H2 plus EAF</v>
      </c>
      <c r="C108" s="75">
        <v>2020</v>
      </c>
      <c r="F108" s="75" t="s">
        <v>624</v>
      </c>
      <c r="G108" s="75" t="s">
        <v>625</v>
      </c>
      <c r="H108" s="468">
        <f t="shared" ref="H108:T115" si="39">$AK108</f>
        <v>1034.1093380827263</v>
      </c>
      <c r="I108" s="468">
        <f t="shared" si="38"/>
        <v>1034.1093380827263</v>
      </c>
      <c r="J108" s="468">
        <f t="shared" si="38"/>
        <v>1034.1093380827263</v>
      </c>
      <c r="K108" s="468">
        <f t="shared" si="38"/>
        <v>1034.1093380827263</v>
      </c>
      <c r="L108" s="468">
        <f t="shared" si="38"/>
        <v>1034.1093380827263</v>
      </c>
      <c r="M108" s="468">
        <f t="shared" si="38"/>
        <v>1034.1093380827263</v>
      </c>
      <c r="N108" s="468">
        <f t="shared" si="38"/>
        <v>1034.1093380827263</v>
      </c>
      <c r="O108" s="468">
        <f t="shared" si="38"/>
        <v>1034.1093380827263</v>
      </c>
      <c r="P108" s="468">
        <f t="shared" si="38"/>
        <v>1034.1093380827263</v>
      </c>
      <c r="Q108" s="468">
        <f t="shared" si="38"/>
        <v>1034.1093380827263</v>
      </c>
      <c r="R108" s="468">
        <f t="shared" si="38"/>
        <v>1034.1093380827263</v>
      </c>
      <c r="S108" s="468">
        <f t="shared" si="38"/>
        <v>1034.1093380827263</v>
      </c>
      <c r="T108" s="468">
        <f t="shared" si="38"/>
        <v>1034.1093380827263</v>
      </c>
      <c r="U108" s="468">
        <f t="shared" si="38"/>
        <v>1034.1093380827263</v>
      </c>
      <c r="V108" s="468">
        <f t="shared" si="38"/>
        <v>1034.1093380827263</v>
      </c>
      <c r="W108" s="468">
        <f t="shared" si="38"/>
        <v>1034.1093380827263</v>
      </c>
      <c r="X108" s="468">
        <f t="shared" si="38"/>
        <v>1034.1093380827263</v>
      </c>
      <c r="Y108" s="468">
        <f t="shared" si="38"/>
        <v>1034.1093380827263</v>
      </c>
      <c r="Z108" s="468">
        <f t="shared" si="38"/>
        <v>1034.1093380827263</v>
      </c>
      <c r="AA108" s="468">
        <f t="shared" si="38"/>
        <v>1034.1093380827263</v>
      </c>
      <c r="AB108" s="468">
        <f t="shared" si="38"/>
        <v>1034.1093380827263</v>
      </c>
      <c r="AC108" s="468">
        <f t="shared" si="38"/>
        <v>1034.1093380827263</v>
      </c>
      <c r="AD108" s="468">
        <f t="shared" si="38"/>
        <v>1034.1093380827263</v>
      </c>
      <c r="AE108" s="468">
        <f t="shared" si="38"/>
        <v>1034.1093380827263</v>
      </c>
      <c r="AF108" s="468">
        <f t="shared" si="38"/>
        <v>1034.1093380827263</v>
      </c>
      <c r="AG108" s="468">
        <f t="shared" si="38"/>
        <v>1034.1093380827263</v>
      </c>
      <c r="AH108" s="468">
        <f t="shared" si="38"/>
        <v>1034.1093380827263</v>
      </c>
      <c r="AI108" s="468">
        <f t="shared" si="38"/>
        <v>1034.1093380827263</v>
      </c>
      <c r="AK108" s="469">
        <f>$AK$107*IIS_Costs!J7</f>
        <v>1034.1093380827263</v>
      </c>
      <c r="AL108" s="146" t="s">
        <v>626</v>
      </c>
    </row>
    <row r="109" spans="1:38" x14ac:dyDescent="0.25">
      <c r="C109" s="75">
        <v>2030</v>
      </c>
      <c r="F109" s="75" t="s">
        <v>624</v>
      </c>
      <c r="G109" s="75" t="s">
        <v>625</v>
      </c>
      <c r="H109" s="468">
        <f t="shared" si="39"/>
        <v>935.62273445580001</v>
      </c>
      <c r="I109" s="468">
        <f t="shared" si="38"/>
        <v>935.62273445580001</v>
      </c>
      <c r="J109" s="468">
        <f t="shared" si="38"/>
        <v>935.62273445580001</v>
      </c>
      <c r="K109" s="468">
        <f t="shared" si="38"/>
        <v>935.62273445580001</v>
      </c>
      <c r="L109" s="468">
        <f t="shared" si="38"/>
        <v>935.62273445580001</v>
      </c>
      <c r="M109" s="468">
        <f t="shared" si="38"/>
        <v>935.62273445580001</v>
      </c>
      <c r="N109" s="468">
        <f t="shared" si="38"/>
        <v>935.62273445580001</v>
      </c>
      <c r="O109" s="468">
        <f t="shared" si="38"/>
        <v>935.62273445580001</v>
      </c>
      <c r="P109" s="468">
        <f t="shared" si="38"/>
        <v>935.62273445580001</v>
      </c>
      <c r="Q109" s="468">
        <f t="shared" si="38"/>
        <v>935.62273445580001</v>
      </c>
      <c r="R109" s="468">
        <f t="shared" si="38"/>
        <v>935.62273445580001</v>
      </c>
      <c r="S109" s="468">
        <f t="shared" si="38"/>
        <v>935.62273445580001</v>
      </c>
      <c r="T109" s="468">
        <f t="shared" si="38"/>
        <v>935.62273445580001</v>
      </c>
      <c r="U109" s="468">
        <f t="shared" si="38"/>
        <v>935.62273445580001</v>
      </c>
      <c r="V109" s="468">
        <f t="shared" si="38"/>
        <v>935.62273445580001</v>
      </c>
      <c r="W109" s="468">
        <f t="shared" si="38"/>
        <v>935.62273445580001</v>
      </c>
      <c r="X109" s="468">
        <f t="shared" si="38"/>
        <v>935.62273445580001</v>
      </c>
      <c r="Y109" s="468">
        <f t="shared" si="38"/>
        <v>935.62273445580001</v>
      </c>
      <c r="Z109" s="468">
        <f t="shared" si="38"/>
        <v>935.62273445580001</v>
      </c>
      <c r="AA109" s="468">
        <f t="shared" si="38"/>
        <v>935.62273445580001</v>
      </c>
      <c r="AB109" s="468">
        <f t="shared" si="38"/>
        <v>935.62273445580001</v>
      </c>
      <c r="AC109" s="468">
        <f t="shared" si="38"/>
        <v>935.62273445580001</v>
      </c>
      <c r="AD109" s="468">
        <f t="shared" si="38"/>
        <v>935.62273445580001</v>
      </c>
      <c r="AE109" s="468">
        <f t="shared" si="38"/>
        <v>935.62273445580001</v>
      </c>
      <c r="AF109" s="468">
        <f t="shared" si="38"/>
        <v>935.62273445580001</v>
      </c>
      <c r="AG109" s="468">
        <f t="shared" si="38"/>
        <v>935.62273445580001</v>
      </c>
      <c r="AH109" s="468">
        <f t="shared" si="38"/>
        <v>935.62273445580001</v>
      </c>
      <c r="AI109" s="468">
        <f t="shared" si="38"/>
        <v>935.62273445580001</v>
      </c>
      <c r="AK109" s="469">
        <f>$AK$107*IIS_Costs!K7</f>
        <v>935.62273445580001</v>
      </c>
      <c r="AL109" s="146" t="s">
        <v>626</v>
      </c>
    </row>
    <row r="110" spans="1:38" x14ac:dyDescent="0.25">
      <c r="C110" s="75">
        <v>2040</v>
      </c>
      <c r="F110" s="75" t="s">
        <v>624</v>
      </c>
      <c r="G110" s="75" t="s">
        <v>625</v>
      </c>
      <c r="H110" s="468">
        <f t="shared" si="39"/>
        <v>826.19317487032629</v>
      </c>
      <c r="I110" s="468">
        <f t="shared" si="38"/>
        <v>826.19317487032629</v>
      </c>
      <c r="J110" s="468">
        <f t="shared" si="38"/>
        <v>826.19317487032629</v>
      </c>
      <c r="K110" s="468">
        <f t="shared" si="38"/>
        <v>826.19317487032629</v>
      </c>
      <c r="L110" s="468">
        <f t="shared" si="38"/>
        <v>826.19317487032629</v>
      </c>
      <c r="M110" s="468">
        <f t="shared" si="38"/>
        <v>826.19317487032629</v>
      </c>
      <c r="N110" s="468">
        <f t="shared" si="38"/>
        <v>826.19317487032629</v>
      </c>
      <c r="O110" s="468">
        <f t="shared" si="38"/>
        <v>826.19317487032629</v>
      </c>
      <c r="P110" s="468">
        <f t="shared" si="38"/>
        <v>826.19317487032629</v>
      </c>
      <c r="Q110" s="468">
        <f t="shared" si="38"/>
        <v>826.19317487032629</v>
      </c>
      <c r="R110" s="468">
        <f t="shared" si="38"/>
        <v>826.19317487032629</v>
      </c>
      <c r="S110" s="468">
        <f t="shared" si="38"/>
        <v>826.19317487032629</v>
      </c>
      <c r="T110" s="468">
        <f t="shared" si="38"/>
        <v>826.19317487032629</v>
      </c>
      <c r="U110" s="468">
        <f t="shared" si="38"/>
        <v>826.19317487032629</v>
      </c>
      <c r="V110" s="468">
        <f t="shared" si="38"/>
        <v>826.19317487032629</v>
      </c>
      <c r="W110" s="468">
        <f t="shared" si="38"/>
        <v>826.19317487032629</v>
      </c>
      <c r="X110" s="468">
        <f t="shared" si="38"/>
        <v>826.19317487032629</v>
      </c>
      <c r="Y110" s="468">
        <f t="shared" si="38"/>
        <v>826.19317487032629</v>
      </c>
      <c r="Z110" s="468">
        <f t="shared" si="38"/>
        <v>826.19317487032629</v>
      </c>
      <c r="AA110" s="468">
        <f t="shared" si="38"/>
        <v>826.19317487032629</v>
      </c>
      <c r="AB110" s="468">
        <f t="shared" si="38"/>
        <v>826.19317487032629</v>
      </c>
      <c r="AC110" s="468">
        <f t="shared" si="38"/>
        <v>826.19317487032629</v>
      </c>
      <c r="AD110" s="468">
        <f t="shared" si="38"/>
        <v>826.19317487032629</v>
      </c>
      <c r="AE110" s="468">
        <f t="shared" si="38"/>
        <v>826.19317487032629</v>
      </c>
      <c r="AF110" s="468">
        <f t="shared" si="38"/>
        <v>826.19317487032629</v>
      </c>
      <c r="AG110" s="468">
        <f t="shared" si="38"/>
        <v>826.19317487032629</v>
      </c>
      <c r="AH110" s="468">
        <f t="shared" si="38"/>
        <v>826.19317487032629</v>
      </c>
      <c r="AI110" s="468">
        <f t="shared" si="38"/>
        <v>826.19317487032629</v>
      </c>
      <c r="AK110" s="469">
        <f>$AK$107*IIS_Costs!L7</f>
        <v>826.19317487032629</v>
      </c>
      <c r="AL110" s="146" t="s">
        <v>626</v>
      </c>
    </row>
    <row r="111" spans="1:38" x14ac:dyDescent="0.25">
      <c r="A111" s="9" t="str">
        <f t="shared" ref="A111:B116" si="40">AL16</f>
        <v>I-IS-SCP_EAF01</v>
      </c>
      <c r="B111" s="9" t="str">
        <f t="shared" si="40"/>
        <v>IND Iron and Steel technology: EAF using scrap (secondary)</v>
      </c>
      <c r="C111" s="75">
        <v>2020</v>
      </c>
      <c r="F111" s="75" t="s">
        <v>624</v>
      </c>
      <c r="G111" s="75" t="s">
        <v>625</v>
      </c>
      <c r="H111" s="319">
        <f t="shared" si="39"/>
        <v>333.23065886673282</v>
      </c>
      <c r="I111" s="319">
        <f t="shared" si="38"/>
        <v>333.23065886673282</v>
      </c>
      <c r="J111" s="319">
        <f t="shared" si="38"/>
        <v>333.23065886673282</v>
      </c>
      <c r="K111" s="319">
        <f t="shared" si="38"/>
        <v>333.23065886673282</v>
      </c>
      <c r="L111" s="319">
        <f t="shared" si="38"/>
        <v>333.23065886673282</v>
      </c>
      <c r="M111" s="319">
        <f t="shared" si="38"/>
        <v>333.23065886673282</v>
      </c>
      <c r="N111" s="319">
        <f t="shared" si="38"/>
        <v>333.23065886673282</v>
      </c>
      <c r="O111" s="319">
        <f t="shared" si="38"/>
        <v>333.23065886673282</v>
      </c>
      <c r="P111" s="319">
        <f t="shared" si="38"/>
        <v>333.23065886673282</v>
      </c>
      <c r="Q111" s="319">
        <f t="shared" si="38"/>
        <v>333.23065886673282</v>
      </c>
      <c r="R111" s="319">
        <f t="shared" si="38"/>
        <v>333.23065886673282</v>
      </c>
      <c r="S111" s="319">
        <f t="shared" si="38"/>
        <v>333.23065886673282</v>
      </c>
      <c r="T111" s="319">
        <f t="shared" si="38"/>
        <v>333.23065886673282</v>
      </c>
      <c r="U111" s="319">
        <f t="shared" si="38"/>
        <v>333.23065886673282</v>
      </c>
      <c r="V111" s="319">
        <f t="shared" si="38"/>
        <v>333.23065886673282</v>
      </c>
      <c r="W111" s="319">
        <f t="shared" si="38"/>
        <v>333.23065886673282</v>
      </c>
      <c r="X111" s="319">
        <f t="shared" si="38"/>
        <v>333.23065886673282</v>
      </c>
      <c r="Y111" s="319">
        <f t="shared" si="38"/>
        <v>333.23065886673282</v>
      </c>
      <c r="Z111" s="319">
        <f t="shared" si="38"/>
        <v>333.23065886673282</v>
      </c>
      <c r="AA111" s="319">
        <f t="shared" si="38"/>
        <v>333.23065886673282</v>
      </c>
      <c r="AB111" s="319">
        <f t="shared" si="38"/>
        <v>333.23065886673282</v>
      </c>
      <c r="AC111" s="319">
        <f t="shared" si="38"/>
        <v>333.23065886673282</v>
      </c>
      <c r="AD111" s="319">
        <f t="shared" si="38"/>
        <v>333.23065886673282</v>
      </c>
      <c r="AE111" s="319">
        <f t="shared" si="38"/>
        <v>333.23065886673282</v>
      </c>
      <c r="AF111" s="319">
        <f t="shared" si="38"/>
        <v>333.23065886673282</v>
      </c>
      <c r="AG111" s="319">
        <f t="shared" si="38"/>
        <v>333.23065886673282</v>
      </c>
      <c r="AH111" s="319">
        <f t="shared" si="38"/>
        <v>333.23065886673282</v>
      </c>
      <c r="AI111" s="319">
        <f t="shared" si="38"/>
        <v>333.23065886673282</v>
      </c>
      <c r="AK111" s="318">
        <f>IIS_Costs!F5*(Legend!$B$71/Legend!$B$69)</f>
        <v>333.23065886673282</v>
      </c>
    </row>
    <row r="112" spans="1:38" x14ac:dyDescent="0.25">
      <c r="A112" s="9" t="str">
        <f t="shared" si="40"/>
        <v>I-IS-BF_BOF01_CCS</v>
      </c>
      <c r="B112" s="9" t="str">
        <f t="shared" si="40"/>
        <v>IND Iron and Steel technology: BF-BOF w/CCS</v>
      </c>
      <c r="C112" s="9">
        <v>2030</v>
      </c>
      <c r="F112" s="75" t="s">
        <v>624</v>
      </c>
      <c r="G112" s="75" t="s">
        <v>625</v>
      </c>
      <c r="H112" s="319">
        <f t="shared" si="39"/>
        <v>944.15353345574295</v>
      </c>
      <c r="I112" s="319">
        <f t="shared" si="38"/>
        <v>944.15353345574295</v>
      </c>
      <c r="J112" s="319">
        <f t="shared" si="38"/>
        <v>944.15353345574295</v>
      </c>
      <c r="K112" s="319">
        <f t="shared" si="38"/>
        <v>944.15353345574295</v>
      </c>
      <c r="L112" s="319">
        <f t="shared" si="38"/>
        <v>944.15353345574295</v>
      </c>
      <c r="M112" s="319">
        <f t="shared" si="38"/>
        <v>944.15353345574295</v>
      </c>
      <c r="N112" s="319">
        <f t="shared" si="38"/>
        <v>944.15353345574295</v>
      </c>
      <c r="O112" s="319">
        <f t="shared" si="38"/>
        <v>944.15353345574295</v>
      </c>
      <c r="P112" s="319">
        <f t="shared" si="38"/>
        <v>944.15353345574295</v>
      </c>
      <c r="Q112" s="319">
        <f t="shared" si="38"/>
        <v>944.15353345574295</v>
      </c>
      <c r="R112" s="319">
        <f t="shared" si="38"/>
        <v>944.15353345574295</v>
      </c>
      <c r="S112" s="319">
        <f t="shared" si="38"/>
        <v>944.15353345574295</v>
      </c>
      <c r="T112" s="319">
        <f t="shared" si="38"/>
        <v>944.15353345574295</v>
      </c>
      <c r="U112" s="319">
        <f t="shared" si="38"/>
        <v>944.15353345574295</v>
      </c>
      <c r="V112" s="319">
        <f t="shared" si="38"/>
        <v>944.15353345574295</v>
      </c>
      <c r="W112" s="319">
        <f t="shared" si="38"/>
        <v>944.15353345574295</v>
      </c>
      <c r="X112" s="319">
        <f t="shared" si="38"/>
        <v>944.15353345574295</v>
      </c>
      <c r="Y112" s="319">
        <f t="shared" si="38"/>
        <v>944.15353345574295</v>
      </c>
      <c r="Z112" s="319">
        <f t="shared" si="38"/>
        <v>944.15353345574295</v>
      </c>
      <c r="AA112" s="319">
        <f t="shared" si="38"/>
        <v>944.15353345574295</v>
      </c>
      <c r="AB112" s="319">
        <f t="shared" si="38"/>
        <v>944.15353345574295</v>
      </c>
      <c r="AC112" s="319">
        <f t="shared" si="38"/>
        <v>944.15353345574295</v>
      </c>
      <c r="AD112" s="319">
        <f t="shared" si="38"/>
        <v>944.15353345574295</v>
      </c>
      <c r="AE112" s="319">
        <f t="shared" si="38"/>
        <v>944.15353345574295</v>
      </c>
      <c r="AF112" s="319">
        <f t="shared" si="38"/>
        <v>944.15353345574295</v>
      </c>
      <c r="AG112" s="319">
        <f t="shared" si="38"/>
        <v>944.15353345574295</v>
      </c>
      <c r="AH112" s="319">
        <f t="shared" si="38"/>
        <v>944.15353345574295</v>
      </c>
      <c r="AI112" s="319">
        <f t="shared" si="38"/>
        <v>944.15353345574295</v>
      </c>
      <c r="AK112" s="318">
        <f>IIS_Costs!F10*(Legend!$B$71/Legend!$B$69)</f>
        <v>944.15353345574295</v>
      </c>
    </row>
    <row r="113" spans="1:38" x14ac:dyDescent="0.25">
      <c r="A113" s="9" t="str">
        <f t="shared" si="40"/>
        <v>I-IS-BF_BOF02_CCS</v>
      </c>
      <c r="B113" s="9" t="str">
        <f t="shared" si="40"/>
        <v>IND Iron and Steel technology: BF-BOF - High bio w/CCS</v>
      </c>
      <c r="C113" s="9">
        <v>2030</v>
      </c>
      <c r="F113" s="75" t="s">
        <v>624</v>
      </c>
      <c r="G113" s="75" t="s">
        <v>625</v>
      </c>
      <c r="H113" s="319">
        <f t="shared" si="39"/>
        <v>944.15353345574295</v>
      </c>
      <c r="I113" s="319">
        <f t="shared" si="38"/>
        <v>944.15353345574295</v>
      </c>
      <c r="J113" s="319">
        <f t="shared" si="38"/>
        <v>944.15353345574295</v>
      </c>
      <c r="K113" s="319">
        <f t="shared" si="38"/>
        <v>944.15353345574295</v>
      </c>
      <c r="L113" s="319">
        <f t="shared" si="38"/>
        <v>944.15353345574295</v>
      </c>
      <c r="M113" s="319">
        <f t="shared" si="38"/>
        <v>944.15353345574295</v>
      </c>
      <c r="N113" s="319">
        <f t="shared" si="38"/>
        <v>944.15353345574295</v>
      </c>
      <c r="O113" s="319">
        <f t="shared" si="38"/>
        <v>944.15353345574295</v>
      </c>
      <c r="P113" s="319">
        <f t="shared" si="38"/>
        <v>944.15353345574295</v>
      </c>
      <c r="Q113" s="319">
        <f t="shared" si="38"/>
        <v>944.15353345574295</v>
      </c>
      <c r="R113" s="319">
        <f t="shared" si="38"/>
        <v>944.15353345574295</v>
      </c>
      <c r="S113" s="319">
        <f t="shared" si="38"/>
        <v>944.15353345574295</v>
      </c>
      <c r="T113" s="319">
        <f t="shared" si="38"/>
        <v>944.15353345574295</v>
      </c>
      <c r="U113" s="319">
        <f t="shared" ref="U113:AI115" si="41">$AK113</f>
        <v>944.15353345574295</v>
      </c>
      <c r="V113" s="319">
        <f t="shared" si="41"/>
        <v>944.15353345574295</v>
      </c>
      <c r="W113" s="319">
        <f t="shared" si="41"/>
        <v>944.15353345574295</v>
      </c>
      <c r="X113" s="319">
        <f t="shared" si="41"/>
        <v>944.15353345574295</v>
      </c>
      <c r="Y113" s="319">
        <f t="shared" si="41"/>
        <v>944.15353345574295</v>
      </c>
      <c r="Z113" s="319">
        <f t="shared" si="41"/>
        <v>944.15353345574295</v>
      </c>
      <c r="AA113" s="319">
        <f t="shared" si="41"/>
        <v>944.15353345574295</v>
      </c>
      <c r="AB113" s="319">
        <f t="shared" si="41"/>
        <v>944.15353345574295</v>
      </c>
      <c r="AC113" s="319">
        <f t="shared" si="41"/>
        <v>944.15353345574295</v>
      </c>
      <c r="AD113" s="319">
        <f t="shared" si="41"/>
        <v>944.15353345574295</v>
      </c>
      <c r="AE113" s="319">
        <f t="shared" si="41"/>
        <v>944.15353345574295</v>
      </c>
      <c r="AF113" s="319">
        <f t="shared" si="41"/>
        <v>944.15353345574295</v>
      </c>
      <c r="AG113" s="319">
        <f t="shared" si="41"/>
        <v>944.15353345574295</v>
      </c>
      <c r="AH113" s="319">
        <f t="shared" si="41"/>
        <v>944.15353345574295</v>
      </c>
      <c r="AI113" s="319">
        <f t="shared" si="41"/>
        <v>944.15353345574295</v>
      </c>
      <c r="AK113" s="318">
        <f>AK112</f>
        <v>944.15353345574295</v>
      </c>
    </row>
    <row r="114" spans="1:38" x14ac:dyDescent="0.25">
      <c r="A114" s="9" t="str">
        <f t="shared" si="40"/>
        <v>I-IS-DRI_EAF_COA01_CCS</v>
      </c>
      <c r="B114" s="9" t="str">
        <f t="shared" si="40"/>
        <v>IND Iron and Steel technology: DRI using coal plus EAF w/CCS</v>
      </c>
      <c r="C114" s="9">
        <v>2030</v>
      </c>
      <c r="F114" s="75" t="s">
        <v>624</v>
      </c>
      <c r="G114" s="75" t="s">
        <v>625</v>
      </c>
      <c r="H114" s="319">
        <f t="shared" si="39"/>
        <v>805.3074255946043</v>
      </c>
      <c r="I114" s="319">
        <f t="shared" si="39"/>
        <v>805.3074255946043</v>
      </c>
      <c r="J114" s="319">
        <f t="shared" si="39"/>
        <v>805.3074255946043</v>
      </c>
      <c r="K114" s="319">
        <f t="shared" si="39"/>
        <v>805.3074255946043</v>
      </c>
      <c r="L114" s="319">
        <f t="shared" si="39"/>
        <v>805.3074255946043</v>
      </c>
      <c r="M114" s="319">
        <f t="shared" si="39"/>
        <v>805.3074255946043</v>
      </c>
      <c r="N114" s="319">
        <f t="shared" si="39"/>
        <v>805.3074255946043</v>
      </c>
      <c r="O114" s="319">
        <f t="shared" si="39"/>
        <v>805.3074255946043</v>
      </c>
      <c r="P114" s="319">
        <f t="shared" si="39"/>
        <v>805.3074255946043</v>
      </c>
      <c r="Q114" s="319">
        <f t="shared" si="39"/>
        <v>805.3074255946043</v>
      </c>
      <c r="R114" s="319">
        <f t="shared" si="39"/>
        <v>805.3074255946043</v>
      </c>
      <c r="S114" s="319">
        <f t="shared" si="39"/>
        <v>805.3074255946043</v>
      </c>
      <c r="T114" s="319">
        <f t="shared" si="39"/>
        <v>805.3074255946043</v>
      </c>
      <c r="U114" s="319">
        <f t="shared" si="41"/>
        <v>805.3074255946043</v>
      </c>
      <c r="V114" s="319">
        <f t="shared" si="41"/>
        <v>805.3074255946043</v>
      </c>
      <c r="W114" s="319">
        <f t="shared" si="41"/>
        <v>805.3074255946043</v>
      </c>
      <c r="X114" s="319">
        <f t="shared" si="41"/>
        <v>805.3074255946043</v>
      </c>
      <c r="Y114" s="319">
        <f t="shared" si="41"/>
        <v>805.3074255946043</v>
      </c>
      <c r="Z114" s="319">
        <f t="shared" si="41"/>
        <v>805.3074255946043</v>
      </c>
      <c r="AA114" s="319">
        <f t="shared" si="41"/>
        <v>805.3074255946043</v>
      </c>
      <c r="AB114" s="319">
        <f t="shared" si="41"/>
        <v>805.3074255946043</v>
      </c>
      <c r="AC114" s="319">
        <f t="shared" si="41"/>
        <v>805.3074255946043</v>
      </c>
      <c r="AD114" s="319">
        <f t="shared" si="41"/>
        <v>805.3074255946043</v>
      </c>
      <c r="AE114" s="319">
        <f t="shared" si="41"/>
        <v>805.3074255946043</v>
      </c>
      <c r="AF114" s="319">
        <f t="shared" si="41"/>
        <v>805.3074255946043</v>
      </c>
      <c r="AG114" s="319">
        <f t="shared" si="41"/>
        <v>805.3074255946043</v>
      </c>
      <c r="AH114" s="319">
        <f t="shared" si="41"/>
        <v>805.3074255946043</v>
      </c>
      <c r="AI114" s="319">
        <f t="shared" si="41"/>
        <v>805.3074255946043</v>
      </c>
      <c r="AK114" s="318">
        <f>IIS_Costs!F8*(Legend!$B$71/Legend!$B$69)</f>
        <v>805.3074255946043</v>
      </c>
    </row>
    <row r="115" spans="1:38" x14ac:dyDescent="0.25">
      <c r="A115" s="9" t="str">
        <f t="shared" si="40"/>
        <v>I-IS-DRI_EAF_NGA01_CCS</v>
      </c>
      <c r="B115" s="9" t="str">
        <f t="shared" si="40"/>
        <v>IND Iron and Steel technology: DRI using gas plus EAF w/CCS</v>
      </c>
      <c r="C115" s="9">
        <v>2030</v>
      </c>
      <c r="F115" s="75" t="s">
        <v>624</v>
      </c>
      <c r="G115" s="75" t="s">
        <v>625</v>
      </c>
      <c r="H115" s="319">
        <f t="shared" si="39"/>
        <v>805.3074255946043</v>
      </c>
      <c r="I115" s="319">
        <f t="shared" si="39"/>
        <v>805.3074255946043</v>
      </c>
      <c r="J115" s="319">
        <f t="shared" si="39"/>
        <v>805.3074255946043</v>
      </c>
      <c r="K115" s="319">
        <f t="shared" si="39"/>
        <v>805.3074255946043</v>
      </c>
      <c r="L115" s="319">
        <f t="shared" si="39"/>
        <v>805.3074255946043</v>
      </c>
      <c r="M115" s="319">
        <f t="shared" si="39"/>
        <v>805.3074255946043</v>
      </c>
      <c r="N115" s="319">
        <f t="shared" si="39"/>
        <v>805.3074255946043</v>
      </c>
      <c r="O115" s="319">
        <f t="shared" si="39"/>
        <v>805.3074255946043</v>
      </c>
      <c r="P115" s="319">
        <f t="shared" si="39"/>
        <v>805.3074255946043</v>
      </c>
      <c r="Q115" s="319">
        <f t="shared" si="39"/>
        <v>805.3074255946043</v>
      </c>
      <c r="R115" s="319">
        <f t="shared" si="39"/>
        <v>805.3074255946043</v>
      </c>
      <c r="S115" s="319">
        <f t="shared" si="39"/>
        <v>805.3074255946043</v>
      </c>
      <c r="T115" s="319">
        <f t="shared" si="39"/>
        <v>805.3074255946043</v>
      </c>
      <c r="U115" s="319">
        <f t="shared" si="41"/>
        <v>805.3074255946043</v>
      </c>
      <c r="V115" s="319">
        <f t="shared" si="41"/>
        <v>805.3074255946043</v>
      </c>
      <c r="W115" s="319">
        <f t="shared" si="41"/>
        <v>805.3074255946043</v>
      </c>
      <c r="X115" s="319">
        <f t="shared" si="41"/>
        <v>805.3074255946043</v>
      </c>
      <c r="Y115" s="319">
        <f t="shared" si="41"/>
        <v>805.3074255946043</v>
      </c>
      <c r="Z115" s="319">
        <f t="shared" si="41"/>
        <v>805.3074255946043</v>
      </c>
      <c r="AA115" s="319">
        <f t="shared" si="41"/>
        <v>805.3074255946043</v>
      </c>
      <c r="AB115" s="319">
        <f t="shared" si="41"/>
        <v>805.3074255946043</v>
      </c>
      <c r="AC115" s="319">
        <f t="shared" si="41"/>
        <v>805.3074255946043</v>
      </c>
      <c r="AD115" s="319">
        <f t="shared" si="41"/>
        <v>805.3074255946043</v>
      </c>
      <c r="AE115" s="319">
        <f t="shared" si="41"/>
        <v>805.3074255946043</v>
      </c>
      <c r="AF115" s="319">
        <f t="shared" si="41"/>
        <v>805.3074255946043</v>
      </c>
      <c r="AG115" s="319">
        <f t="shared" si="41"/>
        <v>805.3074255946043</v>
      </c>
      <c r="AH115" s="319">
        <f t="shared" si="41"/>
        <v>805.3074255946043</v>
      </c>
      <c r="AI115" s="319">
        <f t="shared" si="41"/>
        <v>805.3074255946043</v>
      </c>
      <c r="AK115" s="318">
        <f>AK114</f>
        <v>805.3074255946043</v>
      </c>
    </row>
    <row r="116" spans="1:38" x14ac:dyDescent="0.25">
      <c r="A116" s="9" t="str">
        <f t="shared" si="40"/>
        <v>I-IS-MOE01</v>
      </c>
      <c r="B116" s="9" t="str">
        <f t="shared" si="40"/>
        <v>IND Iron and Steel technology: Molten Oxide Electrolysis</v>
      </c>
      <c r="C116" s="9">
        <v>2035</v>
      </c>
      <c r="F116" s="75" t="s">
        <v>624</v>
      </c>
      <c r="G116" s="75" t="s">
        <v>625</v>
      </c>
      <c r="H116" s="468">
        <f>H109*1.1</f>
        <v>1029.18500790138</v>
      </c>
      <c r="I116" s="468">
        <f t="shared" ref="I116:AK116" si="42">I109*1.1</f>
        <v>1029.18500790138</v>
      </c>
      <c r="J116" s="468">
        <f t="shared" si="42"/>
        <v>1029.18500790138</v>
      </c>
      <c r="K116" s="468">
        <f t="shared" si="42"/>
        <v>1029.18500790138</v>
      </c>
      <c r="L116" s="468">
        <f t="shared" si="42"/>
        <v>1029.18500790138</v>
      </c>
      <c r="M116" s="468">
        <f t="shared" si="42"/>
        <v>1029.18500790138</v>
      </c>
      <c r="N116" s="468">
        <f t="shared" si="42"/>
        <v>1029.18500790138</v>
      </c>
      <c r="O116" s="468">
        <f t="shared" si="42"/>
        <v>1029.18500790138</v>
      </c>
      <c r="P116" s="468">
        <f t="shared" si="42"/>
        <v>1029.18500790138</v>
      </c>
      <c r="Q116" s="468">
        <f t="shared" si="42"/>
        <v>1029.18500790138</v>
      </c>
      <c r="R116" s="468">
        <f t="shared" si="42"/>
        <v>1029.18500790138</v>
      </c>
      <c r="S116" s="468">
        <f t="shared" si="42"/>
        <v>1029.18500790138</v>
      </c>
      <c r="T116" s="468">
        <f t="shared" si="42"/>
        <v>1029.18500790138</v>
      </c>
      <c r="U116" s="468">
        <f t="shared" si="42"/>
        <v>1029.18500790138</v>
      </c>
      <c r="V116" s="468">
        <f t="shared" si="42"/>
        <v>1029.18500790138</v>
      </c>
      <c r="W116" s="468">
        <f t="shared" si="42"/>
        <v>1029.18500790138</v>
      </c>
      <c r="X116" s="468">
        <f t="shared" si="42"/>
        <v>1029.18500790138</v>
      </c>
      <c r="Y116" s="468">
        <f t="shared" si="42"/>
        <v>1029.18500790138</v>
      </c>
      <c r="Z116" s="468">
        <f t="shared" si="42"/>
        <v>1029.18500790138</v>
      </c>
      <c r="AA116" s="468">
        <f t="shared" si="42"/>
        <v>1029.18500790138</v>
      </c>
      <c r="AB116" s="468">
        <f t="shared" si="42"/>
        <v>1029.18500790138</v>
      </c>
      <c r="AC116" s="468">
        <f t="shared" si="42"/>
        <v>1029.18500790138</v>
      </c>
      <c r="AD116" s="468">
        <f t="shared" si="42"/>
        <v>1029.18500790138</v>
      </c>
      <c r="AE116" s="468">
        <f t="shared" si="42"/>
        <v>1029.18500790138</v>
      </c>
      <c r="AF116" s="468">
        <f t="shared" si="42"/>
        <v>1029.18500790138</v>
      </c>
      <c r="AG116" s="468">
        <f t="shared" si="42"/>
        <v>1029.18500790138</v>
      </c>
      <c r="AH116" s="468">
        <f t="shared" si="42"/>
        <v>1029.18500790138</v>
      </c>
      <c r="AI116" s="468">
        <f t="shared" si="42"/>
        <v>1029.18500790138</v>
      </c>
      <c r="AK116" s="468">
        <f t="shared" si="42"/>
        <v>1029.18500790138</v>
      </c>
      <c r="AL116" s="462" t="s">
        <v>627</v>
      </c>
    </row>
    <row r="117" spans="1:38" x14ac:dyDescent="0.25">
      <c r="A117" s="9" t="str">
        <f>A104</f>
        <v>I-IS-BF_BOF01</v>
      </c>
      <c r="B117" s="9" t="str">
        <f>B104</f>
        <v>IND Iron and Steel technology: BF-BOF</v>
      </c>
      <c r="C117" s="9">
        <f>C104</f>
        <v>2020</v>
      </c>
      <c r="F117" s="9" t="s">
        <v>547</v>
      </c>
      <c r="G117" s="75" t="s">
        <v>625</v>
      </c>
      <c r="H117" s="325">
        <f t="shared" ref="H117:AI117" si="43">H104*$AK117</f>
        <v>57.274019492719695</v>
      </c>
      <c r="I117" s="325">
        <f t="shared" si="43"/>
        <v>57.274019492719695</v>
      </c>
      <c r="J117" s="325">
        <f t="shared" si="43"/>
        <v>57.274019492719695</v>
      </c>
      <c r="K117" s="325">
        <f t="shared" si="43"/>
        <v>57.274019492719695</v>
      </c>
      <c r="L117" s="325">
        <f t="shared" si="43"/>
        <v>57.274019492719695</v>
      </c>
      <c r="M117" s="325">
        <f t="shared" si="43"/>
        <v>57.274019492719695</v>
      </c>
      <c r="N117" s="325">
        <f t="shared" si="43"/>
        <v>57.274019492719695</v>
      </c>
      <c r="O117" s="325">
        <f t="shared" si="43"/>
        <v>57.274019492719695</v>
      </c>
      <c r="P117" s="325">
        <f t="shared" si="43"/>
        <v>57.274019492719695</v>
      </c>
      <c r="Q117" s="325">
        <f t="shared" si="43"/>
        <v>57.274019492719695</v>
      </c>
      <c r="R117" s="325">
        <f t="shared" si="43"/>
        <v>57.274019492719695</v>
      </c>
      <c r="S117" s="325">
        <f t="shared" si="43"/>
        <v>57.274019492719695</v>
      </c>
      <c r="T117" s="325">
        <f t="shared" si="43"/>
        <v>57.274019492719695</v>
      </c>
      <c r="U117" s="325">
        <f t="shared" si="43"/>
        <v>57.274019492719695</v>
      </c>
      <c r="V117" s="325">
        <f t="shared" si="43"/>
        <v>57.274019492719695</v>
      </c>
      <c r="W117" s="325">
        <f t="shared" si="43"/>
        <v>57.274019492719695</v>
      </c>
      <c r="X117" s="325">
        <f t="shared" si="43"/>
        <v>57.274019492719695</v>
      </c>
      <c r="Y117" s="325">
        <f t="shared" si="43"/>
        <v>57.274019492719695</v>
      </c>
      <c r="Z117" s="325">
        <f t="shared" si="43"/>
        <v>57.274019492719695</v>
      </c>
      <c r="AA117" s="325">
        <f t="shared" si="43"/>
        <v>57.274019492719695</v>
      </c>
      <c r="AB117" s="325">
        <f t="shared" si="43"/>
        <v>57.274019492719695</v>
      </c>
      <c r="AC117" s="325">
        <f t="shared" si="43"/>
        <v>57.274019492719695</v>
      </c>
      <c r="AD117" s="325">
        <f t="shared" si="43"/>
        <v>57.274019492719695</v>
      </c>
      <c r="AE117" s="325">
        <f t="shared" si="43"/>
        <v>57.274019492719695</v>
      </c>
      <c r="AF117" s="325">
        <f t="shared" si="43"/>
        <v>57.274019492719695</v>
      </c>
      <c r="AG117" s="325">
        <f t="shared" si="43"/>
        <v>57.274019492719695</v>
      </c>
      <c r="AH117" s="325">
        <f t="shared" si="43"/>
        <v>57.274019492719695</v>
      </c>
      <c r="AI117" s="325">
        <f t="shared" si="43"/>
        <v>57.274019492719695</v>
      </c>
      <c r="AK117" s="330">
        <v>7.4999999999999997E-2</v>
      </c>
      <c r="AL117" s="9" t="s">
        <v>628</v>
      </c>
    </row>
    <row r="118" spans="1:38" x14ac:dyDescent="0.25">
      <c r="A118" s="9" t="str">
        <f t="shared" ref="A118:B121" si="44">A105</f>
        <v>I-IS-BF_BOF02</v>
      </c>
      <c r="B118" s="9" t="str">
        <f t="shared" si="44"/>
        <v>IND Iron and Steel technology: BF-BOF - High bio</v>
      </c>
      <c r="C118" s="9">
        <f t="shared" ref="C118" si="45">C105</f>
        <v>2020</v>
      </c>
      <c r="F118" s="9" t="s">
        <v>547</v>
      </c>
      <c r="G118" s="75" t="s">
        <v>625</v>
      </c>
      <c r="H118" s="325">
        <f t="shared" ref="H118:AI118" si="46">H105*$AK118</f>
        <v>57.274019492719695</v>
      </c>
      <c r="I118" s="325">
        <f t="shared" si="46"/>
        <v>57.274019492719695</v>
      </c>
      <c r="J118" s="325">
        <f t="shared" si="46"/>
        <v>57.274019492719695</v>
      </c>
      <c r="K118" s="325">
        <f t="shared" si="46"/>
        <v>57.274019492719695</v>
      </c>
      <c r="L118" s="325">
        <f t="shared" si="46"/>
        <v>57.274019492719695</v>
      </c>
      <c r="M118" s="325">
        <f t="shared" si="46"/>
        <v>57.274019492719695</v>
      </c>
      <c r="N118" s="325">
        <f t="shared" si="46"/>
        <v>57.274019492719695</v>
      </c>
      <c r="O118" s="325">
        <f t="shared" si="46"/>
        <v>57.274019492719695</v>
      </c>
      <c r="P118" s="325">
        <f t="shared" si="46"/>
        <v>57.274019492719695</v>
      </c>
      <c r="Q118" s="325">
        <f t="shared" si="46"/>
        <v>57.274019492719695</v>
      </c>
      <c r="R118" s="325">
        <f t="shared" si="46"/>
        <v>57.274019492719695</v>
      </c>
      <c r="S118" s="325">
        <f t="shared" si="46"/>
        <v>57.274019492719695</v>
      </c>
      <c r="T118" s="325">
        <f t="shared" si="46"/>
        <v>57.274019492719695</v>
      </c>
      <c r="U118" s="325">
        <f t="shared" si="46"/>
        <v>57.274019492719695</v>
      </c>
      <c r="V118" s="325">
        <f t="shared" si="46"/>
        <v>57.274019492719695</v>
      </c>
      <c r="W118" s="325">
        <f t="shared" si="46"/>
        <v>57.274019492719695</v>
      </c>
      <c r="X118" s="325">
        <f t="shared" si="46"/>
        <v>57.274019492719695</v>
      </c>
      <c r="Y118" s="325">
        <f t="shared" si="46"/>
        <v>57.274019492719695</v>
      </c>
      <c r="Z118" s="325">
        <f t="shared" si="46"/>
        <v>57.274019492719695</v>
      </c>
      <c r="AA118" s="325">
        <f t="shared" si="46"/>
        <v>57.274019492719695</v>
      </c>
      <c r="AB118" s="325">
        <f t="shared" si="46"/>
        <v>57.274019492719695</v>
      </c>
      <c r="AC118" s="325">
        <f t="shared" si="46"/>
        <v>57.274019492719695</v>
      </c>
      <c r="AD118" s="325">
        <f t="shared" si="46"/>
        <v>57.274019492719695</v>
      </c>
      <c r="AE118" s="325">
        <f t="shared" si="46"/>
        <v>57.274019492719695</v>
      </c>
      <c r="AF118" s="325">
        <f t="shared" si="46"/>
        <v>57.274019492719695</v>
      </c>
      <c r="AG118" s="325">
        <f t="shared" si="46"/>
        <v>57.274019492719695</v>
      </c>
      <c r="AH118" s="325">
        <f t="shared" si="46"/>
        <v>57.274019492719695</v>
      </c>
      <c r="AI118" s="325">
        <f t="shared" si="46"/>
        <v>57.274019492719695</v>
      </c>
      <c r="AK118" s="330">
        <v>7.4999999999999997E-2</v>
      </c>
    </row>
    <row r="119" spans="1:38" x14ac:dyDescent="0.25">
      <c r="A119" s="9" t="str">
        <f t="shared" si="44"/>
        <v>I-IS-DRI_EAF_COA01</v>
      </c>
      <c r="B119" s="9" t="str">
        <f t="shared" si="44"/>
        <v>IND Iron and Steel technology: DRI using coal plus EAF</v>
      </c>
      <c r="C119" s="9">
        <f t="shared" ref="C119" si="47">C106</f>
        <v>2020</v>
      </c>
      <c r="F119" s="9" t="s">
        <v>547</v>
      </c>
      <c r="G119" s="75" t="s">
        <v>625</v>
      </c>
      <c r="H119" s="325">
        <f t="shared" ref="H119:AI119" si="48">H106*$AK119</f>
        <v>48.422580116572107</v>
      </c>
      <c r="I119" s="325">
        <f t="shared" si="48"/>
        <v>48.422580116572107</v>
      </c>
      <c r="J119" s="325">
        <f t="shared" si="48"/>
        <v>48.422580116572107</v>
      </c>
      <c r="K119" s="325">
        <f t="shared" si="48"/>
        <v>48.422580116572107</v>
      </c>
      <c r="L119" s="325">
        <f t="shared" si="48"/>
        <v>48.422580116572107</v>
      </c>
      <c r="M119" s="325">
        <f t="shared" si="48"/>
        <v>48.422580116572107</v>
      </c>
      <c r="N119" s="325">
        <f t="shared" si="48"/>
        <v>48.422580116572107</v>
      </c>
      <c r="O119" s="325">
        <f t="shared" si="48"/>
        <v>48.422580116572107</v>
      </c>
      <c r="P119" s="325">
        <f t="shared" si="48"/>
        <v>48.422580116572107</v>
      </c>
      <c r="Q119" s="325">
        <f t="shared" si="48"/>
        <v>48.422580116572107</v>
      </c>
      <c r="R119" s="325">
        <f t="shared" si="48"/>
        <v>48.422580116572107</v>
      </c>
      <c r="S119" s="325">
        <f t="shared" si="48"/>
        <v>48.422580116572107</v>
      </c>
      <c r="T119" s="325">
        <f t="shared" si="48"/>
        <v>48.422580116572107</v>
      </c>
      <c r="U119" s="325">
        <f t="shared" si="48"/>
        <v>48.422580116572107</v>
      </c>
      <c r="V119" s="325">
        <f t="shared" si="48"/>
        <v>48.422580116572107</v>
      </c>
      <c r="W119" s="325">
        <f t="shared" si="48"/>
        <v>48.422580116572107</v>
      </c>
      <c r="X119" s="325">
        <f t="shared" si="48"/>
        <v>48.422580116572107</v>
      </c>
      <c r="Y119" s="325">
        <f t="shared" si="48"/>
        <v>48.422580116572107</v>
      </c>
      <c r="Z119" s="325">
        <f t="shared" si="48"/>
        <v>48.422580116572107</v>
      </c>
      <c r="AA119" s="325">
        <f t="shared" si="48"/>
        <v>48.422580116572107</v>
      </c>
      <c r="AB119" s="325">
        <f t="shared" si="48"/>
        <v>48.422580116572107</v>
      </c>
      <c r="AC119" s="325">
        <f t="shared" si="48"/>
        <v>48.422580116572107</v>
      </c>
      <c r="AD119" s="325">
        <f t="shared" si="48"/>
        <v>48.422580116572107</v>
      </c>
      <c r="AE119" s="325">
        <f t="shared" si="48"/>
        <v>48.422580116572107</v>
      </c>
      <c r="AF119" s="325">
        <f t="shared" si="48"/>
        <v>48.422580116572107</v>
      </c>
      <c r="AG119" s="325">
        <f t="shared" si="48"/>
        <v>48.422580116572107</v>
      </c>
      <c r="AH119" s="325">
        <f t="shared" si="48"/>
        <v>48.422580116572107</v>
      </c>
      <c r="AI119" s="325">
        <f t="shared" si="48"/>
        <v>48.422580116572107</v>
      </c>
      <c r="AK119" s="330">
        <v>7.4999999999999997E-2</v>
      </c>
    </row>
    <row r="120" spans="1:38" x14ac:dyDescent="0.25">
      <c r="A120" s="9" t="str">
        <f t="shared" si="44"/>
        <v>I-IS-DRI_EAF_NGA01</v>
      </c>
      <c r="B120" s="9" t="str">
        <f t="shared" si="44"/>
        <v>IND Iron and Steel technology: DRI using gas plus EAF</v>
      </c>
      <c r="C120" s="9">
        <f t="shared" ref="C120" si="49">C107</f>
        <v>2020</v>
      </c>
      <c r="F120" s="9" t="s">
        <v>547</v>
      </c>
      <c r="G120" s="75" t="s">
        <v>625</v>
      </c>
      <c r="H120" s="325">
        <f t="shared" ref="H120:AI120" si="50">H107*$AK120</f>
        <v>48.422580116572107</v>
      </c>
      <c r="I120" s="325">
        <f t="shared" si="50"/>
        <v>48.422580116572107</v>
      </c>
      <c r="J120" s="325">
        <f t="shared" si="50"/>
        <v>48.422580116572107</v>
      </c>
      <c r="K120" s="325">
        <f t="shared" si="50"/>
        <v>48.422580116572107</v>
      </c>
      <c r="L120" s="325">
        <f t="shared" si="50"/>
        <v>48.422580116572107</v>
      </c>
      <c r="M120" s="325">
        <f t="shared" si="50"/>
        <v>48.422580116572107</v>
      </c>
      <c r="N120" s="325">
        <f t="shared" si="50"/>
        <v>48.422580116572107</v>
      </c>
      <c r="O120" s="325">
        <f t="shared" si="50"/>
        <v>48.422580116572107</v>
      </c>
      <c r="P120" s="325">
        <f t="shared" si="50"/>
        <v>48.422580116572107</v>
      </c>
      <c r="Q120" s="325">
        <f t="shared" si="50"/>
        <v>48.422580116572107</v>
      </c>
      <c r="R120" s="325">
        <f t="shared" si="50"/>
        <v>48.422580116572107</v>
      </c>
      <c r="S120" s="325">
        <f t="shared" si="50"/>
        <v>48.422580116572107</v>
      </c>
      <c r="T120" s="325">
        <f t="shared" si="50"/>
        <v>48.422580116572107</v>
      </c>
      <c r="U120" s="325">
        <f t="shared" si="50"/>
        <v>48.422580116572107</v>
      </c>
      <c r="V120" s="325">
        <f t="shared" si="50"/>
        <v>48.422580116572107</v>
      </c>
      <c r="W120" s="325">
        <f t="shared" si="50"/>
        <v>48.422580116572107</v>
      </c>
      <c r="X120" s="325">
        <f t="shared" si="50"/>
        <v>48.422580116572107</v>
      </c>
      <c r="Y120" s="325">
        <f t="shared" si="50"/>
        <v>48.422580116572107</v>
      </c>
      <c r="Z120" s="325">
        <f t="shared" si="50"/>
        <v>48.422580116572107</v>
      </c>
      <c r="AA120" s="325">
        <f t="shared" si="50"/>
        <v>48.422580116572107</v>
      </c>
      <c r="AB120" s="325">
        <f t="shared" si="50"/>
        <v>48.422580116572107</v>
      </c>
      <c r="AC120" s="325">
        <f t="shared" si="50"/>
        <v>48.422580116572107</v>
      </c>
      <c r="AD120" s="325">
        <f t="shared" si="50"/>
        <v>48.422580116572107</v>
      </c>
      <c r="AE120" s="325">
        <f t="shared" si="50"/>
        <v>48.422580116572107</v>
      </c>
      <c r="AF120" s="325">
        <f t="shared" si="50"/>
        <v>48.422580116572107</v>
      </c>
      <c r="AG120" s="325">
        <f t="shared" si="50"/>
        <v>48.422580116572107</v>
      </c>
      <c r="AH120" s="325">
        <f t="shared" si="50"/>
        <v>48.422580116572107</v>
      </c>
      <c r="AI120" s="325">
        <f t="shared" si="50"/>
        <v>48.422580116572107</v>
      </c>
      <c r="AK120" s="330">
        <v>7.4999999999999997E-2</v>
      </c>
    </row>
    <row r="121" spans="1:38" x14ac:dyDescent="0.25">
      <c r="A121" s="9" t="str">
        <f t="shared" si="44"/>
        <v>I-IS-DRI_EAF_H201</v>
      </c>
      <c r="B121" s="9" t="str">
        <f t="shared" si="44"/>
        <v>IND Iron and Steel technology: DRI using H2 plus EAF</v>
      </c>
      <c r="C121" s="9">
        <f t="shared" ref="C121" si="51">C108</f>
        <v>2020</v>
      </c>
      <c r="F121" s="9" t="s">
        <v>547</v>
      </c>
      <c r="G121" s="75" t="s">
        <v>625</v>
      </c>
      <c r="H121" s="325">
        <f t="shared" ref="H121:AI121" si="52">H108*$AK121</f>
        <v>77.558200356204466</v>
      </c>
      <c r="I121" s="325">
        <f t="shared" si="52"/>
        <v>77.558200356204466</v>
      </c>
      <c r="J121" s="325">
        <f t="shared" si="52"/>
        <v>77.558200356204466</v>
      </c>
      <c r="K121" s="325">
        <f t="shared" si="52"/>
        <v>77.558200356204466</v>
      </c>
      <c r="L121" s="325">
        <f t="shared" si="52"/>
        <v>77.558200356204466</v>
      </c>
      <c r="M121" s="325">
        <f t="shared" si="52"/>
        <v>77.558200356204466</v>
      </c>
      <c r="N121" s="325">
        <f t="shared" si="52"/>
        <v>77.558200356204466</v>
      </c>
      <c r="O121" s="325">
        <f t="shared" si="52"/>
        <v>77.558200356204466</v>
      </c>
      <c r="P121" s="325">
        <f t="shared" si="52"/>
        <v>77.558200356204466</v>
      </c>
      <c r="Q121" s="325">
        <f t="shared" si="52"/>
        <v>77.558200356204466</v>
      </c>
      <c r="R121" s="325">
        <f t="shared" si="52"/>
        <v>77.558200356204466</v>
      </c>
      <c r="S121" s="325">
        <f t="shared" si="52"/>
        <v>77.558200356204466</v>
      </c>
      <c r="T121" s="325">
        <f t="shared" si="52"/>
        <v>77.558200356204466</v>
      </c>
      <c r="U121" s="325">
        <f t="shared" si="52"/>
        <v>77.558200356204466</v>
      </c>
      <c r="V121" s="325">
        <f t="shared" si="52"/>
        <v>77.558200356204466</v>
      </c>
      <c r="W121" s="325">
        <f t="shared" si="52"/>
        <v>77.558200356204466</v>
      </c>
      <c r="X121" s="325">
        <f t="shared" si="52"/>
        <v>77.558200356204466</v>
      </c>
      <c r="Y121" s="325">
        <f t="shared" si="52"/>
        <v>77.558200356204466</v>
      </c>
      <c r="Z121" s="325">
        <f t="shared" si="52"/>
        <v>77.558200356204466</v>
      </c>
      <c r="AA121" s="325">
        <f t="shared" si="52"/>
        <v>77.558200356204466</v>
      </c>
      <c r="AB121" s="325">
        <f t="shared" si="52"/>
        <v>77.558200356204466</v>
      </c>
      <c r="AC121" s="325">
        <f t="shared" si="52"/>
        <v>77.558200356204466</v>
      </c>
      <c r="AD121" s="325">
        <f t="shared" si="52"/>
        <v>77.558200356204466</v>
      </c>
      <c r="AE121" s="325">
        <f t="shared" si="52"/>
        <v>77.558200356204466</v>
      </c>
      <c r="AF121" s="325">
        <f t="shared" si="52"/>
        <v>77.558200356204466</v>
      </c>
      <c r="AG121" s="325">
        <f t="shared" si="52"/>
        <v>77.558200356204466</v>
      </c>
      <c r="AH121" s="325">
        <f t="shared" si="52"/>
        <v>77.558200356204466</v>
      </c>
      <c r="AI121" s="325">
        <f t="shared" si="52"/>
        <v>77.558200356204466</v>
      </c>
      <c r="AK121" s="330">
        <v>7.4999999999999997E-2</v>
      </c>
    </row>
    <row r="122" spans="1:38" x14ac:dyDescent="0.25">
      <c r="C122" s="75">
        <v>2030</v>
      </c>
      <c r="F122" s="9" t="s">
        <v>547</v>
      </c>
      <c r="G122" s="75" t="s">
        <v>625</v>
      </c>
      <c r="H122" s="325">
        <f t="shared" ref="H122:AI122" si="53">H109*$AK122</f>
        <v>70.171705084184993</v>
      </c>
      <c r="I122" s="325">
        <f t="shared" si="53"/>
        <v>70.171705084184993</v>
      </c>
      <c r="J122" s="325">
        <f t="shared" si="53"/>
        <v>70.171705084184993</v>
      </c>
      <c r="K122" s="325">
        <f t="shared" si="53"/>
        <v>70.171705084184993</v>
      </c>
      <c r="L122" s="325">
        <f t="shared" si="53"/>
        <v>70.171705084184993</v>
      </c>
      <c r="M122" s="325">
        <f t="shared" si="53"/>
        <v>70.171705084184993</v>
      </c>
      <c r="N122" s="325">
        <f t="shared" si="53"/>
        <v>70.171705084184993</v>
      </c>
      <c r="O122" s="325">
        <f t="shared" si="53"/>
        <v>70.171705084184993</v>
      </c>
      <c r="P122" s="325">
        <f t="shared" si="53"/>
        <v>70.171705084184993</v>
      </c>
      <c r="Q122" s="325">
        <f t="shared" si="53"/>
        <v>70.171705084184993</v>
      </c>
      <c r="R122" s="325">
        <f t="shared" si="53"/>
        <v>70.171705084184993</v>
      </c>
      <c r="S122" s="325">
        <f t="shared" si="53"/>
        <v>70.171705084184993</v>
      </c>
      <c r="T122" s="325">
        <f t="shared" si="53"/>
        <v>70.171705084184993</v>
      </c>
      <c r="U122" s="325">
        <f t="shared" si="53"/>
        <v>70.171705084184993</v>
      </c>
      <c r="V122" s="325">
        <f t="shared" si="53"/>
        <v>70.171705084184993</v>
      </c>
      <c r="W122" s="325">
        <f t="shared" si="53"/>
        <v>70.171705084184993</v>
      </c>
      <c r="X122" s="325">
        <f t="shared" si="53"/>
        <v>70.171705084184993</v>
      </c>
      <c r="Y122" s="325">
        <f t="shared" si="53"/>
        <v>70.171705084184993</v>
      </c>
      <c r="Z122" s="325">
        <f t="shared" si="53"/>
        <v>70.171705084184993</v>
      </c>
      <c r="AA122" s="325">
        <f t="shared" si="53"/>
        <v>70.171705084184993</v>
      </c>
      <c r="AB122" s="325">
        <f t="shared" si="53"/>
        <v>70.171705084184993</v>
      </c>
      <c r="AC122" s="325">
        <f t="shared" si="53"/>
        <v>70.171705084184993</v>
      </c>
      <c r="AD122" s="325">
        <f t="shared" si="53"/>
        <v>70.171705084184993</v>
      </c>
      <c r="AE122" s="325">
        <f t="shared" si="53"/>
        <v>70.171705084184993</v>
      </c>
      <c r="AF122" s="325">
        <f t="shared" si="53"/>
        <v>70.171705084184993</v>
      </c>
      <c r="AG122" s="325">
        <f t="shared" si="53"/>
        <v>70.171705084184993</v>
      </c>
      <c r="AH122" s="325">
        <f t="shared" si="53"/>
        <v>70.171705084184993</v>
      </c>
      <c r="AI122" s="325">
        <f t="shared" si="53"/>
        <v>70.171705084184993</v>
      </c>
      <c r="AK122" s="330">
        <v>7.4999999999999997E-2</v>
      </c>
    </row>
    <row r="123" spans="1:38" x14ac:dyDescent="0.25">
      <c r="C123" s="75">
        <v>2040</v>
      </c>
      <c r="F123" s="9" t="s">
        <v>547</v>
      </c>
      <c r="G123" s="75" t="s">
        <v>625</v>
      </c>
      <c r="H123" s="325">
        <f t="shared" ref="H123:AI123" si="54">H110*$AK123</f>
        <v>61.96448811527447</v>
      </c>
      <c r="I123" s="325">
        <f t="shared" si="54"/>
        <v>61.96448811527447</v>
      </c>
      <c r="J123" s="325">
        <f t="shared" si="54"/>
        <v>61.96448811527447</v>
      </c>
      <c r="K123" s="325">
        <f t="shared" si="54"/>
        <v>61.96448811527447</v>
      </c>
      <c r="L123" s="325">
        <f t="shared" si="54"/>
        <v>61.96448811527447</v>
      </c>
      <c r="M123" s="325">
        <f t="shared" si="54"/>
        <v>61.96448811527447</v>
      </c>
      <c r="N123" s="325">
        <f t="shared" si="54"/>
        <v>61.96448811527447</v>
      </c>
      <c r="O123" s="325">
        <f t="shared" si="54"/>
        <v>61.96448811527447</v>
      </c>
      <c r="P123" s="325">
        <f t="shared" si="54"/>
        <v>61.96448811527447</v>
      </c>
      <c r="Q123" s="325">
        <f t="shared" si="54"/>
        <v>61.96448811527447</v>
      </c>
      <c r="R123" s="325">
        <f t="shared" si="54"/>
        <v>61.96448811527447</v>
      </c>
      <c r="S123" s="325">
        <f t="shared" si="54"/>
        <v>61.96448811527447</v>
      </c>
      <c r="T123" s="325">
        <f t="shared" si="54"/>
        <v>61.96448811527447</v>
      </c>
      <c r="U123" s="325">
        <f t="shared" si="54"/>
        <v>61.96448811527447</v>
      </c>
      <c r="V123" s="325">
        <f t="shared" si="54"/>
        <v>61.96448811527447</v>
      </c>
      <c r="W123" s="325">
        <f t="shared" si="54"/>
        <v>61.96448811527447</v>
      </c>
      <c r="X123" s="325">
        <f t="shared" si="54"/>
        <v>61.96448811527447</v>
      </c>
      <c r="Y123" s="325">
        <f t="shared" si="54"/>
        <v>61.96448811527447</v>
      </c>
      <c r="Z123" s="325">
        <f t="shared" si="54"/>
        <v>61.96448811527447</v>
      </c>
      <c r="AA123" s="325">
        <f t="shared" si="54"/>
        <v>61.96448811527447</v>
      </c>
      <c r="AB123" s="325">
        <f t="shared" si="54"/>
        <v>61.96448811527447</v>
      </c>
      <c r="AC123" s="325">
        <f t="shared" si="54"/>
        <v>61.96448811527447</v>
      </c>
      <c r="AD123" s="325">
        <f t="shared" si="54"/>
        <v>61.96448811527447</v>
      </c>
      <c r="AE123" s="325">
        <f t="shared" si="54"/>
        <v>61.96448811527447</v>
      </c>
      <c r="AF123" s="325">
        <f t="shared" si="54"/>
        <v>61.96448811527447</v>
      </c>
      <c r="AG123" s="325">
        <f t="shared" si="54"/>
        <v>61.96448811527447</v>
      </c>
      <c r="AH123" s="325">
        <f t="shared" si="54"/>
        <v>61.96448811527447</v>
      </c>
      <c r="AI123" s="325">
        <f t="shared" si="54"/>
        <v>61.96448811527447</v>
      </c>
      <c r="AK123" s="330">
        <v>7.4999999999999997E-2</v>
      </c>
    </row>
    <row r="124" spans="1:38" x14ac:dyDescent="0.25">
      <c r="A124" s="9" t="str">
        <f t="shared" ref="A124:B129" si="55">A111</f>
        <v>I-IS-SCP_EAF01</v>
      </c>
      <c r="B124" s="9" t="str">
        <f t="shared" si="55"/>
        <v>IND Iron and Steel technology: EAF using scrap (secondary)</v>
      </c>
      <c r="C124" s="9">
        <v>2020</v>
      </c>
      <c r="F124" s="9" t="s">
        <v>547</v>
      </c>
      <c r="G124" s="75" t="s">
        <v>625</v>
      </c>
      <c r="H124" s="325">
        <f t="shared" ref="H124:AI124" si="56">H111*$AK124</f>
        <v>24.992299415004961</v>
      </c>
      <c r="I124" s="325">
        <f t="shared" si="56"/>
        <v>24.992299415004961</v>
      </c>
      <c r="J124" s="325">
        <f t="shared" si="56"/>
        <v>24.992299415004961</v>
      </c>
      <c r="K124" s="325">
        <f t="shared" si="56"/>
        <v>24.992299415004961</v>
      </c>
      <c r="L124" s="325">
        <f t="shared" si="56"/>
        <v>24.992299415004961</v>
      </c>
      <c r="M124" s="325">
        <f t="shared" si="56"/>
        <v>24.992299415004961</v>
      </c>
      <c r="N124" s="325">
        <f t="shared" si="56"/>
        <v>24.992299415004961</v>
      </c>
      <c r="O124" s="325">
        <f t="shared" si="56"/>
        <v>24.992299415004961</v>
      </c>
      <c r="P124" s="325">
        <f t="shared" si="56"/>
        <v>24.992299415004961</v>
      </c>
      <c r="Q124" s="325">
        <f t="shared" si="56"/>
        <v>24.992299415004961</v>
      </c>
      <c r="R124" s="325">
        <f t="shared" si="56"/>
        <v>24.992299415004961</v>
      </c>
      <c r="S124" s="325">
        <f t="shared" si="56"/>
        <v>24.992299415004961</v>
      </c>
      <c r="T124" s="325">
        <f t="shared" si="56"/>
        <v>24.992299415004961</v>
      </c>
      <c r="U124" s="325">
        <f t="shared" si="56"/>
        <v>24.992299415004961</v>
      </c>
      <c r="V124" s="325">
        <f t="shared" si="56"/>
        <v>24.992299415004961</v>
      </c>
      <c r="W124" s="325">
        <f t="shared" si="56"/>
        <v>24.992299415004961</v>
      </c>
      <c r="X124" s="325">
        <f t="shared" si="56"/>
        <v>24.992299415004961</v>
      </c>
      <c r="Y124" s="325">
        <f t="shared" si="56"/>
        <v>24.992299415004961</v>
      </c>
      <c r="Z124" s="325">
        <f t="shared" si="56"/>
        <v>24.992299415004961</v>
      </c>
      <c r="AA124" s="325">
        <f t="shared" si="56"/>
        <v>24.992299415004961</v>
      </c>
      <c r="AB124" s="325">
        <f t="shared" si="56"/>
        <v>24.992299415004961</v>
      </c>
      <c r="AC124" s="325">
        <f t="shared" si="56"/>
        <v>24.992299415004961</v>
      </c>
      <c r="AD124" s="325">
        <f t="shared" si="56"/>
        <v>24.992299415004961</v>
      </c>
      <c r="AE124" s="325">
        <f t="shared" si="56"/>
        <v>24.992299415004961</v>
      </c>
      <c r="AF124" s="325">
        <f t="shared" si="56"/>
        <v>24.992299415004961</v>
      </c>
      <c r="AG124" s="325">
        <f t="shared" si="56"/>
        <v>24.992299415004961</v>
      </c>
      <c r="AH124" s="325">
        <f t="shared" si="56"/>
        <v>24.992299415004961</v>
      </c>
      <c r="AI124" s="325">
        <f t="shared" si="56"/>
        <v>24.992299415004961</v>
      </c>
      <c r="AK124" s="330">
        <v>7.4999999999999997E-2</v>
      </c>
    </row>
    <row r="125" spans="1:38" x14ac:dyDescent="0.25">
      <c r="A125" s="9" t="str">
        <f t="shared" si="55"/>
        <v>I-IS-BF_BOF01_CCS</v>
      </c>
      <c r="B125" s="9" t="str">
        <f t="shared" si="55"/>
        <v>IND Iron and Steel technology: BF-BOF w/CCS</v>
      </c>
      <c r="C125" s="9">
        <f t="shared" ref="C125" si="57">C112</f>
        <v>2030</v>
      </c>
      <c r="F125" s="9" t="s">
        <v>547</v>
      </c>
      <c r="G125" s="75" t="s">
        <v>625</v>
      </c>
      <c r="H125" s="325">
        <f t="shared" ref="H125:AI125" si="58">H112*$AK125</f>
        <v>94.415353345574303</v>
      </c>
      <c r="I125" s="325">
        <f t="shared" si="58"/>
        <v>94.415353345574303</v>
      </c>
      <c r="J125" s="325">
        <f t="shared" si="58"/>
        <v>94.415353345574303</v>
      </c>
      <c r="K125" s="325">
        <f t="shared" si="58"/>
        <v>94.415353345574303</v>
      </c>
      <c r="L125" s="325">
        <f t="shared" si="58"/>
        <v>94.415353345574303</v>
      </c>
      <c r="M125" s="325">
        <f t="shared" si="58"/>
        <v>94.415353345574303</v>
      </c>
      <c r="N125" s="325">
        <f t="shared" si="58"/>
        <v>94.415353345574303</v>
      </c>
      <c r="O125" s="325">
        <f t="shared" si="58"/>
        <v>94.415353345574303</v>
      </c>
      <c r="P125" s="325">
        <f t="shared" si="58"/>
        <v>94.415353345574303</v>
      </c>
      <c r="Q125" s="325">
        <f t="shared" si="58"/>
        <v>94.415353345574303</v>
      </c>
      <c r="R125" s="325">
        <f t="shared" si="58"/>
        <v>94.415353345574303</v>
      </c>
      <c r="S125" s="325">
        <f t="shared" si="58"/>
        <v>94.415353345574303</v>
      </c>
      <c r="T125" s="325">
        <f t="shared" si="58"/>
        <v>94.415353345574303</v>
      </c>
      <c r="U125" s="325">
        <f t="shared" si="58"/>
        <v>94.415353345574303</v>
      </c>
      <c r="V125" s="325">
        <f t="shared" si="58"/>
        <v>94.415353345574303</v>
      </c>
      <c r="W125" s="325">
        <f t="shared" si="58"/>
        <v>94.415353345574303</v>
      </c>
      <c r="X125" s="325">
        <f t="shared" si="58"/>
        <v>94.415353345574303</v>
      </c>
      <c r="Y125" s="325">
        <f t="shared" si="58"/>
        <v>94.415353345574303</v>
      </c>
      <c r="Z125" s="325">
        <f t="shared" si="58"/>
        <v>94.415353345574303</v>
      </c>
      <c r="AA125" s="325">
        <f t="shared" si="58"/>
        <v>94.415353345574303</v>
      </c>
      <c r="AB125" s="325">
        <f t="shared" si="58"/>
        <v>94.415353345574303</v>
      </c>
      <c r="AC125" s="325">
        <f t="shared" si="58"/>
        <v>94.415353345574303</v>
      </c>
      <c r="AD125" s="325">
        <f t="shared" si="58"/>
        <v>94.415353345574303</v>
      </c>
      <c r="AE125" s="325">
        <f t="shared" si="58"/>
        <v>94.415353345574303</v>
      </c>
      <c r="AF125" s="325">
        <f t="shared" si="58"/>
        <v>94.415353345574303</v>
      </c>
      <c r="AG125" s="325">
        <f t="shared" si="58"/>
        <v>94.415353345574303</v>
      </c>
      <c r="AH125" s="325">
        <f t="shared" si="58"/>
        <v>94.415353345574303</v>
      </c>
      <c r="AI125" s="325">
        <f t="shared" si="58"/>
        <v>94.415353345574303</v>
      </c>
      <c r="AK125" s="207">
        <v>0.1</v>
      </c>
    </row>
    <row r="126" spans="1:38" x14ac:dyDescent="0.25">
      <c r="A126" s="9" t="str">
        <f t="shared" si="55"/>
        <v>I-IS-BF_BOF02_CCS</v>
      </c>
      <c r="B126" s="9" t="str">
        <f t="shared" si="55"/>
        <v>IND Iron and Steel technology: BF-BOF - High bio w/CCS</v>
      </c>
      <c r="C126" s="9">
        <f t="shared" ref="C126" si="59">C113</f>
        <v>2030</v>
      </c>
      <c r="F126" s="9" t="s">
        <v>547</v>
      </c>
      <c r="G126" s="75" t="s">
        <v>625</v>
      </c>
      <c r="H126" s="325">
        <f t="shared" ref="H126:AI126" si="60">H113*$AK126</f>
        <v>94.415353345574303</v>
      </c>
      <c r="I126" s="325">
        <f t="shared" si="60"/>
        <v>94.415353345574303</v>
      </c>
      <c r="J126" s="325">
        <f t="shared" si="60"/>
        <v>94.415353345574303</v>
      </c>
      <c r="K126" s="325">
        <f t="shared" si="60"/>
        <v>94.415353345574303</v>
      </c>
      <c r="L126" s="325">
        <f t="shared" si="60"/>
        <v>94.415353345574303</v>
      </c>
      <c r="M126" s="325">
        <f t="shared" si="60"/>
        <v>94.415353345574303</v>
      </c>
      <c r="N126" s="325">
        <f t="shared" si="60"/>
        <v>94.415353345574303</v>
      </c>
      <c r="O126" s="325">
        <f t="shared" si="60"/>
        <v>94.415353345574303</v>
      </c>
      <c r="P126" s="325">
        <f t="shared" si="60"/>
        <v>94.415353345574303</v>
      </c>
      <c r="Q126" s="325">
        <f t="shared" si="60"/>
        <v>94.415353345574303</v>
      </c>
      <c r="R126" s="325">
        <f t="shared" si="60"/>
        <v>94.415353345574303</v>
      </c>
      <c r="S126" s="325">
        <f t="shared" si="60"/>
        <v>94.415353345574303</v>
      </c>
      <c r="T126" s="325">
        <f t="shared" si="60"/>
        <v>94.415353345574303</v>
      </c>
      <c r="U126" s="325">
        <f t="shared" si="60"/>
        <v>94.415353345574303</v>
      </c>
      <c r="V126" s="325">
        <f t="shared" si="60"/>
        <v>94.415353345574303</v>
      </c>
      <c r="W126" s="325">
        <f t="shared" si="60"/>
        <v>94.415353345574303</v>
      </c>
      <c r="X126" s="325">
        <f t="shared" si="60"/>
        <v>94.415353345574303</v>
      </c>
      <c r="Y126" s="325">
        <f t="shared" si="60"/>
        <v>94.415353345574303</v>
      </c>
      <c r="Z126" s="325">
        <f t="shared" si="60"/>
        <v>94.415353345574303</v>
      </c>
      <c r="AA126" s="325">
        <f t="shared" si="60"/>
        <v>94.415353345574303</v>
      </c>
      <c r="AB126" s="325">
        <f t="shared" si="60"/>
        <v>94.415353345574303</v>
      </c>
      <c r="AC126" s="325">
        <f t="shared" si="60"/>
        <v>94.415353345574303</v>
      </c>
      <c r="AD126" s="325">
        <f t="shared" si="60"/>
        <v>94.415353345574303</v>
      </c>
      <c r="AE126" s="325">
        <f t="shared" si="60"/>
        <v>94.415353345574303</v>
      </c>
      <c r="AF126" s="325">
        <f t="shared" si="60"/>
        <v>94.415353345574303</v>
      </c>
      <c r="AG126" s="325">
        <f t="shared" si="60"/>
        <v>94.415353345574303</v>
      </c>
      <c r="AH126" s="325">
        <f t="shared" si="60"/>
        <v>94.415353345574303</v>
      </c>
      <c r="AI126" s="325">
        <f t="shared" si="60"/>
        <v>94.415353345574303</v>
      </c>
      <c r="AK126" s="207">
        <v>0.1</v>
      </c>
    </row>
    <row r="127" spans="1:38" x14ac:dyDescent="0.25">
      <c r="A127" s="9" t="str">
        <f t="shared" si="55"/>
        <v>I-IS-DRI_EAF_COA01_CCS</v>
      </c>
      <c r="B127" s="9" t="str">
        <f t="shared" si="55"/>
        <v>IND Iron and Steel technology: DRI using coal plus EAF w/CCS</v>
      </c>
      <c r="C127" s="9">
        <f t="shared" ref="C127" si="61">C114</f>
        <v>2030</v>
      </c>
      <c r="F127" s="9" t="s">
        <v>547</v>
      </c>
      <c r="G127" s="75" t="s">
        <v>625</v>
      </c>
      <c r="H127" s="325">
        <f t="shared" ref="H127:AI127" si="62">H114*$AK127</f>
        <v>80.530742559460435</v>
      </c>
      <c r="I127" s="325">
        <f t="shared" si="62"/>
        <v>80.530742559460435</v>
      </c>
      <c r="J127" s="325">
        <f t="shared" si="62"/>
        <v>80.530742559460435</v>
      </c>
      <c r="K127" s="325">
        <f t="shared" si="62"/>
        <v>80.530742559460435</v>
      </c>
      <c r="L127" s="325">
        <f t="shared" si="62"/>
        <v>80.530742559460435</v>
      </c>
      <c r="M127" s="325">
        <f t="shared" si="62"/>
        <v>80.530742559460435</v>
      </c>
      <c r="N127" s="325">
        <f t="shared" si="62"/>
        <v>80.530742559460435</v>
      </c>
      <c r="O127" s="325">
        <f t="shared" si="62"/>
        <v>80.530742559460435</v>
      </c>
      <c r="P127" s="325">
        <f t="shared" si="62"/>
        <v>80.530742559460435</v>
      </c>
      <c r="Q127" s="325">
        <f t="shared" si="62"/>
        <v>80.530742559460435</v>
      </c>
      <c r="R127" s="325">
        <f t="shared" si="62"/>
        <v>80.530742559460435</v>
      </c>
      <c r="S127" s="325">
        <f t="shared" si="62"/>
        <v>80.530742559460435</v>
      </c>
      <c r="T127" s="325">
        <f t="shared" si="62"/>
        <v>80.530742559460435</v>
      </c>
      <c r="U127" s="325">
        <f t="shared" si="62"/>
        <v>80.530742559460435</v>
      </c>
      <c r="V127" s="325">
        <f t="shared" si="62"/>
        <v>80.530742559460435</v>
      </c>
      <c r="W127" s="325">
        <f t="shared" si="62"/>
        <v>80.530742559460435</v>
      </c>
      <c r="X127" s="325">
        <f t="shared" si="62"/>
        <v>80.530742559460435</v>
      </c>
      <c r="Y127" s="325">
        <f t="shared" si="62"/>
        <v>80.530742559460435</v>
      </c>
      <c r="Z127" s="325">
        <f t="shared" si="62"/>
        <v>80.530742559460435</v>
      </c>
      <c r="AA127" s="325">
        <f t="shared" si="62"/>
        <v>80.530742559460435</v>
      </c>
      <c r="AB127" s="325">
        <f t="shared" si="62"/>
        <v>80.530742559460435</v>
      </c>
      <c r="AC127" s="325">
        <f t="shared" si="62"/>
        <v>80.530742559460435</v>
      </c>
      <c r="AD127" s="325">
        <f t="shared" si="62"/>
        <v>80.530742559460435</v>
      </c>
      <c r="AE127" s="325">
        <f t="shared" si="62"/>
        <v>80.530742559460435</v>
      </c>
      <c r="AF127" s="325">
        <f t="shared" si="62"/>
        <v>80.530742559460435</v>
      </c>
      <c r="AG127" s="325">
        <f t="shared" si="62"/>
        <v>80.530742559460435</v>
      </c>
      <c r="AH127" s="325">
        <f t="shared" si="62"/>
        <v>80.530742559460435</v>
      </c>
      <c r="AI127" s="325">
        <f t="shared" si="62"/>
        <v>80.530742559460435</v>
      </c>
      <c r="AK127" s="207">
        <v>0.1</v>
      </c>
    </row>
    <row r="128" spans="1:38" x14ac:dyDescent="0.25">
      <c r="A128" s="9" t="str">
        <f t="shared" si="55"/>
        <v>I-IS-DRI_EAF_NGA01_CCS</v>
      </c>
      <c r="B128" s="9" t="str">
        <f t="shared" si="55"/>
        <v>IND Iron and Steel technology: DRI using gas plus EAF w/CCS</v>
      </c>
      <c r="C128" s="9">
        <f t="shared" ref="C128" si="63">C115</f>
        <v>2030</v>
      </c>
      <c r="F128" s="9" t="s">
        <v>547</v>
      </c>
      <c r="G128" s="75" t="s">
        <v>625</v>
      </c>
      <c r="H128" s="325">
        <f t="shared" ref="H128:AI128" si="64">H115*$AK128</f>
        <v>80.530742559460435</v>
      </c>
      <c r="I128" s="325">
        <f t="shared" si="64"/>
        <v>80.530742559460435</v>
      </c>
      <c r="J128" s="325">
        <f t="shared" si="64"/>
        <v>80.530742559460435</v>
      </c>
      <c r="K128" s="325">
        <f t="shared" si="64"/>
        <v>80.530742559460435</v>
      </c>
      <c r="L128" s="325">
        <f t="shared" si="64"/>
        <v>80.530742559460435</v>
      </c>
      <c r="M128" s="325">
        <f t="shared" si="64"/>
        <v>80.530742559460435</v>
      </c>
      <c r="N128" s="325">
        <f t="shared" si="64"/>
        <v>80.530742559460435</v>
      </c>
      <c r="O128" s="325">
        <f t="shared" si="64"/>
        <v>80.530742559460435</v>
      </c>
      <c r="P128" s="325">
        <f t="shared" si="64"/>
        <v>80.530742559460435</v>
      </c>
      <c r="Q128" s="325">
        <f t="shared" si="64"/>
        <v>80.530742559460435</v>
      </c>
      <c r="R128" s="325">
        <f t="shared" si="64"/>
        <v>80.530742559460435</v>
      </c>
      <c r="S128" s="325">
        <f t="shared" si="64"/>
        <v>80.530742559460435</v>
      </c>
      <c r="T128" s="325">
        <f t="shared" si="64"/>
        <v>80.530742559460435</v>
      </c>
      <c r="U128" s="325">
        <f t="shared" si="64"/>
        <v>80.530742559460435</v>
      </c>
      <c r="V128" s="325">
        <f t="shared" si="64"/>
        <v>80.530742559460435</v>
      </c>
      <c r="W128" s="325">
        <f t="shared" si="64"/>
        <v>80.530742559460435</v>
      </c>
      <c r="X128" s="325">
        <f t="shared" si="64"/>
        <v>80.530742559460435</v>
      </c>
      <c r="Y128" s="325">
        <f t="shared" si="64"/>
        <v>80.530742559460435</v>
      </c>
      <c r="Z128" s="325">
        <f t="shared" si="64"/>
        <v>80.530742559460435</v>
      </c>
      <c r="AA128" s="325">
        <f t="shared" si="64"/>
        <v>80.530742559460435</v>
      </c>
      <c r="AB128" s="325">
        <f t="shared" si="64"/>
        <v>80.530742559460435</v>
      </c>
      <c r="AC128" s="325">
        <f t="shared" si="64"/>
        <v>80.530742559460435</v>
      </c>
      <c r="AD128" s="325">
        <f t="shared" si="64"/>
        <v>80.530742559460435</v>
      </c>
      <c r="AE128" s="325">
        <f t="shared" si="64"/>
        <v>80.530742559460435</v>
      </c>
      <c r="AF128" s="325">
        <f t="shared" si="64"/>
        <v>80.530742559460435</v>
      </c>
      <c r="AG128" s="325">
        <f t="shared" si="64"/>
        <v>80.530742559460435</v>
      </c>
      <c r="AH128" s="325">
        <f t="shared" si="64"/>
        <v>80.530742559460435</v>
      </c>
      <c r="AI128" s="325">
        <f t="shared" si="64"/>
        <v>80.530742559460435</v>
      </c>
      <c r="AK128" s="207">
        <v>0.1</v>
      </c>
    </row>
    <row r="129" spans="1:37" x14ac:dyDescent="0.25">
      <c r="A129" s="9" t="str">
        <f t="shared" si="55"/>
        <v>I-IS-MOE01</v>
      </c>
      <c r="B129" s="9" t="str">
        <f t="shared" si="55"/>
        <v>IND Iron and Steel technology: Molten Oxide Electrolysis</v>
      </c>
      <c r="C129" s="9">
        <f>C116</f>
        <v>2035</v>
      </c>
      <c r="F129" s="9" t="s">
        <v>547</v>
      </c>
      <c r="G129" s="75" t="s">
        <v>625</v>
      </c>
      <c r="H129" s="325">
        <f t="shared" ref="H129:AI129" si="65">H116*$AK129</f>
        <v>102.91850079013801</v>
      </c>
      <c r="I129" s="325">
        <f t="shared" si="65"/>
        <v>102.91850079013801</v>
      </c>
      <c r="J129" s="325">
        <f t="shared" si="65"/>
        <v>102.91850079013801</v>
      </c>
      <c r="K129" s="325">
        <f t="shared" si="65"/>
        <v>102.91850079013801</v>
      </c>
      <c r="L129" s="325">
        <f t="shared" si="65"/>
        <v>102.91850079013801</v>
      </c>
      <c r="M129" s="325">
        <f t="shared" si="65"/>
        <v>102.91850079013801</v>
      </c>
      <c r="N129" s="325">
        <f t="shared" si="65"/>
        <v>102.91850079013801</v>
      </c>
      <c r="O129" s="325">
        <f t="shared" si="65"/>
        <v>102.91850079013801</v>
      </c>
      <c r="P129" s="325">
        <f t="shared" si="65"/>
        <v>102.91850079013801</v>
      </c>
      <c r="Q129" s="325">
        <f t="shared" si="65"/>
        <v>102.91850079013801</v>
      </c>
      <c r="R129" s="325">
        <f t="shared" si="65"/>
        <v>102.91850079013801</v>
      </c>
      <c r="S129" s="325">
        <f t="shared" si="65"/>
        <v>102.91850079013801</v>
      </c>
      <c r="T129" s="325">
        <f t="shared" si="65"/>
        <v>102.91850079013801</v>
      </c>
      <c r="U129" s="325">
        <f t="shared" si="65"/>
        <v>102.91850079013801</v>
      </c>
      <c r="V129" s="325">
        <f t="shared" si="65"/>
        <v>102.91850079013801</v>
      </c>
      <c r="W129" s="325">
        <f t="shared" si="65"/>
        <v>102.91850079013801</v>
      </c>
      <c r="X129" s="325">
        <f t="shared" si="65"/>
        <v>102.91850079013801</v>
      </c>
      <c r="Y129" s="325">
        <f t="shared" si="65"/>
        <v>102.91850079013801</v>
      </c>
      <c r="Z129" s="325">
        <f t="shared" si="65"/>
        <v>102.91850079013801</v>
      </c>
      <c r="AA129" s="325">
        <f t="shared" si="65"/>
        <v>102.91850079013801</v>
      </c>
      <c r="AB129" s="325">
        <f t="shared" si="65"/>
        <v>102.91850079013801</v>
      </c>
      <c r="AC129" s="325">
        <f t="shared" si="65"/>
        <v>102.91850079013801</v>
      </c>
      <c r="AD129" s="325">
        <f t="shared" si="65"/>
        <v>102.91850079013801</v>
      </c>
      <c r="AE129" s="325">
        <f t="shared" si="65"/>
        <v>102.91850079013801</v>
      </c>
      <c r="AF129" s="325">
        <f t="shared" si="65"/>
        <v>102.91850079013801</v>
      </c>
      <c r="AG129" s="325">
        <f t="shared" si="65"/>
        <v>102.91850079013801</v>
      </c>
      <c r="AH129" s="325">
        <f t="shared" si="65"/>
        <v>102.91850079013801</v>
      </c>
      <c r="AI129" s="325">
        <f t="shared" si="65"/>
        <v>102.91850079013801</v>
      </c>
      <c r="AK129" s="207">
        <v>0.1</v>
      </c>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515A-0662-487C-B43C-DF9E05025FBB}">
  <sheetPr>
    <tabColor rgb="FFC00000"/>
  </sheetPr>
  <dimension ref="B2:AA72"/>
  <sheetViews>
    <sheetView tabSelected="1" zoomScale="60" zoomScaleNormal="60" workbookViewId="0">
      <selection activeCell="B13" sqref="B13"/>
    </sheetView>
  </sheetViews>
  <sheetFormatPr defaultRowHeight="15" x14ac:dyDescent="0.25"/>
  <cols>
    <col min="2" max="2" width="27.28515625" bestFit="1" customWidth="1"/>
    <col min="3" max="3" width="5.28515625" bestFit="1" customWidth="1"/>
    <col min="4" max="17" width="22" customWidth="1"/>
  </cols>
  <sheetData>
    <row r="2" spans="2:27" x14ac:dyDescent="0.25">
      <c r="B2" s="136" t="s">
        <v>629</v>
      </c>
      <c r="C2" s="88"/>
      <c r="D2" s="135" t="s">
        <v>630</v>
      </c>
      <c r="E2" s="88"/>
      <c r="F2" s="88"/>
    </row>
    <row r="4" spans="2:27" x14ac:dyDescent="0.25">
      <c r="C4" s="137">
        <v>1</v>
      </c>
      <c r="D4" s="137">
        <f>C4+1</f>
        <v>2</v>
      </c>
      <c r="E4" s="137">
        <f t="shared" ref="E4:Y4" si="0">D4+1</f>
        <v>3</v>
      </c>
      <c r="F4" s="137">
        <f t="shared" si="0"/>
        <v>4</v>
      </c>
      <c r="G4" s="137">
        <f t="shared" si="0"/>
        <v>5</v>
      </c>
      <c r="H4" s="137">
        <f t="shared" si="0"/>
        <v>6</v>
      </c>
      <c r="I4" s="137">
        <f t="shared" si="0"/>
        <v>7</v>
      </c>
      <c r="J4" s="137">
        <f t="shared" si="0"/>
        <v>8</v>
      </c>
      <c r="K4" s="137">
        <f t="shared" si="0"/>
        <v>9</v>
      </c>
      <c r="L4" s="137">
        <f t="shared" si="0"/>
        <v>10</v>
      </c>
      <c r="M4" s="137">
        <f t="shared" si="0"/>
        <v>11</v>
      </c>
      <c r="N4" s="137">
        <f t="shared" si="0"/>
        <v>12</v>
      </c>
      <c r="O4" s="137">
        <f t="shared" si="0"/>
        <v>13</v>
      </c>
      <c r="P4" s="137">
        <f t="shared" si="0"/>
        <v>14</v>
      </c>
      <c r="Q4" s="137">
        <f t="shared" si="0"/>
        <v>15</v>
      </c>
      <c r="R4" s="137">
        <f t="shared" si="0"/>
        <v>16</v>
      </c>
      <c r="S4" s="137">
        <f t="shared" si="0"/>
        <v>17</v>
      </c>
      <c r="T4" s="137">
        <f t="shared" si="0"/>
        <v>18</v>
      </c>
      <c r="U4" s="137">
        <f t="shared" si="0"/>
        <v>19</v>
      </c>
      <c r="V4" s="137">
        <f t="shared" si="0"/>
        <v>20</v>
      </c>
      <c r="W4" s="137">
        <f t="shared" si="0"/>
        <v>21</v>
      </c>
      <c r="X4" s="137">
        <f t="shared" si="0"/>
        <v>22</v>
      </c>
      <c r="Y4" s="137">
        <f t="shared" si="0"/>
        <v>23</v>
      </c>
    </row>
    <row r="5" spans="2:27" x14ac:dyDescent="0.25">
      <c r="C5" s="103"/>
      <c r="D5" s="5" t="s">
        <v>631</v>
      </c>
      <c r="E5" s="5"/>
      <c r="F5" s="5"/>
      <c r="G5" s="5"/>
      <c r="H5" s="5"/>
      <c r="I5" s="5"/>
      <c r="J5" s="5"/>
      <c r="K5" s="5"/>
      <c r="L5" s="5" t="s">
        <v>632</v>
      </c>
      <c r="M5" s="5"/>
      <c r="N5" s="5"/>
    </row>
    <row r="6" spans="2:27" ht="30" x14ac:dyDescent="0.25">
      <c r="B6" s="60"/>
      <c r="C6" s="104"/>
      <c r="D6" s="105" t="s">
        <v>633</v>
      </c>
      <c r="E6" s="105" t="s">
        <v>634</v>
      </c>
      <c r="F6" s="105" t="s">
        <v>635</v>
      </c>
      <c r="G6" s="105" t="s">
        <v>636</v>
      </c>
      <c r="H6" s="105" t="s">
        <v>637</v>
      </c>
      <c r="I6" s="105" t="s">
        <v>638</v>
      </c>
      <c r="J6" s="105" t="s">
        <v>639</v>
      </c>
      <c r="K6" s="106" t="s">
        <v>640</v>
      </c>
      <c r="L6" s="105" t="s">
        <v>633</v>
      </c>
      <c r="M6" s="105" t="s">
        <v>634</v>
      </c>
      <c r="N6" s="105" t="s">
        <v>635</v>
      </c>
      <c r="O6" s="105" t="s">
        <v>636</v>
      </c>
      <c r="P6" s="105" t="s">
        <v>637</v>
      </c>
      <c r="Q6" s="106" t="s">
        <v>640</v>
      </c>
      <c r="S6" t="s">
        <v>640</v>
      </c>
      <c r="W6" t="s">
        <v>641</v>
      </c>
    </row>
    <row r="7" spans="2:27" ht="45" x14ac:dyDescent="0.25">
      <c r="B7" s="60"/>
      <c r="C7" s="104"/>
      <c r="D7" s="105" t="s">
        <v>642</v>
      </c>
      <c r="E7" s="105" t="s">
        <v>643</v>
      </c>
      <c r="F7" s="105" t="s">
        <v>644</v>
      </c>
      <c r="G7" s="105" t="s">
        <v>645</v>
      </c>
      <c r="H7" s="105" t="s">
        <v>646</v>
      </c>
      <c r="I7" s="105" t="s">
        <v>646</v>
      </c>
      <c r="J7" s="105" t="s">
        <v>646</v>
      </c>
      <c r="K7" s="106"/>
      <c r="L7" s="105" t="s">
        <v>642</v>
      </c>
      <c r="M7" s="105" t="s">
        <v>643</v>
      </c>
      <c r="N7" s="105" t="s">
        <v>644</v>
      </c>
      <c r="O7" s="105" t="s">
        <v>645</v>
      </c>
      <c r="P7" s="105" t="s">
        <v>646</v>
      </c>
      <c r="Q7" s="106"/>
      <c r="S7" t="s">
        <v>647</v>
      </c>
      <c r="T7" t="s">
        <v>648</v>
      </c>
      <c r="W7" t="s">
        <v>459</v>
      </c>
      <c r="X7" t="s">
        <v>461</v>
      </c>
      <c r="Y7" t="s">
        <v>462</v>
      </c>
      <c r="AA7" t="s">
        <v>649</v>
      </c>
    </row>
    <row r="8" spans="2:27" x14ac:dyDescent="0.25">
      <c r="B8" t="s">
        <v>171</v>
      </c>
      <c r="C8" s="103" t="s">
        <v>170</v>
      </c>
      <c r="D8" s="102">
        <v>753.56663672268587</v>
      </c>
      <c r="E8" s="102">
        <v>3.9611570825655882</v>
      </c>
      <c r="F8" s="102">
        <v>0</v>
      </c>
      <c r="G8" s="102">
        <v>4.3225289119443628</v>
      </c>
      <c r="H8" s="102">
        <v>1.4065405361345975</v>
      </c>
      <c r="I8" s="102">
        <v>0.13930966771554298</v>
      </c>
      <c r="J8" s="102">
        <v>1.2672308684190545</v>
      </c>
      <c r="K8" s="107">
        <v>5.7290694480789606</v>
      </c>
      <c r="L8" s="102">
        <v>921.9</v>
      </c>
      <c r="M8" s="102">
        <v>4.3360000000000003</v>
      </c>
      <c r="N8" s="102">
        <v>0</v>
      </c>
      <c r="O8" s="102">
        <v>4.6900000000000004</v>
      </c>
      <c r="P8" s="102">
        <v>1.47</v>
      </c>
      <c r="Q8" s="107">
        <v>6.16</v>
      </c>
      <c r="S8" s="101">
        <f>(K8/Q8)-1</f>
        <v>-6.9956258428740203E-2</v>
      </c>
      <c r="T8" s="102">
        <f>K8-Q8</f>
        <v>-0.43093055192103957</v>
      </c>
      <c r="W8" s="101">
        <f>G8/$K8</f>
        <v>0.75449057671901132</v>
      </c>
      <c r="X8" s="101">
        <f>I8/$K8</f>
        <v>2.4316281898494968E-2</v>
      </c>
      <c r="Y8" s="101">
        <f>J8/$K8</f>
        <v>0.22119314138249369</v>
      </c>
      <c r="AA8" s="114">
        <f>SUM(W8:Y8)</f>
        <v>1</v>
      </c>
    </row>
    <row r="9" spans="2:27" x14ac:dyDescent="0.25">
      <c r="B9" t="s">
        <v>176</v>
      </c>
      <c r="C9" s="103" t="s">
        <v>175</v>
      </c>
      <c r="D9" s="102">
        <v>5.7485503080542824</v>
      </c>
      <c r="E9" s="250">
        <v>2.3086386803146395</v>
      </c>
      <c r="F9" s="102">
        <v>5.8270193105956647</v>
      </c>
      <c r="G9" s="102">
        <v>0</v>
      </c>
      <c r="H9" s="102">
        <v>5.4087257695453799</v>
      </c>
      <c r="I9" s="102">
        <v>0.5392214667076054</v>
      </c>
      <c r="J9" s="102">
        <v>4.8695043028377745</v>
      </c>
      <c r="K9" s="107">
        <v>5.4087257695453799</v>
      </c>
      <c r="L9" s="102">
        <v>4.8663615560640734</v>
      </c>
      <c r="M9" s="250">
        <v>3.8719999999999999</v>
      </c>
      <c r="N9" s="102">
        <v>0.59499999999999997</v>
      </c>
      <c r="O9" s="102">
        <v>0</v>
      </c>
      <c r="P9" s="102">
        <v>11.462</v>
      </c>
      <c r="Q9" s="107">
        <v>11.462</v>
      </c>
      <c r="S9" s="101">
        <f t="shared" ref="S9:S36" si="1">(K9/Q9)-1</f>
        <v>-0.52811675366032285</v>
      </c>
      <c r="T9" s="102">
        <f t="shared" ref="T9:T36" si="2">K9-Q9</f>
        <v>-6.0532742304546199</v>
      </c>
      <c r="W9" s="101">
        <f>G9/$K9</f>
        <v>0</v>
      </c>
      <c r="X9" s="101">
        <f t="shared" ref="X9:X36" si="3">I9/$K9</f>
        <v>9.9694732120413757E-2</v>
      </c>
      <c r="Y9" s="101">
        <f t="shared" ref="Y9:Y36" si="4">J9/$K9</f>
        <v>0.9003052678795862</v>
      </c>
      <c r="AA9" s="114">
        <f t="shared" ref="AA9:AA36" si="5">SUM(W9:Y9)</f>
        <v>1</v>
      </c>
    </row>
    <row r="10" spans="2:27" x14ac:dyDescent="0.25">
      <c r="B10" t="s">
        <v>186</v>
      </c>
      <c r="C10" s="103" t="s">
        <v>185</v>
      </c>
      <c r="D10" s="102">
        <v>613.38209651748741</v>
      </c>
      <c r="E10" s="102">
        <v>843.26329633848991</v>
      </c>
      <c r="F10" s="102">
        <v>0</v>
      </c>
      <c r="G10" s="102">
        <v>855.34618628319868</v>
      </c>
      <c r="H10" s="102">
        <v>92.923971536972516</v>
      </c>
      <c r="I10" s="102">
        <v>9.382836388765071</v>
      </c>
      <c r="J10" s="102">
        <v>83.541135148207445</v>
      </c>
      <c r="K10" s="107">
        <v>948.27015782017122</v>
      </c>
      <c r="L10" s="102">
        <v>241.3</v>
      </c>
      <c r="M10" s="102">
        <v>809.36500000000001</v>
      </c>
      <c r="N10" s="102">
        <v>0</v>
      </c>
      <c r="O10" s="102">
        <v>893.3</v>
      </c>
      <c r="P10" s="102">
        <v>103.2</v>
      </c>
      <c r="Q10" s="107">
        <v>996.5</v>
      </c>
      <c r="S10" s="109">
        <f t="shared" si="1"/>
        <v>-4.839923951814229E-2</v>
      </c>
      <c r="T10" s="110">
        <f t="shared" si="2"/>
        <v>-48.229842179828779</v>
      </c>
      <c r="W10" s="101">
        <f t="shared" ref="W10:W36" si="6">G10/$K10</f>
        <v>0.90200685873044784</v>
      </c>
      <c r="X10" s="101">
        <f t="shared" si="3"/>
        <v>9.8946869849134492E-3</v>
      </c>
      <c r="Y10" s="101">
        <f t="shared" si="4"/>
        <v>8.8098454284638666E-2</v>
      </c>
      <c r="AA10" s="114">
        <f t="shared" si="5"/>
        <v>1</v>
      </c>
    </row>
    <row r="11" spans="2:27" x14ac:dyDescent="0.25">
      <c r="B11" t="s">
        <v>202</v>
      </c>
      <c r="C11" s="103" t="s">
        <v>201</v>
      </c>
      <c r="D11" s="102">
        <v>0</v>
      </c>
      <c r="E11" s="102">
        <v>79.242313706014755</v>
      </c>
      <c r="F11" s="102">
        <v>0</v>
      </c>
      <c r="G11" s="102">
        <v>78.844141107583525</v>
      </c>
      <c r="H11" s="102">
        <v>23.604557284808109</v>
      </c>
      <c r="I11" s="102">
        <v>2.3523519571403639</v>
      </c>
      <c r="J11" s="102">
        <v>21.252205327667745</v>
      </c>
      <c r="K11" s="107">
        <v>102.44869839239163</v>
      </c>
      <c r="L11" s="102">
        <v>0</v>
      </c>
      <c r="M11" s="102">
        <v>74.906999999999996</v>
      </c>
      <c r="N11" s="102">
        <v>0</v>
      </c>
      <c r="O11" s="102">
        <v>74.983000000000004</v>
      </c>
      <c r="P11" s="102">
        <v>24.300999999999998</v>
      </c>
      <c r="Q11" s="107">
        <v>99.284000000000006</v>
      </c>
      <c r="S11" s="101">
        <f t="shared" si="1"/>
        <v>3.1875210430599266E-2</v>
      </c>
      <c r="T11" s="102">
        <f t="shared" si="2"/>
        <v>3.1646983923916281</v>
      </c>
      <c r="W11" s="101">
        <f t="shared" si="6"/>
        <v>0.76959631839928666</v>
      </c>
      <c r="X11" s="101">
        <f t="shared" si="3"/>
        <v>2.2961267386048721E-2</v>
      </c>
      <c r="Y11" s="101">
        <f t="shared" si="4"/>
        <v>0.20744241421466456</v>
      </c>
      <c r="AA11" s="114">
        <f t="shared" si="5"/>
        <v>1</v>
      </c>
    </row>
    <row r="12" spans="2:27" x14ac:dyDescent="0.25">
      <c r="B12" t="s">
        <v>1519</v>
      </c>
      <c r="C12" s="103" t="s">
        <v>217</v>
      </c>
      <c r="D12" s="102">
        <v>0.17959259179057724</v>
      </c>
      <c r="E12" s="102">
        <v>46.297002293171758</v>
      </c>
      <c r="F12" s="102">
        <v>0</v>
      </c>
      <c r="G12" s="102">
        <v>47.800329755103583</v>
      </c>
      <c r="H12" s="102">
        <v>21.5141776998199</v>
      </c>
      <c r="I12" s="102">
        <v>2.1467805809108995</v>
      </c>
      <c r="J12" s="102">
        <v>19.367397118909</v>
      </c>
      <c r="K12" s="107">
        <v>69.314507454923486</v>
      </c>
      <c r="L12" s="102">
        <v>2.3333028222730743</v>
      </c>
      <c r="M12" s="102">
        <v>62.280999999999999</v>
      </c>
      <c r="N12" s="102">
        <v>0</v>
      </c>
      <c r="O12" s="102">
        <v>62.302999999999997</v>
      </c>
      <c r="P12" s="102">
        <v>31.062999999999999</v>
      </c>
      <c r="Q12" s="107">
        <v>93.366</v>
      </c>
      <c r="S12" s="101">
        <f t="shared" si="1"/>
        <v>-0.25760440144245778</v>
      </c>
      <c r="T12" s="102">
        <f t="shared" si="2"/>
        <v>-24.051492545076513</v>
      </c>
      <c r="W12" s="101">
        <f t="shared" si="6"/>
        <v>0.68961508218447665</v>
      </c>
      <c r="X12" s="101">
        <f t="shared" si="3"/>
        <v>3.0971591081520571E-2</v>
      </c>
      <c r="Y12" s="101">
        <f t="shared" si="4"/>
        <v>0.27941332673400265</v>
      </c>
      <c r="AA12" s="114">
        <f t="shared" si="5"/>
        <v>0.99999999999999989</v>
      </c>
    </row>
    <row r="13" spans="2:27" x14ac:dyDescent="0.25">
      <c r="B13" t="s">
        <v>174</v>
      </c>
      <c r="C13" s="103" t="s">
        <v>173</v>
      </c>
      <c r="D13" s="102">
        <v>22.235736401300599</v>
      </c>
      <c r="E13" s="102">
        <v>2.3306979644670274</v>
      </c>
      <c r="F13" s="102">
        <v>0</v>
      </c>
      <c r="G13" s="102">
        <v>3.4861665204601073</v>
      </c>
      <c r="H13" s="102">
        <v>0.46430056083081506</v>
      </c>
      <c r="I13" s="102">
        <v>4.6288320035385966E-2</v>
      </c>
      <c r="J13" s="102">
        <v>0.41801224079542909</v>
      </c>
      <c r="K13" s="107">
        <v>3.9504670812909222</v>
      </c>
      <c r="L13" s="102">
        <v>18.834079468864154</v>
      </c>
      <c r="M13" s="102">
        <v>3.1669999999999998</v>
      </c>
      <c r="N13" s="102">
        <v>0</v>
      </c>
      <c r="O13" s="102">
        <v>4.0739999999999998</v>
      </c>
      <c r="P13" s="102">
        <v>0.97599999999999998</v>
      </c>
      <c r="Q13" s="107">
        <v>5.05</v>
      </c>
      <c r="S13" s="101">
        <f t="shared" si="1"/>
        <v>-0.21772929083348069</v>
      </c>
      <c r="T13" s="102">
        <f t="shared" si="2"/>
        <v>-1.0995329187090777</v>
      </c>
      <c r="W13" s="101">
        <f t="shared" si="6"/>
        <v>0.88246945202259675</v>
      </c>
      <c r="X13" s="101">
        <f t="shared" si="3"/>
        <v>1.1717176496572654E-2</v>
      </c>
      <c r="Y13" s="101">
        <f t="shared" si="4"/>
        <v>0.10581337148083063</v>
      </c>
      <c r="AA13" s="114">
        <f t="shared" si="5"/>
        <v>1</v>
      </c>
    </row>
    <row r="14" spans="2:27" x14ac:dyDescent="0.25">
      <c r="B14" t="s">
        <v>199</v>
      </c>
      <c r="C14" s="103" t="s">
        <v>198</v>
      </c>
      <c r="D14" s="102">
        <v>6.7809189766203701</v>
      </c>
      <c r="E14" s="102">
        <v>6.6827689054900405</v>
      </c>
      <c r="F14" s="102">
        <v>0.12</v>
      </c>
      <c r="G14" s="102">
        <v>12.656545215263757</v>
      </c>
      <c r="H14" s="102">
        <v>6.340404819554692</v>
      </c>
      <c r="I14" s="110">
        <v>0.63320346096930979</v>
      </c>
      <c r="J14" s="102">
        <v>5.7072013585853822</v>
      </c>
      <c r="K14" s="107">
        <v>18.996950034818447</v>
      </c>
      <c r="L14" s="102">
        <v>4.1740045766590388</v>
      </c>
      <c r="M14" s="102">
        <v>9.8360000000000003</v>
      </c>
      <c r="N14" s="102">
        <v>0.12</v>
      </c>
      <c r="O14" s="102">
        <v>15.734</v>
      </c>
      <c r="P14" s="102">
        <v>11.433</v>
      </c>
      <c r="Q14" s="107">
        <v>27.167000000000002</v>
      </c>
      <c r="S14" s="101">
        <f t="shared" si="1"/>
        <v>-0.30073434553618561</v>
      </c>
      <c r="T14" s="102">
        <f t="shared" si="2"/>
        <v>-8.1700499651815548</v>
      </c>
      <c r="W14" s="101">
        <f t="shared" ref="W14" si="7">G14/$K14</f>
        <v>0.66624090667534963</v>
      </c>
      <c r="X14" s="101">
        <f t="shared" ref="X14" si="8">I14/$K14</f>
        <v>3.3331848523512807E-2</v>
      </c>
      <c r="Y14" s="101">
        <f t="shared" ref="Y14" si="9">J14/$K14</f>
        <v>0.30042724480113769</v>
      </c>
      <c r="AA14" s="114">
        <f t="shared" si="5"/>
        <v>1</v>
      </c>
    </row>
    <row r="15" spans="2:27" x14ac:dyDescent="0.25">
      <c r="B15" t="s">
        <v>178</v>
      </c>
      <c r="C15" s="103" t="s">
        <v>177</v>
      </c>
      <c r="D15" s="102">
        <v>0</v>
      </c>
      <c r="E15" s="102">
        <v>0</v>
      </c>
      <c r="F15" s="102">
        <v>0</v>
      </c>
      <c r="G15" s="102">
        <v>0</v>
      </c>
      <c r="H15" s="102">
        <v>3.406371427651028</v>
      </c>
      <c r="I15" s="102">
        <v>0.33959728698230052</v>
      </c>
      <c r="J15" s="102">
        <v>3.0667741406687301</v>
      </c>
      <c r="K15" s="107">
        <v>3.406371427651028</v>
      </c>
      <c r="L15" s="102">
        <v>0</v>
      </c>
      <c r="M15" s="102">
        <v>0</v>
      </c>
      <c r="N15" s="102">
        <v>0</v>
      </c>
      <c r="O15" s="102">
        <v>0</v>
      </c>
      <c r="P15" s="102">
        <v>8.4339999999999993</v>
      </c>
      <c r="Q15" s="107">
        <v>8.4339999999999993</v>
      </c>
      <c r="S15" s="101">
        <f t="shared" si="1"/>
        <v>-0.59611436712698262</v>
      </c>
      <c r="T15" s="102">
        <f t="shared" si="2"/>
        <v>-5.0276285723489718</v>
      </c>
      <c r="W15" s="101">
        <f t="shared" si="6"/>
        <v>0</v>
      </c>
      <c r="X15" s="101">
        <f t="shared" si="3"/>
        <v>9.9694732120413729E-2</v>
      </c>
      <c r="Y15" s="101">
        <f t="shared" si="4"/>
        <v>0.90030526787958709</v>
      </c>
      <c r="AA15" s="114">
        <f t="shared" si="5"/>
        <v>1.0000000000000009</v>
      </c>
    </row>
    <row r="16" spans="2:27" x14ac:dyDescent="0.25">
      <c r="B16" t="s">
        <v>200</v>
      </c>
      <c r="C16" s="103" t="s">
        <v>9</v>
      </c>
      <c r="D16" s="102">
        <v>149.56444269984624</v>
      </c>
      <c r="E16" s="102">
        <v>68.309328101227564</v>
      </c>
      <c r="F16" s="102">
        <v>38.008513154103149</v>
      </c>
      <c r="G16" s="102">
        <v>45.276825374725171</v>
      </c>
      <c r="H16" s="102">
        <v>59.474162360899122</v>
      </c>
      <c r="I16" s="102">
        <v>29.421849765967526</v>
      </c>
      <c r="J16" s="102">
        <v>30.052312594931596</v>
      </c>
      <c r="K16" s="107">
        <v>104.75098773562429</v>
      </c>
      <c r="L16" s="102">
        <v>232.8</v>
      </c>
      <c r="M16" s="102">
        <v>74.156000000000006</v>
      </c>
      <c r="N16" s="102">
        <v>36.817999999999998</v>
      </c>
      <c r="O16" s="102">
        <v>48.68</v>
      </c>
      <c r="P16" s="102">
        <v>62.677999999999997</v>
      </c>
      <c r="Q16" s="107">
        <v>111.358</v>
      </c>
      <c r="S16" s="101">
        <f t="shared" si="1"/>
        <v>-5.9331276283479562E-2</v>
      </c>
      <c r="T16" s="102">
        <f t="shared" si="2"/>
        <v>-6.6070122643757117</v>
      </c>
      <c r="W16" s="101">
        <f t="shared" si="6"/>
        <v>0.43223292069566976</v>
      </c>
      <c r="X16" s="101">
        <f t="shared" si="3"/>
        <v>0.28087419891661397</v>
      </c>
      <c r="Y16" s="101">
        <f t="shared" si="4"/>
        <v>0.28689288038771626</v>
      </c>
      <c r="AA16" s="114">
        <f t="shared" si="5"/>
        <v>1</v>
      </c>
    </row>
    <row r="17" spans="2:27" x14ac:dyDescent="0.25">
      <c r="B17" t="s">
        <v>182</v>
      </c>
      <c r="C17" s="103" t="s">
        <v>181</v>
      </c>
      <c r="D17" s="102">
        <v>27.633028780967791</v>
      </c>
      <c r="E17" s="102">
        <v>6.5642375097679002</v>
      </c>
      <c r="F17" s="102">
        <v>0.4831347132322461</v>
      </c>
      <c r="G17" s="102">
        <v>9.6419102985149365</v>
      </c>
      <c r="H17" s="102">
        <v>4.4693546830652791</v>
      </c>
      <c r="I17" s="102">
        <v>0.44672632091823594</v>
      </c>
      <c r="J17" s="102">
        <v>4.0226283621470431</v>
      </c>
      <c r="K17" s="107">
        <v>14.111264981580216</v>
      </c>
      <c r="L17" s="102">
        <v>58.5</v>
      </c>
      <c r="M17" s="102">
        <v>6.42</v>
      </c>
      <c r="N17" s="102">
        <v>1.44</v>
      </c>
      <c r="O17" s="102">
        <v>7.82</v>
      </c>
      <c r="P17" s="102">
        <v>5.08</v>
      </c>
      <c r="Q17" s="107">
        <v>12.9</v>
      </c>
      <c r="S17" s="101">
        <f t="shared" si="1"/>
        <v>9.3896510200016658E-2</v>
      </c>
      <c r="T17" s="102">
        <f t="shared" si="2"/>
        <v>1.2112649815802161</v>
      </c>
      <c r="W17" s="101">
        <f t="shared" si="6"/>
        <v>0.68327753118524537</v>
      </c>
      <c r="X17" s="101">
        <f t="shared" si="3"/>
        <v>3.1657425574628417E-2</v>
      </c>
      <c r="Y17" s="101">
        <f t="shared" si="4"/>
        <v>0.28506504324012621</v>
      </c>
      <c r="AA17" s="114">
        <f t="shared" si="5"/>
        <v>1</v>
      </c>
    </row>
    <row r="18" spans="2:27" x14ac:dyDescent="0.25">
      <c r="B18" t="s">
        <v>220</v>
      </c>
      <c r="C18" s="103" t="s">
        <v>219</v>
      </c>
      <c r="D18" s="102">
        <v>27.008599135216826</v>
      </c>
      <c r="E18" s="102">
        <v>24.108386710234971</v>
      </c>
      <c r="F18" s="102">
        <v>0.7477710912205201</v>
      </c>
      <c r="G18" s="102">
        <v>28.600450095205431</v>
      </c>
      <c r="H18" s="102">
        <v>58.112175567353013</v>
      </c>
      <c r="I18" s="102">
        <v>5.8077997964515404</v>
      </c>
      <c r="J18" s="102">
        <v>52.304375770901473</v>
      </c>
      <c r="K18" s="107">
        <v>86.712625662558452</v>
      </c>
      <c r="L18" s="102">
        <v>48</v>
      </c>
      <c r="M18" s="102">
        <v>22.300999999999998</v>
      </c>
      <c r="N18" s="102">
        <v>3.24</v>
      </c>
      <c r="O18" s="102">
        <v>26.59</v>
      </c>
      <c r="P18" s="102">
        <v>61.170999999999999</v>
      </c>
      <c r="Q18" s="107">
        <v>87.760999999999996</v>
      </c>
      <c r="S18" s="101">
        <f t="shared" si="1"/>
        <v>-1.1945788419019165E-2</v>
      </c>
      <c r="T18" s="102">
        <f t="shared" si="2"/>
        <v>-1.048374337441544</v>
      </c>
      <c r="W18" s="101">
        <f t="shared" si="6"/>
        <v>0.32983028568992795</v>
      </c>
      <c r="X18" s="101">
        <f t="shared" si="3"/>
        <v>6.6977556636937177E-2</v>
      </c>
      <c r="Y18" s="101">
        <f t="shared" si="4"/>
        <v>0.60319215767313483</v>
      </c>
      <c r="AA18" s="114">
        <f t="shared" si="5"/>
        <v>1</v>
      </c>
    </row>
    <row r="19" spans="2:27" x14ac:dyDescent="0.25">
      <c r="B19" t="s">
        <v>211</v>
      </c>
      <c r="C19" s="103" t="s">
        <v>210</v>
      </c>
      <c r="D19" s="102">
        <v>30.274029904584591</v>
      </c>
      <c r="E19" s="102">
        <v>4.1720198768097205</v>
      </c>
      <c r="F19" s="102">
        <v>1.5902944654029771</v>
      </c>
      <c r="G19" s="102">
        <v>4.6665247962691963</v>
      </c>
      <c r="H19" s="102">
        <v>13.019955964115855</v>
      </c>
      <c r="I19" s="102">
        <v>1.2926771419545773</v>
      </c>
      <c r="J19" s="102">
        <v>11.727278822161278</v>
      </c>
      <c r="K19" s="107">
        <v>17.686480760385052</v>
      </c>
      <c r="L19" s="102">
        <v>20.6</v>
      </c>
      <c r="M19" s="102">
        <v>3.8450000000000002</v>
      </c>
      <c r="N19" s="102">
        <v>5.9740000000000002</v>
      </c>
      <c r="O19" s="102">
        <v>4.242</v>
      </c>
      <c r="P19" s="102">
        <v>14.145</v>
      </c>
      <c r="Q19" s="107">
        <v>18.387</v>
      </c>
      <c r="S19" s="101">
        <f t="shared" si="1"/>
        <v>-3.8098615305104055E-2</v>
      </c>
      <c r="T19" s="102">
        <f t="shared" si="2"/>
        <v>-0.70051923961494822</v>
      </c>
      <c r="W19" s="101">
        <f t="shared" si="6"/>
        <v>0.26384699474648915</v>
      </c>
      <c r="X19" s="101">
        <f t="shared" si="3"/>
        <v>7.3088431750084032E-2</v>
      </c>
      <c r="Y19" s="101">
        <f t="shared" si="4"/>
        <v>0.66306457350342674</v>
      </c>
      <c r="AA19" s="114">
        <f t="shared" si="5"/>
        <v>0.99999999999999989</v>
      </c>
    </row>
    <row r="20" spans="2:27" x14ac:dyDescent="0.25">
      <c r="B20" t="s">
        <v>204</v>
      </c>
      <c r="C20" s="103" t="s">
        <v>203</v>
      </c>
      <c r="D20" s="102">
        <v>8.4158586732317087</v>
      </c>
      <c r="E20" s="102">
        <v>3.3180797405705276</v>
      </c>
      <c r="F20" s="102">
        <v>14.132336950894116</v>
      </c>
      <c r="G20" s="102">
        <v>4.7407347982125128</v>
      </c>
      <c r="H20" s="102">
        <v>5.2984656414943707</v>
      </c>
      <c r="I20" s="102">
        <v>0.52927377824494837</v>
      </c>
      <c r="J20" s="102">
        <v>4.7691918632494223</v>
      </c>
      <c r="K20" s="107">
        <v>10.039200439706883</v>
      </c>
      <c r="L20" s="102">
        <v>13</v>
      </c>
      <c r="M20" s="102">
        <v>2.2120000000000002</v>
      </c>
      <c r="N20" s="102">
        <v>3.1789999999999998</v>
      </c>
      <c r="O20" s="102">
        <v>2.3650000000000002</v>
      </c>
      <c r="P20" s="102">
        <v>6.226</v>
      </c>
      <c r="Q20" s="107">
        <v>8.5910000000000011</v>
      </c>
      <c r="S20" s="591">
        <f t="shared" si="1"/>
        <v>0.16857181232765472</v>
      </c>
      <c r="T20" s="102">
        <f t="shared" si="2"/>
        <v>1.4482004397068824</v>
      </c>
      <c r="W20" s="591">
        <f t="shared" si="6"/>
        <v>0.47222234745528491</v>
      </c>
      <c r="X20" s="591">
        <f t="shared" si="3"/>
        <v>5.2720710321867197E-2</v>
      </c>
      <c r="Y20" s="591">
        <f t="shared" si="4"/>
        <v>0.47505694222284794</v>
      </c>
      <c r="AA20" s="114">
        <f t="shared" si="5"/>
        <v>1</v>
      </c>
    </row>
    <row r="21" spans="2:27" x14ac:dyDescent="0.25">
      <c r="B21" t="s">
        <v>180</v>
      </c>
      <c r="C21" s="103" t="s">
        <v>179</v>
      </c>
      <c r="D21" s="102">
        <v>300.31929948009071</v>
      </c>
      <c r="E21" s="102">
        <v>25.763528415817241</v>
      </c>
      <c r="F21" s="102">
        <v>0</v>
      </c>
      <c r="G21" s="102">
        <v>24.499549234634362</v>
      </c>
      <c r="H21" s="102">
        <v>7.1088837254194974</v>
      </c>
      <c r="I21" s="102">
        <v>0.71117475026352217</v>
      </c>
      <c r="J21" s="102">
        <v>6.3977089751559753</v>
      </c>
      <c r="K21" s="107">
        <v>31.608432960053861</v>
      </c>
      <c r="L21" s="102">
        <v>389.6</v>
      </c>
      <c r="M21" s="102">
        <v>26.28</v>
      </c>
      <c r="N21" s="102">
        <v>0</v>
      </c>
      <c r="O21" s="102">
        <v>25.297000000000001</v>
      </c>
      <c r="P21" s="102">
        <v>7.2720000000000002</v>
      </c>
      <c r="Q21" s="107">
        <v>32.569000000000003</v>
      </c>
      <c r="S21" s="101">
        <f t="shared" si="1"/>
        <v>-2.9493292392954729E-2</v>
      </c>
      <c r="T21" s="102">
        <f t="shared" si="2"/>
        <v>-0.96056703994614168</v>
      </c>
      <c r="W21" s="101">
        <f t="shared" si="6"/>
        <v>0.77509534451127104</v>
      </c>
      <c r="X21" s="101">
        <f t="shared" si="3"/>
        <v>2.2499525717149325E-2</v>
      </c>
      <c r="Y21" s="101">
        <f t="shared" si="4"/>
        <v>0.20240512977157959</v>
      </c>
      <c r="AA21" s="114">
        <f t="shared" si="5"/>
        <v>1</v>
      </c>
    </row>
    <row r="22" spans="2:27" x14ac:dyDescent="0.25">
      <c r="B22" t="s">
        <v>184</v>
      </c>
      <c r="C22" s="103" t="s">
        <v>183</v>
      </c>
      <c r="D22" s="102">
        <v>6.4737374409474677</v>
      </c>
      <c r="E22" s="102">
        <v>0.89202191307630452</v>
      </c>
      <c r="F22" s="102">
        <v>0</v>
      </c>
      <c r="G22" s="102">
        <v>1.4500702283590943</v>
      </c>
      <c r="H22" s="102">
        <v>0.34814528117433419</v>
      </c>
      <c r="I22" s="102">
        <v>3.4776892182190433E-2</v>
      </c>
      <c r="J22" s="102">
        <v>0.31336838899214375</v>
      </c>
      <c r="K22" s="107">
        <v>1.7982155095334285</v>
      </c>
      <c r="L22" s="102">
        <v>10</v>
      </c>
      <c r="M22" s="102">
        <v>0.59499999999999997</v>
      </c>
      <c r="N22" s="102">
        <v>0</v>
      </c>
      <c r="O22" s="102">
        <v>0.72399999999999998</v>
      </c>
      <c r="P22" s="102">
        <v>0.40899999999999997</v>
      </c>
      <c r="Q22" s="107">
        <v>1.133</v>
      </c>
      <c r="S22" s="101">
        <f t="shared" si="1"/>
        <v>0.58712754592535599</v>
      </c>
      <c r="T22" s="102">
        <f t="shared" si="2"/>
        <v>0.66521550953342845</v>
      </c>
      <c r="W22" s="101">
        <f t="shared" si="6"/>
        <v>0.80639401710829128</v>
      </c>
      <c r="X22" s="101">
        <f t="shared" si="3"/>
        <v>1.9339668686993904E-2</v>
      </c>
      <c r="Y22" s="101">
        <f t="shared" si="4"/>
        <v>0.17426631420471481</v>
      </c>
      <c r="AA22" s="114">
        <f t="shared" si="5"/>
        <v>1</v>
      </c>
    </row>
    <row r="23" spans="2:27" x14ac:dyDescent="0.25">
      <c r="B23" t="s">
        <v>197</v>
      </c>
      <c r="C23" s="103" t="s">
        <v>196</v>
      </c>
      <c r="D23" s="102">
        <v>39.323053055146488</v>
      </c>
      <c r="E23" s="102">
        <v>46.611450563562762</v>
      </c>
      <c r="F23" s="102">
        <v>1.3039267693053429</v>
      </c>
      <c r="G23" s="102">
        <v>50.867204368005567</v>
      </c>
      <c r="H23" s="102">
        <v>18.554058379054229</v>
      </c>
      <c r="I23" s="102">
        <v>1.8463160802751339</v>
      </c>
      <c r="J23" s="102">
        <v>16.707742298779095</v>
      </c>
      <c r="K23" s="107">
        <v>69.421262747059799</v>
      </c>
      <c r="L23" s="102">
        <v>33.1</v>
      </c>
      <c r="M23" s="102">
        <v>47.328000000000003</v>
      </c>
      <c r="N23" s="102">
        <v>0.57999999999999996</v>
      </c>
      <c r="O23" s="102">
        <v>51.777000000000001</v>
      </c>
      <c r="P23" s="102">
        <v>20.004000000000001</v>
      </c>
      <c r="Q23" s="107">
        <v>71.781000000000006</v>
      </c>
      <c r="S23" s="101">
        <f t="shared" si="1"/>
        <v>-3.2874120629974635E-2</v>
      </c>
      <c r="T23" s="102">
        <f t="shared" si="2"/>
        <v>-2.3597372529402065</v>
      </c>
      <c r="W23" s="101">
        <f t="shared" si="6"/>
        <v>0.73273234100254026</v>
      </c>
      <c r="X23" s="101">
        <f t="shared" si="3"/>
        <v>2.6595829681207162E-2</v>
      </c>
      <c r="Y23" s="101">
        <f t="shared" si="4"/>
        <v>0.24067182931625253</v>
      </c>
      <c r="AA23" s="114">
        <f t="shared" si="5"/>
        <v>0.99999999999999989</v>
      </c>
    </row>
    <row r="24" spans="2:27" x14ac:dyDescent="0.25">
      <c r="B24" t="s">
        <v>193</v>
      </c>
      <c r="C24" s="103" t="s">
        <v>192</v>
      </c>
      <c r="D24" s="102">
        <v>0</v>
      </c>
      <c r="E24" s="102">
        <v>16.244893206550277</v>
      </c>
      <c r="F24" s="102">
        <v>0</v>
      </c>
      <c r="G24" s="102">
        <v>20.666210019804168</v>
      </c>
      <c r="H24" s="102">
        <v>5.6095625813550036</v>
      </c>
      <c r="I24" s="102">
        <v>0.6225446623033255</v>
      </c>
      <c r="J24" s="102">
        <v>4.9870179190516781</v>
      </c>
      <c r="K24" s="107">
        <v>26.275772601159172</v>
      </c>
      <c r="L24" s="102">
        <v>0</v>
      </c>
      <c r="M24" s="102">
        <v>14.379</v>
      </c>
      <c r="N24" s="102">
        <v>0</v>
      </c>
      <c r="O24" s="102">
        <v>16.221</v>
      </c>
      <c r="P24" s="102">
        <v>7.2460000000000004</v>
      </c>
      <c r="Q24" s="107">
        <v>23.466999999999999</v>
      </c>
      <c r="S24" s="101">
        <f t="shared" si="1"/>
        <v>0.1196903141074348</v>
      </c>
      <c r="T24" s="102">
        <f t="shared" si="2"/>
        <v>2.8087726011591734</v>
      </c>
      <c r="W24" s="101">
        <f t="shared" si="6"/>
        <v>0.78651198324392813</v>
      </c>
      <c r="X24" s="101">
        <f t="shared" si="3"/>
        <v>2.3692725300715291E-2</v>
      </c>
      <c r="Y24" s="101">
        <f t="shared" si="4"/>
        <v>0.18979529145535659</v>
      </c>
      <c r="AA24" s="114">
        <f t="shared" si="5"/>
        <v>1</v>
      </c>
    </row>
    <row r="25" spans="2:27" x14ac:dyDescent="0.25">
      <c r="B25" t="s">
        <v>195</v>
      </c>
      <c r="C25" s="103" t="s">
        <v>194</v>
      </c>
      <c r="D25" s="102">
        <v>0</v>
      </c>
      <c r="E25" s="102">
        <v>18.112541951110142</v>
      </c>
      <c r="F25" s="102">
        <v>0</v>
      </c>
      <c r="G25" s="102">
        <v>18.11815167716945</v>
      </c>
      <c r="H25" s="102">
        <v>34.85260983579186</v>
      </c>
      <c r="I25" s="102">
        <v>3.4810450058573643</v>
      </c>
      <c r="J25" s="102">
        <v>31.371564829934496</v>
      </c>
      <c r="K25" s="107">
        <v>52.97076151296131</v>
      </c>
      <c r="L25" s="102">
        <v>0</v>
      </c>
      <c r="M25" s="102">
        <v>18.363</v>
      </c>
      <c r="N25" s="102">
        <v>0</v>
      </c>
      <c r="O25" s="102">
        <v>18.507999999999999</v>
      </c>
      <c r="P25" s="102">
        <v>36.149000000000001</v>
      </c>
      <c r="Q25" s="107">
        <v>54.656999999999996</v>
      </c>
      <c r="S25" s="101">
        <f t="shared" si="1"/>
        <v>-3.0851281391929386E-2</v>
      </c>
      <c r="T25" s="102">
        <f t="shared" si="2"/>
        <v>-1.6862384870386862</v>
      </c>
      <c r="W25" s="101">
        <f t="shared" si="6"/>
        <v>0.34204061183330647</v>
      </c>
      <c r="X25" s="101">
        <f t="shared" si="3"/>
        <v>6.5716348159457635E-2</v>
      </c>
      <c r="Y25" s="101">
        <f t="shared" si="4"/>
        <v>0.59224304000723582</v>
      </c>
      <c r="AA25" s="114">
        <f t="shared" si="5"/>
        <v>1</v>
      </c>
    </row>
    <row r="26" spans="2:27" x14ac:dyDescent="0.25">
      <c r="B26" t="s">
        <v>191</v>
      </c>
      <c r="C26" s="103" t="s">
        <v>190</v>
      </c>
      <c r="D26" s="102">
        <v>1.3108512095763347</v>
      </c>
      <c r="E26" s="102">
        <v>6.5901468792501881</v>
      </c>
      <c r="F26" s="102">
        <v>0</v>
      </c>
      <c r="G26" s="102">
        <v>6.551469472829341</v>
      </c>
      <c r="H26" s="102">
        <v>2.8861650906201302</v>
      </c>
      <c r="I26" s="102">
        <v>0.28767400428678735</v>
      </c>
      <c r="J26" s="102">
        <v>2.5984910863333428</v>
      </c>
      <c r="K26" s="107">
        <v>9.4376345634494712</v>
      </c>
      <c r="L26" s="102">
        <v>1.6</v>
      </c>
      <c r="M26" s="102">
        <v>5.6959999999999997</v>
      </c>
      <c r="N26" s="102">
        <v>0</v>
      </c>
      <c r="O26" s="102">
        <v>5.6870000000000003</v>
      </c>
      <c r="P26" s="102">
        <v>3.6520000000000001</v>
      </c>
      <c r="Q26" s="107">
        <v>9.3390000000000004</v>
      </c>
      <c r="S26" s="101">
        <f t="shared" si="1"/>
        <v>1.0561576555249141E-2</v>
      </c>
      <c r="T26" s="102">
        <f t="shared" si="2"/>
        <v>9.8634563449470747E-2</v>
      </c>
      <c r="W26" s="101">
        <f t="shared" si="6"/>
        <v>0.69418554286920475</v>
      </c>
      <c r="X26" s="101">
        <f t="shared" si="3"/>
        <v>3.0481579081362738E-2</v>
      </c>
      <c r="Y26" s="101">
        <f t="shared" si="4"/>
        <v>0.27533287804943257</v>
      </c>
      <c r="AA26" s="114">
        <f t="shared" si="5"/>
        <v>1</v>
      </c>
    </row>
    <row r="27" spans="2:27" x14ac:dyDescent="0.25">
      <c r="B27" t="s">
        <v>189</v>
      </c>
      <c r="C27" s="103" t="s">
        <v>188</v>
      </c>
      <c r="D27" s="102">
        <v>50.220821656963857</v>
      </c>
      <c r="E27" s="102">
        <v>31.887216183796479</v>
      </c>
      <c r="F27" s="102">
        <v>0</v>
      </c>
      <c r="G27" s="102">
        <v>42.15220003035521</v>
      </c>
      <c r="H27" s="102">
        <v>2.3381022945902545</v>
      </c>
      <c r="I27" s="102">
        <v>0.23344560296087513</v>
      </c>
      <c r="J27" s="102">
        <v>2.1046566916293794</v>
      </c>
      <c r="K27" s="107">
        <v>44.490302324945468</v>
      </c>
      <c r="L27" s="102">
        <v>63.606088453825969</v>
      </c>
      <c r="M27" s="102">
        <v>22.385999999999999</v>
      </c>
      <c r="N27" s="102">
        <v>0</v>
      </c>
      <c r="O27" s="102">
        <v>22.199000000000002</v>
      </c>
      <c r="P27" s="102">
        <v>4.53</v>
      </c>
      <c r="Q27" s="107">
        <v>26.729000000000003</v>
      </c>
      <c r="S27" s="101">
        <f t="shared" si="1"/>
        <v>0.6644955787700797</v>
      </c>
      <c r="T27" s="102">
        <f t="shared" si="2"/>
        <v>17.761302324945465</v>
      </c>
      <c r="W27" s="101">
        <f t="shared" si="6"/>
        <v>0.94744692275828168</v>
      </c>
      <c r="X27" s="101">
        <f t="shared" si="3"/>
        <v>5.2471120842436589E-3</v>
      </c>
      <c r="Y27" s="101">
        <f t="shared" si="4"/>
        <v>4.7305965157474553E-2</v>
      </c>
      <c r="AA27" s="114">
        <f t="shared" si="5"/>
        <v>0.99999999999999989</v>
      </c>
    </row>
    <row r="28" spans="2:27" x14ac:dyDescent="0.25">
      <c r="B28" t="s">
        <v>215</v>
      </c>
      <c r="C28" s="103" t="s">
        <v>214</v>
      </c>
      <c r="D28" s="102">
        <v>68.317764980607734</v>
      </c>
      <c r="E28" s="102">
        <v>48.385609324846619</v>
      </c>
      <c r="F28" s="102">
        <v>9.1013689658252765</v>
      </c>
      <c r="G28" s="102">
        <v>52.434946507228531</v>
      </c>
      <c r="H28" s="102">
        <v>23.346711170995562</v>
      </c>
      <c r="I28" s="102">
        <v>2.3317608405092116</v>
      </c>
      <c r="J28" s="102">
        <v>21.01495033048635</v>
      </c>
      <c r="K28" s="107">
        <v>75.781657678224093</v>
      </c>
      <c r="L28" s="102">
        <v>109.51512560812083</v>
      </c>
      <c r="M28" s="102">
        <v>50.707000000000001</v>
      </c>
      <c r="N28" s="102">
        <v>8.0299999999999994</v>
      </c>
      <c r="O28" s="102">
        <v>47.58</v>
      </c>
      <c r="P28" s="102">
        <v>24.15</v>
      </c>
      <c r="Q28" s="107">
        <v>71.72999999999999</v>
      </c>
      <c r="S28" s="101">
        <f t="shared" si="1"/>
        <v>5.6484841464158775E-2</v>
      </c>
      <c r="T28" s="102">
        <f t="shared" si="2"/>
        <v>4.0516576782241032</v>
      </c>
      <c r="W28" s="101">
        <f t="shared" si="6"/>
        <v>0.69192134500240343</v>
      </c>
      <c r="X28" s="101">
        <f t="shared" si="3"/>
        <v>3.0769462056505589E-2</v>
      </c>
      <c r="Y28" s="101">
        <f t="shared" si="4"/>
        <v>0.27730919294109091</v>
      </c>
      <c r="AA28" s="114">
        <f t="shared" si="5"/>
        <v>0.99999999999999989</v>
      </c>
    </row>
    <row r="29" spans="2:27" x14ac:dyDescent="0.25">
      <c r="B29" t="s">
        <v>208</v>
      </c>
      <c r="C29" s="103" t="s">
        <v>207</v>
      </c>
      <c r="D29" s="102">
        <v>18.57626069512175</v>
      </c>
      <c r="E29" s="102">
        <v>3.2147240801052872</v>
      </c>
      <c r="F29" s="102">
        <v>22.226726698073794</v>
      </c>
      <c r="G29" s="102">
        <v>4.9018211932475975</v>
      </c>
      <c r="H29" s="102">
        <v>13.867672824144947</v>
      </c>
      <c r="I29" s="102">
        <v>10.326294875782665</v>
      </c>
      <c r="J29" s="102">
        <v>3.5413779483622809</v>
      </c>
      <c r="K29" s="107">
        <v>18.769494017392546</v>
      </c>
      <c r="L29" s="102">
        <v>61.2</v>
      </c>
      <c r="M29" s="102">
        <v>2.5299999999999998</v>
      </c>
      <c r="N29" s="102">
        <v>43.591999999999999</v>
      </c>
      <c r="O29" s="102">
        <v>2.5350000000000001</v>
      </c>
      <c r="P29" s="102">
        <v>39.151000000000003</v>
      </c>
      <c r="Q29" s="107">
        <v>41.686000000000007</v>
      </c>
      <c r="S29" s="109">
        <f t="shared" si="1"/>
        <v>-0.54974106372900877</v>
      </c>
      <c r="T29" s="110">
        <f t="shared" si="2"/>
        <v>-22.916505982607461</v>
      </c>
      <c r="W29" s="101">
        <f t="shared" si="6"/>
        <v>0.26115894166914561</v>
      </c>
      <c r="X29" s="101">
        <f t="shared" si="3"/>
        <v>0.55016373196922186</v>
      </c>
      <c r="Y29" s="101">
        <f t="shared" si="4"/>
        <v>0.18867732636163242</v>
      </c>
      <c r="AA29" s="114">
        <f t="shared" si="5"/>
        <v>0.99999999999999978</v>
      </c>
    </row>
    <row r="30" spans="2:27" x14ac:dyDescent="0.25">
      <c r="B30" t="s">
        <v>206</v>
      </c>
      <c r="C30" s="103" t="s">
        <v>205</v>
      </c>
      <c r="D30" s="102">
        <v>2.0033222318268553</v>
      </c>
      <c r="E30" s="102">
        <v>7.2510151363573048</v>
      </c>
      <c r="F30" s="102">
        <v>0</v>
      </c>
      <c r="G30" s="102">
        <v>9.2445364932923546</v>
      </c>
      <c r="H30" s="102">
        <v>11.138095635910901</v>
      </c>
      <c r="I30" s="102">
        <v>1.2038567790330408</v>
      </c>
      <c r="J30" s="102">
        <v>9.9342388568778599</v>
      </c>
      <c r="K30" s="107">
        <v>20.382632129203255</v>
      </c>
      <c r="L30" s="102">
        <v>6.6</v>
      </c>
      <c r="M30" s="102">
        <v>9.8689999999999998</v>
      </c>
      <c r="N30" s="102">
        <v>0</v>
      </c>
      <c r="O30" s="102">
        <v>10.859</v>
      </c>
      <c r="P30" s="102">
        <v>23.539000000000001</v>
      </c>
      <c r="Q30" s="107">
        <v>34.398000000000003</v>
      </c>
      <c r="S30" s="109">
        <f t="shared" si="1"/>
        <v>-0.40744717340533598</v>
      </c>
      <c r="T30" s="110">
        <f t="shared" si="2"/>
        <v>-14.015367870796748</v>
      </c>
      <c r="W30" s="101">
        <f t="shared" si="6"/>
        <v>0.45354969047629662</v>
      </c>
      <c r="X30" s="101">
        <f t="shared" si="3"/>
        <v>5.9062871340753519E-2</v>
      </c>
      <c r="Y30" s="101">
        <f t="shared" si="4"/>
        <v>0.48738743818294988</v>
      </c>
      <c r="AA30" s="114">
        <f t="shared" si="5"/>
        <v>1</v>
      </c>
    </row>
    <row r="31" spans="2:27" x14ac:dyDescent="0.25">
      <c r="B31" t="s">
        <v>165</v>
      </c>
      <c r="C31" s="103" t="s">
        <v>164</v>
      </c>
      <c r="D31" s="102">
        <v>0.49979236031178503</v>
      </c>
      <c r="E31" s="102">
        <v>0.70378421797779012</v>
      </c>
      <c r="F31" s="102">
        <v>3.1311631154474155</v>
      </c>
      <c r="G31" s="102">
        <v>0.97703095502716786</v>
      </c>
      <c r="H31" s="102">
        <v>3.7993494646622268</v>
      </c>
      <c r="I31" s="102">
        <v>2.0130759524508761</v>
      </c>
      <c r="J31" s="102">
        <v>1.7862735122113507</v>
      </c>
      <c r="K31" s="107">
        <v>4.7763804196893949</v>
      </c>
      <c r="L31" s="102">
        <v>1.5783605203386331</v>
      </c>
      <c r="M31" s="102">
        <v>0.47499999999999998</v>
      </c>
      <c r="N31" s="102">
        <v>5.282</v>
      </c>
      <c r="O31" s="102">
        <v>0.58399999999999996</v>
      </c>
      <c r="P31" s="102">
        <v>8.2289999999999992</v>
      </c>
      <c r="Q31" s="107">
        <v>8.8129999999999988</v>
      </c>
      <c r="S31" s="101">
        <f t="shared" si="1"/>
        <v>-0.4580301350630438</v>
      </c>
      <c r="T31" s="102">
        <f t="shared" si="2"/>
        <v>-4.036619580310604</v>
      </c>
      <c r="W31" s="101">
        <f t="shared" si="6"/>
        <v>0.20455467721951334</v>
      </c>
      <c r="X31" s="101">
        <f t="shared" si="3"/>
        <v>0.42146474433914233</v>
      </c>
      <c r="Y31" s="101">
        <f t="shared" si="4"/>
        <v>0.3739805784413443</v>
      </c>
      <c r="AA31" s="114">
        <f t="shared" si="5"/>
        <v>1</v>
      </c>
    </row>
    <row r="32" spans="2:27" x14ac:dyDescent="0.25">
      <c r="B32" t="s">
        <v>167</v>
      </c>
      <c r="C32" s="103" t="s">
        <v>166</v>
      </c>
      <c r="D32" s="102">
        <v>5.9915911064980634</v>
      </c>
      <c r="E32" s="102">
        <v>0</v>
      </c>
      <c r="F32" s="102">
        <v>0</v>
      </c>
      <c r="G32" s="102">
        <v>0</v>
      </c>
      <c r="H32" s="102">
        <v>6.057345404266512E-2</v>
      </c>
      <c r="I32" s="102">
        <v>6.0689396569942877E-3</v>
      </c>
      <c r="J32" s="102">
        <v>5.4504514385670833E-2</v>
      </c>
      <c r="K32" s="107">
        <v>6.057345404266512E-2</v>
      </c>
      <c r="L32" s="102">
        <v>18.921639479661369</v>
      </c>
      <c r="M32" s="102">
        <v>0</v>
      </c>
      <c r="N32" s="102">
        <v>0</v>
      </c>
      <c r="O32" s="102">
        <v>0</v>
      </c>
      <c r="P32" s="102">
        <v>5.5E-2</v>
      </c>
      <c r="Q32" s="107">
        <v>5.5E-2</v>
      </c>
      <c r="S32" s="101">
        <f t="shared" si="1"/>
        <v>0.10133552804845669</v>
      </c>
      <c r="T32" s="102">
        <f t="shared" si="2"/>
        <v>5.57345404266512E-3</v>
      </c>
      <c r="W32" s="101">
        <f t="shared" si="6"/>
        <v>0</v>
      </c>
      <c r="X32" s="101">
        <f t="shared" si="3"/>
        <v>0.10019140814918048</v>
      </c>
      <c r="Y32" s="101">
        <f t="shared" si="4"/>
        <v>0.89980859185081952</v>
      </c>
      <c r="AA32" s="114">
        <f t="shared" si="5"/>
        <v>1</v>
      </c>
    </row>
    <row r="33" spans="2:27" x14ac:dyDescent="0.25">
      <c r="B33" t="s">
        <v>213</v>
      </c>
      <c r="C33" s="103" t="s">
        <v>212</v>
      </c>
      <c r="D33" s="102">
        <v>0</v>
      </c>
      <c r="E33" s="102">
        <v>0</v>
      </c>
      <c r="F33" s="102">
        <v>0</v>
      </c>
      <c r="G33" s="102">
        <v>0</v>
      </c>
      <c r="H33" s="102">
        <v>0.11013355280484567</v>
      </c>
      <c r="I33" s="102">
        <v>1.103443573998962E-2</v>
      </c>
      <c r="J33" s="102">
        <v>9.9099117064856052E-2</v>
      </c>
      <c r="K33" s="107">
        <v>0.11013355280484567</v>
      </c>
      <c r="L33" s="102">
        <v>0</v>
      </c>
      <c r="M33" s="102">
        <v>0</v>
      </c>
      <c r="N33" s="102">
        <v>0</v>
      </c>
      <c r="O33" s="102">
        <v>0</v>
      </c>
      <c r="P33" s="102">
        <v>0.1</v>
      </c>
      <c r="Q33" s="107">
        <v>0.1</v>
      </c>
      <c r="S33" s="101">
        <f t="shared" si="1"/>
        <v>0.10133552804845669</v>
      </c>
      <c r="T33" s="102">
        <f t="shared" si="2"/>
        <v>1.0133552804845666E-2</v>
      </c>
      <c r="W33" s="101">
        <f t="shared" si="6"/>
        <v>0</v>
      </c>
      <c r="X33" s="101">
        <f t="shared" si="3"/>
        <v>0.10019140814918054</v>
      </c>
      <c r="Y33" s="101">
        <f t="shared" si="4"/>
        <v>0.89980859185081941</v>
      </c>
      <c r="AA33" s="114">
        <f t="shared" si="5"/>
        <v>1</v>
      </c>
    </row>
    <row r="34" spans="2:27" x14ac:dyDescent="0.25">
      <c r="B34" t="s">
        <v>169</v>
      </c>
      <c r="C34" s="103" t="s">
        <v>168</v>
      </c>
      <c r="D34" s="102">
        <v>22.324026068785091</v>
      </c>
      <c r="E34" s="102">
        <v>7.0188134316436344</v>
      </c>
      <c r="F34" s="102">
        <v>0.65135186773333331</v>
      </c>
      <c r="G34" s="102">
        <v>4.8397546383212191</v>
      </c>
      <c r="H34" s="102">
        <v>3.1079688601527447</v>
      </c>
      <c r="I34" s="102">
        <v>0.31139177658250716</v>
      </c>
      <c r="J34" s="102">
        <v>2.7965770835702375</v>
      </c>
      <c r="K34" s="107">
        <v>7.9477234984739642</v>
      </c>
      <c r="L34" s="102">
        <v>70.5</v>
      </c>
      <c r="M34" s="102">
        <v>3.7909999999999999</v>
      </c>
      <c r="N34" s="102">
        <v>0.66100000000000003</v>
      </c>
      <c r="O34" s="102">
        <v>3.33</v>
      </c>
      <c r="P34" s="102">
        <v>2.8220000000000001</v>
      </c>
      <c r="Q34" s="107">
        <v>6.1520000000000001</v>
      </c>
      <c r="S34" s="101">
        <f t="shared" si="1"/>
        <v>0.29189263629290707</v>
      </c>
      <c r="T34" s="102">
        <f t="shared" si="2"/>
        <v>1.7957234984739641</v>
      </c>
      <c r="W34" s="101">
        <f t="shared" si="6"/>
        <v>0.60894854221469785</v>
      </c>
      <c r="X34" s="101">
        <f t="shared" si="3"/>
        <v>3.9179996214299254E-2</v>
      </c>
      <c r="Y34" s="101">
        <f t="shared" si="4"/>
        <v>0.3518714615710028</v>
      </c>
      <c r="AA34" s="114">
        <f t="shared" si="5"/>
        <v>0.99999999999999989</v>
      </c>
    </row>
    <row r="35" spans="2:27" ht="15.75" thickBot="1" x14ac:dyDescent="0.3">
      <c r="B35" t="s">
        <v>163</v>
      </c>
      <c r="C35" s="103" t="s">
        <v>162</v>
      </c>
      <c r="D35" s="102">
        <v>0</v>
      </c>
      <c r="E35" s="102">
        <v>0</v>
      </c>
      <c r="F35" s="102">
        <v>0</v>
      </c>
      <c r="G35" s="102">
        <v>0</v>
      </c>
      <c r="H35" s="102">
        <v>5.5066776402422843E-2</v>
      </c>
      <c r="I35" s="102">
        <v>5.5172178699948171E-3</v>
      </c>
      <c r="J35" s="102">
        <v>4.9549558532428026E-2</v>
      </c>
      <c r="K35" s="107">
        <v>5.5066776402422843E-2</v>
      </c>
      <c r="L35" s="102">
        <v>0</v>
      </c>
      <c r="M35" s="102">
        <v>0</v>
      </c>
      <c r="N35" s="102">
        <v>0</v>
      </c>
      <c r="O35" s="102">
        <v>0</v>
      </c>
      <c r="P35" s="102">
        <v>0.05</v>
      </c>
      <c r="Q35" s="107">
        <v>0.05</v>
      </c>
      <c r="S35" s="101">
        <f t="shared" si="1"/>
        <v>0.10133552804845669</v>
      </c>
      <c r="T35" s="102">
        <f t="shared" si="2"/>
        <v>5.0667764024228401E-3</v>
      </c>
      <c r="W35" s="101">
        <f t="shared" si="6"/>
        <v>0</v>
      </c>
      <c r="X35" s="101">
        <f t="shared" si="3"/>
        <v>0.10019140814918066</v>
      </c>
      <c r="Y35" s="101">
        <f t="shared" si="4"/>
        <v>0.89980859185081929</v>
      </c>
      <c r="AA35" s="114">
        <f t="shared" si="5"/>
        <v>1</v>
      </c>
    </row>
    <row r="36" spans="2:27" ht="15.75" thickBot="1" x14ac:dyDescent="0.3">
      <c r="B36" t="s">
        <v>650</v>
      </c>
      <c r="D36" s="99">
        <f>SUM(D8:D35)</f>
        <v>2160.1500109976623</v>
      </c>
      <c r="E36" s="100">
        <v>1300.4099171254584</v>
      </c>
      <c r="F36" s="100">
        <v>43.248212664635687</v>
      </c>
      <c r="G36" s="100">
        <f t="shared" ref="G36:Q36" si="10">SUM(G8:G35)</f>
        <v>1332.0852879747547</v>
      </c>
      <c r="H36" s="100">
        <f t="shared" si="10"/>
        <v>422.62626277936641</v>
      </c>
      <c r="I36" s="100">
        <f t="shared" si="10"/>
        <v>76.503893748517797</v>
      </c>
      <c r="J36" s="100">
        <f t="shared" si="10"/>
        <v>346.1223690308484</v>
      </c>
      <c r="K36" s="108">
        <f t="shared" si="10"/>
        <v>1754.7115507541218</v>
      </c>
      <c r="L36" s="100">
        <f t="shared" si="10"/>
        <v>2332.5289624858065</v>
      </c>
      <c r="M36" s="100">
        <f t="shared" si="10"/>
        <v>1279.0969999999998</v>
      </c>
      <c r="N36" s="100">
        <f t="shared" si="10"/>
        <v>109.511</v>
      </c>
      <c r="O36" s="100">
        <f t="shared" si="10"/>
        <v>1350.0819999999997</v>
      </c>
      <c r="P36" s="100">
        <f t="shared" si="10"/>
        <v>518.99699999999984</v>
      </c>
      <c r="Q36" s="108">
        <f t="shared" si="10"/>
        <v>1869.0789999999995</v>
      </c>
      <c r="S36" s="101">
        <f t="shared" si="1"/>
        <v>-6.1189200267018018E-2</v>
      </c>
      <c r="T36" s="102">
        <f t="shared" si="2"/>
        <v>-114.36744924587765</v>
      </c>
      <c r="W36" s="101">
        <f t="shared" si="6"/>
        <v>0.75914772852681389</v>
      </c>
      <c r="X36" s="101">
        <f t="shared" si="3"/>
        <v>4.359912813911708E-2</v>
      </c>
      <c r="Y36" s="101">
        <f t="shared" si="4"/>
        <v>0.19725314333406849</v>
      </c>
      <c r="AA36" s="114">
        <f t="shared" si="5"/>
        <v>0.99999999999999944</v>
      </c>
    </row>
    <row r="37" spans="2:27" x14ac:dyDescent="0.25">
      <c r="B37" t="s">
        <v>647</v>
      </c>
      <c r="D37" s="101">
        <f>(D36-L36)/L36</f>
        <v>-7.3902169816763022E-2</v>
      </c>
      <c r="E37" s="101">
        <f>(E36-O36)/O36</f>
        <v>-3.6791900695321685E-2</v>
      </c>
      <c r="F37" s="101">
        <f>(F36-P36)/P36</f>
        <v>-0.91666962879431735</v>
      </c>
      <c r="G37" s="101">
        <f>(G36-O36)/O36</f>
        <v>-1.3330088117051383E-2</v>
      </c>
      <c r="H37" s="101">
        <f>(H36-P36)/P36</f>
        <v>-0.18568650150315602</v>
      </c>
      <c r="I37" s="101"/>
      <c r="J37" s="101"/>
      <c r="K37" s="101">
        <f>(K36-Q36)/Q36</f>
        <v>-6.1189200267017969E-2</v>
      </c>
    </row>
    <row r="42" spans="2:27" x14ac:dyDescent="0.25">
      <c r="Q42" s="647" t="s">
        <v>1690</v>
      </c>
      <c r="S42" s="278" t="s">
        <v>640</v>
      </c>
      <c r="T42" s="278"/>
      <c r="U42" s="278"/>
      <c r="V42" s="278"/>
      <c r="W42" s="278" t="s">
        <v>641</v>
      </c>
      <c r="X42" s="278"/>
      <c r="Y42" s="278"/>
    </row>
    <row r="43" spans="2:27" x14ac:dyDescent="0.25">
      <c r="Q43" s="647" t="s">
        <v>1690</v>
      </c>
      <c r="S43" s="278" t="s">
        <v>647</v>
      </c>
      <c r="T43" s="278" t="s">
        <v>648</v>
      </c>
      <c r="U43" s="278"/>
      <c r="V43" s="278"/>
      <c r="W43" s="278" t="s">
        <v>459</v>
      </c>
      <c r="X43" s="278" t="s">
        <v>461</v>
      </c>
      <c r="Y43" s="278" t="s">
        <v>462</v>
      </c>
    </row>
    <row r="44" spans="2:27" x14ac:dyDescent="0.25">
      <c r="Q44" s="647" t="s">
        <v>1690</v>
      </c>
      <c r="S44" s="278">
        <v>0.66270813634348769</v>
      </c>
      <c r="T44" s="278">
        <v>4.0822821198758845</v>
      </c>
      <c r="U44" s="278"/>
      <c r="V44" s="278"/>
      <c r="W44" s="278">
        <v>0.8619635630918987</v>
      </c>
      <c r="X44" s="278">
        <v>8.6610638971853313E-3</v>
      </c>
      <c r="Y44" s="278">
        <v>0.12937537301091598</v>
      </c>
    </row>
    <row r="45" spans="2:27" x14ac:dyDescent="0.25">
      <c r="Q45" s="647" t="s">
        <v>1690</v>
      </c>
      <c r="S45" s="278">
        <v>3.7620989657835668E-2</v>
      </c>
      <c r="T45" s="278">
        <v>0.43121178345811195</v>
      </c>
      <c r="U45" s="278"/>
      <c r="V45" s="278"/>
      <c r="W45" s="278">
        <v>0</v>
      </c>
      <c r="X45" s="278">
        <v>0.25433296162492997</v>
      </c>
      <c r="Y45" s="278">
        <v>0.74566703837506998</v>
      </c>
    </row>
    <row r="46" spans="2:27" x14ac:dyDescent="0.25">
      <c r="Q46" s="647" t="s">
        <v>1690</v>
      </c>
      <c r="S46" s="278">
        <v>-4.2063888071454558E-2</v>
      </c>
      <c r="T46" s="278">
        <v>-41.916664463204484</v>
      </c>
      <c r="U46" s="278"/>
      <c r="V46" s="278"/>
      <c r="W46" s="278">
        <v>0.91198201496476716</v>
      </c>
      <c r="X46" s="278">
        <v>4.0061413199221924E-3</v>
      </c>
      <c r="Y46" s="278">
        <v>8.4011843715310591E-2</v>
      </c>
    </row>
    <row r="47" spans="2:27" x14ac:dyDescent="0.25">
      <c r="Q47" s="647" t="s">
        <v>1690</v>
      </c>
      <c r="S47" s="278">
        <v>3.0603818215484191E-2</v>
      </c>
      <c r="T47" s="278">
        <v>3.0384694877061236</v>
      </c>
      <c r="U47" s="278"/>
      <c r="V47" s="278"/>
      <c r="W47" s="278">
        <v>0.76995773133546297</v>
      </c>
      <c r="X47" s="278">
        <v>1.3923598500058221E-2</v>
      </c>
      <c r="Y47" s="278">
        <v>0.2161186701644788</v>
      </c>
    </row>
    <row r="48" spans="2:27" x14ac:dyDescent="0.25">
      <c r="Q48" s="647" t="s">
        <v>1690</v>
      </c>
      <c r="S48" s="278">
        <v>-2.260766597277053E-2</v>
      </c>
      <c r="T48" s="278">
        <v>-2.1107873412136939</v>
      </c>
      <c r="U48" s="278"/>
      <c r="V48" s="278"/>
      <c r="W48" s="278">
        <v>0.67558724636909206</v>
      </c>
      <c r="X48" s="278">
        <v>1.8232001522555483E-2</v>
      </c>
      <c r="Y48" s="278">
        <v>0.30618075210835244</v>
      </c>
    </row>
    <row r="49" spans="17:25" x14ac:dyDescent="0.25">
      <c r="Q49" s="647" t="s">
        <v>1690</v>
      </c>
      <c r="S49" s="278">
        <v>0.7601426973788572</v>
      </c>
      <c r="T49" s="278">
        <v>3.8387206217632288</v>
      </c>
      <c r="U49" s="278"/>
      <c r="V49" s="278"/>
      <c r="W49" s="278">
        <v>0.89627171332269662</v>
      </c>
      <c r="X49" s="278">
        <v>0</v>
      </c>
      <c r="Y49" s="278">
        <v>0.10372828667730342</v>
      </c>
    </row>
    <row r="50" spans="17:25" x14ac:dyDescent="0.25">
      <c r="Q50" s="647" t="s">
        <v>1690</v>
      </c>
      <c r="S50" s="278">
        <v>0.2082896781669934</v>
      </c>
      <c r="T50" s="278">
        <v>5.6586056867627121</v>
      </c>
      <c r="U50" s="278"/>
      <c r="V50" s="278"/>
      <c r="W50" s="278">
        <v>0.65</v>
      </c>
      <c r="X50" s="278">
        <v>0</v>
      </c>
      <c r="Y50" s="278">
        <v>0.35</v>
      </c>
    </row>
    <row r="51" spans="17:25" x14ac:dyDescent="0.25">
      <c r="Q51" s="647" t="s">
        <v>1690</v>
      </c>
      <c r="S51" s="278">
        <v>-0.1118985186674466</v>
      </c>
      <c r="T51" s="278">
        <v>-0.94375210644124419</v>
      </c>
      <c r="U51" s="278"/>
      <c r="V51" s="278"/>
      <c r="W51" s="278">
        <v>0</v>
      </c>
      <c r="X51" s="278">
        <v>0</v>
      </c>
      <c r="Y51" s="278">
        <v>1</v>
      </c>
    </row>
    <row r="52" spans="17:25" x14ac:dyDescent="0.25">
      <c r="Q52" s="647" t="s">
        <v>1690</v>
      </c>
      <c r="S52" s="278">
        <v>4.019502483704418E-3</v>
      </c>
      <c r="T52" s="278">
        <v>0.44760375758035309</v>
      </c>
      <c r="U52" s="278"/>
      <c r="V52" s="278"/>
      <c r="W52" s="278">
        <v>0.4394967327296827</v>
      </c>
      <c r="X52" s="278">
        <v>6.0142273544938438E-2</v>
      </c>
      <c r="Y52" s="278">
        <v>0.5003609937253789</v>
      </c>
    </row>
    <row r="53" spans="17:25" x14ac:dyDescent="0.25">
      <c r="Q53" s="647" t="s">
        <v>1690</v>
      </c>
      <c r="S53" s="278">
        <v>4.9058909392845074E-2</v>
      </c>
      <c r="T53" s="278">
        <v>0.63285993116770101</v>
      </c>
      <c r="U53" s="278"/>
      <c r="V53" s="278"/>
      <c r="W53" s="278">
        <v>0.6251077994573786</v>
      </c>
      <c r="X53" s="278">
        <v>3.6430448959563211E-2</v>
      </c>
      <c r="Y53" s="278">
        <v>0.33846175158305813</v>
      </c>
    </row>
    <row r="54" spans="17:25" x14ac:dyDescent="0.25">
      <c r="Q54" s="647" t="s">
        <v>1690</v>
      </c>
      <c r="S54" s="278">
        <v>-2.1551924513642962E-2</v>
      </c>
      <c r="T54" s="278">
        <v>-1.8914184472418185</v>
      </c>
      <c r="U54" s="278"/>
      <c r="V54" s="278"/>
      <c r="W54" s="278">
        <v>0.32279682118715369</v>
      </c>
      <c r="X54" s="278">
        <v>6.9288118071441931E-2</v>
      </c>
      <c r="Y54" s="278">
        <v>0.60791506074140456</v>
      </c>
    </row>
    <row r="55" spans="17:25" x14ac:dyDescent="0.25">
      <c r="Q55" s="647" t="s">
        <v>1690</v>
      </c>
      <c r="S55" s="278">
        <v>-5.830705600812558E-3</v>
      </c>
      <c r="T55" s="278">
        <v>-0.10720918388214074</v>
      </c>
      <c r="U55" s="278"/>
      <c r="V55" s="278"/>
      <c r="W55" s="278">
        <v>0.2449589167587809</v>
      </c>
      <c r="X55" s="278">
        <v>9.5826073946817761E-2</v>
      </c>
      <c r="Y55" s="278">
        <v>0.65921500929440124</v>
      </c>
    </row>
    <row r="56" spans="17:25" x14ac:dyDescent="0.25">
      <c r="Q56" s="647" t="s">
        <v>1690</v>
      </c>
      <c r="S56" s="278">
        <v>0.17078810783037723</v>
      </c>
      <c r="T56" s="278">
        <v>1.4672406343707713</v>
      </c>
      <c r="U56" s="278"/>
      <c r="V56" s="278"/>
      <c r="W56" s="278">
        <v>0.47199317093159393</v>
      </c>
      <c r="X56" s="278">
        <v>0.23607753875500254</v>
      </c>
      <c r="Y56" s="278">
        <v>0.29192929031340331</v>
      </c>
    </row>
    <row r="57" spans="17:25" x14ac:dyDescent="0.25">
      <c r="Q57" s="647" t="s">
        <v>1690</v>
      </c>
      <c r="S57" s="278">
        <v>-2.8112752193901969E-2</v>
      </c>
      <c r="T57" s="278">
        <v>-0.91560422620319315</v>
      </c>
      <c r="U57" s="278"/>
      <c r="V57" s="278"/>
      <c r="W57" s="278">
        <v>0.77455053289507969</v>
      </c>
      <c r="X57" s="278">
        <v>0</v>
      </c>
      <c r="Y57" s="278">
        <v>0.22544946710492025</v>
      </c>
    </row>
    <row r="58" spans="17:25" x14ac:dyDescent="0.25">
      <c r="Q58" s="647" t="s">
        <v>1690</v>
      </c>
      <c r="S58" s="278">
        <v>0.58964904143470598</v>
      </c>
      <c r="T58" s="278">
        <v>0.66807236394552194</v>
      </c>
      <c r="U58" s="278"/>
      <c r="V58" s="278"/>
      <c r="W58" s="278">
        <v>0.80625041125615549</v>
      </c>
      <c r="X58" s="278">
        <v>0</v>
      </c>
      <c r="Y58" s="278">
        <v>0.19374958874384451</v>
      </c>
    </row>
    <row r="59" spans="17:25" x14ac:dyDescent="0.25">
      <c r="Q59" s="647" t="s">
        <v>1690</v>
      </c>
      <c r="S59" s="278">
        <v>-3.9720972360594131E-2</v>
      </c>
      <c r="T59" s="278">
        <v>-2.8512111170158079</v>
      </c>
      <c r="U59" s="278"/>
      <c r="V59" s="278"/>
      <c r="W59" s="278">
        <v>0.73234323944181878</v>
      </c>
      <c r="X59" s="278">
        <v>1.8781132860056119E-2</v>
      </c>
      <c r="Y59" s="278">
        <v>0.24887562769812496</v>
      </c>
    </row>
    <row r="60" spans="17:25" x14ac:dyDescent="0.25">
      <c r="Q60" s="647" t="s">
        <v>1690</v>
      </c>
      <c r="S60" s="278">
        <v>0.14364327983489189</v>
      </c>
      <c r="T60" s="278">
        <v>3.370876847885409</v>
      </c>
      <c r="U60" s="278"/>
      <c r="V60" s="278"/>
      <c r="W60" s="278">
        <v>0.76652381680494786</v>
      </c>
      <c r="X60" s="278">
        <v>2.6440263323548646E-4</v>
      </c>
      <c r="Y60" s="278">
        <v>0.23321178056181671</v>
      </c>
    </row>
    <row r="61" spans="17:25" x14ac:dyDescent="0.25">
      <c r="Q61" s="647" t="s">
        <v>1690</v>
      </c>
      <c r="S61" s="278">
        <v>-2.8470289531157822E-2</v>
      </c>
      <c r="T61" s="278">
        <v>-1.5561006149044943</v>
      </c>
      <c r="U61" s="278"/>
      <c r="V61" s="278"/>
      <c r="W61" s="278">
        <v>0.34145041462914544</v>
      </c>
      <c r="X61" s="278">
        <v>6.403945262407304E-2</v>
      </c>
      <c r="Y61" s="278">
        <v>0.59451013274678155</v>
      </c>
    </row>
    <row r="62" spans="17:25" x14ac:dyDescent="0.25">
      <c r="Q62" s="647" t="s">
        <v>1690</v>
      </c>
      <c r="S62" s="278">
        <v>-7.6628726634985767E-2</v>
      </c>
      <c r="T62" s="278">
        <v>-0.71563567804413175</v>
      </c>
      <c r="U62" s="278"/>
      <c r="V62" s="278"/>
      <c r="W62" s="278">
        <v>0.69300121558217609</v>
      </c>
      <c r="X62" s="278">
        <v>1.0603981662440623E-2</v>
      </c>
      <c r="Y62" s="278">
        <v>0.2963948027553831</v>
      </c>
    </row>
    <row r="63" spans="17:25" x14ac:dyDescent="0.25">
      <c r="Q63" s="647" t="s">
        <v>1690</v>
      </c>
      <c r="S63" s="278">
        <v>0.66442744629605333</v>
      </c>
      <c r="T63" s="278">
        <v>17.759481212047209</v>
      </c>
      <c r="U63" s="278"/>
      <c r="V63" s="278"/>
      <c r="W63" s="278">
        <v>0.94882060679835178</v>
      </c>
      <c r="X63" s="278">
        <v>6.6053153780054521E-3</v>
      </c>
      <c r="Y63" s="278">
        <v>4.4574077823642672E-2</v>
      </c>
    </row>
    <row r="64" spans="17:25" x14ac:dyDescent="0.25">
      <c r="Q64" s="647" t="s">
        <v>1690</v>
      </c>
      <c r="S64" s="278">
        <v>5.8385298618037984E-2</v>
      </c>
      <c r="T64" s="278">
        <v>4.1879774698718677</v>
      </c>
      <c r="U64" s="278"/>
      <c r="V64" s="278"/>
      <c r="W64" s="278">
        <v>0.69189063759766734</v>
      </c>
      <c r="X64" s="278">
        <v>2.5341175144993944E-2</v>
      </c>
      <c r="Y64" s="278">
        <v>0.28276818725733888</v>
      </c>
    </row>
    <row r="65" spans="17:25" x14ac:dyDescent="0.25">
      <c r="Q65" s="647" t="s">
        <v>1690</v>
      </c>
      <c r="S65" s="278">
        <v>-0.7559695152507131</v>
      </c>
      <c r="T65" s="278">
        <v>-31.513345212741232</v>
      </c>
      <c r="U65" s="278"/>
      <c r="V65" s="278"/>
      <c r="W65" s="278">
        <v>9.8364819705432857E-2</v>
      </c>
      <c r="X65" s="278">
        <v>0.26949673902155485</v>
      </c>
      <c r="Y65" s="278">
        <v>0.63213844127301222</v>
      </c>
    </row>
    <row r="66" spans="17:25" x14ac:dyDescent="0.25">
      <c r="Q66" s="647" t="s">
        <v>1690</v>
      </c>
      <c r="S66" s="278">
        <v>-0.71350932106757003</v>
      </c>
      <c r="T66" s="278">
        <v>-24.543293626082274</v>
      </c>
      <c r="U66" s="278"/>
      <c r="V66" s="278"/>
      <c r="W66" s="278">
        <v>0.43537946924108789</v>
      </c>
      <c r="X66" s="278">
        <v>3.2028537489227208E-4</v>
      </c>
      <c r="Y66" s="278">
        <v>0.56430024538401991</v>
      </c>
    </row>
    <row r="67" spans="17:25" x14ac:dyDescent="0.25">
      <c r="Q67" s="647" t="s">
        <v>1690</v>
      </c>
      <c r="S67" s="278">
        <v>-0.52879034129516544</v>
      </c>
      <c r="T67" s="278">
        <v>-4.6602292778342926</v>
      </c>
      <c r="U67" s="278"/>
      <c r="V67" s="278"/>
      <c r="W67" s="278">
        <v>0.17951708158850696</v>
      </c>
      <c r="X67" s="278">
        <v>0.71415900714296654</v>
      </c>
      <c r="Y67" s="278">
        <v>0.10632391126852631</v>
      </c>
    </row>
    <row r="68" spans="17:25" x14ac:dyDescent="0.25">
      <c r="Q68" s="647" t="s">
        <v>1690</v>
      </c>
      <c r="S68" s="278">
        <v>-0.58636159255224329</v>
      </c>
      <c r="T68" s="278">
        <v>-3.224988759037338E-2</v>
      </c>
      <c r="U68" s="278"/>
      <c r="V68" s="278"/>
      <c r="W68" s="278">
        <v>0</v>
      </c>
      <c r="X68" s="278">
        <v>0</v>
      </c>
      <c r="Y68" s="278">
        <v>1</v>
      </c>
    </row>
    <row r="69" spans="17:25" x14ac:dyDescent="0.25">
      <c r="Q69" s="647" t="s">
        <v>1690</v>
      </c>
      <c r="S69" s="278">
        <v>-0.58636159255224318</v>
      </c>
      <c r="T69" s="278">
        <v>-5.8636159255224328E-2</v>
      </c>
      <c r="U69" s="278"/>
      <c r="V69" s="278"/>
      <c r="W69" s="278">
        <v>0</v>
      </c>
      <c r="X69" s="278">
        <v>0</v>
      </c>
      <c r="Y69" s="278">
        <v>1</v>
      </c>
    </row>
    <row r="70" spans="17:25" x14ac:dyDescent="0.25">
      <c r="Q70" s="647" t="s">
        <v>1690</v>
      </c>
      <c r="S70" s="278">
        <v>-0.11420223220737113</v>
      </c>
      <c r="T70" s="278">
        <v>-0.70257213253974715</v>
      </c>
      <c r="U70" s="278"/>
      <c r="V70" s="278"/>
      <c r="W70" s="278">
        <v>0.78579630482170371</v>
      </c>
      <c r="X70" s="278">
        <v>2.8109814172502328E-3</v>
      </c>
      <c r="Y70" s="278">
        <v>0.21139271376104612</v>
      </c>
    </row>
    <row r="71" spans="17:25" x14ac:dyDescent="0.25">
      <c r="Q71" s="647" t="s">
        <v>1690</v>
      </c>
      <c r="S71" s="278">
        <v>-0.58636159255224318</v>
      </c>
      <c r="T71" s="278">
        <v>-2.9318079627612164E-2</v>
      </c>
      <c r="U71" s="278"/>
      <c r="V71" s="278"/>
      <c r="W71" s="278">
        <v>0</v>
      </c>
      <c r="X71" s="278">
        <v>0</v>
      </c>
      <c r="Y71" s="278">
        <v>1</v>
      </c>
    </row>
    <row r="72" spans="17:25" x14ac:dyDescent="0.25">
      <c r="Q72" s="647" t="s">
        <v>1690</v>
      </c>
      <c r="S72" s="278">
        <v>-3.6897651537140197E-2</v>
      </c>
      <c r="T72" s="278">
        <v>-68.964625637386462</v>
      </c>
      <c r="U72" s="278"/>
      <c r="V72" s="278"/>
      <c r="W72" s="278">
        <v>0.76105694623719067</v>
      </c>
      <c r="X72" s="278">
        <v>2.2221362999746048E-2</v>
      </c>
      <c r="Y72" s="278">
        <v>0.21672169076306341</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5610-2D6E-4AA2-BFD4-FF16DA595CFB}">
  <sheetPr>
    <tabColor rgb="FFC00000"/>
  </sheetPr>
  <dimension ref="A2:AC25"/>
  <sheetViews>
    <sheetView zoomScale="60" zoomScaleNormal="60" workbookViewId="0">
      <selection activeCell="U7" sqref="U7"/>
    </sheetView>
  </sheetViews>
  <sheetFormatPr defaultRowHeight="15" x14ac:dyDescent="0.25"/>
  <cols>
    <col min="1" max="1" width="22.42578125" bestFit="1" customWidth="1"/>
  </cols>
  <sheetData>
    <row r="2" spans="1:29" ht="15.75" x14ac:dyDescent="0.25">
      <c r="A2" s="165" t="s">
        <v>651</v>
      </c>
    </row>
    <row r="3" spans="1:29" ht="15.75" x14ac:dyDescent="0.25">
      <c r="A3" s="165" t="s">
        <v>652</v>
      </c>
    </row>
    <row r="5" spans="1:29" x14ac:dyDescent="0.25">
      <c r="A5" s="281" t="s">
        <v>653</v>
      </c>
      <c r="B5" s="281" t="s">
        <v>654</v>
      </c>
      <c r="C5" s="281" t="s">
        <v>162</v>
      </c>
      <c r="D5" s="281" t="s">
        <v>164</v>
      </c>
      <c r="E5" s="281" t="s">
        <v>166</v>
      </c>
      <c r="F5" s="281" t="s">
        <v>168</v>
      </c>
      <c r="G5" s="281" t="s">
        <v>170</v>
      </c>
      <c r="H5" s="281" t="s">
        <v>173</v>
      </c>
      <c r="I5" s="281" t="s">
        <v>175</v>
      </c>
      <c r="J5" s="281" t="s">
        <v>177</v>
      </c>
      <c r="K5" s="281" t="s">
        <v>179</v>
      </c>
      <c r="L5" s="281" t="s">
        <v>181</v>
      </c>
      <c r="M5" s="281" t="s">
        <v>183</v>
      </c>
      <c r="N5" s="281" t="s">
        <v>185</v>
      </c>
      <c r="O5" s="281" t="s">
        <v>188</v>
      </c>
      <c r="P5" s="281" t="s">
        <v>190</v>
      </c>
      <c r="Q5" s="281" t="s">
        <v>192</v>
      </c>
      <c r="R5" s="281" t="s">
        <v>194</v>
      </c>
      <c r="S5" s="281" t="s">
        <v>196</v>
      </c>
      <c r="T5" s="281" t="s">
        <v>198</v>
      </c>
      <c r="U5" s="281" t="s">
        <v>9</v>
      </c>
      <c r="V5" s="281" t="s">
        <v>201</v>
      </c>
      <c r="W5" s="281" t="s">
        <v>203</v>
      </c>
      <c r="X5" s="281" t="s">
        <v>205</v>
      </c>
      <c r="Y5" s="281" t="s">
        <v>207</v>
      </c>
      <c r="Z5" s="281" t="s">
        <v>210</v>
      </c>
      <c r="AA5" s="281" t="s">
        <v>214</v>
      </c>
      <c r="AB5" s="281" t="s">
        <v>217</v>
      </c>
      <c r="AC5" s="281" t="s">
        <v>219</v>
      </c>
    </row>
    <row r="6" spans="1:29" x14ac:dyDescent="0.25">
      <c r="A6" s="282" t="s">
        <v>655</v>
      </c>
      <c r="B6" s="282" t="s">
        <v>526</v>
      </c>
      <c r="C6" s="164"/>
      <c r="D6" s="164"/>
      <c r="E6" s="164"/>
      <c r="F6" s="164"/>
      <c r="G6" s="164"/>
      <c r="H6" s="164"/>
      <c r="I6" s="164"/>
      <c r="J6" s="164"/>
      <c r="K6" s="164"/>
      <c r="L6" s="164"/>
      <c r="M6" s="164"/>
      <c r="N6" s="283">
        <v>1726</v>
      </c>
      <c r="O6" s="164"/>
      <c r="P6" s="164"/>
      <c r="Q6" s="164"/>
      <c r="R6" s="164"/>
      <c r="S6" s="164"/>
      <c r="T6" s="164"/>
      <c r="U6" s="164"/>
      <c r="V6" s="164"/>
      <c r="W6" s="164"/>
      <c r="X6" s="164"/>
      <c r="Y6" s="164"/>
      <c r="Z6" s="164"/>
      <c r="AA6" s="164"/>
      <c r="AB6" s="164"/>
      <c r="AC6" s="164"/>
    </row>
    <row r="7" spans="1:29" x14ac:dyDescent="0.25">
      <c r="A7" s="282" t="s">
        <v>655</v>
      </c>
      <c r="B7" s="282" t="s">
        <v>477</v>
      </c>
      <c r="C7" s="283">
        <v>450</v>
      </c>
      <c r="D7" s="283">
        <v>7420</v>
      </c>
      <c r="E7" s="283">
        <v>800</v>
      </c>
      <c r="F7" s="283">
        <v>850</v>
      </c>
      <c r="G7" s="283">
        <v>1530</v>
      </c>
      <c r="H7" s="283">
        <v>2800</v>
      </c>
      <c r="I7" s="283">
        <v>15055</v>
      </c>
      <c r="J7" s="283">
        <v>3890</v>
      </c>
      <c r="K7" s="283">
        <v>6956</v>
      </c>
      <c r="L7" s="283">
        <v>2950</v>
      </c>
      <c r="M7" s="283">
        <v>520</v>
      </c>
      <c r="N7" s="283">
        <v>85950</v>
      </c>
      <c r="O7" s="283">
        <v>8070</v>
      </c>
      <c r="P7" s="283">
        <v>5060</v>
      </c>
      <c r="Q7" s="283">
        <v>9501</v>
      </c>
      <c r="R7" s="283">
        <v>49021</v>
      </c>
      <c r="S7" s="283">
        <v>19225</v>
      </c>
      <c r="T7" s="283">
        <v>11600</v>
      </c>
      <c r="U7" s="283">
        <v>4230</v>
      </c>
      <c r="V7" s="283">
        <v>28133</v>
      </c>
      <c r="W7" s="283">
        <v>2400</v>
      </c>
      <c r="X7" s="283">
        <v>44280</v>
      </c>
      <c r="Y7" s="283">
        <v>18300</v>
      </c>
      <c r="Z7" s="283">
        <v>11710</v>
      </c>
      <c r="AA7" s="283">
        <v>18095</v>
      </c>
      <c r="AB7" s="283">
        <v>32230</v>
      </c>
      <c r="AC7" s="283">
        <v>73099</v>
      </c>
    </row>
    <row r="8" spans="1:29" x14ac:dyDescent="0.25">
      <c r="A8" s="282" t="s">
        <v>655</v>
      </c>
      <c r="B8" s="282" t="s">
        <v>656</v>
      </c>
      <c r="C8" s="164"/>
      <c r="D8" s="164"/>
      <c r="E8" s="164"/>
      <c r="F8" s="164"/>
      <c r="G8" s="164"/>
      <c r="H8" s="164"/>
      <c r="I8" s="164"/>
      <c r="J8" s="283">
        <v>170</v>
      </c>
      <c r="K8" s="164"/>
      <c r="L8" s="164"/>
      <c r="M8" s="164"/>
      <c r="N8" s="164"/>
      <c r="O8" s="164"/>
      <c r="P8" s="164"/>
      <c r="Q8" s="164"/>
      <c r="R8" s="164"/>
      <c r="S8" s="164"/>
      <c r="T8" s="164"/>
      <c r="U8" s="164"/>
      <c r="V8" s="164"/>
      <c r="W8" s="164"/>
      <c r="X8" s="164"/>
      <c r="Y8" s="164"/>
      <c r="Z8" s="164"/>
      <c r="AA8" s="164"/>
      <c r="AB8" s="164"/>
      <c r="AC8" s="164"/>
    </row>
    <row r="9" spans="1:29" x14ac:dyDescent="0.25">
      <c r="A9" s="282" t="s">
        <v>657</v>
      </c>
      <c r="B9" s="282" t="s">
        <v>526</v>
      </c>
      <c r="C9" s="164"/>
      <c r="D9" s="164"/>
      <c r="E9" s="164"/>
      <c r="F9" s="164"/>
      <c r="G9" s="164"/>
      <c r="H9" s="164"/>
      <c r="I9" s="164"/>
      <c r="J9" s="164"/>
      <c r="K9" s="164"/>
      <c r="L9" s="164"/>
      <c r="M9" s="164"/>
      <c r="N9" s="283">
        <v>2750</v>
      </c>
      <c r="O9" s="164"/>
      <c r="P9" s="164"/>
      <c r="Q9" s="164"/>
      <c r="R9" s="164"/>
      <c r="S9" s="164"/>
      <c r="T9" s="164"/>
      <c r="U9" s="164"/>
      <c r="V9" s="164"/>
      <c r="W9" s="164"/>
      <c r="X9" s="164"/>
      <c r="Y9" s="164"/>
      <c r="Z9" s="164"/>
      <c r="AA9" s="164"/>
      <c r="AB9" s="164"/>
      <c r="AC9" s="164"/>
    </row>
    <row r="10" spans="1:29" x14ac:dyDescent="0.25">
      <c r="A10" s="282" t="s">
        <v>657</v>
      </c>
      <c r="B10" s="282" t="s">
        <v>477</v>
      </c>
      <c r="C10" s="164"/>
      <c r="D10" s="164"/>
      <c r="E10" s="164"/>
      <c r="F10" s="164"/>
      <c r="G10" s="164"/>
      <c r="H10" s="164"/>
      <c r="I10" s="164"/>
      <c r="J10" s="164"/>
      <c r="K10" s="164"/>
      <c r="L10" s="164"/>
      <c r="M10" s="164"/>
      <c r="N10" s="283">
        <v>5359</v>
      </c>
      <c r="O10" s="164"/>
      <c r="P10" s="164"/>
      <c r="Q10" s="164"/>
      <c r="R10" s="164"/>
      <c r="S10" s="164"/>
      <c r="T10" s="164"/>
      <c r="U10" s="164"/>
      <c r="V10" s="164"/>
      <c r="W10" s="164"/>
      <c r="X10" s="164"/>
      <c r="Y10" s="164"/>
      <c r="Z10" s="164"/>
      <c r="AA10" s="164"/>
      <c r="AB10" s="164"/>
      <c r="AC10" s="164"/>
    </row>
    <row r="11" spans="1:29" x14ac:dyDescent="0.25">
      <c r="A11" s="282" t="s">
        <v>657</v>
      </c>
      <c r="B11" s="282" t="s">
        <v>656</v>
      </c>
      <c r="C11" s="164"/>
      <c r="D11" s="164"/>
      <c r="E11" s="164"/>
      <c r="F11" s="164"/>
      <c r="G11" s="164"/>
      <c r="H11" s="164"/>
      <c r="I11" s="164"/>
      <c r="J11" s="164"/>
      <c r="K11" s="164"/>
      <c r="L11" s="164"/>
      <c r="M11" s="164"/>
      <c r="N11" s="164"/>
      <c r="O11" s="164"/>
      <c r="P11" s="164"/>
      <c r="Q11" s="164"/>
      <c r="R11" s="164"/>
      <c r="S11" s="283">
        <v>300</v>
      </c>
      <c r="T11" s="164"/>
      <c r="U11" s="164"/>
      <c r="V11" s="164"/>
      <c r="W11" s="164"/>
      <c r="X11" s="164"/>
      <c r="Y11" s="164"/>
      <c r="Z11" s="164"/>
      <c r="AA11" s="164"/>
      <c r="AB11" s="164"/>
      <c r="AC11" s="164"/>
    </row>
    <row r="12" spans="1:29" x14ac:dyDescent="0.25">
      <c r="A12" s="282" t="s">
        <v>658</v>
      </c>
      <c r="B12" s="282" t="s">
        <v>526</v>
      </c>
      <c r="C12" s="164"/>
      <c r="D12" s="164"/>
      <c r="E12" s="164"/>
      <c r="F12" s="283">
        <v>4500</v>
      </c>
      <c r="G12" s="164"/>
      <c r="H12" s="164"/>
      <c r="I12" s="164"/>
      <c r="J12" s="164"/>
      <c r="K12" s="164"/>
      <c r="L12" s="164"/>
      <c r="M12" s="164"/>
      <c r="N12" s="164"/>
      <c r="O12" s="164"/>
      <c r="P12" s="164"/>
      <c r="Q12" s="164"/>
      <c r="R12" s="164"/>
      <c r="S12" s="164"/>
      <c r="T12" s="164"/>
      <c r="U12" s="283">
        <v>16700</v>
      </c>
      <c r="V12" s="164"/>
      <c r="W12" s="164"/>
      <c r="X12" s="164"/>
      <c r="Y12" s="164"/>
      <c r="Z12" s="283">
        <v>2400</v>
      </c>
      <c r="AA12" s="164"/>
      <c r="AB12" s="164"/>
      <c r="AC12" s="164"/>
    </row>
    <row r="13" spans="1:29" x14ac:dyDescent="0.25">
      <c r="A13" s="282" t="s">
        <v>658</v>
      </c>
      <c r="B13" s="282" t="s">
        <v>477</v>
      </c>
      <c r="C13" s="164"/>
      <c r="D13" s="164"/>
      <c r="E13" s="164"/>
      <c r="F13" s="164"/>
      <c r="G13" s="164"/>
      <c r="H13" s="164"/>
      <c r="I13" s="164"/>
      <c r="J13" s="164"/>
      <c r="K13" s="164"/>
      <c r="L13" s="164"/>
      <c r="M13" s="164"/>
      <c r="N13" s="164"/>
      <c r="O13" s="164"/>
      <c r="P13" s="164"/>
      <c r="Q13" s="164"/>
      <c r="R13" s="164"/>
      <c r="S13" s="164"/>
      <c r="T13" s="283">
        <v>260</v>
      </c>
      <c r="U13" s="283">
        <v>28697</v>
      </c>
      <c r="V13" s="164"/>
      <c r="W13" s="283">
        <v>750</v>
      </c>
      <c r="X13" s="164"/>
      <c r="Y13" s="164"/>
      <c r="Z13" s="283">
        <v>4000</v>
      </c>
      <c r="AA13" s="164"/>
      <c r="AB13" s="164"/>
      <c r="AC13" s="164"/>
    </row>
    <row r="14" spans="1:29" x14ac:dyDescent="0.25">
      <c r="A14" s="282" t="s">
        <v>658</v>
      </c>
      <c r="B14" s="282" t="s">
        <v>656</v>
      </c>
      <c r="C14" s="164"/>
      <c r="D14" s="164"/>
      <c r="E14" s="164"/>
      <c r="F14" s="164"/>
      <c r="G14" s="164"/>
      <c r="H14" s="164"/>
      <c r="I14" s="164"/>
      <c r="J14" s="164"/>
      <c r="K14" s="164"/>
      <c r="L14" s="164"/>
      <c r="M14" s="164"/>
      <c r="N14" s="164"/>
      <c r="O14" s="164"/>
      <c r="P14" s="164"/>
      <c r="Q14" s="164"/>
      <c r="R14" s="164"/>
      <c r="S14" s="164"/>
      <c r="T14" s="164"/>
      <c r="U14" s="283">
        <v>7341</v>
      </c>
      <c r="V14" s="164"/>
      <c r="W14" s="164"/>
      <c r="X14" s="164"/>
      <c r="Y14" s="164"/>
      <c r="Z14" s="164"/>
      <c r="AA14" s="164"/>
      <c r="AB14" s="164"/>
      <c r="AC14" s="164"/>
    </row>
    <row r="15" spans="1:29" x14ac:dyDescent="0.25">
      <c r="A15" s="282" t="s">
        <v>659</v>
      </c>
      <c r="B15" s="282" t="s">
        <v>526</v>
      </c>
      <c r="C15" s="164"/>
      <c r="D15" s="283">
        <v>350</v>
      </c>
      <c r="E15" s="164"/>
      <c r="F15" s="164"/>
      <c r="G15" s="283">
        <v>3200</v>
      </c>
      <c r="H15" s="283">
        <v>6000</v>
      </c>
      <c r="I15" s="283">
        <v>9500</v>
      </c>
      <c r="J15" s="164"/>
      <c r="K15" s="283">
        <v>33210</v>
      </c>
      <c r="L15" s="283">
        <v>2500</v>
      </c>
      <c r="M15" s="283">
        <v>1450</v>
      </c>
      <c r="N15" s="283">
        <v>803546</v>
      </c>
      <c r="O15" s="283">
        <v>15595</v>
      </c>
      <c r="P15" s="164"/>
      <c r="Q15" s="283">
        <v>10800</v>
      </c>
      <c r="R15" s="283">
        <v>13800</v>
      </c>
      <c r="S15" s="283">
        <v>10420</v>
      </c>
      <c r="T15" s="283">
        <v>27580</v>
      </c>
      <c r="U15" s="283">
        <v>55326</v>
      </c>
      <c r="V15" s="283">
        <v>67831</v>
      </c>
      <c r="W15" s="283">
        <v>3500</v>
      </c>
      <c r="X15" s="283">
        <v>13100</v>
      </c>
      <c r="Y15" s="283">
        <v>6280</v>
      </c>
      <c r="Z15" s="164"/>
      <c r="AA15" s="283">
        <v>53799</v>
      </c>
      <c r="AB15" s="283">
        <v>67400</v>
      </c>
      <c r="AC15" s="283">
        <v>32021</v>
      </c>
    </row>
    <row r="16" spans="1:29" x14ac:dyDescent="0.25">
      <c r="A16" s="282" t="s">
        <v>659</v>
      </c>
      <c r="B16" s="282" t="s">
        <v>477</v>
      </c>
      <c r="C16" s="164"/>
      <c r="D16" s="283">
        <v>1800</v>
      </c>
      <c r="E16" s="164"/>
      <c r="F16" s="164"/>
      <c r="G16" s="164"/>
      <c r="H16" s="164"/>
      <c r="I16" s="283">
        <v>3150</v>
      </c>
      <c r="J16" s="164"/>
      <c r="K16" s="283">
        <v>3500</v>
      </c>
      <c r="L16" s="283">
        <v>1350</v>
      </c>
      <c r="M16" s="164"/>
      <c r="N16" s="283">
        <v>42717</v>
      </c>
      <c r="O16" s="283">
        <v>800</v>
      </c>
      <c r="P16" s="164"/>
      <c r="Q16" s="283">
        <v>200</v>
      </c>
      <c r="R16" s="164"/>
      <c r="S16" s="164"/>
      <c r="T16" s="283">
        <v>2820</v>
      </c>
      <c r="U16" s="283">
        <v>2050</v>
      </c>
      <c r="V16" s="283">
        <v>2070</v>
      </c>
      <c r="W16" s="164"/>
      <c r="X16" s="283">
        <v>800</v>
      </c>
      <c r="Y16" s="283">
        <v>1000</v>
      </c>
      <c r="Z16" s="164"/>
      <c r="AA16" s="283">
        <v>13006</v>
      </c>
      <c r="AB16" s="283">
        <v>4680</v>
      </c>
      <c r="AC16" s="164"/>
    </row>
    <row r="17" spans="1:29" x14ac:dyDescent="0.25">
      <c r="A17" s="282" t="s">
        <v>659</v>
      </c>
      <c r="B17" s="282" t="s">
        <v>660</v>
      </c>
      <c r="C17" s="164"/>
      <c r="D17" s="164"/>
      <c r="E17" s="164"/>
      <c r="F17" s="164"/>
      <c r="G17" s="164"/>
      <c r="H17" s="164"/>
      <c r="I17" s="283">
        <v>2250</v>
      </c>
      <c r="J17" s="164"/>
      <c r="K17" s="164"/>
      <c r="L17" s="164"/>
      <c r="M17" s="164"/>
      <c r="N17" s="164"/>
      <c r="O17" s="164"/>
      <c r="P17" s="164"/>
      <c r="Q17" s="164"/>
      <c r="R17" s="164"/>
      <c r="S17" s="164"/>
      <c r="T17" s="164"/>
      <c r="U17" s="164"/>
      <c r="V17" s="164"/>
      <c r="W17" s="164"/>
      <c r="X17" s="164"/>
      <c r="Y17" s="164"/>
      <c r="Z17" s="164"/>
      <c r="AA17" s="164"/>
      <c r="AB17" s="164"/>
      <c r="AC17" s="164"/>
    </row>
    <row r="18" spans="1:29" x14ac:dyDescent="0.25">
      <c r="A18" s="282" t="s">
        <v>659</v>
      </c>
      <c r="B18" s="282" t="s">
        <v>656</v>
      </c>
      <c r="C18" s="164"/>
      <c r="D18" s="164"/>
      <c r="E18" s="164"/>
      <c r="F18" s="164"/>
      <c r="G18" s="164"/>
      <c r="H18" s="164"/>
      <c r="I18" s="164"/>
      <c r="J18" s="164"/>
      <c r="K18" s="164"/>
      <c r="L18" s="164"/>
      <c r="M18" s="164"/>
      <c r="N18" s="164"/>
      <c r="O18" s="164"/>
      <c r="P18" s="164"/>
      <c r="Q18" s="164"/>
      <c r="R18" s="164"/>
      <c r="S18" s="164"/>
      <c r="T18" s="164"/>
      <c r="U18" s="283">
        <v>255</v>
      </c>
      <c r="V18" s="164"/>
      <c r="W18" s="164"/>
      <c r="X18" s="164"/>
      <c r="Y18" s="164"/>
      <c r="Z18" s="164"/>
      <c r="AA18" s="164"/>
      <c r="AB18" s="164"/>
      <c r="AC18" s="164"/>
    </row>
    <row r="19" spans="1:29" x14ac:dyDescent="0.25">
      <c r="A19" s="282" t="s">
        <v>661</v>
      </c>
      <c r="B19" s="282" t="s">
        <v>526</v>
      </c>
      <c r="C19" s="164"/>
      <c r="D19" s="164"/>
      <c r="E19" s="164"/>
      <c r="F19" s="164"/>
      <c r="G19" s="164"/>
      <c r="H19" s="164"/>
      <c r="I19" s="283">
        <v>1000</v>
      </c>
      <c r="J19" s="164"/>
      <c r="K19" s="164"/>
      <c r="L19" s="164"/>
      <c r="M19" s="164"/>
      <c r="N19" s="164"/>
      <c r="O19" s="164"/>
      <c r="P19" s="164"/>
      <c r="Q19" s="164"/>
      <c r="R19" s="164"/>
      <c r="S19" s="164"/>
      <c r="T19" s="164"/>
      <c r="U19" s="164"/>
      <c r="V19" s="164"/>
      <c r="W19" s="164"/>
      <c r="X19" s="164"/>
      <c r="Y19" s="164"/>
      <c r="Z19" s="164"/>
      <c r="AA19" s="164"/>
      <c r="AB19" s="164"/>
      <c r="AC19" s="164"/>
    </row>
    <row r="20" spans="1:29" x14ac:dyDescent="0.25">
      <c r="A20" s="282" t="s">
        <v>661</v>
      </c>
      <c r="B20" s="282" t="s">
        <v>477</v>
      </c>
      <c r="C20" s="283">
        <v>1000</v>
      </c>
      <c r="D20" s="283">
        <v>18111</v>
      </c>
      <c r="E20" s="164"/>
      <c r="F20" s="283">
        <v>600</v>
      </c>
      <c r="G20" s="164"/>
      <c r="H20" s="164"/>
      <c r="I20" s="283">
        <v>1000</v>
      </c>
      <c r="J20" s="164"/>
      <c r="K20" s="164"/>
      <c r="L20" s="283">
        <v>2400</v>
      </c>
      <c r="M20" s="164"/>
      <c r="N20" s="164"/>
      <c r="O20" s="164"/>
      <c r="P20" s="164"/>
      <c r="Q20" s="164"/>
      <c r="R20" s="164"/>
      <c r="S20" s="283">
        <v>1113</v>
      </c>
      <c r="T20" s="283">
        <v>4000</v>
      </c>
      <c r="U20" s="283">
        <v>1700</v>
      </c>
      <c r="V20" s="164"/>
      <c r="W20" s="283">
        <v>3790</v>
      </c>
      <c r="X20" s="164"/>
      <c r="Y20" s="283">
        <v>46475</v>
      </c>
      <c r="Z20" s="283">
        <v>3730</v>
      </c>
      <c r="AA20" s="283">
        <v>3500</v>
      </c>
      <c r="AB20" s="164"/>
      <c r="AC20" s="283">
        <v>3000</v>
      </c>
    </row>
    <row r="21" spans="1:29" x14ac:dyDescent="0.25">
      <c r="A21" s="282" t="s">
        <v>661</v>
      </c>
      <c r="B21" s="282" t="s">
        <v>656</v>
      </c>
      <c r="C21" s="164"/>
      <c r="D21" s="164"/>
      <c r="E21" s="164"/>
      <c r="F21" s="164"/>
      <c r="G21" s="164"/>
      <c r="H21" s="164"/>
      <c r="I21" s="164"/>
      <c r="J21" s="164"/>
      <c r="K21" s="164"/>
      <c r="L21" s="164"/>
      <c r="M21" s="164"/>
      <c r="N21" s="164"/>
      <c r="O21" s="164"/>
      <c r="P21" s="164"/>
      <c r="Q21" s="164"/>
      <c r="R21" s="164"/>
      <c r="S21" s="164"/>
      <c r="T21" s="164"/>
      <c r="U21" s="283">
        <v>5606</v>
      </c>
      <c r="V21" s="164"/>
      <c r="W21" s="164"/>
      <c r="X21" s="164"/>
      <c r="Y21" s="283">
        <v>600</v>
      </c>
      <c r="Z21" s="164"/>
      <c r="AA21" s="164"/>
      <c r="AB21" s="164"/>
      <c r="AC21" s="164"/>
    </row>
    <row r="22" spans="1:29" x14ac:dyDescent="0.25">
      <c r="A22" s="282" t="s">
        <v>662</v>
      </c>
      <c r="B22" s="282" t="s">
        <v>477</v>
      </c>
      <c r="C22" s="164"/>
      <c r="D22" s="164"/>
      <c r="E22" s="164"/>
      <c r="F22" s="164"/>
      <c r="G22" s="164"/>
      <c r="H22" s="164"/>
      <c r="I22" s="164"/>
      <c r="J22" s="164"/>
      <c r="K22" s="164"/>
      <c r="L22" s="164"/>
      <c r="M22" s="164"/>
      <c r="N22" s="283">
        <v>1350</v>
      </c>
      <c r="O22" s="164"/>
      <c r="P22" s="164"/>
      <c r="Q22" s="164"/>
      <c r="R22" s="164"/>
      <c r="S22" s="164"/>
      <c r="T22" s="164"/>
      <c r="U22" s="164"/>
      <c r="V22" s="164"/>
      <c r="W22" s="164"/>
      <c r="X22" s="164"/>
      <c r="Y22" s="164"/>
      <c r="Z22" s="164"/>
      <c r="AA22" s="164"/>
      <c r="AB22" s="164"/>
      <c r="AC22" s="164"/>
    </row>
    <row r="23" spans="1:29" x14ac:dyDescent="0.25">
      <c r="A23" s="282" t="s">
        <v>663</v>
      </c>
      <c r="B23" s="282" t="s">
        <v>526</v>
      </c>
      <c r="C23" s="164"/>
      <c r="D23" s="164"/>
      <c r="E23" s="164"/>
      <c r="F23" s="164"/>
      <c r="G23" s="164"/>
      <c r="H23" s="164"/>
      <c r="I23" s="164"/>
      <c r="J23" s="164"/>
      <c r="K23" s="164"/>
      <c r="L23" s="283">
        <v>600</v>
      </c>
      <c r="M23" s="164"/>
      <c r="N23" s="283">
        <v>24320</v>
      </c>
      <c r="O23" s="164"/>
      <c r="P23" s="164"/>
      <c r="Q23" s="164"/>
      <c r="R23" s="283">
        <v>4200</v>
      </c>
      <c r="S23" s="164"/>
      <c r="T23" s="164"/>
      <c r="U23" s="164"/>
      <c r="V23" s="164"/>
      <c r="W23" s="164"/>
      <c r="X23" s="164"/>
      <c r="Y23" s="164"/>
      <c r="Z23" s="164"/>
      <c r="AA23" s="164"/>
      <c r="AB23" s="164"/>
      <c r="AC23" s="283">
        <v>1000</v>
      </c>
    </row>
    <row r="24" spans="1:29" x14ac:dyDescent="0.25">
      <c r="A24" s="282" t="s">
        <v>664</v>
      </c>
      <c r="B24" s="282" t="s">
        <v>656</v>
      </c>
      <c r="C24" s="164"/>
      <c r="D24" s="164"/>
      <c r="E24" s="164"/>
      <c r="F24" s="283">
        <v>500</v>
      </c>
      <c r="G24" s="164"/>
      <c r="H24" s="164"/>
      <c r="I24" s="283">
        <v>1530</v>
      </c>
      <c r="J24" s="283">
        <v>2962</v>
      </c>
      <c r="K24" s="164"/>
      <c r="L24" s="164"/>
      <c r="M24" s="164"/>
      <c r="N24" s="164"/>
      <c r="O24" s="164"/>
      <c r="P24" s="164"/>
      <c r="Q24" s="164"/>
      <c r="R24" s="164"/>
      <c r="S24" s="164"/>
      <c r="T24" s="164"/>
      <c r="U24" s="164"/>
      <c r="V24" s="164"/>
      <c r="W24" s="164"/>
      <c r="X24" s="164"/>
      <c r="Y24" s="283">
        <v>750</v>
      </c>
      <c r="Z24" s="164"/>
      <c r="AA24" s="164"/>
      <c r="AB24" s="164"/>
      <c r="AC24" s="164"/>
    </row>
    <row r="25" spans="1:29" x14ac:dyDescent="0.25">
      <c r="A25" s="282" t="s">
        <v>665</v>
      </c>
      <c r="B25" s="282" t="s">
        <v>656</v>
      </c>
      <c r="C25" s="164"/>
      <c r="D25" s="164"/>
      <c r="E25" s="164"/>
      <c r="F25" s="164"/>
      <c r="G25" s="164"/>
      <c r="H25" s="164"/>
      <c r="I25" s="164"/>
      <c r="J25" s="283">
        <v>850</v>
      </c>
      <c r="K25" s="164"/>
      <c r="L25" s="164"/>
      <c r="M25" s="164"/>
      <c r="N25" s="164"/>
      <c r="O25" s="164"/>
      <c r="P25" s="164"/>
      <c r="Q25" s="164"/>
      <c r="R25" s="164"/>
      <c r="S25" s="164"/>
      <c r="T25" s="164"/>
      <c r="U25" s="164"/>
      <c r="V25" s="164"/>
      <c r="W25" s="164"/>
      <c r="X25" s="164"/>
      <c r="Y25" s="164"/>
      <c r="Z25" s="164"/>
      <c r="AA25" s="164"/>
      <c r="AB25" s="164"/>
      <c r="AC25" s="16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2552-43FB-4054-9F95-9C7E6182000E}">
  <sheetPr>
    <tabColor rgb="FFC00000"/>
  </sheetPr>
  <dimension ref="B1:M38"/>
  <sheetViews>
    <sheetView zoomScale="80" zoomScaleNormal="80" workbookViewId="0">
      <selection activeCell="A4" sqref="A4"/>
    </sheetView>
  </sheetViews>
  <sheetFormatPr defaultRowHeight="15" x14ac:dyDescent="0.25"/>
  <cols>
    <col min="2" max="2" width="18.7109375" customWidth="1"/>
    <col min="3" max="3" width="14.28515625" customWidth="1"/>
    <col min="4" max="4" width="14.42578125" customWidth="1"/>
    <col min="5" max="5" width="15.28515625" customWidth="1"/>
    <col min="6" max="6" width="13.7109375" customWidth="1"/>
  </cols>
  <sheetData>
    <row r="1" spans="2:13" x14ac:dyDescent="0.25">
      <c r="B1" t="s">
        <v>666</v>
      </c>
    </row>
    <row r="3" spans="2:13" ht="15.75" thickBot="1" x14ac:dyDescent="0.3">
      <c r="B3" s="296" t="s">
        <v>667</v>
      </c>
      <c r="J3" t="s">
        <v>668</v>
      </c>
    </row>
    <row r="4" spans="2:13" ht="41.25" thickBot="1" x14ac:dyDescent="0.3">
      <c r="B4" s="297" t="s">
        <v>316</v>
      </c>
      <c r="C4" s="298" t="s">
        <v>669</v>
      </c>
      <c r="D4" s="298" t="s">
        <v>670</v>
      </c>
      <c r="E4" s="298" t="s">
        <v>671</v>
      </c>
      <c r="F4" s="298" t="s">
        <v>672</v>
      </c>
      <c r="G4" s="298" t="s">
        <v>673</v>
      </c>
    </row>
    <row r="5" spans="2:13" ht="15.75" thickBot="1" x14ac:dyDescent="0.3">
      <c r="B5" s="300" t="s">
        <v>674</v>
      </c>
      <c r="C5" s="301" t="s">
        <v>477</v>
      </c>
      <c r="D5" s="301" t="s">
        <v>675</v>
      </c>
      <c r="E5" s="301">
        <v>240</v>
      </c>
      <c r="F5" s="305">
        <f t="shared" ref="F5:F10" si="0">E5*$J$5</f>
        <v>314.40000000000003</v>
      </c>
      <c r="G5" s="302">
        <v>7.4999999999999997E-2</v>
      </c>
      <c r="J5">
        <v>1.31</v>
      </c>
      <c r="K5" t="s">
        <v>676</v>
      </c>
    </row>
    <row r="6" spans="2:13" ht="26.25" thickBot="1" x14ac:dyDescent="0.3">
      <c r="B6" s="300" t="s">
        <v>677</v>
      </c>
      <c r="C6" s="301" t="s">
        <v>461</v>
      </c>
      <c r="D6" s="301" t="s">
        <v>678</v>
      </c>
      <c r="E6" s="301">
        <v>465</v>
      </c>
      <c r="F6" s="305">
        <f t="shared" si="0"/>
        <v>609.15</v>
      </c>
      <c r="G6" s="302">
        <v>7.4999999999999997E-2</v>
      </c>
      <c r="J6" s="324" t="s">
        <v>679</v>
      </c>
      <c r="K6" s="324">
        <v>2030</v>
      </c>
      <c r="L6" s="324" t="s">
        <v>680</v>
      </c>
    </row>
    <row r="7" spans="2:13" ht="39" thickBot="1" x14ac:dyDescent="0.3">
      <c r="B7" s="300" t="s">
        <v>681</v>
      </c>
      <c r="C7" s="301" t="s">
        <v>682</v>
      </c>
      <c r="D7" s="301" t="s">
        <v>683</v>
      </c>
      <c r="E7" s="301">
        <v>465</v>
      </c>
      <c r="F7" s="305">
        <f t="shared" si="0"/>
        <v>609.15</v>
      </c>
      <c r="G7" s="302">
        <v>7.4999999999999997E-2</v>
      </c>
      <c r="J7" s="323">
        <f>945/590</f>
        <v>1.6016949152542372</v>
      </c>
      <c r="K7" s="323">
        <f>855/590</f>
        <v>1.4491525423728813</v>
      </c>
      <c r="L7" s="323">
        <f>755/590</f>
        <v>1.2796610169491525</v>
      </c>
      <c r="M7" s="157" t="s">
        <v>684</v>
      </c>
    </row>
    <row r="8" spans="2:13" ht="26.25" thickBot="1" x14ac:dyDescent="0.3">
      <c r="B8" s="300" t="s">
        <v>685</v>
      </c>
      <c r="C8" s="301" t="s">
        <v>686</v>
      </c>
      <c r="D8" s="301"/>
      <c r="E8" s="301">
        <v>580</v>
      </c>
      <c r="F8" s="305">
        <f t="shared" si="0"/>
        <v>759.80000000000007</v>
      </c>
      <c r="G8" s="303">
        <v>0.1</v>
      </c>
    </row>
    <row r="9" spans="2:13" ht="26.25" thickBot="1" x14ac:dyDescent="0.3">
      <c r="B9" s="300" t="s">
        <v>687</v>
      </c>
      <c r="C9" s="301" t="s">
        <v>459</v>
      </c>
      <c r="D9" s="301" t="s">
        <v>688</v>
      </c>
      <c r="E9" s="301">
        <v>550</v>
      </c>
      <c r="F9" s="305">
        <f t="shared" si="0"/>
        <v>720.5</v>
      </c>
      <c r="G9" s="302">
        <v>7.4999999999999997E-2</v>
      </c>
    </row>
    <row r="10" spans="2:13" ht="26.25" thickBot="1" x14ac:dyDescent="0.3">
      <c r="B10" s="300" t="s">
        <v>689</v>
      </c>
      <c r="C10" s="301" t="s">
        <v>690</v>
      </c>
      <c r="D10" s="301" t="s">
        <v>691</v>
      </c>
      <c r="E10" s="301">
        <v>680</v>
      </c>
      <c r="F10" s="305">
        <f t="shared" si="0"/>
        <v>890.80000000000007</v>
      </c>
      <c r="G10" s="303">
        <v>0.1</v>
      </c>
    </row>
    <row r="11" spans="2:13" x14ac:dyDescent="0.25">
      <c r="B11" s="304" t="s">
        <v>692</v>
      </c>
    </row>
    <row r="12" spans="2:13" x14ac:dyDescent="0.25">
      <c r="B12" s="1"/>
    </row>
    <row r="13" spans="2:13" x14ac:dyDescent="0.25">
      <c r="B13" s="1"/>
    </row>
    <row r="14" spans="2:13" ht="15.75" thickBot="1" x14ac:dyDescent="0.3">
      <c r="B14" s="296" t="s">
        <v>693</v>
      </c>
    </row>
    <row r="15" spans="2:13" ht="27.75" thickBot="1" x14ac:dyDescent="0.3">
      <c r="B15" s="297" t="s">
        <v>316</v>
      </c>
      <c r="C15" s="298" t="s">
        <v>669</v>
      </c>
      <c r="D15" s="298" t="s">
        <v>694</v>
      </c>
      <c r="E15" s="298" t="s">
        <v>695</v>
      </c>
      <c r="F15" s="298" t="s">
        <v>696</v>
      </c>
    </row>
    <row r="16" spans="2:13" ht="15.75" thickBot="1" x14ac:dyDescent="0.3">
      <c r="B16" s="300" t="s">
        <v>674</v>
      </c>
      <c r="C16" s="301" t="s">
        <v>477</v>
      </c>
      <c r="D16" s="301">
        <v>2</v>
      </c>
      <c r="E16" s="301"/>
      <c r="F16" s="301">
        <v>1.1000000000000001</v>
      </c>
    </row>
    <row r="17" spans="2:6" ht="26.25" thickBot="1" x14ac:dyDescent="0.3">
      <c r="B17" s="300" t="s">
        <v>677</v>
      </c>
      <c r="C17" s="301" t="s">
        <v>461</v>
      </c>
      <c r="D17" s="301">
        <v>17</v>
      </c>
      <c r="E17" s="301"/>
      <c r="F17" s="301">
        <v>0.15</v>
      </c>
    </row>
    <row r="18" spans="2:6" ht="39" thickBot="1" x14ac:dyDescent="0.3">
      <c r="B18" s="300" t="s">
        <v>681</v>
      </c>
      <c r="C18" s="301" t="s">
        <v>682</v>
      </c>
      <c r="D18" s="301">
        <v>9</v>
      </c>
      <c r="E18" s="301"/>
      <c r="F18" s="301">
        <v>0.15</v>
      </c>
    </row>
    <row r="19" spans="2:6" ht="26.25" thickBot="1" x14ac:dyDescent="0.3">
      <c r="B19" s="300" t="s">
        <v>685</v>
      </c>
      <c r="C19" s="301" t="s">
        <v>686</v>
      </c>
      <c r="D19" s="301">
        <v>17</v>
      </c>
      <c r="E19" s="303">
        <v>0.9</v>
      </c>
      <c r="F19" s="301">
        <v>0.15</v>
      </c>
    </row>
    <row r="20" spans="2:6" ht="21.75" customHeight="1" thickBot="1" x14ac:dyDescent="0.3">
      <c r="B20" s="300" t="s">
        <v>687</v>
      </c>
      <c r="C20" s="301" t="s">
        <v>459</v>
      </c>
      <c r="D20" s="301">
        <v>19</v>
      </c>
      <c r="E20" s="301"/>
      <c r="F20" s="301">
        <v>0.15</v>
      </c>
    </row>
    <row r="21" spans="2:6" ht="26.25" thickBot="1" x14ac:dyDescent="0.3">
      <c r="B21" s="300" t="s">
        <v>689</v>
      </c>
      <c r="C21" s="301" t="s">
        <v>690</v>
      </c>
      <c r="D21" s="301">
        <v>19</v>
      </c>
      <c r="E21" s="303">
        <v>0.9</v>
      </c>
      <c r="F21" s="301">
        <v>0.15</v>
      </c>
    </row>
    <row r="22" spans="2:6" x14ac:dyDescent="0.25">
      <c r="B22" s="304" t="s">
        <v>697</v>
      </c>
    </row>
    <row r="23" spans="2:6" x14ac:dyDescent="0.25">
      <c r="B23" s="304" t="s">
        <v>698</v>
      </c>
    </row>
    <row r="24" spans="2:6" x14ac:dyDescent="0.25">
      <c r="B24" s="304" t="s">
        <v>699</v>
      </c>
    </row>
    <row r="27" spans="2:6" x14ac:dyDescent="0.25">
      <c r="B27" s="208"/>
    </row>
    <row r="38" spans="11:11" x14ac:dyDescent="0.25">
      <c r="K38" s="141" t="s">
        <v>700</v>
      </c>
    </row>
  </sheetData>
  <hyperlinks>
    <hyperlink ref="K38" r:id="rId1" xr:uid="{86E8BDC8-65F9-45F2-AE46-941C62B2466F}"/>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F3AD0-9C6A-4461-9F61-A53C426D0710}">
  <sheetPr>
    <tabColor theme="4"/>
  </sheetPr>
  <dimension ref="A2:AK322"/>
  <sheetViews>
    <sheetView topLeftCell="A9" zoomScale="70" zoomScaleNormal="70" workbookViewId="0">
      <selection activeCell="I49" sqref="I49"/>
    </sheetView>
  </sheetViews>
  <sheetFormatPr defaultRowHeight="15" x14ac:dyDescent="0.25"/>
  <cols>
    <col min="1" max="1" width="31.5703125" customWidth="1"/>
    <col min="2" max="2" width="51.42578125" customWidth="1"/>
    <col min="3" max="3" width="22.7109375" customWidth="1"/>
    <col min="4" max="4" width="18.7109375" customWidth="1"/>
    <col min="5" max="5" width="11.42578125" bestFit="1" customWidth="1"/>
    <col min="6" max="6" width="11.28515625" bestFit="1" customWidth="1"/>
    <col min="7" max="10" width="10.42578125" bestFit="1" customWidth="1"/>
    <col min="11" max="13" width="11.28515625" bestFit="1" customWidth="1"/>
    <col min="14" max="15" width="10.42578125" bestFit="1" customWidth="1"/>
    <col min="16" max="16" width="17.42578125" bestFit="1" customWidth="1"/>
    <col min="17" max="18" width="10.42578125" bestFit="1" customWidth="1"/>
    <col min="19" max="21" width="11.28515625" bestFit="1" customWidth="1"/>
    <col min="22" max="22" width="9" customWidth="1"/>
    <col min="23" max="25" width="11.28515625" bestFit="1" customWidth="1"/>
    <col min="26" max="26" width="9.7109375" customWidth="1"/>
    <col min="27" max="28" width="11.28515625" bestFit="1" customWidth="1"/>
    <col min="29" max="29" width="10.42578125" bestFit="1" customWidth="1"/>
    <col min="30" max="32" width="11.28515625" bestFit="1" customWidth="1"/>
    <col min="35" max="35" width="11.7109375" bestFit="1" customWidth="1"/>
  </cols>
  <sheetData>
    <row r="2" spans="1:32" ht="15.75" x14ac:dyDescent="0.25">
      <c r="A2" s="122" t="s">
        <v>701</v>
      </c>
      <c r="B2" s="122"/>
    </row>
    <row r="3" spans="1:32" x14ac:dyDescent="0.25">
      <c r="A3" s="121" t="s">
        <v>432</v>
      </c>
    </row>
    <row r="5" spans="1:32" x14ac:dyDescent="0.25">
      <c r="A5" s="93" t="s">
        <v>446</v>
      </c>
    </row>
    <row r="6" spans="1:32" ht="15.75" x14ac:dyDescent="0.25">
      <c r="A6" s="158" t="s">
        <v>358</v>
      </c>
      <c r="B6" s="91" t="s">
        <v>435</v>
      </c>
      <c r="C6" s="158"/>
      <c r="D6" s="158" t="s">
        <v>342</v>
      </c>
      <c r="E6" s="91" t="s">
        <v>162</v>
      </c>
      <c r="F6" s="91" t="s">
        <v>164</v>
      </c>
      <c r="G6" s="91" t="s">
        <v>166</v>
      </c>
      <c r="H6" s="91" t="s">
        <v>168</v>
      </c>
      <c r="I6" s="91" t="s">
        <v>170</v>
      </c>
      <c r="J6" s="91" t="s">
        <v>173</v>
      </c>
      <c r="K6" s="91" t="s">
        <v>175</v>
      </c>
      <c r="L6" s="91" t="s">
        <v>177</v>
      </c>
      <c r="M6" s="91" t="s">
        <v>179</v>
      </c>
      <c r="N6" s="91" t="s">
        <v>181</v>
      </c>
      <c r="O6" s="91" t="s">
        <v>183</v>
      </c>
      <c r="P6" s="91" t="s">
        <v>185</v>
      </c>
      <c r="Q6" s="91" t="s">
        <v>188</v>
      </c>
      <c r="R6" s="91" t="s">
        <v>190</v>
      </c>
      <c r="S6" s="91" t="s">
        <v>192</v>
      </c>
      <c r="T6" s="91" t="s">
        <v>194</v>
      </c>
      <c r="U6" s="91" t="s">
        <v>196</v>
      </c>
      <c r="V6" s="91" t="s">
        <v>198</v>
      </c>
      <c r="W6" s="91" t="s">
        <v>9</v>
      </c>
      <c r="X6" s="91" t="s">
        <v>201</v>
      </c>
      <c r="Y6" s="91" t="s">
        <v>203</v>
      </c>
      <c r="Z6" s="91" t="s">
        <v>205</v>
      </c>
      <c r="AA6" s="91" t="s">
        <v>207</v>
      </c>
      <c r="AB6" s="91" t="s">
        <v>210</v>
      </c>
      <c r="AC6" s="91" t="s">
        <v>212</v>
      </c>
      <c r="AD6" s="91" t="s">
        <v>214</v>
      </c>
      <c r="AE6" s="91" t="s">
        <v>217</v>
      </c>
      <c r="AF6" s="91" t="s">
        <v>219</v>
      </c>
    </row>
    <row r="7" spans="1:32" x14ac:dyDescent="0.25">
      <c r="A7" t="s">
        <v>367</v>
      </c>
      <c r="B7" t="s">
        <v>368</v>
      </c>
      <c r="C7" t="s">
        <v>113</v>
      </c>
      <c r="D7" s="159" t="s">
        <v>363</v>
      </c>
      <c r="E7" s="191">
        <f>EnergyBalance!E54</f>
        <v>0</v>
      </c>
      <c r="F7" s="191">
        <f>EnergyBalance!F54</f>
        <v>0</v>
      </c>
      <c r="G7" s="191">
        <f>EnergyBalance!G54</f>
        <v>0</v>
      </c>
      <c r="H7" s="191">
        <f>EnergyBalance!H54</f>
        <v>0</v>
      </c>
      <c r="I7" s="191">
        <f>EnergyBalance!I54</f>
        <v>0</v>
      </c>
      <c r="J7" s="191">
        <f>EnergyBalance!J54</f>
        <v>0</v>
      </c>
      <c r="K7" s="191">
        <f>EnergyBalance!K54</f>
        <v>0</v>
      </c>
      <c r="L7" s="191">
        <f>EnergyBalance!L54</f>
        <v>0</v>
      </c>
      <c r="M7" s="191">
        <f>EnergyBalance!M54</f>
        <v>0</v>
      </c>
      <c r="N7" s="191">
        <f>EnergyBalance!N54</f>
        <v>0</v>
      </c>
      <c r="O7" s="191">
        <f>EnergyBalance!O54</f>
        <v>0</v>
      </c>
      <c r="P7" s="191">
        <f>EnergyBalance!P54</f>
        <v>0</v>
      </c>
      <c r="Q7" s="191">
        <f>EnergyBalance!Q54</f>
        <v>0</v>
      </c>
      <c r="R7" s="191">
        <f>EnergyBalance!R54</f>
        <v>165</v>
      </c>
      <c r="S7" s="191">
        <f>EnergyBalance!S54</f>
        <v>0</v>
      </c>
      <c r="T7" s="191">
        <f>EnergyBalance!T54</f>
        <v>0</v>
      </c>
      <c r="U7" s="191">
        <f>EnergyBalance!U54</f>
        <v>0</v>
      </c>
      <c r="V7" s="191">
        <f>EnergyBalance!V54</f>
        <v>0</v>
      </c>
      <c r="W7" s="191">
        <f>EnergyBalance!W54</f>
        <v>0</v>
      </c>
      <c r="X7" s="191">
        <f>EnergyBalance!X54</f>
        <v>235</v>
      </c>
      <c r="Y7" s="191">
        <f>EnergyBalance!Y54</f>
        <v>0</v>
      </c>
      <c r="Z7" s="191">
        <f>EnergyBalance!Z54</f>
        <v>0</v>
      </c>
      <c r="AA7" s="191">
        <f>EnergyBalance!AA54</f>
        <v>0</v>
      </c>
      <c r="AB7" s="191">
        <f>EnergyBalance!AB54</f>
        <v>0</v>
      </c>
      <c r="AC7" s="191">
        <f>EnergyBalance!AC54</f>
        <v>0</v>
      </c>
      <c r="AD7" s="191">
        <f>EnergyBalance!AD54</f>
        <v>0</v>
      </c>
      <c r="AE7" s="191">
        <f>EnergyBalance!AE54</f>
        <v>0</v>
      </c>
      <c r="AF7" s="191">
        <f>EnergyBalance!AF54</f>
        <v>0</v>
      </c>
    </row>
    <row r="8" spans="1:32" x14ac:dyDescent="0.25">
      <c r="A8" t="s">
        <v>367</v>
      </c>
      <c r="B8" t="s">
        <v>368</v>
      </c>
      <c r="C8" t="s">
        <v>115</v>
      </c>
      <c r="D8" s="159" t="s">
        <v>363</v>
      </c>
      <c r="E8" s="191">
        <f>EnergyBalance!E55</f>
        <v>0</v>
      </c>
      <c r="F8" s="191">
        <f>EnergyBalance!F55</f>
        <v>0</v>
      </c>
      <c r="G8" s="191">
        <f>EnergyBalance!G55</f>
        <v>0</v>
      </c>
      <c r="H8" s="191">
        <f>EnergyBalance!H55</f>
        <v>0</v>
      </c>
      <c r="I8" s="191">
        <f>EnergyBalance!I55</f>
        <v>83</v>
      </c>
      <c r="J8" s="191">
        <f>EnergyBalance!J55</f>
        <v>0</v>
      </c>
      <c r="K8" s="191">
        <f>EnergyBalance!K55</f>
        <v>0</v>
      </c>
      <c r="L8" s="191">
        <f>EnergyBalance!L55</f>
        <v>0</v>
      </c>
      <c r="M8" s="191">
        <f>EnergyBalance!M55</f>
        <v>0</v>
      </c>
      <c r="N8" s="191">
        <f>EnergyBalance!N55</f>
        <v>0</v>
      </c>
      <c r="O8" s="191">
        <f>EnergyBalance!O55</f>
        <v>0</v>
      </c>
      <c r="P8" s="191">
        <f>EnergyBalance!P55</f>
        <v>0</v>
      </c>
      <c r="Q8" s="191">
        <f>EnergyBalance!Q55</f>
        <v>0</v>
      </c>
      <c r="R8" s="191">
        <f>EnergyBalance!R55</f>
        <v>13</v>
      </c>
      <c r="S8" s="191">
        <f>EnergyBalance!S55</f>
        <v>25</v>
      </c>
      <c r="T8" s="191">
        <f>EnergyBalance!T55</f>
        <v>275</v>
      </c>
      <c r="U8" s="191">
        <f>EnergyBalance!U55</f>
        <v>108</v>
      </c>
      <c r="V8" s="191">
        <f>EnergyBalance!V55</f>
        <v>0</v>
      </c>
      <c r="W8" s="191">
        <f>EnergyBalance!W55</f>
        <v>0</v>
      </c>
      <c r="X8" s="191">
        <f>EnergyBalance!X55</f>
        <v>0</v>
      </c>
      <c r="Y8" s="191">
        <f>EnergyBalance!Y55</f>
        <v>0</v>
      </c>
      <c r="Z8" s="191">
        <f>EnergyBalance!Z55</f>
        <v>0</v>
      </c>
      <c r="AA8" s="191">
        <f>EnergyBalance!AA55</f>
        <v>0</v>
      </c>
      <c r="AB8" s="191">
        <f>EnergyBalance!AB55</f>
        <v>0</v>
      </c>
      <c r="AC8" s="191">
        <f>EnergyBalance!AC55</f>
        <v>0</v>
      </c>
      <c r="AD8" s="191">
        <f>EnergyBalance!AD55</f>
        <v>0</v>
      </c>
      <c r="AE8" s="191">
        <f>EnergyBalance!AE55</f>
        <v>0</v>
      </c>
      <c r="AF8" s="191">
        <f>EnergyBalance!AF55</f>
        <v>0</v>
      </c>
    </row>
    <row r="9" spans="1:32" x14ac:dyDescent="0.25">
      <c r="A9" t="s">
        <v>367</v>
      </c>
      <c r="B9" t="s">
        <v>368</v>
      </c>
      <c r="C9" t="s">
        <v>117</v>
      </c>
      <c r="D9" s="159" t="s">
        <v>363</v>
      </c>
      <c r="E9" s="191">
        <f>EnergyBalance!E56</f>
        <v>0</v>
      </c>
      <c r="F9" s="191">
        <f>EnergyBalance!F56</f>
        <v>2989</v>
      </c>
      <c r="G9" s="191">
        <f>EnergyBalance!G56</f>
        <v>445</v>
      </c>
      <c r="H9" s="191">
        <f>EnergyBalance!H56</f>
        <v>1284</v>
      </c>
      <c r="I9" s="191">
        <f>EnergyBalance!I56</f>
        <v>3033</v>
      </c>
      <c r="J9" s="191">
        <f>EnergyBalance!J56</f>
        <v>1</v>
      </c>
      <c r="K9" s="191">
        <f>EnergyBalance!K56</f>
        <v>19800</v>
      </c>
      <c r="L9" s="191">
        <f>EnergyBalance!L56</f>
        <v>0</v>
      </c>
      <c r="M9" s="191">
        <f>EnergyBalance!M56</f>
        <v>6843</v>
      </c>
      <c r="N9" s="218">
        <f>EnergyBalance!N56</f>
        <v>924</v>
      </c>
      <c r="O9" s="191">
        <f>EnergyBalance!O56</f>
        <v>0</v>
      </c>
      <c r="P9" s="191">
        <f>EnergyBalance!P56</f>
        <v>11296</v>
      </c>
      <c r="Q9" s="191">
        <f>EnergyBalance!Q56</f>
        <v>324</v>
      </c>
      <c r="R9" s="191">
        <f>EnergyBalance!R56</f>
        <v>11924</v>
      </c>
      <c r="S9" s="191">
        <f>EnergyBalance!S56</f>
        <v>4261</v>
      </c>
      <c r="T9" s="191">
        <f>EnergyBalance!T56</f>
        <v>32992</v>
      </c>
      <c r="U9" s="191">
        <f>EnergyBalance!U56</f>
        <v>8514</v>
      </c>
      <c r="V9" s="191">
        <f>EnergyBalance!V56</f>
        <v>0</v>
      </c>
      <c r="W9" s="191">
        <f>EnergyBalance!W56</f>
        <v>0</v>
      </c>
      <c r="X9" s="191">
        <f>EnergyBalance!X56</f>
        <v>6059</v>
      </c>
      <c r="Y9" s="191">
        <f>EnergyBalance!Y56</f>
        <v>935</v>
      </c>
      <c r="Z9" s="191">
        <f>EnergyBalance!Z56</f>
        <v>0</v>
      </c>
      <c r="AA9" s="191">
        <f>EnergyBalance!AA56</f>
        <v>0</v>
      </c>
      <c r="AB9" s="191">
        <f>EnergyBalance!AB56</f>
        <v>0</v>
      </c>
      <c r="AC9" s="191">
        <f>EnergyBalance!AC56</f>
        <v>0</v>
      </c>
      <c r="AD9" s="191">
        <f>EnergyBalance!AD56</f>
        <v>54</v>
      </c>
      <c r="AE9" s="191">
        <f>EnergyBalance!AE56</f>
        <v>68</v>
      </c>
      <c r="AF9" s="191">
        <f>EnergyBalance!AF56</f>
        <v>21052</v>
      </c>
    </row>
    <row r="10" spans="1:32" x14ac:dyDescent="0.25">
      <c r="A10" t="s">
        <v>367</v>
      </c>
      <c r="B10" t="s">
        <v>368</v>
      </c>
      <c r="C10" t="s">
        <v>119</v>
      </c>
      <c r="D10" s="159" t="s">
        <v>363</v>
      </c>
      <c r="E10" s="191">
        <f>EnergyBalance!E57</f>
        <v>0</v>
      </c>
      <c r="F10" s="191">
        <f>EnergyBalance!F57</f>
        <v>0</v>
      </c>
      <c r="G10" s="191">
        <f>EnergyBalance!G57</f>
        <v>0</v>
      </c>
      <c r="H10" s="191">
        <f>EnergyBalance!H57</f>
        <v>0</v>
      </c>
      <c r="I10" s="191">
        <f>EnergyBalance!I57</f>
        <v>0</v>
      </c>
      <c r="J10" s="191">
        <f>EnergyBalance!J57</f>
        <v>0</v>
      </c>
      <c r="K10" s="191">
        <f>EnergyBalance!K57</f>
        <v>0</v>
      </c>
      <c r="L10" s="191">
        <f>EnergyBalance!L57</f>
        <v>0</v>
      </c>
      <c r="M10" s="191">
        <f>EnergyBalance!M57</f>
        <v>228</v>
      </c>
      <c r="N10" s="191">
        <f>EnergyBalance!N57</f>
        <v>0</v>
      </c>
      <c r="O10" s="191">
        <f>EnergyBalance!O57</f>
        <v>0</v>
      </c>
      <c r="P10" s="191">
        <f>EnergyBalance!P57</f>
        <v>0</v>
      </c>
      <c r="Q10" s="191">
        <f>EnergyBalance!Q57</f>
        <v>0</v>
      </c>
      <c r="R10" s="191">
        <f>EnergyBalance!R57</f>
        <v>0</v>
      </c>
      <c r="S10" s="191">
        <f>EnergyBalance!S57</f>
        <v>2</v>
      </c>
      <c r="T10" s="191">
        <f>EnergyBalance!T57</f>
        <v>80</v>
      </c>
      <c r="U10" s="191">
        <f>EnergyBalance!U57</f>
        <v>440</v>
      </c>
      <c r="V10" s="191">
        <f>EnergyBalance!V57</f>
        <v>42</v>
      </c>
      <c r="W10" s="191">
        <f>EnergyBalance!W57</f>
        <v>0</v>
      </c>
      <c r="X10" s="191">
        <f>EnergyBalance!X57</f>
        <v>0</v>
      </c>
      <c r="Y10" s="191">
        <f>EnergyBalance!Y57</f>
        <v>0</v>
      </c>
      <c r="Z10" s="191">
        <f>EnergyBalance!Z57</f>
        <v>0</v>
      </c>
      <c r="AA10" s="191">
        <f>EnergyBalance!AA57</f>
        <v>0</v>
      </c>
      <c r="AB10" s="191">
        <f>EnergyBalance!AB57</f>
        <v>0</v>
      </c>
      <c r="AC10" s="191">
        <f>EnergyBalance!AC57</f>
        <v>0</v>
      </c>
      <c r="AD10" s="191">
        <f>EnergyBalance!AD57</f>
        <v>0</v>
      </c>
      <c r="AE10" s="191">
        <f>EnergyBalance!AE57</f>
        <v>0</v>
      </c>
      <c r="AF10" s="191">
        <f>EnergyBalance!AF57</f>
        <v>273</v>
      </c>
    </row>
    <row r="11" spans="1:32" x14ac:dyDescent="0.25">
      <c r="A11" t="s">
        <v>367</v>
      </c>
      <c r="B11" t="s">
        <v>368</v>
      </c>
      <c r="C11" t="s">
        <v>120</v>
      </c>
      <c r="D11" s="159" t="s">
        <v>363</v>
      </c>
      <c r="E11" s="191">
        <f>EnergyBalance!E58</f>
        <v>27523</v>
      </c>
      <c r="F11" s="191">
        <f>EnergyBalance!F58</f>
        <v>101160</v>
      </c>
      <c r="G11" s="191">
        <f>EnergyBalance!G58</f>
        <v>17390</v>
      </c>
      <c r="H11" s="191">
        <f>EnergyBalance!H58</f>
        <v>41000</v>
      </c>
      <c r="I11" s="191">
        <f>EnergyBalance!I58</f>
        <v>21761</v>
      </c>
      <c r="J11" s="191">
        <f>EnergyBalance!J58</f>
        <v>56808</v>
      </c>
      <c r="K11" s="191">
        <f>EnergyBalance!K58</f>
        <v>365731</v>
      </c>
      <c r="L11" s="191">
        <f>EnergyBalance!L58</f>
        <v>155792</v>
      </c>
      <c r="M11" s="191">
        <f>EnergyBalance!M58</f>
        <v>3098</v>
      </c>
      <c r="N11" s="191">
        <f>EnergyBalance!N58</f>
        <v>9657</v>
      </c>
      <c r="O11" s="191">
        <f>EnergyBalance!O58</f>
        <v>99</v>
      </c>
      <c r="P11" s="191">
        <f>EnergyBalance!P58</f>
        <v>0</v>
      </c>
      <c r="Q11" s="191">
        <f>EnergyBalance!Q58</f>
        <v>59635</v>
      </c>
      <c r="R11" s="191">
        <f>EnergyBalance!R58</f>
        <v>21555</v>
      </c>
      <c r="S11" s="191">
        <f>EnergyBalance!S58</f>
        <v>39909</v>
      </c>
      <c r="T11" s="191">
        <f>EnergyBalance!T58</f>
        <v>20254</v>
      </c>
      <c r="U11" s="191">
        <f>EnergyBalance!U58</f>
        <v>55015</v>
      </c>
      <c r="V11" s="191">
        <f>EnergyBalance!V58</f>
        <v>60957</v>
      </c>
      <c r="W11" s="191">
        <f>EnergyBalance!W58</f>
        <v>0</v>
      </c>
      <c r="X11" s="191">
        <f>EnergyBalance!X58</f>
        <v>126700</v>
      </c>
      <c r="Y11" s="191">
        <f>EnergyBalance!Y58</f>
        <v>48386</v>
      </c>
      <c r="Z11" s="191">
        <f>EnergyBalance!Z58</f>
        <v>71791</v>
      </c>
      <c r="AA11" s="191">
        <f>EnergyBalance!AA58</f>
        <v>15664</v>
      </c>
      <c r="AB11" s="191">
        <f>EnergyBalance!AB58</f>
        <v>4267</v>
      </c>
      <c r="AC11" s="191">
        <f>EnergyBalance!AC58</f>
        <v>1409</v>
      </c>
      <c r="AD11" s="191">
        <f>EnergyBalance!AD58</f>
        <v>29891</v>
      </c>
      <c r="AE11" s="191">
        <f>EnergyBalance!AE58</f>
        <v>94013</v>
      </c>
      <c r="AF11" s="191">
        <f>EnergyBalance!AF58</f>
        <v>193312</v>
      </c>
    </row>
    <row r="12" spans="1:32" x14ac:dyDescent="0.25">
      <c r="A12" t="s">
        <v>367</v>
      </c>
      <c r="B12" t="s">
        <v>368</v>
      </c>
      <c r="C12" t="s">
        <v>122</v>
      </c>
      <c r="D12" s="159" t="s">
        <v>363</v>
      </c>
      <c r="E12" s="191">
        <f>EnergyBalance!E59</f>
        <v>0</v>
      </c>
      <c r="F12" s="191">
        <f>EnergyBalance!F59</f>
        <v>0</v>
      </c>
      <c r="G12" s="191">
        <f>EnergyBalance!G59</f>
        <v>0</v>
      </c>
      <c r="H12" s="191">
        <f>EnergyBalance!H59</f>
        <v>0</v>
      </c>
      <c r="I12" s="191">
        <f>EnergyBalance!I59</f>
        <v>0</v>
      </c>
      <c r="J12" s="191">
        <f>EnergyBalance!J59</f>
        <v>0</v>
      </c>
      <c r="K12" s="191">
        <f>EnergyBalance!K59</f>
        <v>0</v>
      </c>
      <c r="L12" s="191">
        <f>EnergyBalance!L59</f>
        <v>0</v>
      </c>
      <c r="M12" s="191">
        <f>EnergyBalance!M59</f>
        <v>0</v>
      </c>
      <c r="N12" s="191">
        <f>EnergyBalance!N59</f>
        <v>0</v>
      </c>
      <c r="O12" s="191">
        <f>EnergyBalance!O59</f>
        <v>0</v>
      </c>
      <c r="P12" s="191">
        <f>EnergyBalance!P59</f>
        <v>0</v>
      </c>
      <c r="Q12" s="191">
        <f>EnergyBalance!Q59</f>
        <v>0</v>
      </c>
      <c r="R12" s="191">
        <f>EnergyBalance!R59</f>
        <v>0</v>
      </c>
      <c r="S12" s="191">
        <f>EnergyBalance!S59</f>
        <v>2630</v>
      </c>
      <c r="T12" s="191">
        <f>EnergyBalance!T59</f>
        <v>0</v>
      </c>
      <c r="U12" s="191">
        <f>EnergyBalance!U59</f>
        <v>3595</v>
      </c>
      <c r="V12" s="191">
        <f>EnergyBalance!V59</f>
        <v>0</v>
      </c>
      <c r="W12" s="191">
        <f>EnergyBalance!W59</f>
        <v>0</v>
      </c>
      <c r="X12" s="191">
        <f>EnergyBalance!X59</f>
        <v>6389</v>
      </c>
      <c r="Y12" s="191">
        <f>EnergyBalance!Y59</f>
        <v>0</v>
      </c>
      <c r="Z12" s="191">
        <f>EnergyBalance!Z59</f>
        <v>0</v>
      </c>
      <c r="AA12" s="191">
        <f>EnergyBalance!AA59</f>
        <v>0</v>
      </c>
      <c r="AB12" s="191">
        <f>EnergyBalance!AB59</f>
        <v>0</v>
      </c>
      <c r="AC12" s="191">
        <f>EnergyBalance!AC59</f>
        <v>0</v>
      </c>
      <c r="AD12" s="191">
        <f>EnergyBalance!AD59</f>
        <v>961</v>
      </c>
      <c r="AE12" s="191">
        <f>EnergyBalance!AE59</f>
        <v>0</v>
      </c>
      <c r="AF12" s="191">
        <f>EnergyBalance!AF59</f>
        <v>0</v>
      </c>
    </row>
    <row r="13" spans="1:32" x14ac:dyDescent="0.25">
      <c r="A13" t="s">
        <v>367</v>
      </c>
      <c r="B13" t="s">
        <v>368</v>
      </c>
      <c r="C13" t="s">
        <v>124</v>
      </c>
      <c r="D13" s="159" t="s">
        <v>363</v>
      </c>
      <c r="E13" s="191">
        <f>EnergyBalance!E60</f>
        <v>0</v>
      </c>
      <c r="F13" s="191">
        <f>EnergyBalance!F60</f>
        <v>0</v>
      </c>
      <c r="G13" s="191">
        <f>EnergyBalance!G60</f>
        <v>0</v>
      </c>
      <c r="H13" s="191">
        <f>EnergyBalance!H60</f>
        <v>0</v>
      </c>
      <c r="I13" s="191">
        <f>EnergyBalance!I60</f>
        <v>108</v>
      </c>
      <c r="J13" s="191">
        <f>EnergyBalance!J60</f>
        <v>253</v>
      </c>
      <c r="K13" s="191">
        <f>EnergyBalance!K60</f>
        <v>0</v>
      </c>
      <c r="L13" s="191">
        <f>EnergyBalance!L60</f>
        <v>0</v>
      </c>
      <c r="M13" s="191">
        <f>EnergyBalance!M60</f>
        <v>1878</v>
      </c>
      <c r="N13" s="191">
        <f>EnergyBalance!N60</f>
        <v>692</v>
      </c>
      <c r="O13" s="191">
        <f>EnergyBalance!O60</f>
        <v>0</v>
      </c>
      <c r="P13" s="191">
        <f>EnergyBalance!P60</f>
        <v>0</v>
      </c>
      <c r="Q13" s="191">
        <f>EnergyBalance!Q60</f>
        <v>649</v>
      </c>
      <c r="R13" s="191">
        <f>EnergyBalance!R60</f>
        <v>674</v>
      </c>
      <c r="S13" s="191">
        <f>EnergyBalance!S60</f>
        <v>7412</v>
      </c>
      <c r="T13" s="191">
        <f>EnergyBalance!T60</f>
        <v>1844</v>
      </c>
      <c r="U13" s="191">
        <f>EnergyBalance!U60</f>
        <v>30143</v>
      </c>
      <c r="V13" s="191">
        <f>EnergyBalance!V60</f>
        <v>0</v>
      </c>
      <c r="W13" s="191">
        <f>EnergyBalance!W60</f>
        <v>0</v>
      </c>
      <c r="X13" s="191">
        <f>EnergyBalance!X60</f>
        <v>5513</v>
      </c>
      <c r="Y13" s="191">
        <f>EnergyBalance!Y60</f>
        <v>180</v>
      </c>
      <c r="Z13" s="191">
        <f>EnergyBalance!Z60</f>
        <v>2259</v>
      </c>
      <c r="AA13" s="191">
        <f>EnergyBalance!AA60</f>
        <v>0</v>
      </c>
      <c r="AB13" s="191">
        <f>EnergyBalance!AB60</f>
        <v>0</v>
      </c>
      <c r="AC13" s="191">
        <f>EnergyBalance!AC60</f>
        <v>0</v>
      </c>
      <c r="AD13" s="191">
        <f>EnergyBalance!AD60</f>
        <v>2422</v>
      </c>
      <c r="AE13" s="191">
        <f>EnergyBalance!AE60</f>
        <v>0</v>
      </c>
      <c r="AF13" s="191">
        <f>EnergyBalance!AF60</f>
        <v>0</v>
      </c>
    </row>
    <row r="14" spans="1:32" x14ac:dyDescent="0.25">
      <c r="A14" t="s">
        <v>367</v>
      </c>
      <c r="B14" t="s">
        <v>368</v>
      </c>
      <c r="C14" t="s">
        <v>126</v>
      </c>
      <c r="D14" s="159" t="s">
        <v>363</v>
      </c>
      <c r="E14" s="191">
        <f>EnergyBalance!E61</f>
        <v>0</v>
      </c>
      <c r="F14" s="191">
        <f>EnergyBalance!F61</f>
        <v>27048</v>
      </c>
      <c r="G14" s="191">
        <f>EnergyBalance!G61</f>
        <v>5420</v>
      </c>
      <c r="H14" s="191">
        <f>EnergyBalance!H61</f>
        <v>8875</v>
      </c>
      <c r="I14" s="191">
        <f>EnergyBalance!I61</f>
        <v>12579</v>
      </c>
      <c r="J14" s="191">
        <f>EnergyBalance!J61</f>
        <v>14372</v>
      </c>
      <c r="K14" s="191">
        <f>EnergyBalance!K61</f>
        <v>31717</v>
      </c>
      <c r="L14" s="191">
        <f>EnergyBalance!L61</f>
        <v>0</v>
      </c>
      <c r="M14" s="191">
        <f>EnergyBalance!M61</f>
        <v>21888</v>
      </c>
      <c r="N14" s="191">
        <f>EnergyBalance!N61</f>
        <v>7744</v>
      </c>
      <c r="O14" s="191">
        <f>EnergyBalance!O61</f>
        <v>2279</v>
      </c>
      <c r="P14" s="191">
        <f>EnergyBalance!P61</f>
        <v>0</v>
      </c>
      <c r="Q14" s="191">
        <f>EnergyBalance!Q61</f>
        <v>18849</v>
      </c>
      <c r="R14" s="191">
        <f>EnergyBalance!R61</f>
        <v>31023</v>
      </c>
      <c r="S14" s="191">
        <f>EnergyBalance!S61</f>
        <v>56903</v>
      </c>
      <c r="T14" s="191">
        <f>EnergyBalance!T61</f>
        <v>96505</v>
      </c>
      <c r="U14" s="191">
        <f>EnergyBalance!U61</f>
        <v>77097</v>
      </c>
      <c r="V14" s="191">
        <f>EnergyBalance!V61</f>
        <v>7729</v>
      </c>
      <c r="W14" s="191">
        <f>EnergyBalance!W61</f>
        <v>0</v>
      </c>
      <c r="X14" s="191">
        <f>EnergyBalance!X61</f>
        <v>61095</v>
      </c>
      <c r="Y14" s="191">
        <f>EnergyBalance!Y61</f>
        <v>19565</v>
      </c>
      <c r="Z14" s="191">
        <f>EnergyBalance!Z61</f>
        <v>46758</v>
      </c>
      <c r="AA14" s="191">
        <f>EnergyBalance!AA61</f>
        <v>1810</v>
      </c>
      <c r="AB14" s="191">
        <f>EnergyBalance!AB61</f>
        <v>38365</v>
      </c>
      <c r="AC14" s="191">
        <f>EnergyBalance!AC61</f>
        <v>0</v>
      </c>
      <c r="AD14" s="191">
        <f>EnergyBalance!AD61</f>
        <v>60987</v>
      </c>
      <c r="AE14" s="191">
        <f>EnergyBalance!AE61</f>
        <v>44828</v>
      </c>
      <c r="AF14" s="191">
        <f>EnergyBalance!AF61</f>
        <v>119179</v>
      </c>
    </row>
    <row r="15" spans="1:32" x14ac:dyDescent="0.25">
      <c r="A15" t="s">
        <v>367</v>
      </c>
      <c r="B15" t="s">
        <v>368</v>
      </c>
      <c r="C15" t="s">
        <v>128</v>
      </c>
      <c r="D15" s="159" t="s">
        <v>363</v>
      </c>
      <c r="E15" s="191">
        <f>EnergyBalance!E62</f>
        <v>1486</v>
      </c>
      <c r="F15" s="191">
        <f>EnergyBalance!F62</f>
        <v>20264</v>
      </c>
      <c r="G15" s="191">
        <f>EnergyBalance!G62</f>
        <v>0</v>
      </c>
      <c r="H15" s="191">
        <f>EnergyBalance!H62</f>
        <v>15741</v>
      </c>
      <c r="I15" s="191">
        <f>EnergyBalance!I62</f>
        <v>48090</v>
      </c>
      <c r="J15" s="191">
        <f>EnergyBalance!J62</f>
        <v>62807</v>
      </c>
      <c r="K15" s="191">
        <f>EnergyBalance!K62</f>
        <v>36923</v>
      </c>
      <c r="L15" s="191">
        <f>EnergyBalance!L62</f>
        <v>0</v>
      </c>
      <c r="M15" s="191">
        <f>EnergyBalance!M62</f>
        <v>49676</v>
      </c>
      <c r="N15" s="191">
        <f>EnergyBalance!N62</f>
        <v>36610</v>
      </c>
      <c r="O15" s="191">
        <f>EnergyBalance!O62</f>
        <v>366</v>
      </c>
      <c r="P15" s="191">
        <f>EnergyBalance!P62</f>
        <v>0</v>
      </c>
      <c r="Q15" s="191">
        <f>EnergyBalance!Q62</f>
        <v>35224</v>
      </c>
      <c r="R15" s="191">
        <f>EnergyBalance!R62</f>
        <v>51785</v>
      </c>
      <c r="S15" s="191">
        <f>EnergyBalance!S62</f>
        <v>113986</v>
      </c>
      <c r="T15" s="191">
        <f>EnergyBalance!T62</f>
        <v>250235</v>
      </c>
      <c r="U15" s="191">
        <f>EnergyBalance!U62</f>
        <v>170235</v>
      </c>
      <c r="V15" s="191">
        <f>EnergyBalance!V62</f>
        <v>7160</v>
      </c>
      <c r="W15" s="191">
        <f>EnergyBalance!W62</f>
        <v>0</v>
      </c>
      <c r="X15" s="191">
        <f>EnergyBalance!X62</f>
        <v>32095</v>
      </c>
      <c r="Y15" s="191">
        <f>EnergyBalance!Y62</f>
        <v>21153</v>
      </c>
      <c r="Z15" s="191">
        <f>EnergyBalance!Z62</f>
        <v>63356</v>
      </c>
      <c r="AA15" s="191">
        <f>EnergyBalance!AA62</f>
        <v>70482</v>
      </c>
      <c r="AB15" s="191">
        <f>EnergyBalance!AB62</f>
        <v>48877</v>
      </c>
      <c r="AC15" s="191">
        <f>EnergyBalance!AC62</f>
        <v>0</v>
      </c>
      <c r="AD15" s="191">
        <f>EnergyBalance!AD62</f>
        <v>339508</v>
      </c>
      <c r="AE15" s="191">
        <f>EnergyBalance!AE62</f>
        <v>24901</v>
      </c>
      <c r="AF15" s="191">
        <f>EnergyBalance!AF62</f>
        <v>398884</v>
      </c>
    </row>
    <row r="16" spans="1:32" x14ac:dyDescent="0.25">
      <c r="A16" t="s">
        <v>367</v>
      </c>
      <c r="B16" t="s">
        <v>368</v>
      </c>
      <c r="C16" t="s">
        <v>130</v>
      </c>
      <c r="D16" s="159" t="s">
        <v>363</v>
      </c>
      <c r="E16" s="191">
        <f>EnergyBalance!E63</f>
        <v>0</v>
      </c>
      <c r="F16" s="191">
        <f>EnergyBalance!F63</f>
        <v>0</v>
      </c>
      <c r="G16" s="191">
        <f>EnergyBalance!G63</f>
        <v>0</v>
      </c>
      <c r="H16" s="191">
        <f>EnergyBalance!H63</f>
        <v>0</v>
      </c>
      <c r="I16" s="191">
        <f>EnergyBalance!I63</f>
        <v>0</v>
      </c>
      <c r="J16" s="191">
        <f>EnergyBalance!J63</f>
        <v>2193</v>
      </c>
      <c r="K16" s="191">
        <f>EnergyBalance!K63</f>
        <v>0</v>
      </c>
      <c r="L16" s="191">
        <f>EnergyBalance!L63</f>
        <v>0</v>
      </c>
      <c r="M16" s="191">
        <f>EnergyBalance!M63</f>
        <v>0</v>
      </c>
      <c r="N16" s="191">
        <f>EnergyBalance!N63</f>
        <v>0</v>
      </c>
      <c r="O16" s="191">
        <f>EnergyBalance!O63</f>
        <v>0</v>
      </c>
      <c r="P16" s="191">
        <f>EnergyBalance!P63</f>
        <v>0</v>
      </c>
      <c r="Q16" s="191">
        <f>EnergyBalance!Q63</f>
        <v>5445</v>
      </c>
      <c r="R16" s="191">
        <f>EnergyBalance!R63</f>
        <v>36</v>
      </c>
      <c r="S16" s="191">
        <f>EnergyBalance!S63</f>
        <v>2192</v>
      </c>
      <c r="T16" s="191">
        <f>EnergyBalance!T63</f>
        <v>7389</v>
      </c>
      <c r="U16" s="191">
        <f>EnergyBalance!U63</f>
        <v>2120</v>
      </c>
      <c r="V16" s="191">
        <f>EnergyBalance!V63</f>
        <v>0</v>
      </c>
      <c r="W16" s="191">
        <f>EnergyBalance!W63</f>
        <v>0</v>
      </c>
      <c r="X16" s="191">
        <f>EnergyBalance!X63</f>
        <v>0</v>
      </c>
      <c r="Y16" s="191">
        <f>EnergyBalance!Y63</f>
        <v>0</v>
      </c>
      <c r="Z16" s="191">
        <f>EnergyBalance!Z63</f>
        <v>0</v>
      </c>
      <c r="AA16" s="191">
        <f>EnergyBalance!AA63</f>
        <v>0</v>
      </c>
      <c r="AB16" s="191">
        <f>EnergyBalance!AB63</f>
        <v>0</v>
      </c>
      <c r="AC16" s="191">
        <f>EnergyBalance!AC63</f>
        <v>0</v>
      </c>
      <c r="AD16" s="191">
        <f>EnergyBalance!AD63</f>
        <v>88621</v>
      </c>
      <c r="AE16" s="191">
        <f>EnergyBalance!AE63</f>
        <v>119</v>
      </c>
      <c r="AF16" s="191">
        <f>EnergyBalance!AF63</f>
        <v>149</v>
      </c>
    </row>
    <row r="17" spans="1:34" x14ac:dyDescent="0.25">
      <c r="A17" t="s">
        <v>367</v>
      </c>
      <c r="B17" t="s">
        <v>368</v>
      </c>
      <c r="C17" t="s">
        <v>132</v>
      </c>
      <c r="D17" s="159" t="s">
        <v>363</v>
      </c>
      <c r="E17" s="191">
        <f>EnergyBalance!E64</f>
        <v>0</v>
      </c>
      <c r="F17" s="191">
        <f>EnergyBalance!F64</f>
        <v>2976</v>
      </c>
      <c r="G17" s="191">
        <f>EnergyBalance!G64</f>
        <v>0</v>
      </c>
      <c r="H17" s="191">
        <f>EnergyBalance!H64</f>
        <v>0</v>
      </c>
      <c r="I17" s="191">
        <f>EnergyBalance!I64</f>
        <v>4180</v>
      </c>
      <c r="J17" s="191">
        <f>EnergyBalance!J64</f>
        <v>586</v>
      </c>
      <c r="K17" s="191">
        <f>EnergyBalance!K64</f>
        <v>3068</v>
      </c>
      <c r="L17" s="191">
        <f>EnergyBalance!L64</f>
        <v>0</v>
      </c>
      <c r="M17" s="191">
        <f>EnergyBalance!M64</f>
        <v>7108</v>
      </c>
      <c r="N17" s="191">
        <f>EnergyBalance!N64</f>
        <v>0</v>
      </c>
      <c r="O17" s="191">
        <f>EnergyBalance!O64</f>
        <v>56</v>
      </c>
      <c r="P17" s="191">
        <f>EnergyBalance!P64</f>
        <v>29186</v>
      </c>
      <c r="Q17" s="191">
        <f>EnergyBalance!Q64</f>
        <v>1003</v>
      </c>
      <c r="R17" s="191">
        <f>EnergyBalance!R64</f>
        <v>1542</v>
      </c>
      <c r="S17" s="191">
        <f>EnergyBalance!S64</f>
        <v>1014</v>
      </c>
      <c r="T17" s="191">
        <f>EnergyBalance!T64</f>
        <v>5649</v>
      </c>
      <c r="U17" s="191">
        <f>EnergyBalance!U64</f>
        <v>2633</v>
      </c>
      <c r="V17" s="191">
        <f>EnergyBalance!V64</f>
        <v>2936</v>
      </c>
      <c r="W17" s="191">
        <f>EnergyBalance!W64</f>
        <v>0</v>
      </c>
      <c r="X17" s="191">
        <f>EnergyBalance!X64</f>
        <v>3979</v>
      </c>
      <c r="Y17" s="191">
        <f>EnergyBalance!Y64</f>
        <v>840</v>
      </c>
      <c r="Z17" s="191">
        <f>EnergyBalance!Z64</f>
        <v>197</v>
      </c>
      <c r="AA17" s="191">
        <f>EnergyBalance!AA64</f>
        <v>0</v>
      </c>
      <c r="AB17" s="191">
        <f>EnergyBalance!AB64</f>
        <v>92</v>
      </c>
      <c r="AC17" s="191">
        <f>EnergyBalance!AC64</f>
        <v>0</v>
      </c>
      <c r="AD17" s="191">
        <f>EnergyBalance!AD64</f>
        <v>750</v>
      </c>
      <c r="AE17" s="191">
        <f>EnergyBalance!AE64</f>
        <v>646</v>
      </c>
      <c r="AF17" s="191">
        <f>EnergyBalance!AF64</f>
        <v>717</v>
      </c>
    </row>
    <row r="18" spans="1:34" x14ac:dyDescent="0.25">
      <c r="A18" t="s">
        <v>367</v>
      </c>
      <c r="B18" t="s">
        <v>368</v>
      </c>
      <c r="C18" t="s">
        <v>134</v>
      </c>
      <c r="D18" s="159" t="s">
        <v>363</v>
      </c>
      <c r="E18" s="191">
        <f>EnergyBalance!E65</f>
        <v>8943</v>
      </c>
      <c r="F18" s="191">
        <f>EnergyBalance!F65</f>
        <v>70148</v>
      </c>
      <c r="G18" s="191">
        <f>EnergyBalance!G65</f>
        <v>2810</v>
      </c>
      <c r="H18" s="191">
        <f>EnergyBalance!H65</f>
        <v>1902</v>
      </c>
      <c r="I18" s="191">
        <f>EnergyBalance!I65</f>
        <v>2973</v>
      </c>
      <c r="J18" s="191">
        <f>EnergyBalance!J65</f>
        <v>3535</v>
      </c>
      <c r="K18" s="191">
        <f>EnergyBalance!K65</f>
        <v>13500</v>
      </c>
      <c r="L18" s="191">
        <f>EnergyBalance!L65</f>
        <v>21695</v>
      </c>
      <c r="M18" s="191">
        <f>EnergyBalance!M65</f>
        <v>119534</v>
      </c>
      <c r="N18" s="191">
        <f>EnergyBalance!N65</f>
        <v>21063</v>
      </c>
      <c r="O18" s="191">
        <f>EnergyBalance!O65</f>
        <v>9099</v>
      </c>
      <c r="P18" s="191">
        <f>EnergyBalance!P65</f>
        <v>337384</v>
      </c>
      <c r="Q18" s="191">
        <f>EnergyBalance!Q65</f>
        <v>17309</v>
      </c>
      <c r="R18" s="191">
        <f>EnergyBalance!R65</f>
        <v>8882</v>
      </c>
      <c r="S18" s="191">
        <f>EnergyBalance!S65</f>
        <v>33565</v>
      </c>
      <c r="T18" s="191">
        <f>EnergyBalance!T65</f>
        <v>146259</v>
      </c>
      <c r="U18" s="191">
        <f>EnergyBalance!U65</f>
        <v>43306</v>
      </c>
      <c r="V18" s="191">
        <f>EnergyBalance!V65</f>
        <v>6311</v>
      </c>
      <c r="W18" s="191">
        <f>EnergyBalance!W65</f>
        <v>0</v>
      </c>
      <c r="X18" s="191">
        <f>EnergyBalance!X65</f>
        <v>74298</v>
      </c>
      <c r="Y18" s="191">
        <f>EnergyBalance!Y65</f>
        <v>34715</v>
      </c>
      <c r="Z18" s="191">
        <f>EnergyBalance!Z65</f>
        <v>132992</v>
      </c>
      <c r="AA18" s="191">
        <f>EnergyBalance!AA65</f>
        <v>0</v>
      </c>
      <c r="AB18" s="191">
        <f>EnergyBalance!AB65</f>
        <v>133915</v>
      </c>
      <c r="AC18" s="191">
        <f>EnergyBalance!AC65</f>
        <v>0</v>
      </c>
      <c r="AD18" s="191">
        <f>EnergyBalance!AD65</f>
        <v>22846</v>
      </c>
      <c r="AE18" s="191">
        <f>EnergyBalance!AE65</f>
        <v>23025</v>
      </c>
      <c r="AF18" s="191">
        <f>EnergyBalance!AF65</f>
        <v>48551</v>
      </c>
    </row>
    <row r="19" spans="1:34" x14ac:dyDescent="0.25">
      <c r="A19" t="s">
        <v>367</v>
      </c>
      <c r="B19" t="s">
        <v>368</v>
      </c>
      <c r="C19" t="s">
        <v>1701</v>
      </c>
      <c r="D19" s="159" t="s">
        <v>363</v>
      </c>
      <c r="E19" s="191">
        <f>EnergyBalance!E66</f>
        <v>0</v>
      </c>
      <c r="F19" s="191">
        <f>EnergyBalance!F66</f>
        <v>0</v>
      </c>
      <c r="G19" s="191">
        <f>EnergyBalance!G66</f>
        <v>0</v>
      </c>
      <c r="H19" s="191">
        <f>EnergyBalance!H66</f>
        <v>0</v>
      </c>
      <c r="I19" s="191">
        <f>EnergyBalance!I66</f>
        <v>0</v>
      </c>
      <c r="J19" s="191">
        <f>EnergyBalance!J66</f>
        <v>0</v>
      </c>
      <c r="K19" s="191">
        <f>EnergyBalance!K66</f>
        <v>0</v>
      </c>
      <c r="L19" s="191">
        <f>EnergyBalance!L66</f>
        <v>0</v>
      </c>
      <c r="M19" s="191">
        <f>EnergyBalance!M66</f>
        <v>0</v>
      </c>
      <c r="N19" s="191">
        <f>EnergyBalance!N66</f>
        <v>0</v>
      </c>
      <c r="O19" s="191">
        <f>EnergyBalance!O66</f>
        <v>0</v>
      </c>
      <c r="P19" s="191">
        <f>EnergyBalance!P66</f>
        <v>0</v>
      </c>
      <c r="Q19" s="191">
        <f>EnergyBalance!Q66</f>
        <v>0</v>
      </c>
      <c r="R19" s="191">
        <f>EnergyBalance!R66</f>
        <v>0</v>
      </c>
      <c r="S19" s="191">
        <f>EnergyBalance!S66</f>
        <v>10</v>
      </c>
      <c r="T19" s="191">
        <f>EnergyBalance!T66</f>
        <v>0</v>
      </c>
      <c r="U19" s="191">
        <f>EnergyBalance!U66</f>
        <v>0</v>
      </c>
      <c r="V19" s="191">
        <f>EnergyBalance!V66</f>
        <v>0</v>
      </c>
      <c r="W19" s="191">
        <f>EnergyBalance!W66</f>
        <v>0</v>
      </c>
      <c r="X19" s="191">
        <f>EnergyBalance!X66</f>
        <v>0</v>
      </c>
      <c r="Y19" s="191">
        <f>EnergyBalance!Y66</f>
        <v>0</v>
      </c>
      <c r="Z19" s="191">
        <f>EnergyBalance!Z66</f>
        <v>0</v>
      </c>
      <c r="AA19" s="191">
        <f>EnergyBalance!AA66</f>
        <v>0</v>
      </c>
      <c r="AB19" s="191">
        <f>EnergyBalance!AB66</f>
        <v>0</v>
      </c>
      <c r="AC19" s="191">
        <f>EnergyBalance!AC66</f>
        <v>0</v>
      </c>
      <c r="AD19" s="191">
        <f>EnergyBalance!AD66</f>
        <v>0</v>
      </c>
      <c r="AE19" s="191">
        <f>EnergyBalance!AE66</f>
        <v>0</v>
      </c>
      <c r="AF19" s="191">
        <f>EnergyBalance!AF66</f>
        <v>0</v>
      </c>
    </row>
    <row r="20" spans="1:34" x14ac:dyDescent="0.25">
      <c r="A20" t="s">
        <v>367</v>
      </c>
      <c r="B20" t="s">
        <v>368</v>
      </c>
      <c r="C20" t="s">
        <v>137</v>
      </c>
      <c r="D20" s="159" t="s">
        <v>363</v>
      </c>
      <c r="E20" s="191">
        <f>EnergyBalance!E67</f>
        <v>0</v>
      </c>
      <c r="F20" s="191">
        <f>EnergyBalance!F67</f>
        <v>0</v>
      </c>
      <c r="G20" s="191">
        <f>EnergyBalance!G67</f>
        <v>0</v>
      </c>
      <c r="H20" s="191">
        <f>EnergyBalance!H67</f>
        <v>0</v>
      </c>
      <c r="I20" s="191">
        <f>EnergyBalance!I67</f>
        <v>0</v>
      </c>
      <c r="J20" s="191">
        <f>EnergyBalance!J67</f>
        <v>0</v>
      </c>
      <c r="K20" s="191">
        <f>EnergyBalance!K67</f>
        <v>0</v>
      </c>
      <c r="L20" s="191">
        <f>EnergyBalance!L67</f>
        <v>0</v>
      </c>
      <c r="M20" s="191">
        <f>EnergyBalance!M67</f>
        <v>0</v>
      </c>
      <c r="N20" s="191">
        <f>EnergyBalance!N67</f>
        <v>0</v>
      </c>
      <c r="O20" s="191">
        <f>EnergyBalance!O67</f>
        <v>0</v>
      </c>
      <c r="P20" s="191">
        <f>EnergyBalance!P67</f>
        <v>0</v>
      </c>
      <c r="Q20" s="191">
        <f>EnergyBalance!Q67</f>
        <v>0</v>
      </c>
      <c r="R20" s="191">
        <f>EnergyBalance!R67</f>
        <v>0</v>
      </c>
      <c r="S20" s="191">
        <f>EnergyBalance!S67</f>
        <v>0</v>
      </c>
      <c r="T20" s="191">
        <f>EnergyBalance!T67</f>
        <v>0</v>
      </c>
      <c r="U20" s="191">
        <f>EnergyBalance!U67</f>
        <v>0</v>
      </c>
      <c r="V20" s="191">
        <f>EnergyBalance!V67</f>
        <v>0</v>
      </c>
      <c r="W20" s="191">
        <f>EnergyBalance!W67</f>
        <v>0</v>
      </c>
      <c r="X20" s="191">
        <f>EnergyBalance!X67</f>
        <v>0</v>
      </c>
      <c r="Y20" s="191">
        <f>EnergyBalance!Y67</f>
        <v>0</v>
      </c>
      <c r="Z20" s="191">
        <f>EnergyBalance!Z67</f>
        <v>0</v>
      </c>
      <c r="AA20" s="191">
        <f>EnergyBalance!AA67</f>
        <v>0</v>
      </c>
      <c r="AB20" s="191">
        <f>EnergyBalance!AB67</f>
        <v>0</v>
      </c>
      <c r="AC20" s="191">
        <f>EnergyBalance!AC67</f>
        <v>0</v>
      </c>
      <c r="AD20" s="191">
        <f>EnergyBalance!AD67</f>
        <v>0</v>
      </c>
      <c r="AE20" s="191">
        <f>EnergyBalance!AE67</f>
        <v>0</v>
      </c>
      <c r="AF20" s="191">
        <f>EnergyBalance!AF67</f>
        <v>0</v>
      </c>
    </row>
    <row r="21" spans="1:34" x14ac:dyDescent="0.25">
      <c r="A21" t="s">
        <v>367</v>
      </c>
      <c r="B21" t="s">
        <v>368</v>
      </c>
      <c r="C21" t="s">
        <v>139</v>
      </c>
      <c r="D21" s="159" t="s">
        <v>363</v>
      </c>
      <c r="E21" s="191">
        <f>EnergyBalance!E68</f>
        <v>0</v>
      </c>
      <c r="F21" s="191">
        <f>EnergyBalance!F68</f>
        <v>2021</v>
      </c>
      <c r="G21" s="191">
        <f>EnergyBalance!G68</f>
        <v>0</v>
      </c>
      <c r="H21" s="191">
        <f>EnergyBalance!H68</f>
        <v>0</v>
      </c>
      <c r="I21" s="191">
        <f>EnergyBalance!I68</f>
        <v>0</v>
      </c>
      <c r="J21" s="191">
        <f>EnergyBalance!J68</f>
        <v>0</v>
      </c>
      <c r="K21" s="191">
        <f>EnergyBalance!K68</f>
        <v>0</v>
      </c>
      <c r="L21" s="191">
        <f>EnergyBalance!L68</f>
        <v>0</v>
      </c>
      <c r="M21" s="191">
        <f>EnergyBalance!M68</f>
        <v>0</v>
      </c>
      <c r="N21" s="191">
        <f>EnergyBalance!N68</f>
        <v>5567</v>
      </c>
      <c r="O21" s="191">
        <f>EnergyBalance!O68</f>
        <v>0</v>
      </c>
      <c r="P21" s="191">
        <f>EnergyBalance!P68</f>
        <v>0</v>
      </c>
      <c r="Q21" s="191">
        <f>EnergyBalance!Q68</f>
        <v>17</v>
      </c>
      <c r="R21" s="191">
        <f>EnergyBalance!R68</f>
        <v>8213</v>
      </c>
      <c r="S21" s="191">
        <f>EnergyBalance!S68</f>
        <v>72182</v>
      </c>
      <c r="T21" s="191">
        <f>EnergyBalance!T68</f>
        <v>28918</v>
      </c>
      <c r="U21" s="191">
        <f>EnergyBalance!U68</f>
        <v>74907</v>
      </c>
      <c r="V21" s="191">
        <f>EnergyBalance!V68</f>
        <v>0</v>
      </c>
      <c r="W21" s="191">
        <f>EnergyBalance!W68</f>
        <v>0</v>
      </c>
      <c r="X21" s="191">
        <f>EnergyBalance!X68</f>
        <v>23831</v>
      </c>
      <c r="Y21" s="191">
        <f>EnergyBalance!Y68</f>
        <v>39</v>
      </c>
      <c r="Z21" s="191">
        <f>EnergyBalance!Z68</f>
        <v>21143</v>
      </c>
      <c r="AA21" s="191">
        <f>EnergyBalance!AA68</f>
        <v>0</v>
      </c>
      <c r="AB21" s="191">
        <f>EnergyBalance!AB68</f>
        <v>0</v>
      </c>
      <c r="AC21" s="191">
        <f>EnergyBalance!AC68</f>
        <v>0</v>
      </c>
      <c r="AD21" s="191">
        <f>EnergyBalance!AD68</f>
        <v>3043</v>
      </c>
      <c r="AE21" s="191">
        <f>EnergyBalance!AE68</f>
        <v>29803</v>
      </c>
      <c r="AF21" s="191">
        <f>EnergyBalance!AF68</f>
        <v>7</v>
      </c>
    </row>
    <row r="24" spans="1:34" ht="15.75" x14ac:dyDescent="0.25">
      <c r="A24" s="122" t="s">
        <v>702</v>
      </c>
    </row>
    <row r="25" spans="1:34" x14ac:dyDescent="0.25">
      <c r="E25" s="116" t="str">
        <f>INDEX(IIS_Prod!$B$7:$K$35,MATCH('Inputs_BY IIS'!E$78,IIS_Prod!$C$7:$C$35,0),1)</f>
        <v>Eastern Africa</v>
      </c>
      <c r="F25" s="116" t="str">
        <f>INDEX(IIS_Prod!$B$7:$K$35,MATCH('Inputs_BY IIS'!F$78,IIS_Prod!$C$7:$C$35,0),1)</f>
        <v>Northern Africa</v>
      </c>
      <c r="G25" s="116" t="str">
        <f>INDEX(IIS_Prod!$B$7:$K$35,MATCH('Inputs_BY IIS'!G$78,IIS_Prod!$C$7:$C$35,0),1)</f>
        <v>Western Africa</v>
      </c>
      <c r="H25" s="116" t="str">
        <f>INDEX(IIS_Prod!$B$7:$K$35,MATCH('Inputs_BY IIS'!H$78,IIS_Prod!$C$7:$C$35,0),1)</f>
        <v>Southern Africa</v>
      </c>
      <c r="I25" s="116" t="str">
        <f>INDEX(IIS_Prod!$B$7:$K$35,MATCH('Inputs_BY IIS'!I$78,IIS_Prod!$C$7:$C$35,0),1)</f>
        <v>Australia and New Zealand</v>
      </c>
      <c r="J25" s="116" t="str">
        <f>INDEX(IIS_Prod!$B$7:$K$35,MATCH('Inputs_BY IIS'!J$78,IIS_Prod!$C$7:$C$35,0),1)</f>
        <v>Central Asia</v>
      </c>
      <c r="K25" s="116" t="str">
        <f>INDEX(IIS_Prod!$B$7:$K$35,MATCH('Inputs_BY IIS'!K$78,IIS_Prod!$C$7:$C$35,0),1)</f>
        <v>Southeast Asia</v>
      </c>
      <c r="L25" s="116" t="str">
        <f>INDEX(IIS_Prod!$B$7:$K$35,MATCH('Inputs_BY IIS'!L$78,IIS_Prod!$C$7:$C$35,0),1)</f>
        <v>South Asia</v>
      </c>
      <c r="M25" s="116" t="str">
        <f>INDEX(IIS_Prod!$B$7:$K$35,MATCH('Inputs_BY IIS'!M$78,IIS_Prod!$C$7:$C$35,0),1)</f>
        <v>Brazil</v>
      </c>
      <c r="N25" s="116" t="str">
        <f>INDEX(IIS_Prod!$B$7:$K$35,MATCH('Inputs_BY IIS'!N$78,IIS_Prod!$C$7:$C$35,0),1)</f>
        <v>Canada</v>
      </c>
      <c r="O25" s="116" t="str">
        <f>INDEX(IIS_Prod!$B$7:$K$35,MATCH('Inputs_BY IIS'!O$78,IIS_Prod!$C$7:$C$35,0),1)</f>
        <v>Chile</v>
      </c>
      <c r="P25" s="116" t="str">
        <f>INDEX(IIS_Prod!$B$7:$K$35,MATCH('Inputs_BY IIS'!P$78,IIS_Prod!$C$7:$C$35,0),1)</f>
        <v>China</v>
      </c>
      <c r="Q25" s="116" t="str">
        <f>INDEX(IIS_Prod!$B$7:$K$35,MATCH('Inputs_BY IIS'!Q$78,IIS_Prod!$C$7:$C$35,0),1)</f>
        <v>Non-EU Eastern Europe</v>
      </c>
      <c r="R25" s="116" t="str">
        <f>INDEX(IIS_Prod!$B$7:$K$35,MATCH('Inputs_BY IIS'!R$78,IIS_Prod!$C$7:$C$35,0),1)</f>
        <v>Non-EU Western Europe</v>
      </c>
      <c r="S25" s="116" t="str">
        <f>INDEX(IIS_Prod!$B$7:$K$35,MATCH('Inputs_BY IIS'!S$78,IIS_Prod!$C$7:$C$35,0),1)</f>
        <v>Eastern Europe Union</v>
      </c>
      <c r="T25" s="116" t="str">
        <f>INDEX(IIS_Prod!$B$7:$K$35,MATCH('Inputs_BY IIS'!T$78,IIS_Prod!$C$7:$C$35,0),1)</f>
        <v>Mediterranean- Europe Union</v>
      </c>
      <c r="U25" s="116" t="str">
        <f>INDEX(IIS_Prod!$B$7:$K$35,MATCH('Inputs_BY IIS'!U$78,IIS_Prod!$C$7:$C$35,0),1)</f>
        <v>Western Europe Union</v>
      </c>
      <c r="V25" s="116" t="str">
        <f>INDEX(IIS_Prod!$B$7:$K$35,MATCH('Inputs_BY IIS'!V$78,IIS_Prod!$C$7:$C$35,0),1)</f>
        <v>Indonesia, Philippines, Vietnam</v>
      </c>
      <c r="W25" s="116" t="str">
        <f>INDEX(IIS_Prod!$B$7:$K$35,MATCH('Inputs_BY IIS'!W$78,IIS_Prod!$C$7:$C$35,0),1)</f>
        <v>India</v>
      </c>
      <c r="X25" s="116" t="str">
        <f>INDEX(IIS_Prod!$B$7:$K$35,MATCH('Inputs_BY IIS'!X$78,IIS_Prod!$C$7:$C$35,0),1)</f>
        <v>Japan</v>
      </c>
      <c r="Y25" s="116" t="str">
        <f>INDEX(IIS_Prod!$B$7:$K$35,MATCH('Inputs_BY IIS'!Y$78,IIS_Prod!$C$7:$C$35,0),1)</f>
        <v>Latin America</v>
      </c>
      <c r="Z25" s="116" t="str">
        <f>INDEX(IIS_Prod!$B$7:$K$35,MATCH('Inputs_BY IIS'!Z$78,IIS_Prod!$C$7:$C$35,0),1)</f>
        <v>Mediterranean Asia</v>
      </c>
      <c r="AA25" s="116" t="str">
        <f>INDEX(IIS_Prod!$B$7:$K$35,MATCH('Inputs_BY IIS'!AA$78,IIS_Prod!$C$7:$C$35,0),1)</f>
        <v>Middle East (Gulf States)</v>
      </c>
      <c r="AB25" s="116" t="str">
        <f>INDEX(IIS_Prod!$B$7:$K$35,MATCH('Inputs_BY IIS'!AB$78,IIS_Prod!$C$7:$C$35,0),1)</f>
        <v>Mexico</v>
      </c>
      <c r="AC25" s="116" t="str">
        <f>INDEX(IIS_Prod!$B$7:$K$35,MATCH('Inputs_BY IIS'!AC$78,IIS_Prod!$C$7:$C$35,0),1)</f>
        <v>Nigeria</v>
      </c>
      <c r="AD25" s="116" t="str">
        <f>INDEX(IIS_Prod!$B$7:$K$35,MATCH('Inputs_BY IIS'!AD$78,IIS_Prod!$C$7:$C$35,0),1)</f>
        <v>Russia Federation</v>
      </c>
      <c r="AE25" s="116" t="str">
        <f>INDEX(IIS_Prod!$B$7:$K$35,MATCH('Inputs_BY IIS'!AE$78,IIS_Prod!$C$7:$C$35,0),1)</f>
        <v>South Korea</v>
      </c>
      <c r="AF25" s="116" t="str">
        <f>INDEX(IIS_Prod!$B$7:$K$35,MATCH('Inputs_BY IIS'!AF$78,IIS_Prod!$C$7:$C$35,0),1)</f>
        <v>United States</v>
      </c>
    </row>
    <row r="26" spans="1:34" ht="15.75" x14ac:dyDescent="0.25">
      <c r="A26" s="221" t="s">
        <v>703</v>
      </c>
      <c r="D26" s="158" t="s">
        <v>342</v>
      </c>
      <c r="E26" s="91" t="s">
        <v>162</v>
      </c>
      <c r="F26" s="91" t="s">
        <v>164</v>
      </c>
      <c r="G26" s="91" t="s">
        <v>166</v>
      </c>
      <c r="H26" s="91" t="s">
        <v>168</v>
      </c>
      <c r="I26" s="91" t="s">
        <v>170</v>
      </c>
      <c r="J26" s="91" t="s">
        <v>173</v>
      </c>
      <c r="K26" s="91" t="s">
        <v>175</v>
      </c>
      <c r="L26" s="91" t="s">
        <v>177</v>
      </c>
      <c r="M26" s="91" t="s">
        <v>179</v>
      </c>
      <c r="N26" s="91" t="s">
        <v>181</v>
      </c>
      <c r="O26" s="91" t="s">
        <v>183</v>
      </c>
      <c r="P26" s="91" t="s">
        <v>185</v>
      </c>
      <c r="Q26" s="91" t="s">
        <v>188</v>
      </c>
      <c r="R26" s="91" t="s">
        <v>190</v>
      </c>
      <c r="S26" s="91" t="s">
        <v>192</v>
      </c>
      <c r="T26" s="91" t="s">
        <v>194</v>
      </c>
      <c r="U26" s="91" t="s">
        <v>196</v>
      </c>
      <c r="V26" s="91" t="s">
        <v>198</v>
      </c>
      <c r="W26" s="91" t="s">
        <v>9</v>
      </c>
      <c r="X26" s="91" t="s">
        <v>201</v>
      </c>
      <c r="Y26" s="91" t="s">
        <v>203</v>
      </c>
      <c r="Z26" s="91" t="s">
        <v>205</v>
      </c>
      <c r="AA26" s="91" t="s">
        <v>207</v>
      </c>
      <c r="AB26" s="91" t="s">
        <v>210</v>
      </c>
      <c r="AC26" s="91" t="s">
        <v>212</v>
      </c>
      <c r="AD26" s="91" t="s">
        <v>214</v>
      </c>
      <c r="AE26" s="91" t="s">
        <v>217</v>
      </c>
      <c r="AF26" s="91" t="s">
        <v>219</v>
      </c>
      <c r="AH26" s="111" t="s">
        <v>6</v>
      </c>
    </row>
    <row r="27" spans="1:34" x14ac:dyDescent="0.25">
      <c r="A27">
        <v>21</v>
      </c>
      <c r="B27" t="s">
        <v>704</v>
      </c>
      <c r="D27" t="s">
        <v>705</v>
      </c>
      <c r="E27" s="219">
        <f>INDEX(Cem_GCP_Prod!$B$10:$Z$37,MATCH(E26,Cem_GCP_Prod!$B$10:$B$37),$A$27)</f>
        <v>26228.2</v>
      </c>
      <c r="F27" s="219">
        <f>INDEX(Cem_GCP_Prod!$B$10:$Z$37,MATCH(F26,Cem_GCP_Prod!$B$10:$B$37),$A$27)</f>
        <v>99456</v>
      </c>
      <c r="G27" s="219">
        <f>INDEX(Cem_GCP_Prod!$B$10:$Z$37,MATCH(G26,Cem_GCP_Prod!$B$10:$B$37),$A$27)</f>
        <v>34539</v>
      </c>
      <c r="H27" s="219">
        <f>INDEX(Cem_GCP_Prod!$B$10:$Z$37,MATCH(H26,Cem_GCP_Prod!$B$10:$B$37),$A$27)</f>
        <v>22596</v>
      </c>
      <c r="I27" s="219">
        <f>INDEX(Cem_GCP_Prod!$B$10:$Z$37,MATCH(I26,Cem_GCP_Prod!$B$10:$B$37),$A$27)</f>
        <v>10900</v>
      </c>
      <c r="J27" s="219">
        <f>INDEX(Cem_GCP_Prod!$B$10:$Z$37,MATCH(J26,Cem_GCP_Prod!$B$10:$B$37),$A$27)</f>
        <v>37758.800000000003</v>
      </c>
      <c r="K27" s="219">
        <f>INDEX(Cem_GCP_Prod!$B$10:$Z$37,MATCH(K26,Cem_GCP_Prod!$B$10:$B$37),$A$27)</f>
        <v>85081.2</v>
      </c>
      <c r="L27" s="219">
        <f>INDEX(Cem_GCP_Prod!$B$10:$Z$37,MATCH(L26,Cem_GCP_Prod!$B$10:$B$37),$A$27)</f>
        <v>88699</v>
      </c>
      <c r="M27" s="219">
        <f>INDEX(Cem_GCP_Prod!$B$10:$Z$37,MATCH(M26,Cem_GCP_Prod!$B$10:$B$37),$A$27)</f>
        <v>56611.199999999997</v>
      </c>
      <c r="N27" s="219">
        <f>INDEX(Cem_GCP_Prod!$B$10:$Z$37,MATCH(N26,Cem_GCP_Prod!$B$10:$B$37),$A$27)</f>
        <v>13120</v>
      </c>
      <c r="O27" s="219">
        <f>INDEX(Cem_GCP_Prod!$B$10:$Z$37,MATCH(O26,Cem_GCP_Prod!$B$10:$B$37),$A$27)</f>
        <v>5030</v>
      </c>
      <c r="P27" s="219">
        <f>INDEX(Cem_GCP_Prod!$B$10:$Z$37,MATCH(P26,Cem_GCP_Prod!$B$10:$B$37),$A$27)</f>
        <v>2357176.963</v>
      </c>
      <c r="Q27" s="219">
        <f>INDEX(Cem_GCP_Prod!$B$10:$Z$37,MATCH(Q26,Cem_GCP_Prod!$B$10:$B$37),$A$27)</f>
        <v>20750.599999999999</v>
      </c>
      <c r="R27" s="219">
        <f>INDEX(Cem_GCP_Prod!$B$10:$Z$37,MATCH(R26,Cem_GCP_Prod!$B$10:$B$37),$A$27)</f>
        <v>13289</v>
      </c>
      <c r="S27" s="219">
        <f>INDEX(Cem_GCP_Prod!$B$10:$Z$37,MATCH(S26,Cem_GCP_Prod!$B$10:$B$37),$A$27)</f>
        <v>48965</v>
      </c>
      <c r="T27" s="219">
        <f>INDEX(Cem_GCP_Prod!$B$10:$Z$37,MATCH(T26,Cem_GCP_Prod!$B$10:$B$37),$A$27)</f>
        <v>64381.5</v>
      </c>
      <c r="U27" s="219">
        <f>INDEX(Cem_GCP_Prod!$B$10:$Z$37,MATCH(U26,Cem_GCP_Prod!$B$10:$B$37),$A$27)</f>
        <v>58651.5</v>
      </c>
      <c r="V27" s="219">
        <f>INDEX(Cem_GCP_Prod!$B$10:$Z$37,MATCH(V26,Cem_GCP_Prod!$B$10:$B$37),$A$27)</f>
        <v>205133</v>
      </c>
      <c r="W27" s="219">
        <f>INDEX(Cem_GCP_Prod!$B$10:$Z$37,MATCH(W26,Cem_GCP_Prod!$B$10:$B$37),$A$27)</f>
        <v>338923</v>
      </c>
      <c r="X27" s="219">
        <f>INDEX(Cem_GCP_Prod!$B$10:$Z$37,MATCH(X26,Cem_GCP_Prod!$B$10:$B$37),$A$27)</f>
        <v>53461.7</v>
      </c>
      <c r="Y27" s="219">
        <f>INDEX(Cem_GCP_Prod!$B$10:$Z$37,MATCH(Y26,Cem_GCP_Prod!$B$10:$B$37),$A$27)</f>
        <v>66143.600000000006</v>
      </c>
      <c r="Z27" s="219">
        <f>INDEX(Cem_GCP_Prod!$B$10:$Z$37,MATCH(Z26,Cem_GCP_Prod!$B$10:$B$37),$A$27)</f>
        <v>70839.3</v>
      </c>
      <c r="AA27" s="219">
        <f>INDEX(Cem_GCP_Prod!$B$10:$Z$37,MATCH(AA26,Cem_GCP_Prod!$B$10:$B$37),$A$27)</f>
        <v>161832.20000000001</v>
      </c>
      <c r="AB27" s="219">
        <f>INDEX(Cem_GCP_Prod!$B$10:$Z$37,MATCH(AB26,Cem_GCP_Prod!$B$10:$B$37),$A$27)</f>
        <v>42431</v>
      </c>
      <c r="AC27" s="219">
        <f>INDEX(Cem_GCP_Prod!$B$10:$Z$37,MATCH(AC26,Cem_GCP_Prod!$B$10:$B$37),$A$27)</f>
        <v>23000</v>
      </c>
      <c r="AD27" s="219">
        <f>INDEX(Cem_GCP_Prod!$B$10:$Z$37,MATCH(AD26,Cem_GCP_Prod!$B$10:$B$37),$A$27)</f>
        <v>57676</v>
      </c>
      <c r="AE27" s="219">
        <f>INDEX(Cem_GCP_Prod!$B$10:$Z$37,MATCH(AE26,Cem_GCP_Prod!$B$10:$B$37),$A$27)</f>
        <v>50635.537000000004</v>
      </c>
      <c r="AF27" s="219">
        <f>INDEX(Cem_GCP_Prod!$B$10:$Z$37,MATCH(AF26,Cem_GCP_Prod!$B$10:$B$37),$A$27)</f>
        <v>88100</v>
      </c>
      <c r="AH27" s="98">
        <f>SUM(E27:AF27)</f>
        <v>4201409.3000000007</v>
      </c>
    </row>
    <row r="28" spans="1:34" x14ac:dyDescent="0.25">
      <c r="A28">
        <v>21</v>
      </c>
      <c r="B28" t="s">
        <v>706</v>
      </c>
      <c r="D28" t="s">
        <v>705</v>
      </c>
      <c r="E28" s="219">
        <f>INDEX(Cem_GCP_Prod!$B$46:$Z$69,MATCH(E26,Cem_GCP_Prod!$B$46:$B$69),$A$28)</f>
        <v>0</v>
      </c>
      <c r="F28" s="219">
        <f>INDEX(Cem_GCP_Prod!$B$46:$Z$69,MATCH(F26,Cem_GCP_Prod!$B$46:$B$69),$A$28)</f>
        <v>7207</v>
      </c>
      <c r="G28" s="219">
        <f>INDEX(Cem_GCP_Prod!$B$46:$Z$69,MATCH(G26,Cem_GCP_Prod!$B$46:$B$69),$A$28)</f>
        <v>0</v>
      </c>
      <c r="H28" s="219">
        <f>INDEX(Cem_GCP_Prod!$B$46:$Z$69,MATCH(H26,Cem_GCP_Prod!$B$46:$B$69),$A$28)</f>
        <v>0</v>
      </c>
      <c r="I28" s="219">
        <f>INDEX(Cem_GCP_Prod!$B$46:$Z$69,MATCH(I26,Cem_GCP_Prod!$B$46:$B$69),$A$28)</f>
        <v>5625.4</v>
      </c>
      <c r="J28" s="219">
        <f>INDEX(Cem_GCP_Prod!$B$46:$Z$69,MATCH(J26,Cem_GCP_Prod!$B$46:$B$69),$A$28)</f>
        <v>7221.6</v>
      </c>
      <c r="K28" s="219">
        <f>INDEX(Cem_GCP_Prod!$B$46:$Z$69,MATCH(K26,Cem_GCP_Prod!$B$46:$B$69),$A$28)</f>
        <v>42867.8</v>
      </c>
      <c r="L28" s="219">
        <f>INDEX(Cem_GCP_Prod!$B$46:$Z$69,MATCH(L26,Cem_GCP_Prod!$B$46:$B$69),$A$28)</f>
        <v>0</v>
      </c>
      <c r="M28" s="219">
        <f>INDEX(Cem_GCP_Prod!$B$46:$Z$69,MATCH(M26,Cem_GCP_Prod!$B$46:$B$69),$A$28)</f>
        <v>38000</v>
      </c>
      <c r="N28" s="219">
        <f>INDEX(Cem_GCP_Prod!$B$46:$Z$69,MATCH(N26,Cem_GCP_Prod!$B$46:$B$69),$A$28)</f>
        <v>13381.9</v>
      </c>
      <c r="O28" s="219">
        <f>INDEX(Cem_GCP_Prod!$B$46:$Z$69,MATCH(O26,Cem_GCP_Prod!$B$46:$B$69),$A$28)</f>
        <v>0</v>
      </c>
      <c r="P28" s="219">
        <f>INDEX(Cem_GCP_Prod!$B$46:$Z$69,MATCH(P26,Cem_GCP_Prod!$B$46:$B$69),$A$28)</f>
        <v>1533837</v>
      </c>
      <c r="Q28" s="219">
        <f>INDEX(Cem_GCP_Prod!$B$46:$Z$69,MATCH(Q26,Cem_GCP_Prod!$B$46:$B$69),$A$28)</f>
        <v>11817.8</v>
      </c>
      <c r="R28" s="219">
        <f>INDEX(Cem_GCP_Prod!$B$46:$Z$69,MATCH(R26,Cem_GCP_Prod!$B$46:$B$69),$A$28)</f>
        <v>11057.099999999999</v>
      </c>
      <c r="S28" s="219">
        <f>INDEX(Cem_GCP_Prod!$B$46:$Z$69,MATCH(S26,Cem_GCP_Prod!$B$46:$B$69),$A$28)</f>
        <v>38039.800000000003</v>
      </c>
      <c r="T28" s="219">
        <f>INDEX(Cem_GCP_Prod!$B$46:$Z$69,MATCH(T26,Cem_GCP_Prod!$B$46:$B$69),$A$28)</f>
        <v>57776.299999999996</v>
      </c>
      <c r="U28" s="219">
        <f>INDEX(Cem_GCP_Prod!$B$46:$Z$69,MATCH(U26,Cem_GCP_Prod!$B$46:$B$69),$A$28)</f>
        <v>43635</v>
      </c>
      <c r="V28" s="219">
        <f>INDEX(Cem_GCP_Prod!$B$46:$Z$69,MATCH(V26,Cem_GCP_Prod!$B$46:$B$69),$A$28)</f>
        <v>43635</v>
      </c>
      <c r="W28" s="219">
        <f>INDEX(Cem_GCP_Prod!$B$46:$Z$69,MATCH(W26,Cem_GCP_Prod!$B$46:$B$69),$A$28)</f>
        <v>43635</v>
      </c>
      <c r="X28" s="219">
        <f>INDEX(Cem_GCP_Prod!$B$46:$Z$69,MATCH(X26,Cem_GCP_Prod!$B$46:$B$69),$A$28)</f>
        <v>49293</v>
      </c>
      <c r="Y28" s="219">
        <f>INDEX(Cem_GCP_Prod!$B$46:$Z$69,MATCH(Y26,Cem_GCP_Prod!$B$46:$B$69),$A$28)</f>
        <v>8790.7000000000007</v>
      </c>
      <c r="Z28" s="219">
        <f>INDEX(Cem_GCP_Prod!$B$46:$Z$69,MATCH(Z26,Cem_GCP_Prod!$B$46:$B$69),$A$28)</f>
        <v>61458.2</v>
      </c>
      <c r="AA28" s="219">
        <f>INDEX(Cem_GCP_Prod!$B$46:$Z$69,MATCH(AA26,Cem_GCP_Prod!$B$46:$B$69),$A$28)</f>
        <v>47287</v>
      </c>
      <c r="AB28" s="219">
        <f>INDEX(Cem_GCP_Prod!$B$46:$Z$69,MATCH(AB26,Cem_GCP_Prod!$B$46:$B$69),$A$28)</f>
        <v>47287</v>
      </c>
      <c r="AC28" s="219">
        <f>INDEX(Cem_GCP_Prod!$B$46:$Z$69,MATCH(AC26,Cem_GCP_Prod!$B$46:$B$69),$A$28)</f>
        <v>47287</v>
      </c>
      <c r="AD28" s="219">
        <f>INDEX(Cem_GCP_Prod!$B$46:$Z$69,MATCH(AD26,Cem_GCP_Prod!$B$46:$B$69),$A$28)</f>
        <v>38448.400000000001</v>
      </c>
      <c r="AE28" s="219">
        <f>INDEX(Cem_GCP_Prod!$B$46:$Z$69,MATCH(AE26,Cem_GCP_Prod!$B$46:$B$69),$A$28)</f>
        <v>45931.7</v>
      </c>
      <c r="AF28" s="219">
        <f>INDEX(Cem_GCP_Prod!$B$46:$Z$69,MATCH(AF26,Cem_GCP_Prod!$B$46:$B$69),$A$28)</f>
        <v>78600</v>
      </c>
      <c r="AH28" s="98">
        <f>SUM(E28:AF28)</f>
        <v>2322119.7000000002</v>
      </c>
    </row>
    <row r="29" spans="1:34" x14ac:dyDescent="0.25">
      <c r="A29">
        <v>21</v>
      </c>
      <c r="B29" t="s">
        <v>707</v>
      </c>
      <c r="D29" t="s">
        <v>708</v>
      </c>
      <c r="E29" s="220">
        <f>INDEX(Cem_GCP_Prod!$B$77:$Z$104,MATCH(E26,Cem_GCP_Prod!$B$77:$B$104),$A$29)/1000</f>
        <v>11.596</v>
      </c>
      <c r="F29" s="220">
        <f>INDEX(Cem_GCP_Prod!$B$77:$Z$104,MATCH(F26,Cem_GCP_Prod!$B$77:$B$104),$A$29)/1000</f>
        <v>40.338000000000001</v>
      </c>
      <c r="G29" s="220">
        <f>INDEX(Cem_GCP_Prod!$B$77:$Z$104,MATCH(G26,Cem_GCP_Prod!$B$77:$B$104),$A$29)/1000</f>
        <v>8.1394000000000002</v>
      </c>
      <c r="H29" s="220">
        <f>INDEX(Cem_GCP_Prod!$B$77:$Z$104,MATCH(H26,Cem_GCP_Prod!$B$77:$B$104),$A$29)/1000</f>
        <v>9.4098000000000006</v>
      </c>
      <c r="I29" s="220">
        <f>INDEX(Cem_GCP_Prod!$B$77:$Z$104,MATCH(I26,Cem_GCP_Prod!$B$77:$B$104),$A$29)/1000</f>
        <v>3.4509000000000003</v>
      </c>
      <c r="J29" s="220">
        <f>INDEX(Cem_GCP_Prod!$B$77:$Z$104,MATCH(J26,Cem_GCP_Prod!$B$77:$B$104),$A$29)/1000</f>
        <v>15.191199999999998</v>
      </c>
      <c r="K29" s="220">
        <f>INDEX(Cem_GCP_Prod!$B$77:$Z$104,MATCH(K26,Cem_GCP_Prod!$B$77:$B$104),$A$29)/1000</f>
        <v>42.529400000000003</v>
      </c>
      <c r="L29" s="220">
        <f>INDEX(Cem_GCP_Prod!$B$77:$Z$104,MATCH(L26,Cem_GCP_Prod!$B$77:$B$104),$A$29)/1000</f>
        <v>22.457000000000001</v>
      </c>
      <c r="M29" s="220">
        <f>INDEX(Cem_GCP_Prod!$B$77:$Z$104,MATCH(M26,Cem_GCP_Prod!$B$77:$B$104),$A$29)/1000</f>
        <v>21.05</v>
      </c>
      <c r="N29" s="220">
        <f>INDEX(Cem_GCP_Prod!$B$77:$Z$104,MATCH(N26,Cem_GCP_Prod!$B$77:$B$104),$A$29)/1000</f>
        <v>7.1950000000000003</v>
      </c>
      <c r="O29" s="220">
        <f>INDEX(Cem_GCP_Prod!$B$77:$Z$104,MATCH(O26,Cem_GCP_Prod!$B$77:$B$104),$A$29)/1000</f>
        <v>0.84050000000000002</v>
      </c>
      <c r="P29" s="220">
        <f>INDEX(Cem_GCP_Prod!$B$77:$Z$104,MATCH(P26,Cem_GCP_Prod!$B$77:$B$104),$A$29)/1000</f>
        <v>820.61059999999998</v>
      </c>
      <c r="Q29" s="220">
        <f>INDEX(Cem_GCP_Prod!$B$77:$Z$104,MATCH(Q26,Cem_GCP_Prod!$B$77:$B$104),$A$29)/1000</f>
        <v>9.063600000000001</v>
      </c>
      <c r="R29" s="220">
        <f>INDEX(Cem_GCP_Prod!$B$77:$Z$104,MATCH(R26,Cem_GCP_Prod!$B$77:$B$104),$A$29)/1000</f>
        <v>6.8816999999999995</v>
      </c>
      <c r="S29" s="220">
        <f>INDEX(Cem_GCP_Prod!$B$77:$Z$104,MATCH(S26,Cem_GCP_Prod!$B$77:$B$104),$A$29)/1000</f>
        <v>20.158699999999996</v>
      </c>
      <c r="T29" s="220">
        <f>INDEX(Cem_GCP_Prod!$B$77:$Z$104,MATCH(T26,Cem_GCP_Prod!$B$77:$B$104),$A$29)/1000</f>
        <v>30.1572</v>
      </c>
      <c r="U29" s="220">
        <f>INDEX(Cem_GCP_Prod!$B$77:$Z$104,MATCH(U26,Cem_GCP_Prod!$B$77:$B$104),$A$29)/1000</f>
        <v>23.243599999999997</v>
      </c>
      <c r="V29" s="220">
        <f>INDEX(Cem_GCP_Prod!$B$77:$Z$104,MATCH(V26,Cem_GCP_Prod!$B$77:$B$104),$A$29)/1000</f>
        <v>97.3</v>
      </c>
      <c r="W29" s="220">
        <f>INDEX(Cem_GCP_Prod!$B$77:$Z$104,MATCH(W26,Cem_GCP_Prod!$B$77:$B$104),$A$29)/1000</f>
        <v>143.69999999999999</v>
      </c>
      <c r="X29" s="220">
        <f>INDEX(Cem_GCP_Prod!$B$77:$Z$104,MATCH(X26,Cem_GCP_Prod!$B$77:$B$104),$A$29)/1000</f>
        <v>25.33</v>
      </c>
      <c r="Y29" s="220">
        <f>INDEX(Cem_GCP_Prod!$B$77:$Z$104,MATCH(Y26,Cem_GCP_Prod!$B$77:$B$104),$A$29)/1000</f>
        <v>26.584400000000002</v>
      </c>
      <c r="Z29" s="220">
        <f>INDEX(Cem_GCP_Prod!$B$77:$Z$104,MATCH(Z26,Cem_GCP_Prod!$B$77:$B$104),$A$29)/1000</f>
        <v>37.240400000000001</v>
      </c>
      <c r="AA29" s="220">
        <f>INDEX(Cem_GCP_Prod!$B$77:$Z$104,MATCH(AA26,Cem_GCP_Prod!$B$77:$B$104),$A$29)/1000</f>
        <v>80.712600000000009</v>
      </c>
      <c r="AB29" s="220">
        <f>INDEX(Cem_GCP_Prod!$B$77:$Z$104,MATCH(AB26,Cem_GCP_Prod!$B$77:$B$104),$A$29)/1000</f>
        <v>19.41</v>
      </c>
      <c r="AC29" s="220">
        <f>INDEX(Cem_GCP_Prod!$B$77:$Z$104,MATCH(AC26,Cem_GCP_Prod!$B$77:$B$104),$A$29)/1000</f>
        <v>8.9120000000000008</v>
      </c>
      <c r="AD29" s="220">
        <f>INDEX(Cem_GCP_Prod!$B$77:$Z$104,MATCH(AD26,Cem_GCP_Prod!$B$77:$B$104),$A$29)/1000</f>
        <v>20.309999999999999</v>
      </c>
      <c r="AE29" s="220">
        <f>INDEX(Cem_GCP_Prod!$B$77:$Z$104,MATCH(AE26,Cem_GCP_Prod!$B$77:$B$104),$A$29)/1000</f>
        <v>24.736398476964258</v>
      </c>
      <c r="AF29" s="220">
        <f>INDEX(Cem_GCP_Prod!$B$77:$Z$104,MATCH(AF26,Cem_GCP_Prod!$B$77:$B$104),$A$29)/1000</f>
        <v>40.9</v>
      </c>
      <c r="AH29" s="98">
        <f>SUM(E29:AF29)</f>
        <v>1617.4483984769643</v>
      </c>
    </row>
    <row r="30" spans="1:34" x14ac:dyDescent="0.25">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H30" s="98"/>
    </row>
    <row r="31" spans="1:34" x14ac:dyDescent="0.25">
      <c r="A31">
        <v>520</v>
      </c>
      <c r="B31" t="s">
        <v>709</v>
      </c>
      <c r="D31" t="s">
        <v>705</v>
      </c>
      <c r="E31" s="331">
        <f>E29/($A$31/1000000)</f>
        <v>22300.000000000004</v>
      </c>
      <c r="F31" s="331">
        <f t="shared" ref="F31:AF31" si="0">F29/($A$31/1000000)</f>
        <v>77573.076923076937</v>
      </c>
      <c r="G31" s="331">
        <f t="shared" si="0"/>
        <v>15652.692307692309</v>
      </c>
      <c r="H31" s="331">
        <f t="shared" si="0"/>
        <v>18095.769230769234</v>
      </c>
      <c r="I31" s="331">
        <f t="shared" si="0"/>
        <v>6636.3461538461552</v>
      </c>
      <c r="J31" s="331">
        <f t="shared" si="0"/>
        <v>29213.846153846152</v>
      </c>
      <c r="K31" s="331">
        <f t="shared" si="0"/>
        <v>81787.307692307702</v>
      </c>
      <c r="L31" s="331">
        <f t="shared" si="0"/>
        <v>43186.538461538468</v>
      </c>
      <c r="M31" s="331">
        <f>M29/($M$32/1000)</f>
        <v>38623.853211009176</v>
      </c>
      <c r="N31" s="331">
        <f>N29/($N$32/1000)</f>
        <v>12622.807017543861</v>
      </c>
      <c r="O31" s="331">
        <f>O29/(O32/1000)</f>
        <v>1616.3461538461538</v>
      </c>
      <c r="P31" s="631">
        <f>P29/(P$32/1000)</f>
        <v>1528138.919925512</v>
      </c>
      <c r="Q31" s="331">
        <f t="shared" si="0"/>
        <v>17430.000000000004</v>
      </c>
      <c r="R31" s="331">
        <f>R29/($A$31/1000000)</f>
        <v>13234.038461538461</v>
      </c>
      <c r="S31" s="331">
        <f t="shared" si="0"/>
        <v>38766.730769230766</v>
      </c>
      <c r="T31" s="331">
        <f t="shared" si="0"/>
        <v>57994.61538461539</v>
      </c>
      <c r="U31" s="331">
        <f t="shared" si="0"/>
        <v>44699.230769230766</v>
      </c>
      <c r="V31" s="331">
        <f>V29/(V32/1000)</f>
        <v>176909.09090909088</v>
      </c>
      <c r="W31" s="331">
        <f>W29/(W$32/1000)</f>
        <v>267597.76536312845</v>
      </c>
      <c r="X31" s="331">
        <f t="shared" si="0"/>
        <v>48711.538461538461</v>
      </c>
      <c r="Y31" s="331">
        <f t="shared" si="0"/>
        <v>51123.846153846163</v>
      </c>
      <c r="Z31" s="331">
        <f>Z29/(Z$32/1000)</f>
        <v>65334.035087719305</v>
      </c>
      <c r="AA31" s="331">
        <f t="shared" si="0"/>
        <v>155216.5384615385</v>
      </c>
      <c r="AB31" s="331">
        <f t="shared" si="0"/>
        <v>37326.923076923078</v>
      </c>
      <c r="AC31" s="331">
        <f t="shared" si="0"/>
        <v>17138.461538461543</v>
      </c>
      <c r="AD31" s="331">
        <f t="shared" si="0"/>
        <v>39057.692307692312</v>
      </c>
      <c r="AE31" s="331">
        <f t="shared" si="0"/>
        <v>47569.997071085112</v>
      </c>
      <c r="AF31" s="331">
        <f t="shared" si="0"/>
        <v>78653.846153846156</v>
      </c>
      <c r="AH31" s="331">
        <f>SUM(E31:AF31)</f>
        <v>3032211.8532004734</v>
      </c>
    </row>
    <row r="32" spans="1:34" x14ac:dyDescent="0.25">
      <c r="B32" t="s">
        <v>710</v>
      </c>
      <c r="D32" t="s">
        <v>711</v>
      </c>
      <c r="E32" s="331"/>
      <c r="F32" s="331"/>
      <c r="G32" s="331"/>
      <c r="H32" s="331"/>
      <c r="I32" s="331"/>
      <c r="J32" s="331"/>
      <c r="K32" s="331"/>
      <c r="L32" s="331"/>
      <c r="M32" s="360">
        <v>0.54500000000000004</v>
      </c>
      <c r="N32" s="359">
        <v>0.56999999999999995</v>
      </c>
      <c r="O32" s="360">
        <f>A31/1000</f>
        <v>0.52</v>
      </c>
      <c r="P32" s="360">
        <v>0.53700000000000003</v>
      </c>
      <c r="Q32" s="331"/>
      <c r="R32" s="331"/>
      <c r="S32" s="331"/>
      <c r="T32" s="331"/>
      <c r="U32" s="331"/>
      <c r="V32" s="359">
        <v>0.55000000000000004</v>
      </c>
      <c r="W32" s="360">
        <v>0.53700000000000003</v>
      </c>
      <c r="X32" s="331"/>
      <c r="Y32" s="331"/>
      <c r="Z32" s="359">
        <v>0.56999999999999995</v>
      </c>
      <c r="AA32" s="331"/>
      <c r="AB32" s="331"/>
      <c r="AC32" s="331"/>
      <c r="AD32" s="331"/>
      <c r="AE32" s="331"/>
      <c r="AF32" s="331"/>
      <c r="AH32" s="331" t="s">
        <v>712</v>
      </c>
    </row>
    <row r="33" spans="1:36" x14ac:dyDescent="0.25">
      <c r="B33" t="s">
        <v>713</v>
      </c>
      <c r="D33" t="s">
        <v>460</v>
      </c>
      <c r="E33" s="332">
        <f t="shared" ref="E33:AE33" si="1">(E31-E28)/E31</f>
        <v>1</v>
      </c>
      <c r="F33" s="332">
        <f t="shared" si="1"/>
        <v>0.9070940552332788</v>
      </c>
      <c r="G33" s="332">
        <f t="shared" si="1"/>
        <v>1</v>
      </c>
      <c r="H33" s="332">
        <f t="shared" si="1"/>
        <v>1</v>
      </c>
      <c r="I33" s="332">
        <f t="shared" si="1"/>
        <v>0.15233475325277487</v>
      </c>
      <c r="J33" s="332">
        <f t="shared" si="1"/>
        <v>0.75280214861235439</v>
      </c>
      <c r="K33" s="332">
        <f t="shared" si="1"/>
        <v>0.47586243868947131</v>
      </c>
      <c r="L33" s="332">
        <f t="shared" si="1"/>
        <v>1</v>
      </c>
      <c r="M33" s="332">
        <f t="shared" si="1"/>
        <v>1.615201900237535E-2</v>
      </c>
      <c r="N33" s="332">
        <f>(N31-N28)/N31</f>
        <v>-6.013662265462115E-2</v>
      </c>
      <c r="O33" s="332">
        <f t="shared" si="1"/>
        <v>1</v>
      </c>
      <c r="P33" s="332">
        <f>(P31-P28)/P31</f>
        <v>-3.7287709907720306E-3</v>
      </c>
      <c r="Q33" s="332">
        <f t="shared" si="1"/>
        <v>0.32198508318990265</v>
      </c>
      <c r="R33" s="332">
        <f t="shared" si="1"/>
        <v>0.16449540084572134</v>
      </c>
      <c r="S33" s="332">
        <f t="shared" si="1"/>
        <v>1.8751407580845827E-2</v>
      </c>
      <c r="T33" s="332">
        <f t="shared" si="1"/>
        <v>3.7644078362714431E-3</v>
      </c>
      <c r="U33" s="332">
        <f t="shared" si="1"/>
        <v>2.380870433151484E-2</v>
      </c>
      <c r="V33" s="332">
        <f t="shared" si="1"/>
        <v>0.75334789311408012</v>
      </c>
      <c r="W33" s="332">
        <f t="shared" si="1"/>
        <v>0.83693810020876824</v>
      </c>
      <c r="X33" s="332">
        <f t="shared" si="1"/>
        <v>-1.1936833793920264E-2</v>
      </c>
      <c r="Y33" s="332">
        <f t="shared" si="1"/>
        <v>0.82805088698635287</v>
      </c>
      <c r="Z33" s="332">
        <f t="shared" si="1"/>
        <v>5.9323369244154343E-2</v>
      </c>
      <c r="AA33" s="332">
        <f t="shared" si="1"/>
        <v>0.69534818603291193</v>
      </c>
      <c r="AB33" s="332">
        <f t="shared" si="1"/>
        <v>-0.26683359093250897</v>
      </c>
      <c r="AC33" s="332">
        <f t="shared" si="1"/>
        <v>-1.7591157989228001</v>
      </c>
      <c r="AD33" s="332">
        <f t="shared" si="1"/>
        <v>1.5599803052683483E-2</v>
      </c>
      <c r="AE33" s="332">
        <f t="shared" si="1"/>
        <v>3.4439713515999677E-2</v>
      </c>
      <c r="AF33" s="332">
        <f>(AF31-AF28)/AF31</f>
        <v>6.8459657701714337E-4</v>
      </c>
      <c r="AH33" s="98"/>
    </row>
    <row r="34" spans="1:36" x14ac:dyDescent="0.25">
      <c r="A34" s="221"/>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H34" s="98"/>
    </row>
    <row r="35" spans="1:36" x14ac:dyDescent="0.25">
      <c r="B35" t="s">
        <v>714</v>
      </c>
      <c r="D35" t="s">
        <v>705</v>
      </c>
      <c r="E35" s="333">
        <f>_xlfn.IFS(E33&gt;10%,E31,E33&lt;-10%,E31,E33&lt;=10%,E28)</f>
        <v>22300.000000000004</v>
      </c>
      <c r="F35" s="333">
        <f t="shared" ref="F35:AF35" si="2">_xlfn.IFS(F33&gt;10%,F31,F33&lt;-10%,F31,F33&lt;=10%,F28)</f>
        <v>77573.076923076937</v>
      </c>
      <c r="G35" s="333">
        <f t="shared" si="2"/>
        <v>15652.692307692309</v>
      </c>
      <c r="H35" s="333">
        <f t="shared" si="2"/>
        <v>18095.769230769234</v>
      </c>
      <c r="I35" s="333">
        <f t="shared" si="2"/>
        <v>6636.3461538461552</v>
      </c>
      <c r="J35" s="333">
        <f t="shared" si="2"/>
        <v>29213.846153846152</v>
      </c>
      <c r="K35" s="333">
        <f t="shared" si="2"/>
        <v>81787.307692307702</v>
      </c>
      <c r="L35" s="333">
        <f t="shared" si="2"/>
        <v>43186.538461538468</v>
      </c>
      <c r="M35" s="333">
        <f t="shared" si="2"/>
        <v>38000</v>
      </c>
      <c r="N35" s="333">
        <f t="shared" si="2"/>
        <v>13381.9</v>
      </c>
      <c r="O35" s="333">
        <f t="shared" si="2"/>
        <v>1616.3461538461538</v>
      </c>
      <c r="P35" s="632">
        <f>_xlfn.IFS(P33&gt;10%,P31,P33&lt;-10%,P31,P33&lt;=10%,P28)</f>
        <v>1533837</v>
      </c>
      <c r="Q35" s="333">
        <f t="shared" si="2"/>
        <v>17430.000000000004</v>
      </c>
      <c r="R35" s="333">
        <f t="shared" si="2"/>
        <v>13234.038461538461</v>
      </c>
      <c r="S35" s="333">
        <f t="shared" si="2"/>
        <v>38039.800000000003</v>
      </c>
      <c r="T35" s="333">
        <f t="shared" si="2"/>
        <v>57776.299999999996</v>
      </c>
      <c r="U35" s="333">
        <f t="shared" si="2"/>
        <v>43635</v>
      </c>
      <c r="V35" s="333">
        <f t="shared" si="2"/>
        <v>176909.09090909088</v>
      </c>
      <c r="W35" s="333">
        <f t="shared" si="2"/>
        <v>267597.76536312845</v>
      </c>
      <c r="X35" s="333">
        <f t="shared" si="2"/>
        <v>49293</v>
      </c>
      <c r="Y35" s="333">
        <f t="shared" si="2"/>
        <v>51123.846153846163</v>
      </c>
      <c r="Z35" s="333">
        <f t="shared" si="2"/>
        <v>61458.2</v>
      </c>
      <c r="AA35" s="333">
        <f t="shared" si="2"/>
        <v>155216.5384615385</v>
      </c>
      <c r="AB35" s="333">
        <f t="shared" si="2"/>
        <v>37326.923076923078</v>
      </c>
      <c r="AC35" s="333">
        <f t="shared" si="2"/>
        <v>17138.461538461543</v>
      </c>
      <c r="AD35" s="333">
        <f t="shared" si="2"/>
        <v>38448.400000000001</v>
      </c>
      <c r="AE35" s="333">
        <f t="shared" si="2"/>
        <v>45931.7</v>
      </c>
      <c r="AF35" s="333">
        <f t="shared" si="2"/>
        <v>78600</v>
      </c>
      <c r="AH35" s="331">
        <f>SUM(E35:AF35)</f>
        <v>3030439.8870414505</v>
      </c>
      <c r="AJ35" t="s">
        <v>715</v>
      </c>
    </row>
    <row r="36" spans="1:36" x14ac:dyDescent="0.25">
      <c r="AH36" s="149"/>
    </row>
    <row r="37" spans="1:36" x14ac:dyDescent="0.25">
      <c r="B37" t="s">
        <v>716</v>
      </c>
      <c r="E37" s="193">
        <f t="shared" ref="E37:AF37" si="3">E28/E27</f>
        <v>0</v>
      </c>
      <c r="F37" s="193">
        <f t="shared" si="3"/>
        <v>7.2464205276705274E-2</v>
      </c>
      <c r="G37" s="193">
        <f t="shared" si="3"/>
        <v>0</v>
      </c>
      <c r="H37" s="193">
        <f t="shared" si="3"/>
        <v>0</v>
      </c>
      <c r="I37" s="193">
        <f t="shared" si="3"/>
        <v>0.51609174311926598</v>
      </c>
      <c r="J37" s="193">
        <f t="shared" si="3"/>
        <v>0.19125607805332795</v>
      </c>
      <c r="K37" s="193">
        <f t="shared" si="3"/>
        <v>0.50384573795386056</v>
      </c>
      <c r="L37" s="193">
        <f t="shared" si="3"/>
        <v>0</v>
      </c>
      <c r="M37" s="193">
        <f t="shared" si="3"/>
        <v>0.67124526595444012</v>
      </c>
      <c r="N37" s="193">
        <f t="shared" si="3"/>
        <v>1.0199618902439025</v>
      </c>
      <c r="O37" s="193">
        <f t="shared" si="3"/>
        <v>0</v>
      </c>
      <c r="P37" s="193">
        <f>P28/P27</f>
        <v>0.65070931206109872</v>
      </c>
      <c r="Q37" s="193">
        <f t="shared" si="3"/>
        <v>0.56951606218615369</v>
      </c>
      <c r="R37" s="193">
        <f t="shared" si="3"/>
        <v>0.83204906313492355</v>
      </c>
      <c r="S37" s="193">
        <f t="shared" si="3"/>
        <v>0.77687736138057806</v>
      </c>
      <c r="T37" s="193">
        <f t="shared" si="3"/>
        <v>0.8974053105317521</v>
      </c>
      <c r="U37" s="193">
        <f t="shared" si="3"/>
        <v>0.74397074243625483</v>
      </c>
      <c r="V37" s="193">
        <f t="shared" si="3"/>
        <v>0.21271565277161647</v>
      </c>
      <c r="W37" s="193">
        <f t="shared" si="3"/>
        <v>0.12874605736406206</v>
      </c>
      <c r="X37" s="193">
        <f t="shared" si="3"/>
        <v>0.92202455215602952</v>
      </c>
      <c r="Y37" s="193">
        <f t="shared" si="3"/>
        <v>0.13290325896987765</v>
      </c>
      <c r="Z37" s="193">
        <f t="shared" si="3"/>
        <v>0.86757209627988974</v>
      </c>
      <c r="AA37" s="193">
        <f t="shared" si="3"/>
        <v>0.29219772084912643</v>
      </c>
      <c r="AB37" s="193">
        <f t="shared" si="3"/>
        <v>1.11444462774858</v>
      </c>
      <c r="AC37" s="193">
        <f t="shared" si="3"/>
        <v>2.0559565217391302</v>
      </c>
      <c r="AD37" s="193">
        <f t="shared" si="3"/>
        <v>0.66662736666897848</v>
      </c>
      <c r="AE37" s="193">
        <f t="shared" si="3"/>
        <v>0.90710403643986226</v>
      </c>
      <c r="AF37" s="193">
        <f t="shared" si="3"/>
        <v>0.89216799091940979</v>
      </c>
      <c r="AH37" s="193">
        <f>AH28/AH27</f>
        <v>0.55270018562580892</v>
      </c>
    </row>
    <row r="38" spans="1:36" x14ac:dyDescent="0.25">
      <c r="B38" t="s">
        <v>717</v>
      </c>
      <c r="D38" t="s">
        <v>718</v>
      </c>
      <c r="E38" s="217">
        <f>IF(E35&lt;&gt;E28,E31/E27,E37)</f>
        <v>0.85022990521652275</v>
      </c>
      <c r="F38" s="217">
        <f t="shared" ref="F38:H38" si="4">IF(F35&lt;&gt;F28,F31/F27,F37)</f>
        <v>0.77997382684882699</v>
      </c>
      <c r="G38" s="217">
        <f t="shared" si="4"/>
        <v>0.45318892578512143</v>
      </c>
      <c r="H38" s="217">
        <f t="shared" si="4"/>
        <v>0.80083949507741348</v>
      </c>
      <c r="I38" s="217">
        <f t="shared" ref="I38" si="5">IF(I35&lt;&gt;I28,I31/I27,I37)</f>
        <v>0.60883909668313352</v>
      </c>
      <c r="J38" s="217">
        <f t="shared" ref="J38:K38" si="6">IF(J35&lt;&gt;J28,J31/J27,J37)</f>
        <v>0.77369636095019312</v>
      </c>
      <c r="K38" s="217">
        <f t="shared" si="6"/>
        <v>0.96128530970775805</v>
      </c>
      <c r="L38" s="217">
        <f t="shared" ref="L38" si="7">IF(L35&lt;&gt;L28,L31/L27,L37)</f>
        <v>0.48688867362133131</v>
      </c>
      <c r="M38" s="217">
        <f t="shared" ref="M38" si="8">IF(M35&lt;&gt;M28,M31/M27,M37)</f>
        <v>0.67124526595444012</v>
      </c>
      <c r="N38" s="217">
        <f>IF(N35&lt;&gt;N28,N31/N27,N37)</f>
        <v>1.0199618902439025</v>
      </c>
      <c r="O38" s="217">
        <f t="shared" ref="O38" si="9">IF(O35&lt;&gt;O28,O31/O27,O37)</f>
        <v>0.32134118366722741</v>
      </c>
      <c r="P38" s="217">
        <f t="shared" ref="P38" si="10">IF(P35&lt;&gt;P28,P31/P27,P37)</f>
        <v>0.65070931206109872</v>
      </c>
      <c r="Q38" s="217">
        <f t="shared" ref="Q38:R38" si="11">IF(Q35&lt;&gt;Q28,Q31/Q27,Q37)</f>
        <v>0.83997571154569051</v>
      </c>
      <c r="R38" s="217">
        <f t="shared" si="11"/>
        <v>0.9958641328571346</v>
      </c>
      <c r="S38" s="217">
        <f t="shared" ref="S38" si="12">IF(S35&lt;&gt;S28,S31/S27,S37)</f>
        <v>0.77687736138057806</v>
      </c>
      <c r="T38" s="217">
        <f t="shared" ref="T38" si="13">IF(T35&lt;&gt;T28,T31/T27,T37)</f>
        <v>0.8974053105317521</v>
      </c>
      <c r="U38" s="217">
        <f t="shared" ref="U38" si="14">IF(U35&lt;&gt;U28,U31/U27,U37)</f>
        <v>0.74397074243625483</v>
      </c>
      <c r="V38" s="217">
        <f t="shared" ref="V38" si="15">IF(V35&lt;&gt;V28,V31/V27,V37)</f>
        <v>0.86241165930928165</v>
      </c>
      <c r="W38" s="217">
        <f t="shared" ref="W38" si="16">IF(W35&lt;&gt;W28,W31/W27,W37)</f>
        <v>0.78955327718428214</v>
      </c>
      <c r="X38" s="217">
        <f t="shared" ref="X38" si="17">IF(X35&lt;&gt;X28,X31/X27,X37)</f>
        <v>0.92202455215602952</v>
      </c>
      <c r="Y38" s="217">
        <f t="shared" ref="Y38" si="18">IF(Y35&lt;&gt;Y28,Y31/Y27,Y37)</f>
        <v>0.77292203862272635</v>
      </c>
      <c r="Z38" s="217">
        <f t="shared" ref="Z38:AA38" si="19">IF(Z35&lt;&gt;Z28,Z31/Z27,Z37)</f>
        <v>0.86757209627988974</v>
      </c>
      <c r="AA38" s="217">
        <f t="shared" si="19"/>
        <v>0.95912023973930083</v>
      </c>
      <c r="AB38" s="217">
        <f t="shared" ref="AB38" si="20">IF(AB35&lt;&gt;AB28,AB31/AB27,AB37)</f>
        <v>0.87970877605814324</v>
      </c>
      <c r="AC38" s="217">
        <f t="shared" ref="AC38" si="21">IF(AC35&lt;&gt;AC28,AC31/AC27,AC37)</f>
        <v>0.74515050167224095</v>
      </c>
      <c r="AD38" s="217">
        <f t="shared" ref="AD38:AE38" si="22">IF(AD35&lt;&gt;AD28,AD31/AD27,AD37)</f>
        <v>0.66662736666897848</v>
      </c>
      <c r="AE38" s="217">
        <f t="shared" si="22"/>
        <v>0.90710403643986226</v>
      </c>
      <c r="AF38" s="217">
        <f t="shared" ref="AF38" si="23">IF(AF35&lt;&gt;AF28,AF31/AF27,AF37)</f>
        <v>0.89216799091940979</v>
      </c>
      <c r="AH38" s="217">
        <f>AH31/AH27</f>
        <v>0.72171303405275766</v>
      </c>
    </row>
    <row r="39" spans="1:36" x14ac:dyDescent="0.25">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17"/>
      <c r="AH39" s="217"/>
    </row>
    <row r="40" spans="1:36" x14ac:dyDescent="0.25">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H40" s="98"/>
    </row>
    <row r="41" spans="1:36" x14ac:dyDescent="0.25">
      <c r="B41" t="s">
        <v>719</v>
      </c>
      <c r="D41" t="s">
        <v>720</v>
      </c>
      <c r="E41" s="102">
        <f t="shared" ref="E41:AF41" si="24">E29*1000/E27*1000</f>
        <v>442.11955071259177</v>
      </c>
      <c r="F41" s="102">
        <f t="shared" si="24"/>
        <v>405.58638996138995</v>
      </c>
      <c r="G41" s="102">
        <f t="shared" si="24"/>
        <v>235.65824140826314</v>
      </c>
      <c r="H41" s="102">
        <f t="shared" si="24"/>
        <v>416.43653744025494</v>
      </c>
      <c r="I41" s="102">
        <f t="shared" si="24"/>
        <v>316.59633027522938</v>
      </c>
      <c r="J41" s="102">
        <f t="shared" si="24"/>
        <v>402.3221076941004</v>
      </c>
      <c r="K41" s="102">
        <f t="shared" si="24"/>
        <v>499.86836104803416</v>
      </c>
      <c r="L41" s="102">
        <f t="shared" si="24"/>
        <v>253.18211028309224</v>
      </c>
      <c r="M41" s="102">
        <f t="shared" si="24"/>
        <v>371.8345486405517</v>
      </c>
      <c r="N41" s="102">
        <f t="shared" si="24"/>
        <v>548.39939024390242</v>
      </c>
      <c r="O41" s="102">
        <f t="shared" si="24"/>
        <v>167.09741550695824</v>
      </c>
      <c r="P41" s="102">
        <f t="shared" si="24"/>
        <v>348.13279311689934</v>
      </c>
      <c r="Q41" s="102">
        <f t="shared" si="24"/>
        <v>436.78737000375901</v>
      </c>
      <c r="R41" s="102">
        <f t="shared" si="24"/>
        <v>517.84934908571006</v>
      </c>
      <c r="S41" s="102">
        <f t="shared" si="24"/>
        <v>411.69610946594497</v>
      </c>
      <c r="T41" s="102">
        <f t="shared" si="24"/>
        <v>468.41406304606136</v>
      </c>
      <c r="U41" s="102">
        <f t="shared" si="24"/>
        <v>396.30017987604748</v>
      </c>
      <c r="V41" s="102">
        <f t="shared" si="24"/>
        <v>474.32641262010497</v>
      </c>
      <c r="W41" s="102">
        <f t="shared" si="24"/>
        <v>423.99010984795956</v>
      </c>
      <c r="X41" s="102">
        <f t="shared" si="24"/>
        <v>473.79712953385319</v>
      </c>
      <c r="Y41" s="102">
        <f t="shared" si="24"/>
        <v>401.91946008381763</v>
      </c>
      <c r="Z41" s="102">
        <f t="shared" si="24"/>
        <v>525.70254082126735</v>
      </c>
      <c r="AA41" s="102">
        <f t="shared" si="24"/>
        <v>498.74252466443636</v>
      </c>
      <c r="AB41" s="102">
        <f t="shared" si="24"/>
        <v>457.4485635502345</v>
      </c>
      <c r="AC41" s="102">
        <f t="shared" si="24"/>
        <v>387.47826086956519</v>
      </c>
      <c r="AD41" s="102">
        <f t="shared" si="24"/>
        <v>352.13953810943894</v>
      </c>
      <c r="AE41" s="102">
        <f t="shared" si="24"/>
        <v>488.51853742489703</v>
      </c>
      <c r="AF41" s="102">
        <f t="shared" si="24"/>
        <v>464.24517593643588</v>
      </c>
      <c r="AH41" s="102">
        <f>AH29*1000/AH27*1000</f>
        <v>384.97758323069451</v>
      </c>
    </row>
    <row r="42" spans="1:36" x14ac:dyDescent="0.25">
      <c r="B42" t="s">
        <v>721</v>
      </c>
      <c r="D42" t="s">
        <v>722</v>
      </c>
      <c r="E42" s="102">
        <f t="shared" ref="E42:AF42" si="25">E29*1000/E35*1000</f>
        <v>519.99999999999989</v>
      </c>
      <c r="F42" s="102">
        <f t="shared" si="25"/>
        <v>519.99999999999989</v>
      </c>
      <c r="G42" s="102">
        <f t="shared" si="25"/>
        <v>520</v>
      </c>
      <c r="H42" s="102">
        <f t="shared" si="25"/>
        <v>520</v>
      </c>
      <c r="I42" s="102">
        <f t="shared" si="25"/>
        <v>519.99999999999989</v>
      </c>
      <c r="J42" s="102">
        <f t="shared" si="25"/>
        <v>520</v>
      </c>
      <c r="K42" s="102">
        <f t="shared" si="25"/>
        <v>519.99999999999989</v>
      </c>
      <c r="L42" s="102">
        <f t="shared" si="25"/>
        <v>519.99999999999989</v>
      </c>
      <c r="M42" s="102">
        <f t="shared" si="25"/>
        <v>553.9473684210526</v>
      </c>
      <c r="N42" s="102">
        <f t="shared" si="25"/>
        <v>537.66654959310711</v>
      </c>
      <c r="O42" s="102">
        <f t="shared" si="25"/>
        <v>520</v>
      </c>
      <c r="P42" s="102">
        <f t="shared" si="25"/>
        <v>535.00508854591453</v>
      </c>
      <c r="Q42" s="102">
        <f t="shared" si="25"/>
        <v>519.99999999999989</v>
      </c>
      <c r="R42" s="102">
        <f t="shared" si="25"/>
        <v>520</v>
      </c>
      <c r="S42" s="102">
        <f t="shared" si="25"/>
        <v>529.93706591517298</v>
      </c>
      <c r="T42" s="102">
        <f t="shared" si="25"/>
        <v>521.96488871734618</v>
      </c>
      <c r="U42" s="102">
        <f t="shared" si="25"/>
        <v>532.68247966082276</v>
      </c>
      <c r="V42" s="102">
        <f t="shared" si="25"/>
        <v>550</v>
      </c>
      <c r="W42" s="102">
        <f t="shared" si="25"/>
        <v>537</v>
      </c>
      <c r="X42" s="102">
        <f t="shared" si="25"/>
        <v>513.86606617572477</v>
      </c>
      <c r="Y42" s="102">
        <f t="shared" si="25"/>
        <v>519.99999999999989</v>
      </c>
      <c r="Z42" s="102">
        <f t="shared" si="25"/>
        <v>605.94680612188461</v>
      </c>
      <c r="AA42" s="102">
        <f t="shared" si="25"/>
        <v>519.99999999999989</v>
      </c>
      <c r="AB42" s="102">
        <f t="shared" si="25"/>
        <v>520</v>
      </c>
      <c r="AC42" s="102">
        <f t="shared" si="25"/>
        <v>519.99999999999989</v>
      </c>
      <c r="AD42" s="102">
        <f t="shared" si="25"/>
        <v>528.24044693667361</v>
      </c>
      <c r="AE42" s="102">
        <f t="shared" si="25"/>
        <v>538.54741881890425</v>
      </c>
      <c r="AF42" s="102">
        <f t="shared" si="25"/>
        <v>520.35623409669211</v>
      </c>
      <c r="AG42" s="217"/>
      <c r="AH42" s="102">
        <f>AH29*1000/AH35*1000</f>
        <v>533.7338666222621</v>
      </c>
    </row>
    <row r="45" spans="1:36" ht="15.75" x14ac:dyDescent="0.25">
      <c r="A45" s="221" t="s">
        <v>723</v>
      </c>
      <c r="D45" s="158" t="s">
        <v>342</v>
      </c>
      <c r="E45" s="91" t="s">
        <v>162</v>
      </c>
      <c r="F45" s="91" t="s">
        <v>164</v>
      </c>
      <c r="G45" s="91" t="s">
        <v>166</v>
      </c>
      <c r="H45" s="91" t="s">
        <v>168</v>
      </c>
      <c r="I45" s="91" t="s">
        <v>170</v>
      </c>
      <c r="J45" s="91" t="s">
        <v>173</v>
      </c>
      <c r="K45" s="91" t="s">
        <v>175</v>
      </c>
      <c r="L45" s="91" t="s">
        <v>177</v>
      </c>
      <c r="M45" s="91" t="s">
        <v>179</v>
      </c>
      <c r="N45" s="91" t="s">
        <v>181</v>
      </c>
      <c r="O45" s="91" t="s">
        <v>183</v>
      </c>
      <c r="P45" s="91" t="s">
        <v>185</v>
      </c>
      <c r="Q45" s="91" t="s">
        <v>188</v>
      </c>
      <c r="R45" s="91" t="s">
        <v>190</v>
      </c>
      <c r="S45" s="91" t="s">
        <v>192</v>
      </c>
      <c r="T45" s="91" t="s">
        <v>194</v>
      </c>
      <c r="U45" s="91" t="s">
        <v>196</v>
      </c>
      <c r="V45" s="91" t="s">
        <v>198</v>
      </c>
      <c r="W45" s="91" t="s">
        <v>9</v>
      </c>
      <c r="X45" s="91" t="s">
        <v>201</v>
      </c>
      <c r="Y45" s="91" t="s">
        <v>203</v>
      </c>
      <c r="Z45" s="91" t="s">
        <v>205</v>
      </c>
      <c r="AA45" s="91" t="s">
        <v>207</v>
      </c>
      <c r="AB45" s="91" t="s">
        <v>210</v>
      </c>
      <c r="AC45" s="91" t="s">
        <v>212</v>
      </c>
      <c r="AD45" s="91" t="s">
        <v>214</v>
      </c>
      <c r="AE45" s="91" t="s">
        <v>217</v>
      </c>
      <c r="AF45" s="91" t="s">
        <v>219</v>
      </c>
    </row>
    <row r="46" spans="1:36" x14ac:dyDescent="0.25">
      <c r="A46">
        <v>4</v>
      </c>
      <c r="B46" t="s">
        <v>724</v>
      </c>
      <c r="C46" t="s">
        <v>725</v>
      </c>
      <c r="D46" t="s">
        <v>454</v>
      </c>
      <c r="E46" s="102">
        <f>Cem_SFI_Cap!D10</f>
        <v>35.291000000000004</v>
      </c>
      <c r="F46" s="102">
        <f>Cem_SFI_Cap!E10</f>
        <v>107.08700000000002</v>
      </c>
      <c r="G46" s="102">
        <f>Cem_SFI_Cap!F10</f>
        <v>36.010000000000005</v>
      </c>
      <c r="H46" s="102">
        <f>Cem_SFI_Cap!G10</f>
        <v>36.350000000000009</v>
      </c>
      <c r="I46" s="102">
        <f>Cem_SFI_Cap!H10</f>
        <v>16.799999999999997</v>
      </c>
      <c r="J46" s="102">
        <f>Cem_SFI_Cap!I10</f>
        <v>35.870000000000005</v>
      </c>
      <c r="K46" s="102">
        <f>Cem_SFI_Cap!J10</f>
        <v>71.75500000000001</v>
      </c>
      <c r="L46" s="102">
        <f>Cem_SFI_Cap!K10</f>
        <v>87.364199999999983</v>
      </c>
      <c r="M46" s="102">
        <f>Cem_SFI_Cap!L10</f>
        <v>34.300000000000004</v>
      </c>
      <c r="N46" s="102">
        <f>Cem_SFI_Cap!M10</f>
        <v>12.588999999999999</v>
      </c>
      <c r="O46" s="102">
        <f>Cem_SFI_Cap!N10</f>
        <v>4.4000000000000004</v>
      </c>
      <c r="P46" s="102">
        <f>Cem_SFI_Cap!O10</f>
        <v>2622.0649999999996</v>
      </c>
      <c r="Q46" s="102">
        <f>Cem_SFI_Cap!P10</f>
        <v>17.312999999999999</v>
      </c>
      <c r="R46" s="102">
        <f>Cem_SFI_Cap!Q10</f>
        <v>16.399999999999999</v>
      </c>
      <c r="S46" s="102">
        <f>Cem_SFI_Cap!R10</f>
        <v>36.26</v>
      </c>
      <c r="T46" s="102">
        <f>Cem_SFI_Cap!S10</f>
        <v>74.930000000000007</v>
      </c>
      <c r="U46" s="102">
        <f>Cem_SFI_Cap!T10</f>
        <v>36.700000000000003</v>
      </c>
      <c r="V46" s="102">
        <f>Cem_SFI_Cap!U10</f>
        <v>137.49499999999995</v>
      </c>
      <c r="W46" s="102">
        <f>Cem_SFI_Cap!V10</f>
        <v>479.56999999999982</v>
      </c>
      <c r="X46" s="102">
        <f>Cem_SFI_Cap!W10</f>
        <v>4.0999999999999996</v>
      </c>
      <c r="Y46" s="102">
        <f>Cem_SFI_Cap!X10</f>
        <v>60.548000000000009</v>
      </c>
      <c r="Z46" s="102">
        <f>Cem_SFI_Cap!Y10</f>
        <v>90.023599999999988</v>
      </c>
      <c r="AA46" s="102">
        <f>Cem_SFI_Cap!Z10</f>
        <v>210.69300000000001</v>
      </c>
      <c r="AB46" s="102">
        <f>Cem_SFI_Cap!AA10</f>
        <v>40.700000000000003</v>
      </c>
      <c r="AC46" s="102">
        <f>Cem_SFI_Cap!AB10</f>
        <v>26.75</v>
      </c>
      <c r="AD46" s="102">
        <f>Cem_SFI_Cap!AC10</f>
        <v>70.116</v>
      </c>
      <c r="AE46" s="102">
        <f>Cem_SFI_Cap!AD10</f>
        <v>31.4</v>
      </c>
      <c r="AF46" s="102">
        <f>Cem_SFI_Cap!AE10</f>
        <v>58.420000000000009</v>
      </c>
      <c r="AH46" s="98">
        <f>SUM(E46:AF46)</f>
        <v>4491.2997999999989</v>
      </c>
    </row>
    <row r="47" spans="1:36" x14ac:dyDescent="0.25">
      <c r="A47">
        <v>4</v>
      </c>
      <c r="B47" t="s">
        <v>724</v>
      </c>
      <c r="C47" t="s">
        <v>726</v>
      </c>
      <c r="D47" t="s">
        <v>454</v>
      </c>
      <c r="E47" s="102">
        <f>Cem_SFI_Cap!D11</f>
        <v>4.7</v>
      </c>
      <c r="F47" s="102">
        <f>Cem_SFI_Cap!E11</f>
        <v>16.12</v>
      </c>
      <c r="G47" s="102">
        <f>Cem_SFI_Cap!F11</f>
        <v>4.4499999999999993</v>
      </c>
      <c r="H47" s="102">
        <f>Cem_SFI_Cap!G11</f>
        <v>10.050000000000001</v>
      </c>
      <c r="I47" s="102">
        <f>Cem_SFI_Cap!H11</f>
        <v>0.5</v>
      </c>
      <c r="J47" s="102">
        <f>Cem_SFI_Cap!I11</f>
        <v>8.5</v>
      </c>
      <c r="K47" s="102">
        <f>Cem_SFI_Cap!J11</f>
        <v>31.499999999999996</v>
      </c>
      <c r="L47" s="102">
        <f>Cem_SFI_Cap!K11</f>
        <v>26.224</v>
      </c>
      <c r="M47" s="102">
        <f>Cem_SFI_Cap!L11</f>
        <v>26.089999999999996</v>
      </c>
      <c r="N47" s="102">
        <f>Cem_SFI_Cap!M11</f>
        <v>6.0709999999999997</v>
      </c>
      <c r="O47" s="102">
        <f>Cem_SFI_Cap!N11</f>
        <v>5.0999999999999996</v>
      </c>
      <c r="P47" s="102">
        <f>Cem_SFI_Cap!O11</f>
        <v>1156.5399999999997</v>
      </c>
      <c r="Q47" s="102">
        <f>Cem_SFI_Cap!P11</f>
        <v>3.1</v>
      </c>
      <c r="R47" s="102">
        <f>Cem_SFI_Cap!Q11</f>
        <v>3.96</v>
      </c>
      <c r="S47" s="102">
        <f>Cem_SFI_Cap!R11</f>
        <v>9</v>
      </c>
      <c r="T47" s="102">
        <f>Cem_SFI_Cap!S11</f>
        <v>40.984999999999992</v>
      </c>
      <c r="U47" s="102">
        <f>Cem_SFI_Cap!T11</f>
        <v>13.57</v>
      </c>
      <c r="V47" s="102">
        <f>Cem_SFI_Cap!U11</f>
        <v>117.97999999999998</v>
      </c>
      <c r="W47" s="102">
        <f>Cem_SFI_Cap!V11</f>
        <v>96.15</v>
      </c>
      <c r="X47" s="102">
        <f>Cem_SFI_Cap!W11</f>
        <v>4.6000000000000005</v>
      </c>
      <c r="Y47" s="102">
        <f>Cem_SFI_Cap!X11</f>
        <v>31.3048</v>
      </c>
      <c r="Z47" s="102">
        <f>Cem_SFI_Cap!Y11</f>
        <v>27.75</v>
      </c>
      <c r="AA47" s="102">
        <f>Cem_SFI_Cap!Z11</f>
        <v>63.76900000000002</v>
      </c>
      <c r="AB47" s="102">
        <f>Cem_SFI_Cap!AA11</f>
        <v>10.7</v>
      </c>
      <c r="AC47" s="102">
        <f>Cem_SFI_Cap!AB11</f>
        <v>15</v>
      </c>
      <c r="AD47" s="102">
        <f>Cem_SFI_Cap!AC11</f>
        <v>10.220000000000001</v>
      </c>
      <c r="AE47" s="102">
        <f>Cem_SFI_Cap!AD11</f>
        <v>83.566999999999993</v>
      </c>
      <c r="AF47" s="102">
        <f>Cem_SFI_Cap!AE11</f>
        <v>25.26</v>
      </c>
      <c r="AH47" s="98">
        <f t="shared" ref="AH47:AH48" si="26">SUM(E47:AF47)</f>
        <v>1852.7607999999996</v>
      </c>
    </row>
    <row r="48" spans="1:36" x14ac:dyDescent="0.25">
      <c r="A48">
        <v>4</v>
      </c>
      <c r="B48" t="s">
        <v>727</v>
      </c>
      <c r="C48" t="s">
        <v>294</v>
      </c>
      <c r="D48" t="s">
        <v>454</v>
      </c>
      <c r="E48" s="102">
        <f>Cem_SFI_Cap!D9</f>
        <v>12.389999999999999</v>
      </c>
      <c r="F48" s="102">
        <f>Cem_SFI_Cap!E9</f>
        <v>21.254999999999999</v>
      </c>
      <c r="G48" s="102">
        <f>Cem_SFI_Cap!F9</f>
        <v>19.79</v>
      </c>
      <c r="H48" s="102">
        <f>Cem_SFI_Cap!G9</f>
        <v>12.5</v>
      </c>
      <c r="I48" s="102">
        <f>Cem_SFI_Cap!H9</f>
        <v>8.3000000000000007</v>
      </c>
      <c r="J48" s="102">
        <f>Cem_SFI_Cap!I9</f>
        <v>7.8369999999999989</v>
      </c>
      <c r="K48" s="102">
        <f>Cem_SFI_Cap!J9</f>
        <v>21.3</v>
      </c>
      <c r="L48" s="102">
        <f>Cem_SFI_Cap!K9</f>
        <v>18.916000000000004</v>
      </c>
      <c r="M48" s="102">
        <f>Cem_SFI_Cap!L9</f>
        <v>46.749999999999993</v>
      </c>
      <c r="N48" s="102">
        <f>Cem_SFI_Cap!M9</f>
        <v>3.2770000000000001</v>
      </c>
      <c r="O48" s="102">
        <f>Cem_SFI_Cap!N9</f>
        <v>5.95</v>
      </c>
      <c r="P48" s="102">
        <f>Cem_SFI_Cap!O9</f>
        <v>252.54</v>
      </c>
      <c r="Q48" s="102">
        <f>Cem_SFI_Cap!P9</f>
        <v>20.915000000000003</v>
      </c>
      <c r="R48" s="102">
        <f>Cem_SFI_Cap!Q9</f>
        <v>17.48</v>
      </c>
      <c r="S48" s="102">
        <f>Cem_SFI_Cap!R9</f>
        <v>27.35</v>
      </c>
      <c r="T48" s="102">
        <f>Cem_SFI_Cap!S9</f>
        <v>117.41099999999999</v>
      </c>
      <c r="U48" s="102">
        <f>Cem_SFI_Cap!T9</f>
        <v>68.47999999999999</v>
      </c>
      <c r="V48" s="102">
        <f>Cem_SFI_Cap!U9</f>
        <v>47.48</v>
      </c>
      <c r="W48" s="102">
        <f>Cem_SFI_Cap!V9</f>
        <v>92.72</v>
      </c>
      <c r="X48" s="102">
        <f>Cem_SFI_Cap!W9</f>
        <v>62.849999999999994</v>
      </c>
      <c r="Y48" s="102">
        <f>Cem_SFI_Cap!X9</f>
        <v>50.515000000000001</v>
      </c>
      <c r="Z48" s="102">
        <f>Cem_SFI_Cap!Y9</f>
        <v>29.599999999999998</v>
      </c>
      <c r="AA48" s="102">
        <f>Cem_SFI_Cap!Z9</f>
        <v>8.7690000000000001</v>
      </c>
      <c r="AB48" s="102">
        <f>Cem_SFI_Cap!AA9</f>
        <v>17</v>
      </c>
      <c r="AC48" s="102">
        <f>Cem_SFI_Cap!AB9</f>
        <v>0</v>
      </c>
      <c r="AD48" s="102">
        <f>Cem_SFI_Cap!AC9</f>
        <v>56.625</v>
      </c>
      <c r="AE48" s="102">
        <f>Cem_SFI_Cap!AD9</f>
        <v>32.42</v>
      </c>
      <c r="AF48" s="102">
        <f>Cem_SFI_Cap!AE9</f>
        <v>49.781999999999996</v>
      </c>
      <c r="AH48" s="98">
        <f t="shared" si="26"/>
        <v>1130.202</v>
      </c>
    </row>
    <row r="49" spans="1:34" x14ac:dyDescent="0.25">
      <c r="C49" t="s">
        <v>728</v>
      </c>
      <c r="E49" s="101">
        <f>E47/SUM(E46:E47)</f>
        <v>0.11752644344977618</v>
      </c>
      <c r="F49" s="101">
        <f t="shared" ref="F49:AE49" si="27">F47/SUM(F46:F47)</f>
        <v>0.13083672193950019</v>
      </c>
      <c r="G49" s="101">
        <f t="shared" si="27"/>
        <v>0.10998517053880372</v>
      </c>
      <c r="H49" s="101">
        <f t="shared" si="27"/>
        <v>0.21659482758620688</v>
      </c>
      <c r="I49" s="101">
        <f t="shared" si="27"/>
        <v>2.8901734104046249E-2</v>
      </c>
      <c r="J49" s="101">
        <f t="shared" si="27"/>
        <v>0.19157088122605362</v>
      </c>
      <c r="K49" s="101">
        <f t="shared" si="27"/>
        <v>0.30506997239843103</v>
      </c>
      <c r="L49" s="101">
        <f t="shared" si="27"/>
        <v>0.23086905153880424</v>
      </c>
      <c r="M49" s="101">
        <f t="shared" si="27"/>
        <v>0.4320251697300877</v>
      </c>
      <c r="N49" s="101">
        <f t="shared" si="27"/>
        <v>0.32534833869239016</v>
      </c>
      <c r="O49" s="101">
        <f t="shared" si="27"/>
        <v>0.5368421052631579</v>
      </c>
      <c r="P49" s="101">
        <f t="shared" si="27"/>
        <v>0.3060759195523215</v>
      </c>
      <c r="Q49" s="101">
        <f t="shared" si="27"/>
        <v>0.15186400823004947</v>
      </c>
      <c r="R49" s="101">
        <f t="shared" si="27"/>
        <v>0.19449901768172889</v>
      </c>
      <c r="S49" s="101">
        <f t="shared" si="27"/>
        <v>0.19885108263367213</v>
      </c>
      <c r="T49" s="101">
        <f t="shared" si="27"/>
        <v>0.35357805288357846</v>
      </c>
      <c r="U49" s="101">
        <f t="shared" si="27"/>
        <v>0.26994231151780385</v>
      </c>
      <c r="V49" s="101">
        <f t="shared" si="27"/>
        <v>0.46180643898620222</v>
      </c>
      <c r="W49" s="101">
        <f t="shared" si="27"/>
        <v>0.1670082679080109</v>
      </c>
      <c r="X49" s="101">
        <f t="shared" si="27"/>
        <v>0.52873563218390818</v>
      </c>
      <c r="Y49" s="101">
        <f t="shared" si="27"/>
        <v>0.34081486900780378</v>
      </c>
      <c r="Z49" s="101">
        <f t="shared" si="27"/>
        <v>0.23562156544420823</v>
      </c>
      <c r="AA49" s="101">
        <f t="shared" si="27"/>
        <v>0.23234181781084451</v>
      </c>
      <c r="AB49" s="101">
        <f t="shared" si="27"/>
        <v>0.20817120622568089</v>
      </c>
      <c r="AC49" s="101">
        <f t="shared" si="27"/>
        <v>0.3592814371257485</v>
      </c>
      <c r="AD49" s="101">
        <f t="shared" si="27"/>
        <v>0.12721569408484368</v>
      </c>
      <c r="AE49" s="101">
        <f t="shared" si="27"/>
        <v>0.72687814764236702</v>
      </c>
      <c r="AF49" s="101">
        <f>AF47/SUM(AF46:AF47)</f>
        <v>0.30186424474187379</v>
      </c>
      <c r="AH49" s="101">
        <f>AH47/SUM(AH46:AH47)</f>
        <v>0.29204651670571996</v>
      </c>
    </row>
    <row r="50" spans="1:34" x14ac:dyDescent="0.25">
      <c r="D50" t="s">
        <v>729</v>
      </c>
      <c r="E50" s="101">
        <f>((SUM(E46:E48))/(E27/1000))-1</f>
        <v>0.99712523162092737</v>
      </c>
      <c r="F50" s="101">
        <f t="shared" ref="F50:AF50" si="28">((SUM(F46:F48))/(F27/1000))-1</f>
        <v>0.45252171814671827</v>
      </c>
      <c r="G50" s="101">
        <f t="shared" si="28"/>
        <v>0.74440487564781854</v>
      </c>
      <c r="H50" s="101">
        <f t="shared" si="28"/>
        <v>1.6066560453177554</v>
      </c>
      <c r="I50" s="101">
        <f t="shared" si="28"/>
        <v>1.3486238532110089</v>
      </c>
      <c r="J50" s="101">
        <f t="shared" si="28"/>
        <v>0.38264457556913878</v>
      </c>
      <c r="K50" s="101">
        <f t="shared" si="28"/>
        <v>0.46395443411705539</v>
      </c>
      <c r="L50" s="101">
        <f t="shared" si="28"/>
        <v>0.49386351593591815</v>
      </c>
      <c r="M50" s="101">
        <f t="shared" si="28"/>
        <v>0.8925583630094398</v>
      </c>
      <c r="N50" s="101">
        <f t="shared" si="28"/>
        <v>0.67202743902439011</v>
      </c>
      <c r="O50" s="101">
        <f t="shared" si="28"/>
        <v>2.071570576540755</v>
      </c>
      <c r="P50" s="101">
        <f t="shared" si="28"/>
        <v>0.71015798273775999</v>
      </c>
      <c r="Q50" s="101">
        <f t="shared" si="28"/>
        <v>0.99165325339990207</v>
      </c>
      <c r="R50" s="101">
        <f t="shared" si="28"/>
        <v>1.8474678305365342</v>
      </c>
      <c r="S50" s="101">
        <f t="shared" si="28"/>
        <v>0.48289594608393749</v>
      </c>
      <c r="T50" s="101">
        <f t="shared" si="28"/>
        <v>2.6241156232768725</v>
      </c>
      <c r="U50" s="101">
        <f t="shared" si="28"/>
        <v>1.0246711507804576</v>
      </c>
      <c r="V50" s="101">
        <f t="shared" si="28"/>
        <v>0.47687110313796377</v>
      </c>
      <c r="W50" s="101">
        <f t="shared" si="28"/>
        <v>0.97224738362400842</v>
      </c>
      <c r="X50" s="101">
        <f t="shared" si="28"/>
        <v>0.33834127983210394</v>
      </c>
      <c r="Y50" s="101">
        <f t="shared" si="28"/>
        <v>1.152404767808223</v>
      </c>
      <c r="Z50" s="101">
        <f t="shared" si="28"/>
        <v>1.0803932280527895</v>
      </c>
      <c r="AA50" s="101">
        <f t="shared" si="28"/>
        <v>0.75015231826546303</v>
      </c>
      <c r="AB50" s="101">
        <f t="shared" si="28"/>
        <v>0.61202894110438155</v>
      </c>
      <c r="AC50" s="101">
        <f t="shared" si="28"/>
        <v>0.81521739130434789</v>
      </c>
      <c r="AD50" s="101">
        <f t="shared" si="28"/>
        <v>1.3746619044316528</v>
      </c>
      <c r="AE50" s="101">
        <f t="shared" si="28"/>
        <v>1.910742311274392</v>
      </c>
      <c r="AF50" s="101">
        <f t="shared" si="28"/>
        <v>0.5148921679909193</v>
      </c>
      <c r="AH50" s="102"/>
    </row>
    <row r="51" spans="1:34" x14ac:dyDescent="0.25">
      <c r="AH51" s="102"/>
    </row>
    <row r="52" spans="1:34" x14ac:dyDescent="0.25">
      <c r="C52" t="s">
        <v>730</v>
      </c>
      <c r="E52" s="113">
        <v>0.05</v>
      </c>
      <c r="F52" s="113">
        <v>0.05</v>
      </c>
      <c r="G52" s="113">
        <v>0.05</v>
      </c>
      <c r="H52" s="113">
        <v>0.05</v>
      </c>
      <c r="I52" s="113">
        <v>0.05</v>
      </c>
      <c r="J52" s="113">
        <v>0.05</v>
      </c>
      <c r="K52" s="113">
        <v>0.05</v>
      </c>
      <c r="L52" s="113">
        <v>0.05</v>
      </c>
      <c r="M52" s="113">
        <v>0.05</v>
      </c>
      <c r="N52" s="113">
        <v>0.05</v>
      </c>
      <c r="O52" s="113">
        <v>0.05</v>
      </c>
      <c r="P52" s="113">
        <v>0.05</v>
      </c>
      <c r="Q52" s="113">
        <v>0.05</v>
      </c>
      <c r="R52" s="113">
        <v>0.05</v>
      </c>
      <c r="S52" s="113">
        <v>0.05</v>
      </c>
      <c r="T52" s="113">
        <v>0.05</v>
      </c>
      <c r="U52" s="113">
        <v>0.05</v>
      </c>
      <c r="V52" s="113">
        <v>0.05</v>
      </c>
      <c r="W52" s="113">
        <v>0.05</v>
      </c>
      <c r="X52" s="113">
        <v>0.05</v>
      </c>
      <c r="Y52" s="113">
        <v>0.05</v>
      </c>
      <c r="Z52" s="113">
        <v>0.05</v>
      </c>
      <c r="AA52" s="113">
        <v>0.05</v>
      </c>
      <c r="AB52" s="113">
        <v>0.05</v>
      </c>
      <c r="AC52" s="113">
        <v>0.05</v>
      </c>
      <c r="AD52" s="113">
        <v>0.05</v>
      </c>
      <c r="AE52" s="113">
        <v>0.05</v>
      </c>
      <c r="AF52" s="113">
        <v>0.05</v>
      </c>
      <c r="AH52" s="88" t="s">
        <v>731</v>
      </c>
    </row>
    <row r="55" spans="1:34" x14ac:dyDescent="0.25">
      <c r="A55" s="221" t="s">
        <v>732</v>
      </c>
      <c r="AH55" s="210" t="s">
        <v>6</v>
      </c>
    </row>
    <row r="56" spans="1:34" x14ac:dyDescent="0.25">
      <c r="B56" t="s">
        <v>733</v>
      </c>
      <c r="C56" t="s">
        <v>0</v>
      </c>
      <c r="D56" t="s">
        <v>734</v>
      </c>
      <c r="E56" s="193">
        <f>Cem_GNR_Metrics!$M$35</f>
        <v>3406.1724259384641</v>
      </c>
      <c r="F56" s="193">
        <f>Cem_GNR_Metrics!G35</f>
        <v>3455.7702172895501</v>
      </c>
      <c r="G56" s="193">
        <f>Cem_GNR_Metrics!$M$35</f>
        <v>3406.1724259384641</v>
      </c>
      <c r="H56" s="193">
        <f>Cem_GNR_Metrics!$M$35</f>
        <v>3406.1724259384641</v>
      </c>
      <c r="I56" s="193">
        <f>Cem_GNR_Metrics!$M$35</f>
        <v>3406.1724259384641</v>
      </c>
      <c r="J56" s="193">
        <f>Cem_GNR_Metrics!$M$35</f>
        <v>3406.1724259384641</v>
      </c>
      <c r="K56" s="193">
        <f>Cem_GNR_Metrics!$M$35</f>
        <v>3406.1724259384641</v>
      </c>
      <c r="L56" s="193">
        <f>Cem_GNR_Metrics!$M$35</f>
        <v>3406.1724259384641</v>
      </c>
      <c r="M56" s="193">
        <f>Cem_GNR_Metrics!B35</f>
        <v>3549.0064470759294</v>
      </c>
      <c r="N56" s="193">
        <f>Cem_GNR_Metrics!C35</f>
        <v>3421.6002622352171</v>
      </c>
      <c r="O56" s="193">
        <f>Cem_GNR_Metrics!J35</f>
        <v>3530.644539426236</v>
      </c>
      <c r="P56" s="193">
        <f>Cem_GNR_Metrics!$M$35</f>
        <v>3406.1724259384641</v>
      </c>
      <c r="Q56" s="193">
        <f>Cem_GNR_Metrics!$E$35</f>
        <v>3622.5669517669403</v>
      </c>
      <c r="R56" s="193">
        <f>Cem_GNR_Metrics!$E$35</f>
        <v>3622.5669517669403</v>
      </c>
      <c r="S56" s="193">
        <f>Cem_GNR_Metrics!$E$35</f>
        <v>3622.5669517669403</v>
      </c>
      <c r="T56" s="193">
        <f>Cem_GNR_Metrics!$E$35</f>
        <v>3622.5669517669403</v>
      </c>
      <c r="U56" s="193">
        <f>Cem_GNR_Metrics!$E$35</f>
        <v>3622.5669517669403</v>
      </c>
      <c r="V56" s="193">
        <f>Cem_GNR_Metrics!I35</f>
        <v>3571.4621431849801</v>
      </c>
      <c r="W56" s="193">
        <f>Cem_GNR_Metrics!F35</f>
        <v>3093.9872997438201</v>
      </c>
      <c r="X56" s="193">
        <f>Cem_GNR_Metrics!H35</f>
        <v>3206.2768567553999</v>
      </c>
      <c r="Y56" s="193">
        <f>Cem_GNR_Metrics!J35</f>
        <v>3530.644539426236</v>
      </c>
      <c r="Z56" s="193">
        <f>Cem_GNR_Metrics!$M$35</f>
        <v>3406.1724259384641</v>
      </c>
      <c r="AA56" s="193">
        <f>Cem_GNR_Metrics!$M$35</f>
        <v>3406.1724259384641</v>
      </c>
      <c r="AB56" s="193">
        <f>Cem_GNR_Metrics!$M$35</f>
        <v>3406.1724259384641</v>
      </c>
      <c r="AC56" s="193">
        <f>Cem_GNR_Metrics!$M$35</f>
        <v>3406.1724259384641</v>
      </c>
      <c r="AD56" s="193">
        <f>Cem_GNR_Metrics!$M$35</f>
        <v>3406.1724259384641</v>
      </c>
      <c r="AE56" s="193">
        <f>Cem_GNR_Metrics!H35</f>
        <v>3206.2768567553999</v>
      </c>
      <c r="AF56" s="193">
        <f>Cem_GNR_Metrics!L35</f>
        <v>3631.3041198213655</v>
      </c>
      <c r="AH56" s="474">
        <f>Cem_GNR_Metrics!$M$35</f>
        <v>3406.1724259384641</v>
      </c>
    </row>
    <row r="57" spans="1:34" x14ac:dyDescent="0.25">
      <c r="B57" t="s">
        <v>735</v>
      </c>
      <c r="C57" t="s">
        <v>0</v>
      </c>
      <c r="D57" t="s">
        <v>734</v>
      </c>
      <c r="E57" s="193">
        <f>Cem_GNR_Metrics!$M$36</f>
        <v>4660.2657130996604</v>
      </c>
      <c r="F57" s="193">
        <f>Cem_GNR_Metrics!$M$36</f>
        <v>4660.2657130996604</v>
      </c>
      <c r="G57" s="193">
        <f>Cem_GNR_Metrics!$M$36</f>
        <v>4660.2657130996604</v>
      </c>
      <c r="H57" s="193">
        <f>Cem_GNR_Metrics!$M$36</f>
        <v>4660.2657130996604</v>
      </c>
      <c r="I57" s="193">
        <f>Cem_GNR_Metrics!$M$36</f>
        <v>4660.2657130996604</v>
      </c>
      <c r="J57" s="193">
        <f>Cem_GNR_Metrics!$M$36</f>
        <v>4660.2657130996604</v>
      </c>
      <c r="K57" s="193">
        <f>Cem_GNR_Metrics!$M$36</f>
        <v>4660.2657130996604</v>
      </c>
      <c r="L57" s="193">
        <f>Cem_GNR_Metrics!$M$36</f>
        <v>4660.2657130996604</v>
      </c>
      <c r="M57" s="193">
        <f>Cem_GNR_Metrics!$M$36</f>
        <v>4660.2657130996604</v>
      </c>
      <c r="N57" s="193">
        <f>Cem_GNR_Metrics!$M$36</f>
        <v>4660.2657130996604</v>
      </c>
      <c r="O57" s="193">
        <f>Cem_GNR_Metrics!$M$36</f>
        <v>4660.2657130996604</v>
      </c>
      <c r="P57" s="193">
        <f>Cem_GNR_Metrics!$M$36</f>
        <v>4660.2657130996604</v>
      </c>
      <c r="Q57" s="193">
        <f>Cem_GNR_Metrics!$M$36</f>
        <v>4660.2657130996604</v>
      </c>
      <c r="R57" s="193">
        <f>Cem_GNR_Metrics!$M$36</f>
        <v>4660.2657130996604</v>
      </c>
      <c r="S57" s="193">
        <f>Cem_GNR_Metrics!$M$36</f>
        <v>4660.2657130996604</v>
      </c>
      <c r="T57" s="193">
        <f>Cem_GNR_Metrics!$M$36</f>
        <v>4660.2657130996604</v>
      </c>
      <c r="U57" s="193">
        <f>Cem_GNR_Metrics!$M$36</f>
        <v>4660.2657130996604</v>
      </c>
      <c r="V57" s="193">
        <f>Cem_GNR_Metrics!$M$36</f>
        <v>4660.2657130996604</v>
      </c>
      <c r="W57" s="193">
        <f>Cem_GNR_Metrics!$M$36</f>
        <v>4660.2657130996604</v>
      </c>
      <c r="X57" s="193">
        <f>Cem_GNR_Metrics!$M$36</f>
        <v>4660.2657130996604</v>
      </c>
      <c r="Y57" s="193">
        <f>Cem_GNR_Metrics!$M$36</f>
        <v>4660.2657130996604</v>
      </c>
      <c r="Z57" s="193">
        <f>Cem_GNR_Metrics!$M$36</f>
        <v>4660.2657130996604</v>
      </c>
      <c r="AA57" s="193">
        <f>Cem_GNR_Metrics!$M$36</f>
        <v>4660.2657130996604</v>
      </c>
      <c r="AB57" s="193">
        <f>Cem_GNR_Metrics!$M$36</f>
        <v>4660.2657130996604</v>
      </c>
      <c r="AC57" s="193">
        <f>Cem_GNR_Metrics!$M$36</f>
        <v>4660.2657130996604</v>
      </c>
      <c r="AD57" s="193">
        <f>Cem_GNR_Metrics!$M$36</f>
        <v>4660.2657130996604</v>
      </c>
      <c r="AE57" s="193">
        <f>Cem_GNR_Metrics!$M$36</f>
        <v>4660.2657130996604</v>
      </c>
      <c r="AF57" s="193">
        <f>Cem_GNR_Metrics!$M$36</f>
        <v>4660.2657130996604</v>
      </c>
      <c r="AH57" s="474">
        <f>Cem_GNR_Metrics!$M$36</f>
        <v>4660.2657130996604</v>
      </c>
    </row>
    <row r="58" spans="1:34" x14ac:dyDescent="0.25">
      <c r="B58" t="s">
        <v>736</v>
      </c>
      <c r="C58" t="s">
        <v>737</v>
      </c>
      <c r="D58" t="s">
        <v>363</v>
      </c>
      <c r="E58" s="224">
        <f>E56*E35/1000*(1-E52)</f>
        <v>72159.762843506367</v>
      </c>
      <c r="F58" s="224">
        <f t="shared" ref="F58:AF58" si="29">F56*F35/1000*(1-F52)</f>
        <v>254670.99244956652</v>
      </c>
      <c r="G58" s="224">
        <f t="shared" si="29"/>
        <v>50649.980483652616</v>
      </c>
      <c r="H58" s="224">
        <f t="shared" si="29"/>
        <v>58555.444670992263</v>
      </c>
      <c r="I58" s="224">
        <f t="shared" si="29"/>
        <v>21474.312314302875</v>
      </c>
      <c r="J58" s="224">
        <f t="shared" si="29"/>
        <v>94532.027363597255</v>
      </c>
      <c r="K58" s="224">
        <f t="shared" si="29"/>
        <v>264652.58864061913</v>
      </c>
      <c r="L58" s="224">
        <f t="shared" si="29"/>
        <v>139745.75665545213</v>
      </c>
      <c r="M58" s="224">
        <f t="shared" si="29"/>
        <v>128119.13273944103</v>
      </c>
      <c r="N58" s="224">
        <f t="shared" si="29"/>
        <v>43498.136921745179</v>
      </c>
      <c r="O58" s="224">
        <f t="shared" si="29"/>
        <v>5421.4065358045455</v>
      </c>
      <c r="P58" s="224">
        <f t="shared" si="29"/>
        <v>4963287.6305199675</v>
      </c>
      <c r="Q58" s="224">
        <f t="shared" si="29"/>
        <v>59984.274870832895</v>
      </c>
      <c r="R58" s="224">
        <f t="shared" si="29"/>
        <v>45544.130850722744</v>
      </c>
      <c r="S58" s="224">
        <f t="shared" si="29"/>
        <v>130911.63621523287</v>
      </c>
      <c r="T58" s="224">
        <f t="shared" si="29"/>
        <v>198833.58922660365</v>
      </c>
      <c r="U58" s="224">
        <f t="shared" si="29"/>
        <v>150167.17349333293</v>
      </c>
      <c r="V58" s="224">
        <f t="shared" si="29"/>
        <v>600232.91491873388</v>
      </c>
      <c r="W58" s="224">
        <f t="shared" si="29"/>
        <v>786546.88309967879</v>
      </c>
      <c r="X58" s="224">
        <f t="shared" si="29"/>
        <v>150144.65484504172</v>
      </c>
      <c r="Y58" s="224">
        <f t="shared" si="29"/>
        <v>171475.12184466672</v>
      </c>
      <c r="Z58" s="224">
        <f t="shared" si="29"/>
        <v>198870.36487842075</v>
      </c>
      <c r="AA58" s="224">
        <f t="shared" si="29"/>
        <v>502259.57868944405</v>
      </c>
      <c r="AB58" s="224">
        <f t="shared" si="29"/>
        <v>120784.83932325443</v>
      </c>
      <c r="AC58" s="224">
        <f>AC56*AC35/1000*(1-AC52)</f>
        <v>55457.72735954888</v>
      </c>
      <c r="AD58" s="224">
        <f t="shared" si="29"/>
        <v>124413.78590637982</v>
      </c>
      <c r="AE58" s="224">
        <f t="shared" si="29"/>
        <v>139906.25936636038</v>
      </c>
      <c r="AF58" s="224">
        <f t="shared" si="29"/>
        <v>271149.4786270613</v>
      </c>
    </row>
    <row r="59" spans="1:34" x14ac:dyDescent="0.25">
      <c r="B59" t="s">
        <v>736</v>
      </c>
      <c r="C59" t="s">
        <v>738</v>
      </c>
      <c r="D59" t="s">
        <v>363</v>
      </c>
      <c r="E59" s="224">
        <f>E57*E35/1000*(E52)</f>
        <v>5196.196270106122</v>
      </c>
      <c r="F59" s="224">
        <f t="shared" ref="F59:AF59" si="30">F57*F35/1000*(F52)</f>
        <v>18075.557532212897</v>
      </c>
      <c r="G59" s="224">
        <f t="shared" si="30"/>
        <v>3647.2852639618636</v>
      </c>
      <c r="H59" s="224">
        <f t="shared" si="30"/>
        <v>4216.5546449158846</v>
      </c>
      <c r="I59" s="224">
        <f t="shared" si="30"/>
        <v>1546.3568220515021</v>
      </c>
      <c r="J59" s="224">
        <f t="shared" si="30"/>
        <v>6807.214278926881</v>
      </c>
      <c r="K59" s="224">
        <f t="shared" si="30"/>
        <v>19057.529290259685</v>
      </c>
      <c r="L59" s="224">
        <f t="shared" si="30"/>
        <v>10063.037222988374</v>
      </c>
      <c r="M59" s="224">
        <f t="shared" si="30"/>
        <v>8854.5048548893537</v>
      </c>
      <c r="N59" s="224">
        <f t="shared" si="30"/>
        <v>3118.1604873064171</v>
      </c>
      <c r="O59" s="224">
        <f t="shared" si="30"/>
        <v>376.63012806348701</v>
      </c>
      <c r="P59" s="224">
        <f t="shared" si="30"/>
        <v>357404.39902918221</v>
      </c>
      <c r="Q59" s="224">
        <f t="shared" si="30"/>
        <v>4061.4215689663552</v>
      </c>
      <c r="R59" s="224">
        <f t="shared" si="30"/>
        <v>3083.7067844074936</v>
      </c>
      <c r="S59" s="224">
        <f t="shared" si="30"/>
        <v>8863.778783658423</v>
      </c>
      <c r="T59" s="224">
        <f t="shared" si="30"/>
        <v>13462.645495987992</v>
      </c>
      <c r="U59" s="224">
        <f t="shared" si="30"/>
        <v>10167.534719555186</v>
      </c>
      <c r="V59" s="224">
        <f t="shared" si="30"/>
        <v>41222.168534963355</v>
      </c>
      <c r="W59" s="224">
        <f t="shared" si="30"/>
        <v>62353.83454119377</v>
      </c>
      <c r="X59" s="224">
        <f t="shared" si="30"/>
        <v>11485.923889791078</v>
      </c>
      <c r="Y59" s="224">
        <f t="shared" si="30"/>
        <v>11912.535367627563</v>
      </c>
      <c r="Z59" s="224">
        <f t="shared" si="30"/>
        <v>14320.57711244108</v>
      </c>
      <c r="AA59" s="224">
        <f t="shared" si="30"/>
        <v>36167.515614916127</v>
      </c>
      <c r="AB59" s="224">
        <f t="shared" si="30"/>
        <v>8697.6689895446561</v>
      </c>
      <c r="AC59" s="224">
        <f>AC57*AC35/1000*(AC52)</f>
        <v>3993.4892341484797</v>
      </c>
      <c r="AD59" s="224">
        <f t="shared" si="30"/>
        <v>8958.9880121770511</v>
      </c>
      <c r="AE59" s="224">
        <f t="shared" si="30"/>
        <v>10702.696332718984</v>
      </c>
      <c r="AF59" s="224">
        <f t="shared" si="30"/>
        <v>18314.844252481667</v>
      </c>
    </row>
    <row r="61" spans="1:34" x14ac:dyDescent="0.25">
      <c r="B61" t="s">
        <v>447</v>
      </c>
      <c r="C61" t="s">
        <v>739</v>
      </c>
      <c r="D61" t="s">
        <v>363</v>
      </c>
      <c r="E61" s="160">
        <f>SUM(E7:E13,E15:E21)</f>
        <v>37952</v>
      </c>
      <c r="F61" s="160">
        <f t="shared" ref="F61:AF61" si="31">SUM(F7:F13,F15:F21)</f>
        <v>199558</v>
      </c>
      <c r="G61" s="160">
        <f t="shared" si="31"/>
        <v>20645</v>
      </c>
      <c r="H61" s="160">
        <f t="shared" si="31"/>
        <v>59927</v>
      </c>
      <c r="I61" s="160">
        <f t="shared" si="31"/>
        <v>80228</v>
      </c>
      <c r="J61" s="160">
        <f t="shared" si="31"/>
        <v>126183</v>
      </c>
      <c r="K61" s="160">
        <f t="shared" si="31"/>
        <v>439022</v>
      </c>
      <c r="L61" s="160">
        <f t="shared" si="31"/>
        <v>177487</v>
      </c>
      <c r="M61" s="160">
        <f t="shared" si="31"/>
        <v>188365</v>
      </c>
      <c r="N61" s="160">
        <f t="shared" si="31"/>
        <v>74513</v>
      </c>
      <c r="O61" s="160">
        <f t="shared" si="31"/>
        <v>9620</v>
      </c>
      <c r="P61" s="160">
        <f t="shared" si="31"/>
        <v>377866</v>
      </c>
      <c r="Q61" s="160">
        <f t="shared" si="31"/>
        <v>119606</v>
      </c>
      <c r="R61" s="160">
        <f t="shared" si="31"/>
        <v>104789</v>
      </c>
      <c r="S61" s="160">
        <f t="shared" si="31"/>
        <v>277188</v>
      </c>
      <c r="T61" s="160">
        <f t="shared" si="31"/>
        <v>493895</v>
      </c>
      <c r="U61" s="160">
        <f t="shared" si="31"/>
        <v>391016</v>
      </c>
      <c r="V61" s="160">
        <f t="shared" si="31"/>
        <v>77406</v>
      </c>
      <c r="W61" s="160">
        <f t="shared" si="31"/>
        <v>0</v>
      </c>
      <c r="X61" s="160">
        <f t="shared" si="31"/>
        <v>279099</v>
      </c>
      <c r="Y61" s="160">
        <f t="shared" si="31"/>
        <v>106248</v>
      </c>
      <c r="Z61" s="160">
        <f t="shared" si="31"/>
        <v>291738</v>
      </c>
      <c r="AA61" s="160">
        <f t="shared" si="31"/>
        <v>86146</v>
      </c>
      <c r="AB61" s="160">
        <f t="shared" si="31"/>
        <v>187151</v>
      </c>
      <c r="AC61" s="160">
        <f t="shared" si="31"/>
        <v>1409</v>
      </c>
      <c r="AD61" s="160">
        <f t="shared" si="31"/>
        <v>488096</v>
      </c>
      <c r="AE61" s="160">
        <f t="shared" si="31"/>
        <v>172575</v>
      </c>
      <c r="AF61" s="160">
        <f t="shared" si="31"/>
        <v>662945</v>
      </c>
    </row>
    <row r="62" spans="1:34" x14ac:dyDescent="0.25">
      <c r="B62" s="121"/>
      <c r="C62" s="121"/>
      <c r="D62" s="121"/>
      <c r="E62" s="334"/>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row>
    <row r="63" spans="1:34" x14ac:dyDescent="0.25">
      <c r="B63" s="121"/>
      <c r="C63" s="121"/>
      <c r="D63" s="121"/>
      <c r="E63" s="334"/>
      <c r="F63" s="334"/>
      <c r="G63" s="334"/>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row>
    <row r="64" spans="1:34" x14ac:dyDescent="0.25">
      <c r="B64" s="338" t="s">
        <v>740</v>
      </c>
      <c r="C64" t="s">
        <v>739</v>
      </c>
      <c r="D64" t="s">
        <v>741</v>
      </c>
      <c r="E64" s="339">
        <f>E61/(E59+E58)</f>
        <v>0.49061507910799734</v>
      </c>
      <c r="F64" s="339">
        <f t="shared" ref="F64:AF64" si="32">F61/(F59+F58)</f>
        <v>0.73166095048069824</v>
      </c>
      <c r="G64" s="339">
        <f t="shared" si="32"/>
        <v>0.38022172416494149</v>
      </c>
      <c r="H64" s="339">
        <f t="shared" si="32"/>
        <v>0.95467725503547651</v>
      </c>
      <c r="I64" s="339">
        <f t="shared" si="32"/>
        <v>3.4850420517665786</v>
      </c>
      <c r="J64" s="339">
        <f t="shared" si="32"/>
        <v>1.2451543741082318</v>
      </c>
      <c r="K64" s="339">
        <f t="shared" si="32"/>
        <v>1.5474315939164365</v>
      </c>
      <c r="L64" s="339">
        <f t="shared" si="32"/>
        <v>1.1847568851266397</v>
      </c>
      <c r="M64" s="339">
        <f t="shared" si="32"/>
        <v>1.3751916303622851</v>
      </c>
      <c r="N64" s="339">
        <f t="shared" si="32"/>
        <v>1.5984323968538017</v>
      </c>
      <c r="O64" s="339">
        <f t="shared" si="32"/>
        <v>1.6591823332110889</v>
      </c>
      <c r="P64" s="339">
        <f t="shared" si="32"/>
        <v>7.1018205508131732E-2</v>
      </c>
      <c r="Q64" s="339">
        <f t="shared" si="32"/>
        <v>1.867510334787686</v>
      </c>
      <c r="R64" s="339">
        <f t="shared" si="32"/>
        <v>2.1549179461004293</v>
      </c>
      <c r="S64" s="339">
        <f t="shared" si="32"/>
        <v>1.983095525076414</v>
      </c>
      <c r="T64" s="339">
        <f t="shared" si="32"/>
        <v>2.3264425798477992</v>
      </c>
      <c r="U64" s="339">
        <f t="shared" si="32"/>
        <v>2.4387483181796141</v>
      </c>
      <c r="V64" s="339">
        <f t="shared" si="32"/>
        <v>0.12067251783746674</v>
      </c>
      <c r="W64" s="339">
        <f t="shared" si="32"/>
        <v>0</v>
      </c>
      <c r="X64" s="339">
        <f t="shared" si="32"/>
        <v>1.7267710242990781</v>
      </c>
      <c r="Y64" s="339">
        <f t="shared" si="32"/>
        <v>0.57936287324399682</v>
      </c>
      <c r="Z64" s="339">
        <f t="shared" si="32"/>
        <v>1.3684352499953072</v>
      </c>
      <c r="AA64" s="339">
        <f t="shared" si="32"/>
        <v>0.15999566312928465</v>
      </c>
      <c r="AB64" s="339">
        <f t="shared" si="32"/>
        <v>1.4453766955756486</v>
      </c>
      <c r="AC64" s="339">
        <f>AC61/(AC59+AC58)</f>
        <v>2.3700103727555565E-2</v>
      </c>
      <c r="AD64" s="339">
        <f t="shared" si="32"/>
        <v>3.6596374631755979</v>
      </c>
      <c r="AE64" s="339">
        <f t="shared" si="32"/>
        <v>1.1458481947435408</v>
      </c>
      <c r="AF64" s="339">
        <f t="shared" si="32"/>
        <v>2.2902477010124542</v>
      </c>
    </row>
    <row r="65" spans="1:37" x14ac:dyDescent="0.25">
      <c r="B65" s="338" t="s">
        <v>742</v>
      </c>
      <c r="C65" t="s">
        <v>739</v>
      </c>
      <c r="D65" t="s">
        <v>363</v>
      </c>
      <c r="E65" s="341">
        <f>IF(E64&lt;1,E58+E59,E61)</f>
        <v>77355.959113612495</v>
      </c>
      <c r="F65" s="341">
        <f t="shared" ref="F65:AF65" si="33">IF(F64&lt;1,F58+F59,F61)</f>
        <v>272746.54998177942</v>
      </c>
      <c r="G65" s="341">
        <f t="shared" si="33"/>
        <v>54297.265747614481</v>
      </c>
      <c r="H65" s="341">
        <f t="shared" si="33"/>
        <v>62771.99931590815</v>
      </c>
      <c r="I65" s="341">
        <f t="shared" si="33"/>
        <v>80228</v>
      </c>
      <c r="J65" s="341">
        <f t="shared" si="33"/>
        <v>126183</v>
      </c>
      <c r="K65" s="341">
        <f t="shared" si="33"/>
        <v>439022</v>
      </c>
      <c r="L65" s="341">
        <f t="shared" si="33"/>
        <v>177487</v>
      </c>
      <c r="M65" s="341">
        <f t="shared" si="33"/>
        <v>188365</v>
      </c>
      <c r="N65" s="341">
        <f t="shared" si="33"/>
        <v>74513</v>
      </c>
      <c r="O65" s="341">
        <f t="shared" si="33"/>
        <v>9620</v>
      </c>
      <c r="P65" s="341">
        <f t="shared" si="33"/>
        <v>5320692.0295491498</v>
      </c>
      <c r="Q65" s="341">
        <f t="shared" si="33"/>
        <v>119606</v>
      </c>
      <c r="R65" s="341">
        <f t="shared" si="33"/>
        <v>104789</v>
      </c>
      <c r="S65" s="341">
        <f t="shared" si="33"/>
        <v>277188</v>
      </c>
      <c r="T65" s="341">
        <f t="shared" si="33"/>
        <v>493895</v>
      </c>
      <c r="U65" s="341">
        <f t="shared" si="33"/>
        <v>391016</v>
      </c>
      <c r="V65" s="341">
        <f t="shared" si="33"/>
        <v>641455.08345369727</v>
      </c>
      <c r="W65" s="341">
        <f t="shared" si="33"/>
        <v>848900.71764087258</v>
      </c>
      <c r="X65" s="341">
        <f t="shared" si="33"/>
        <v>279099</v>
      </c>
      <c r="Y65" s="341">
        <f t="shared" si="33"/>
        <v>183387.65721229429</v>
      </c>
      <c r="Z65" s="341">
        <f t="shared" si="33"/>
        <v>291738</v>
      </c>
      <c r="AA65" s="341">
        <f t="shared" si="33"/>
        <v>538427.09430436022</v>
      </c>
      <c r="AB65" s="341">
        <f t="shared" si="33"/>
        <v>187151</v>
      </c>
      <c r="AC65" s="341">
        <f t="shared" si="33"/>
        <v>59451.216593697362</v>
      </c>
      <c r="AD65" s="341">
        <f t="shared" si="33"/>
        <v>488096</v>
      </c>
      <c r="AE65" s="341">
        <f t="shared" si="33"/>
        <v>172575</v>
      </c>
      <c r="AF65" s="341">
        <f t="shared" si="33"/>
        <v>662945</v>
      </c>
    </row>
    <row r="67" spans="1:37" x14ac:dyDescent="0.25">
      <c r="A67" s="221" t="s">
        <v>743</v>
      </c>
    </row>
    <row r="68" spans="1:37" x14ac:dyDescent="0.25">
      <c r="B68" t="s">
        <v>744</v>
      </c>
      <c r="C68" t="s">
        <v>0</v>
      </c>
      <c r="D68" t="s">
        <v>745</v>
      </c>
      <c r="E68" s="193">
        <f>Cem_GNR_Metrics!$M$37</f>
        <v>114.303285124876</v>
      </c>
      <c r="F68" s="193">
        <f>Cem_GNR_Metrics!G37</f>
        <v>106.349427809237</v>
      </c>
      <c r="G68" s="193">
        <f>Cem_GNR_Metrics!$M$37</f>
        <v>114.303285124876</v>
      </c>
      <c r="H68" s="193">
        <f>Cem_GNR_Metrics!$M$37</f>
        <v>114.303285124876</v>
      </c>
      <c r="I68" s="193">
        <f>Cem_GNR_Metrics!$M$37</f>
        <v>114.303285124876</v>
      </c>
      <c r="J68" s="193">
        <f>Cem_GNR_Metrics!$M$37</f>
        <v>114.303285124876</v>
      </c>
      <c r="K68" s="193">
        <f>Cem_GNR_Metrics!$M$37</f>
        <v>114.303285124876</v>
      </c>
      <c r="L68" s="193">
        <f>Cem_GNR_Metrics!$M$37</f>
        <v>114.303285124876</v>
      </c>
      <c r="M68" s="193">
        <f>Cem_GNR_Metrics!B37</f>
        <v>117.452515298507</v>
      </c>
      <c r="N68" s="193">
        <f>Cem_GNR_Metrics!C37</f>
        <v>143.415914321629</v>
      </c>
      <c r="O68" s="193">
        <f>Cem_GNR_Metrics!J37</f>
        <v>113.96785934702299</v>
      </c>
      <c r="P68" s="193">
        <f>Cem_GNR_Metrics!$M$37</f>
        <v>114.303285124876</v>
      </c>
      <c r="Q68" s="193">
        <f>Cem_GNR_Metrics!$E$37</f>
        <v>125.02726844639101</v>
      </c>
      <c r="R68" s="193">
        <f>Cem_GNR_Metrics!$E$37</f>
        <v>125.02726844639101</v>
      </c>
      <c r="S68" s="193">
        <f>Cem_GNR_Metrics!$E$37</f>
        <v>125.02726844639101</v>
      </c>
      <c r="T68" s="193">
        <f>Cem_GNR_Metrics!$E$37</f>
        <v>125.02726844639101</v>
      </c>
      <c r="U68" s="193">
        <f>Cem_GNR_Metrics!$E$37</f>
        <v>125.02726844639101</v>
      </c>
      <c r="V68" s="193">
        <f>Cem_GNR_Metrics!I37</f>
        <v>98.128484848733194</v>
      </c>
      <c r="W68" s="193">
        <f>Cem_GNR_Metrics!F37</f>
        <v>102.65489336834899</v>
      </c>
      <c r="X68" s="193">
        <f>Cem_GNR_Metrics!H37</f>
        <v>98.763308072974297</v>
      </c>
      <c r="Y68" s="193">
        <f>Cem_GNR_Metrics!J37</f>
        <v>113.96785934702299</v>
      </c>
      <c r="Z68" s="193">
        <f>Cem_GNR_Metrics!$M$37</f>
        <v>114.303285124876</v>
      </c>
      <c r="AA68" s="193">
        <f>Cem_GNR_Metrics!$M$37</f>
        <v>114.303285124876</v>
      </c>
      <c r="AB68" s="193">
        <f>Cem_GNR_Metrics!$M$37</f>
        <v>114.303285124876</v>
      </c>
      <c r="AC68" s="193">
        <f>Cem_GNR_Metrics!$M$37</f>
        <v>114.303285124876</v>
      </c>
      <c r="AD68" s="193">
        <f>Cem_GNR_Metrics!$M$37</f>
        <v>114.303285124876</v>
      </c>
      <c r="AE68" s="193">
        <f>Cem_GNR_Metrics!H37</f>
        <v>98.763308072974297</v>
      </c>
      <c r="AF68" s="193">
        <f>Cem_GNR_Metrics!L37</f>
        <v>137.34651425766299</v>
      </c>
      <c r="AJ68" t="s">
        <v>746</v>
      </c>
      <c r="AK68" s="336">
        <v>3.5999999999999998E-6</v>
      </c>
    </row>
    <row r="69" spans="1:37" x14ac:dyDescent="0.25">
      <c r="B69" t="s">
        <v>747</v>
      </c>
      <c r="C69" t="s">
        <v>0</v>
      </c>
      <c r="D69" t="s">
        <v>363</v>
      </c>
      <c r="E69" s="224">
        <f>E68*$AK$68*E27*1000</f>
        <v>10792.689922484182</v>
      </c>
      <c r="F69" s="224">
        <f>F68*$AK$68*F27*1000</f>
        <v>38077.519291903714</v>
      </c>
      <c r="G69" s="224">
        <f t="shared" ref="G69:AE69" si="34">G68*$AK$68*G27*1000</f>
        <v>14212.51619374113</v>
      </c>
      <c r="H69" s="224">
        <f t="shared" si="34"/>
        <v>9298.0693104541115</v>
      </c>
      <c r="I69" s="224">
        <f t="shared" si="34"/>
        <v>4485.2609083001344</v>
      </c>
      <c r="J69" s="224">
        <f t="shared" si="34"/>
        <v>15537.437576543405</v>
      </c>
      <c r="K69" s="224">
        <f t="shared" si="34"/>
        <v>35010.218384519758</v>
      </c>
      <c r="L69" s="224">
        <f t="shared" si="34"/>
        <v>36498.913514248954</v>
      </c>
      <c r="M69" s="224">
        <f t="shared" si="34"/>
        <v>23936.860202640615</v>
      </c>
      <c r="N69" s="224">
        <f t="shared" si="34"/>
        <v>6773.8204652391814</v>
      </c>
      <c r="O69" s="224">
        <f t="shared" si="34"/>
        <v>2063.7299970558925</v>
      </c>
      <c r="P69" s="224">
        <f>P68*$AK$68*P27*1000</f>
        <v>969959.05376968172</v>
      </c>
      <c r="Q69" s="224">
        <f t="shared" si="34"/>
        <v>9339.8070118452506</v>
      </c>
      <c r="R69" s="224">
        <f t="shared" si="34"/>
        <v>5981.3545333827242</v>
      </c>
      <c r="S69" s="224">
        <f t="shared" si="34"/>
        <v>22039.056718119129</v>
      </c>
      <c r="T69" s="224">
        <f t="shared" si="34"/>
        <v>28977.99510053276</v>
      </c>
      <c r="U69" s="224">
        <f t="shared" si="34"/>
        <v>26398.932607020604</v>
      </c>
      <c r="V69" s="224">
        <f t="shared" si="34"/>
        <v>72465.805736910668</v>
      </c>
      <c r="W69" s="224">
        <f t="shared" si="34"/>
        <v>125251.57593029141</v>
      </c>
      <c r="X69" s="224">
        <f t="shared" si="34"/>
        <v>19008.195649937748</v>
      </c>
      <c r="Y69" s="224">
        <f t="shared" si="34"/>
        <v>27137.6802054207</v>
      </c>
      <c r="Z69" s="224">
        <f t="shared" si="34"/>
        <v>29149.792941407864</v>
      </c>
      <c r="AA69" s="224">
        <f t="shared" si="34"/>
        <v>66592.627556349456</v>
      </c>
      <c r="AB69" s="224">
        <f t="shared" si="34"/>
        <v>17460.009688081009</v>
      </c>
      <c r="AC69" s="224">
        <f t="shared" si="34"/>
        <v>9464.3120083397316</v>
      </c>
      <c r="AD69" s="224">
        <f t="shared" si="34"/>
        <v>23733.202582304453</v>
      </c>
      <c r="AE69" s="224">
        <f t="shared" si="34"/>
        <v>18003.359304617359</v>
      </c>
      <c r="AF69" s="224">
        <f>AF68*$AK$68*AF27*1000</f>
        <v>43560.820461960393</v>
      </c>
    </row>
    <row r="71" spans="1:37" x14ac:dyDescent="0.25">
      <c r="B71" t="s">
        <v>748</v>
      </c>
      <c r="C71" t="s">
        <v>367</v>
      </c>
      <c r="D71" t="s">
        <v>363</v>
      </c>
      <c r="E71" s="160">
        <f>E14</f>
        <v>0</v>
      </c>
      <c r="F71" s="160">
        <f t="shared" ref="F71:AF71" si="35">F14</f>
        <v>27048</v>
      </c>
      <c r="G71" s="160">
        <f t="shared" si="35"/>
        <v>5420</v>
      </c>
      <c r="H71" s="160">
        <f t="shared" si="35"/>
        <v>8875</v>
      </c>
      <c r="I71" s="160">
        <f t="shared" si="35"/>
        <v>12579</v>
      </c>
      <c r="J71" s="160">
        <f t="shared" si="35"/>
        <v>14372</v>
      </c>
      <c r="K71" s="160">
        <f t="shared" si="35"/>
        <v>31717</v>
      </c>
      <c r="L71" s="160">
        <f t="shared" si="35"/>
        <v>0</v>
      </c>
      <c r="M71" s="160">
        <f t="shared" si="35"/>
        <v>21888</v>
      </c>
      <c r="N71" s="160">
        <f t="shared" si="35"/>
        <v>7744</v>
      </c>
      <c r="O71" s="160">
        <f t="shared" si="35"/>
        <v>2279</v>
      </c>
      <c r="P71" s="160">
        <f t="shared" si="35"/>
        <v>0</v>
      </c>
      <c r="Q71" s="160">
        <f t="shared" si="35"/>
        <v>18849</v>
      </c>
      <c r="R71" s="160">
        <f t="shared" si="35"/>
        <v>31023</v>
      </c>
      <c r="S71" s="160">
        <f t="shared" si="35"/>
        <v>56903</v>
      </c>
      <c r="T71" s="160">
        <f t="shared" si="35"/>
        <v>96505</v>
      </c>
      <c r="U71" s="160">
        <f t="shared" si="35"/>
        <v>77097</v>
      </c>
      <c r="V71" s="160">
        <f t="shared" si="35"/>
        <v>7729</v>
      </c>
      <c r="W71" s="160">
        <f t="shared" si="35"/>
        <v>0</v>
      </c>
      <c r="X71" s="160">
        <f t="shared" si="35"/>
        <v>61095</v>
      </c>
      <c r="Y71" s="160">
        <f t="shared" si="35"/>
        <v>19565</v>
      </c>
      <c r="Z71" s="160">
        <f t="shared" si="35"/>
        <v>46758</v>
      </c>
      <c r="AA71" s="160">
        <f t="shared" si="35"/>
        <v>1810</v>
      </c>
      <c r="AB71" s="160">
        <f t="shared" si="35"/>
        <v>38365</v>
      </c>
      <c r="AC71" s="160">
        <f t="shared" si="35"/>
        <v>0</v>
      </c>
      <c r="AD71" s="160">
        <f t="shared" si="35"/>
        <v>60987</v>
      </c>
      <c r="AE71" s="160">
        <f t="shared" si="35"/>
        <v>44828</v>
      </c>
      <c r="AF71" s="160">
        <f t="shared" si="35"/>
        <v>119179</v>
      </c>
    </row>
    <row r="72" spans="1:37" x14ac:dyDescent="0.25">
      <c r="B72" s="121"/>
      <c r="E72" s="337"/>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row>
    <row r="73" spans="1:37" x14ac:dyDescent="0.25">
      <c r="B73" s="121"/>
      <c r="C73" s="121"/>
    </row>
    <row r="74" spans="1:37" x14ac:dyDescent="0.25">
      <c r="B74" s="338" t="s">
        <v>749</v>
      </c>
      <c r="C74" t="s">
        <v>367</v>
      </c>
      <c r="D74" t="s">
        <v>741</v>
      </c>
      <c r="E74" s="339">
        <f>E71/E69</f>
        <v>0</v>
      </c>
      <c r="F74" s="339">
        <f t="shared" ref="F74:AF74" si="36">F71/F69</f>
        <v>0.71034039252003267</v>
      </c>
      <c r="G74" s="339">
        <f t="shared" si="36"/>
        <v>0.38135400699749739</v>
      </c>
      <c r="H74" s="339">
        <f t="shared" si="36"/>
        <v>0.95449923028876094</v>
      </c>
      <c r="I74" s="339">
        <f t="shared" si="36"/>
        <v>2.804519125458703</v>
      </c>
      <c r="J74" s="339">
        <f t="shared" si="36"/>
        <v>0.9249916486678057</v>
      </c>
      <c r="K74" s="339">
        <f t="shared" si="36"/>
        <v>0.90593550864635852</v>
      </c>
      <c r="L74" s="339">
        <f t="shared" si="36"/>
        <v>0</v>
      </c>
      <c r="M74" s="339">
        <f t="shared" si="36"/>
        <v>0.91440564112019196</v>
      </c>
      <c r="N74" s="339">
        <f t="shared" si="36"/>
        <v>1.1432248669328382</v>
      </c>
      <c r="O74" s="339">
        <f t="shared" si="36"/>
        <v>1.1043111275463413</v>
      </c>
      <c r="P74" s="339">
        <f t="shared" si="36"/>
        <v>0</v>
      </c>
      <c r="Q74" s="339">
        <f t="shared" si="36"/>
        <v>2.0181359182362844</v>
      </c>
      <c r="R74" s="339">
        <f t="shared" si="36"/>
        <v>5.186617818231066</v>
      </c>
      <c r="S74" s="339">
        <f t="shared" si="36"/>
        <v>2.5819163101122165</v>
      </c>
      <c r="T74" s="339">
        <f t="shared" si="36"/>
        <v>3.3302856068957563</v>
      </c>
      <c r="U74" s="339">
        <f t="shared" si="36"/>
        <v>2.9204589877810672</v>
      </c>
      <c r="V74" s="339">
        <f t="shared" si="36"/>
        <v>0.10665720088810399</v>
      </c>
      <c r="W74" s="339">
        <f t="shared" si="36"/>
        <v>0</v>
      </c>
      <c r="X74" s="339">
        <f t="shared" si="36"/>
        <v>3.2141398965556252</v>
      </c>
      <c r="Y74" s="339">
        <f t="shared" si="36"/>
        <v>0.72095329637247063</v>
      </c>
      <c r="Z74" s="339">
        <f t="shared" si="36"/>
        <v>1.6040594214163122</v>
      </c>
      <c r="AA74" s="339">
        <f t="shared" si="36"/>
        <v>2.7180185951791905E-2</v>
      </c>
      <c r="AB74" s="339">
        <f t="shared" si="36"/>
        <v>2.1973069136490619</v>
      </c>
      <c r="AC74" s="339">
        <f t="shared" si="36"/>
        <v>0</v>
      </c>
      <c r="AD74" s="339">
        <f t="shared" si="36"/>
        <v>2.5696911231639716</v>
      </c>
      <c r="AE74" s="339">
        <f t="shared" si="36"/>
        <v>2.4899797444193021</v>
      </c>
      <c r="AF74" s="339">
        <f t="shared" si="36"/>
        <v>2.7359218383885442</v>
      </c>
    </row>
    <row r="75" spans="1:37" x14ac:dyDescent="0.25">
      <c r="B75" s="338" t="s">
        <v>742</v>
      </c>
      <c r="C75" t="s">
        <v>367</v>
      </c>
      <c r="D75" t="s">
        <v>363</v>
      </c>
      <c r="E75" s="341">
        <f>IF(E74&lt;1,E69,E71)</f>
        <v>10792.689922484182</v>
      </c>
      <c r="F75" s="341">
        <f t="shared" ref="F75:AF75" si="37">IF(F74&lt;1,F69,F71)</f>
        <v>38077.519291903714</v>
      </c>
      <c r="G75" s="341">
        <f t="shared" si="37"/>
        <v>14212.51619374113</v>
      </c>
      <c r="H75" s="341">
        <f t="shared" si="37"/>
        <v>9298.0693104541115</v>
      </c>
      <c r="I75" s="341">
        <f t="shared" si="37"/>
        <v>12579</v>
      </c>
      <c r="J75" s="341">
        <f t="shared" si="37"/>
        <v>15537.437576543405</v>
      </c>
      <c r="K75" s="341">
        <f t="shared" si="37"/>
        <v>35010.218384519758</v>
      </c>
      <c r="L75" s="341">
        <f t="shared" si="37"/>
        <v>36498.913514248954</v>
      </c>
      <c r="M75" s="341">
        <f t="shared" si="37"/>
        <v>23936.860202640615</v>
      </c>
      <c r="N75" s="341">
        <f t="shared" si="37"/>
        <v>7744</v>
      </c>
      <c r="O75" s="341">
        <f t="shared" si="37"/>
        <v>2279</v>
      </c>
      <c r="P75" s="341">
        <f>IF(P74&lt;1,P69,P71)</f>
        <v>969959.05376968172</v>
      </c>
      <c r="Q75" s="341">
        <f t="shared" si="37"/>
        <v>18849</v>
      </c>
      <c r="R75" s="341">
        <f t="shared" si="37"/>
        <v>31023</v>
      </c>
      <c r="S75" s="341">
        <f t="shared" si="37"/>
        <v>56903</v>
      </c>
      <c r="T75" s="341">
        <f t="shared" si="37"/>
        <v>96505</v>
      </c>
      <c r="U75" s="341">
        <f t="shared" si="37"/>
        <v>77097</v>
      </c>
      <c r="V75" s="341">
        <f t="shared" si="37"/>
        <v>72465.805736910668</v>
      </c>
      <c r="W75" s="341">
        <f t="shared" si="37"/>
        <v>125251.57593029141</v>
      </c>
      <c r="X75" s="341">
        <f t="shared" si="37"/>
        <v>61095</v>
      </c>
      <c r="Y75" s="341">
        <f t="shared" si="37"/>
        <v>27137.6802054207</v>
      </c>
      <c r="Z75" s="341">
        <f t="shared" si="37"/>
        <v>46758</v>
      </c>
      <c r="AA75" s="341">
        <f t="shared" si="37"/>
        <v>66592.627556349456</v>
      </c>
      <c r="AB75" s="341">
        <f t="shared" si="37"/>
        <v>38365</v>
      </c>
      <c r="AC75" s="341">
        <f t="shared" si="37"/>
        <v>9464.3120083397316</v>
      </c>
      <c r="AD75" s="341">
        <f t="shared" si="37"/>
        <v>60987</v>
      </c>
      <c r="AE75" s="341">
        <f t="shared" si="37"/>
        <v>44828</v>
      </c>
      <c r="AF75" s="341">
        <f t="shared" si="37"/>
        <v>119179</v>
      </c>
    </row>
    <row r="77" spans="1:37" x14ac:dyDescent="0.25">
      <c r="P77">
        <v>0.97499999999999998</v>
      </c>
    </row>
    <row r="79" spans="1:37" x14ac:dyDescent="0.25">
      <c r="A79" s="93" t="s">
        <v>750</v>
      </c>
      <c r="E79" s="88" t="s">
        <v>751</v>
      </c>
    </row>
    <row r="80" spans="1:37" ht="15.75" x14ac:dyDescent="0.25">
      <c r="A80" s="158" t="s">
        <v>358</v>
      </c>
      <c r="B80" s="91" t="s">
        <v>435</v>
      </c>
      <c r="C80" s="158"/>
      <c r="D80" s="158" t="s">
        <v>342</v>
      </c>
      <c r="E80" s="91" t="s">
        <v>162</v>
      </c>
      <c r="F80" s="91" t="s">
        <v>164</v>
      </c>
      <c r="G80" s="91" t="s">
        <v>166</v>
      </c>
      <c r="H80" s="91" t="s">
        <v>168</v>
      </c>
      <c r="I80" s="91" t="s">
        <v>170</v>
      </c>
      <c r="J80" s="91" t="s">
        <v>173</v>
      </c>
      <c r="K80" s="91" t="s">
        <v>175</v>
      </c>
      <c r="L80" s="91" t="s">
        <v>177</v>
      </c>
      <c r="M80" s="91" t="s">
        <v>179</v>
      </c>
      <c r="N80" s="91" t="s">
        <v>181</v>
      </c>
      <c r="O80" s="91" t="s">
        <v>183</v>
      </c>
      <c r="P80" s="91" t="s">
        <v>185</v>
      </c>
      <c r="Q80" s="91" t="s">
        <v>188</v>
      </c>
      <c r="R80" s="91" t="s">
        <v>190</v>
      </c>
      <c r="S80" s="91" t="s">
        <v>192</v>
      </c>
      <c r="T80" s="91" t="s">
        <v>194</v>
      </c>
      <c r="U80" s="91" t="s">
        <v>196</v>
      </c>
      <c r="V80" s="91" t="s">
        <v>198</v>
      </c>
      <c r="W80" s="91" t="s">
        <v>9</v>
      </c>
      <c r="X80" s="91" t="s">
        <v>201</v>
      </c>
      <c r="Y80" s="91" t="s">
        <v>203</v>
      </c>
      <c r="Z80" s="91" t="s">
        <v>205</v>
      </c>
      <c r="AA80" s="91" t="s">
        <v>207</v>
      </c>
      <c r="AB80" s="91" t="s">
        <v>210</v>
      </c>
      <c r="AC80" s="91" t="s">
        <v>212</v>
      </c>
      <c r="AD80" s="91" t="s">
        <v>214</v>
      </c>
      <c r="AE80" s="91" t="s">
        <v>217</v>
      </c>
      <c r="AF80" s="91" t="s">
        <v>219</v>
      </c>
      <c r="AH80" s="111" t="s">
        <v>752</v>
      </c>
    </row>
    <row r="81" spans="1:35" x14ac:dyDescent="0.25">
      <c r="A81" t="s">
        <v>367</v>
      </c>
      <c r="B81" t="s">
        <v>368</v>
      </c>
      <c r="C81" t="s">
        <v>113</v>
      </c>
      <c r="D81" s="159" t="s">
        <v>363</v>
      </c>
      <c r="E81" s="191">
        <f t="shared" ref="E81:O81" si="38">IF(E$64&lt;1,E7/E$64,E7)</f>
        <v>0</v>
      </c>
      <c r="F81" s="191">
        <f t="shared" si="38"/>
        <v>0</v>
      </c>
      <c r="G81" s="191">
        <f t="shared" si="38"/>
        <v>0</v>
      </c>
      <c r="H81" s="191">
        <f t="shared" si="38"/>
        <v>0</v>
      </c>
      <c r="I81" s="191">
        <f t="shared" si="38"/>
        <v>0</v>
      </c>
      <c r="J81" s="191">
        <f t="shared" si="38"/>
        <v>0</v>
      </c>
      <c r="K81" s="191">
        <f t="shared" si="38"/>
        <v>0</v>
      </c>
      <c r="L81" s="191">
        <f t="shared" si="38"/>
        <v>0</v>
      </c>
      <c r="M81" s="191">
        <f t="shared" si="38"/>
        <v>0</v>
      </c>
      <c r="N81" s="191">
        <f t="shared" si="38"/>
        <v>0</v>
      </c>
      <c r="O81" s="191">
        <f t="shared" si="38"/>
        <v>0</v>
      </c>
      <c r="P81" s="191">
        <f>P7</f>
        <v>0</v>
      </c>
      <c r="Q81" s="191">
        <f t="shared" ref="Q81:V87" si="39">IF(Q$64&lt;1,Q7/Q$64,Q7)</f>
        <v>0</v>
      </c>
      <c r="R81" s="191">
        <f t="shared" si="39"/>
        <v>165</v>
      </c>
      <c r="S81" s="191">
        <f t="shared" si="39"/>
        <v>0</v>
      </c>
      <c r="T81" s="191">
        <f t="shared" si="39"/>
        <v>0</v>
      </c>
      <c r="U81" s="191">
        <f t="shared" si="39"/>
        <v>0</v>
      </c>
      <c r="V81" s="191">
        <f t="shared" si="39"/>
        <v>0</v>
      </c>
      <c r="W81" s="191">
        <f>$W$65*AH81</f>
        <v>0</v>
      </c>
      <c r="X81" s="191">
        <f t="shared" ref="X81:AF81" si="40">IF(X$64&lt;1,X7/X$64,X7)</f>
        <v>235</v>
      </c>
      <c r="Y81" s="191">
        <f t="shared" si="40"/>
        <v>0</v>
      </c>
      <c r="Z81" s="191">
        <f t="shared" si="40"/>
        <v>0</v>
      </c>
      <c r="AA81" s="191">
        <f t="shared" si="40"/>
        <v>0</v>
      </c>
      <c r="AB81" s="191">
        <f t="shared" si="40"/>
        <v>0</v>
      </c>
      <c r="AC81" s="191">
        <f t="shared" si="40"/>
        <v>0</v>
      </c>
      <c r="AD81" s="191">
        <f t="shared" si="40"/>
        <v>0</v>
      </c>
      <c r="AE81" s="191">
        <f t="shared" si="40"/>
        <v>0</v>
      </c>
      <c r="AF81" s="191">
        <f t="shared" si="40"/>
        <v>0</v>
      </c>
      <c r="AH81">
        <v>0</v>
      </c>
      <c r="AI81" s="101">
        <f>SUM(E81:O81,Q81:V81,X81:AF81)/SUM($E$81:$O$87,$Q$81:$V$87,$X$81:$AF$87,$Q$89:$V$95,$X$89:$AF$95,$E$89:$O$95)</f>
        <v>6.1991207827768148E-5</v>
      </c>
    </row>
    <row r="82" spans="1:35" x14ac:dyDescent="0.25">
      <c r="A82" t="s">
        <v>367</v>
      </c>
      <c r="B82" t="s">
        <v>368</v>
      </c>
      <c r="C82" t="s">
        <v>115</v>
      </c>
      <c r="D82" s="159" t="s">
        <v>363</v>
      </c>
      <c r="E82" s="191">
        <f t="shared" ref="E82:O82" si="41">IF(E$64&lt;1,E8/E$64,E8)</f>
        <v>0</v>
      </c>
      <c r="F82" s="191">
        <f t="shared" si="41"/>
        <v>0</v>
      </c>
      <c r="G82" s="191">
        <f t="shared" si="41"/>
        <v>0</v>
      </c>
      <c r="H82" s="191">
        <f t="shared" si="41"/>
        <v>0</v>
      </c>
      <c r="I82" s="191">
        <f t="shared" si="41"/>
        <v>83</v>
      </c>
      <c r="J82" s="191">
        <f t="shared" si="41"/>
        <v>0</v>
      </c>
      <c r="K82" s="191">
        <f t="shared" si="41"/>
        <v>0</v>
      </c>
      <c r="L82" s="191">
        <f t="shared" si="41"/>
        <v>0</v>
      </c>
      <c r="M82" s="191">
        <f t="shared" si="41"/>
        <v>0</v>
      </c>
      <c r="N82" s="191">
        <f t="shared" si="41"/>
        <v>0</v>
      </c>
      <c r="O82" s="191">
        <f t="shared" si="41"/>
        <v>0</v>
      </c>
      <c r="P82" s="191">
        <f>P8</f>
        <v>0</v>
      </c>
      <c r="Q82" s="191">
        <f t="shared" si="39"/>
        <v>0</v>
      </c>
      <c r="R82" s="191">
        <f t="shared" si="39"/>
        <v>13</v>
      </c>
      <c r="S82" s="191">
        <f t="shared" si="39"/>
        <v>25</v>
      </c>
      <c r="T82" s="191">
        <f t="shared" si="39"/>
        <v>275</v>
      </c>
      <c r="U82" s="191">
        <f t="shared" si="39"/>
        <v>108</v>
      </c>
      <c r="V82" s="191">
        <f t="shared" si="39"/>
        <v>0</v>
      </c>
      <c r="W82" s="191">
        <f t="shared" ref="W82:W94" si="42">$W$65*AH82</f>
        <v>0</v>
      </c>
      <c r="X82" s="191">
        <f t="shared" ref="X82:AF82" si="43">IF(X$64&lt;1,X8/X$64,X8)</f>
        <v>0</v>
      </c>
      <c r="Y82" s="191">
        <f t="shared" si="43"/>
        <v>0</v>
      </c>
      <c r="Z82" s="191">
        <f t="shared" si="43"/>
        <v>0</v>
      </c>
      <c r="AA82" s="191">
        <f t="shared" si="43"/>
        <v>0</v>
      </c>
      <c r="AB82" s="191">
        <f t="shared" si="43"/>
        <v>0</v>
      </c>
      <c r="AC82" s="191">
        <f t="shared" si="43"/>
        <v>0</v>
      </c>
      <c r="AD82" s="191">
        <f t="shared" si="43"/>
        <v>0</v>
      </c>
      <c r="AE82" s="191">
        <f t="shared" si="43"/>
        <v>0</v>
      </c>
      <c r="AF82" s="191">
        <f t="shared" si="43"/>
        <v>0</v>
      </c>
      <c r="AH82">
        <v>0</v>
      </c>
      <c r="AI82" s="101">
        <f t="shared" ref="AI82:AI95" si="44">SUM(E82:O82,Q82:V82,X82:AF82)/SUM($E$81:$O$87,$Q$81:$V$87,$X$81:$AF$87,$Q$89:$V$95,$X$89:$AF$95,$E$89:$O$95)</f>
        <v>7.8108921862987874E-5</v>
      </c>
    </row>
    <row r="83" spans="1:35" x14ac:dyDescent="0.25">
      <c r="A83" t="s">
        <v>367</v>
      </c>
      <c r="B83" t="s">
        <v>368</v>
      </c>
      <c r="C83" t="s">
        <v>117</v>
      </c>
      <c r="D83" s="159" t="s">
        <v>363</v>
      </c>
      <c r="E83" s="191">
        <f t="shared" ref="E83:O83" si="45">IF(E$64&lt;1,E9/E$64,E9)</f>
        <v>0</v>
      </c>
      <c r="F83" s="191">
        <f t="shared" si="45"/>
        <v>4085.225537916489</v>
      </c>
      <c r="G83" s="191">
        <f t="shared" si="45"/>
        <v>1170.3697388078685</v>
      </c>
      <c r="H83" s="191">
        <f t="shared" si="45"/>
        <v>1344.957149892804</v>
      </c>
      <c r="I83" s="191">
        <f t="shared" si="45"/>
        <v>3033</v>
      </c>
      <c r="J83" s="191">
        <f t="shared" si="45"/>
        <v>1</v>
      </c>
      <c r="K83" s="191">
        <f t="shared" si="45"/>
        <v>19800</v>
      </c>
      <c r="L83" s="191">
        <f t="shared" si="45"/>
        <v>0</v>
      </c>
      <c r="M83" s="191">
        <f t="shared" si="45"/>
        <v>6843</v>
      </c>
      <c r="N83" s="191">
        <f t="shared" si="45"/>
        <v>924</v>
      </c>
      <c r="O83" s="191">
        <f t="shared" si="45"/>
        <v>0</v>
      </c>
      <c r="P83" s="191">
        <f>P9</f>
        <v>11296</v>
      </c>
      <c r="Q83" s="191">
        <f t="shared" si="39"/>
        <v>324</v>
      </c>
      <c r="R83" s="191">
        <f t="shared" si="39"/>
        <v>11924</v>
      </c>
      <c r="S83" s="191">
        <f t="shared" si="39"/>
        <v>4261</v>
      </c>
      <c r="T83" s="191">
        <f t="shared" si="39"/>
        <v>32992</v>
      </c>
      <c r="U83" s="191">
        <f t="shared" si="39"/>
        <v>8514</v>
      </c>
      <c r="V83" s="191">
        <f t="shared" si="39"/>
        <v>0</v>
      </c>
      <c r="W83" s="191">
        <f t="shared" si="42"/>
        <v>42445.03588204363</v>
      </c>
      <c r="X83" s="191">
        <f t="shared" ref="X83:AF83" si="46">IF(X$64&lt;1,X9/X$64,X9)</f>
        <v>6059</v>
      </c>
      <c r="Y83" s="191">
        <f t="shared" si="46"/>
        <v>1613.8417616660565</v>
      </c>
      <c r="Z83" s="191">
        <f t="shared" si="46"/>
        <v>0</v>
      </c>
      <c r="AA83" s="191">
        <f t="shared" si="46"/>
        <v>0</v>
      </c>
      <c r="AB83" s="191">
        <f t="shared" si="46"/>
        <v>0</v>
      </c>
      <c r="AC83" s="191">
        <f t="shared" si="46"/>
        <v>0</v>
      </c>
      <c r="AD83" s="191">
        <f t="shared" si="46"/>
        <v>54</v>
      </c>
      <c r="AE83" s="191">
        <f t="shared" si="46"/>
        <v>68</v>
      </c>
      <c r="AF83" s="191">
        <f t="shared" si="46"/>
        <v>21052</v>
      </c>
      <c r="AH83">
        <v>0.05</v>
      </c>
      <c r="AI83" s="101">
        <f t="shared" si="44"/>
        <v>1.9227099132360471E-2</v>
      </c>
    </row>
    <row r="84" spans="1:35" x14ac:dyDescent="0.25">
      <c r="A84" t="s">
        <v>367</v>
      </c>
      <c r="B84" t="s">
        <v>368</v>
      </c>
      <c r="C84" t="s">
        <v>119</v>
      </c>
      <c r="D84" s="159" t="s">
        <v>363</v>
      </c>
      <c r="E84" s="191">
        <f t="shared" ref="E84:O84" si="47">IF(E$64&lt;1,E10/E$64,E10)</f>
        <v>0</v>
      </c>
      <c r="F84" s="191">
        <f t="shared" si="47"/>
        <v>0</v>
      </c>
      <c r="G84" s="191">
        <f t="shared" si="47"/>
        <v>0</v>
      </c>
      <c r="H84" s="191">
        <f t="shared" si="47"/>
        <v>0</v>
      </c>
      <c r="I84" s="191">
        <f t="shared" si="47"/>
        <v>0</v>
      </c>
      <c r="J84" s="191">
        <f t="shared" si="47"/>
        <v>0</v>
      </c>
      <c r="K84" s="191">
        <f t="shared" si="47"/>
        <v>0</v>
      </c>
      <c r="L84" s="191">
        <f t="shared" si="47"/>
        <v>0</v>
      </c>
      <c r="M84" s="191">
        <f t="shared" si="47"/>
        <v>228</v>
      </c>
      <c r="N84" s="191">
        <f t="shared" si="47"/>
        <v>0</v>
      </c>
      <c r="O84" s="191">
        <f t="shared" si="47"/>
        <v>0</v>
      </c>
      <c r="P84" s="191">
        <f>P10</f>
        <v>0</v>
      </c>
      <c r="Q84" s="191">
        <f t="shared" si="39"/>
        <v>0</v>
      </c>
      <c r="R84" s="191">
        <f t="shared" si="39"/>
        <v>0</v>
      </c>
      <c r="S84" s="191">
        <f t="shared" si="39"/>
        <v>2</v>
      </c>
      <c r="T84" s="191">
        <f t="shared" si="39"/>
        <v>80</v>
      </c>
      <c r="U84" s="191">
        <f t="shared" si="39"/>
        <v>440</v>
      </c>
      <c r="V84" s="191">
        <f t="shared" si="39"/>
        <v>348.04942129880482</v>
      </c>
      <c r="W84" s="191">
        <f t="shared" si="42"/>
        <v>0</v>
      </c>
      <c r="X84" s="191">
        <f t="shared" ref="X84:AF84" si="48">IF(X$64&lt;1,X10/X$64,X10)</f>
        <v>0</v>
      </c>
      <c r="Y84" s="191">
        <f t="shared" si="48"/>
        <v>0</v>
      </c>
      <c r="Z84" s="191">
        <f t="shared" si="48"/>
        <v>0</v>
      </c>
      <c r="AA84" s="191">
        <f t="shared" si="48"/>
        <v>0</v>
      </c>
      <c r="AB84" s="191">
        <f t="shared" si="48"/>
        <v>0</v>
      </c>
      <c r="AC84" s="191">
        <f t="shared" si="48"/>
        <v>0</v>
      </c>
      <c r="AD84" s="191">
        <f t="shared" si="48"/>
        <v>0</v>
      </c>
      <c r="AE84" s="191">
        <f t="shared" si="48"/>
        <v>0</v>
      </c>
      <c r="AF84" s="191">
        <f t="shared" si="48"/>
        <v>273</v>
      </c>
      <c r="AH84">
        <v>0</v>
      </c>
      <c r="AI84" s="101">
        <f t="shared" si="44"/>
        <v>2.1248252404468867E-4</v>
      </c>
    </row>
    <row r="85" spans="1:35" x14ac:dyDescent="0.25">
      <c r="A85" t="s">
        <v>367</v>
      </c>
      <c r="B85" t="s">
        <v>368</v>
      </c>
      <c r="C85" t="s">
        <v>120</v>
      </c>
      <c r="D85" s="159" t="s">
        <v>363</v>
      </c>
      <c r="E85" s="582">
        <f>IF(E$64&lt;1,E11/E$64,E11)+EnergyBalance!E434</f>
        <v>46937</v>
      </c>
      <c r="F85" s="582">
        <f>IF(F$64&lt;1,F11/F$64,F11)+EnergyBalance!F434</f>
        <v>101160</v>
      </c>
      <c r="G85" s="582">
        <f>IF(G$64&lt;1,G11/G$64,G11)+EnergyBalance!G434</f>
        <v>17559.339270075412</v>
      </c>
      <c r="H85" s="191">
        <f t="shared" ref="H85:O87" si="49">IF(H$64&lt;1,H11/H$64,H11)</f>
        <v>42946.451047978939</v>
      </c>
      <c r="I85" s="191">
        <f t="shared" si="49"/>
        <v>21761</v>
      </c>
      <c r="J85" s="191">
        <f t="shared" si="49"/>
        <v>56808</v>
      </c>
      <c r="K85" s="191">
        <f t="shared" si="49"/>
        <v>365731</v>
      </c>
      <c r="L85" s="191">
        <f t="shared" si="49"/>
        <v>155792</v>
      </c>
      <c r="M85" s="191">
        <f t="shared" si="49"/>
        <v>3098</v>
      </c>
      <c r="N85" s="191">
        <f t="shared" si="49"/>
        <v>9657</v>
      </c>
      <c r="O85" s="191">
        <f t="shared" si="49"/>
        <v>99</v>
      </c>
      <c r="P85" s="582">
        <f>P65-(SUM(P7:P21))</f>
        <v>4942826.0295491498</v>
      </c>
      <c r="Q85" s="191">
        <f t="shared" si="39"/>
        <v>59635</v>
      </c>
      <c r="R85" s="191">
        <f t="shared" si="39"/>
        <v>21555</v>
      </c>
      <c r="S85" s="191">
        <f t="shared" si="39"/>
        <v>39909</v>
      </c>
      <c r="T85" s="191">
        <f t="shared" si="39"/>
        <v>20254</v>
      </c>
      <c r="U85" s="191">
        <f t="shared" si="39"/>
        <v>55015</v>
      </c>
      <c r="V85" s="191">
        <f t="shared" si="39"/>
        <v>505144.01366931538</v>
      </c>
      <c r="W85" s="191">
        <f t="shared" si="42"/>
        <v>721565.60999474162</v>
      </c>
      <c r="X85" s="191">
        <f>IF(X$64&lt;1,X11/X$64,X11)</f>
        <v>126700</v>
      </c>
      <c r="Y85" s="582">
        <f>IF(Y$64&lt;1,Y11/Y$64,Y11)+EnergyBalance!Y434</f>
        <v>63880.224280255592</v>
      </c>
      <c r="Z85" s="191">
        <f>IF(Z$64&lt;1,Z11/Z$64,Z11)</f>
        <v>71791</v>
      </c>
      <c r="AA85" s="582">
        <f>IF(AA$64&lt;1,AA11/AA$64,AA11)+EnergyBalance!AA434</f>
        <v>77318</v>
      </c>
      <c r="AB85" s="191">
        <f>IF(AB$64&lt;1,AB11/AB$64,AB11)</f>
        <v>4267</v>
      </c>
      <c r="AC85" s="582">
        <f>IF(AC$64&lt;1,AC11/AC$64,AC11)+EnergyBalance!AC434</f>
        <v>1409</v>
      </c>
      <c r="AD85" s="191">
        <f t="shared" ref="AD85:AF87" si="50">IF(AD$64&lt;1,AD11/AD$64,AD11)</f>
        <v>29891</v>
      </c>
      <c r="AE85" s="191">
        <f t="shared" si="50"/>
        <v>94013</v>
      </c>
      <c r="AF85" s="191">
        <f t="shared" si="50"/>
        <v>193312</v>
      </c>
      <c r="AH85">
        <v>0.85</v>
      </c>
      <c r="AI85" s="101">
        <f t="shared" si="44"/>
        <v>0.33872647302860776</v>
      </c>
    </row>
    <row r="86" spans="1:35" x14ac:dyDescent="0.25">
      <c r="A86" t="s">
        <v>367</v>
      </c>
      <c r="B86" t="s">
        <v>368</v>
      </c>
      <c r="C86" t="s">
        <v>122</v>
      </c>
      <c r="D86" s="159" t="s">
        <v>363</v>
      </c>
      <c r="E86" s="191">
        <f t="shared" ref="E86:G87" si="51">IF(E$64&lt;1,E12/E$64,E12)</f>
        <v>0</v>
      </c>
      <c r="F86" s="191">
        <f t="shared" si="51"/>
        <v>0</v>
      </c>
      <c r="G86" s="191">
        <f t="shared" si="51"/>
        <v>0</v>
      </c>
      <c r="H86" s="191">
        <f t="shared" si="49"/>
        <v>0</v>
      </c>
      <c r="I86" s="191">
        <f t="shared" si="49"/>
        <v>0</v>
      </c>
      <c r="J86" s="191">
        <f t="shared" si="49"/>
        <v>0</v>
      </c>
      <c r="K86" s="191">
        <f t="shared" si="49"/>
        <v>0</v>
      </c>
      <c r="L86" s="191">
        <f t="shared" si="49"/>
        <v>0</v>
      </c>
      <c r="M86" s="191">
        <f t="shared" si="49"/>
        <v>0</v>
      </c>
      <c r="N86" s="191">
        <f t="shared" si="49"/>
        <v>0</v>
      </c>
      <c r="O86" s="191">
        <f t="shared" si="49"/>
        <v>0</v>
      </c>
      <c r="P86" s="191">
        <f>P12</f>
        <v>0</v>
      </c>
      <c r="Q86" s="191">
        <f t="shared" si="39"/>
        <v>0</v>
      </c>
      <c r="R86" s="191">
        <f t="shared" si="39"/>
        <v>0</v>
      </c>
      <c r="S86" s="191">
        <f t="shared" si="39"/>
        <v>2630</v>
      </c>
      <c r="T86" s="191">
        <f t="shared" si="39"/>
        <v>0</v>
      </c>
      <c r="U86" s="191">
        <f t="shared" si="39"/>
        <v>3595</v>
      </c>
      <c r="V86" s="191">
        <f t="shared" si="39"/>
        <v>0</v>
      </c>
      <c r="W86" s="191">
        <f t="shared" si="42"/>
        <v>0</v>
      </c>
      <c r="X86" s="191">
        <f>IF(X$64&lt;1,X12/X$64,X12)</f>
        <v>6389</v>
      </c>
      <c r="Y86" s="191">
        <f>IF(Y$64&lt;1,Y12/Y$64,Y12)</f>
        <v>0</v>
      </c>
      <c r="Z86" s="191">
        <f>IF(Z$64&lt;1,Z12/Z$64,Z12)</f>
        <v>0</v>
      </c>
      <c r="AA86" s="191">
        <f>IF(AA$64&lt;1,AA12/AA$64,AA12)</f>
        <v>0</v>
      </c>
      <c r="AB86" s="191">
        <f>IF(AB$64&lt;1,AB12/AB$64,AB12)</f>
        <v>0</v>
      </c>
      <c r="AC86" s="191">
        <f>IF(AC$64&lt;1,AC12/AC$64,AC12)</f>
        <v>0</v>
      </c>
      <c r="AD86" s="191">
        <f t="shared" si="50"/>
        <v>961</v>
      </c>
      <c r="AE86" s="191">
        <f t="shared" si="50"/>
        <v>0</v>
      </c>
      <c r="AF86" s="191">
        <f t="shared" si="50"/>
        <v>0</v>
      </c>
      <c r="AH86">
        <v>0</v>
      </c>
      <c r="AI86" s="101">
        <f t="shared" si="44"/>
        <v>2.1038266156548817E-3</v>
      </c>
    </row>
    <row r="87" spans="1:35" x14ac:dyDescent="0.25">
      <c r="A87" t="s">
        <v>367</v>
      </c>
      <c r="B87" t="s">
        <v>368</v>
      </c>
      <c r="C87" t="s">
        <v>124</v>
      </c>
      <c r="D87" s="159" t="s">
        <v>363</v>
      </c>
      <c r="E87" s="191">
        <f t="shared" si="51"/>
        <v>0</v>
      </c>
      <c r="F87" s="191">
        <f t="shared" si="51"/>
        <v>0</v>
      </c>
      <c r="G87" s="191">
        <f t="shared" si="51"/>
        <v>0</v>
      </c>
      <c r="H87" s="191">
        <f t="shared" si="49"/>
        <v>0</v>
      </c>
      <c r="I87" s="191">
        <f t="shared" si="49"/>
        <v>108</v>
      </c>
      <c r="J87" s="191">
        <f t="shared" si="49"/>
        <v>253</v>
      </c>
      <c r="K87" s="191">
        <f t="shared" si="49"/>
        <v>0</v>
      </c>
      <c r="L87" s="191">
        <f t="shared" si="49"/>
        <v>0</v>
      </c>
      <c r="M87" s="191">
        <f t="shared" si="49"/>
        <v>1878</v>
      </c>
      <c r="N87" s="191">
        <f t="shared" si="49"/>
        <v>692</v>
      </c>
      <c r="O87" s="191">
        <f t="shared" si="49"/>
        <v>0</v>
      </c>
      <c r="P87" s="191">
        <f>P13</f>
        <v>0</v>
      </c>
      <c r="Q87" s="191">
        <f t="shared" si="39"/>
        <v>649</v>
      </c>
      <c r="R87" s="191">
        <f t="shared" si="39"/>
        <v>674</v>
      </c>
      <c r="S87" s="191">
        <f t="shared" si="39"/>
        <v>7412</v>
      </c>
      <c r="T87" s="191">
        <f t="shared" si="39"/>
        <v>1844</v>
      </c>
      <c r="U87" s="191">
        <f t="shared" si="39"/>
        <v>30143</v>
      </c>
      <c r="V87" s="191">
        <f t="shared" si="39"/>
        <v>0</v>
      </c>
      <c r="W87" s="191">
        <f t="shared" si="42"/>
        <v>0</v>
      </c>
      <c r="X87" s="191">
        <f>IF(X$64&lt;1,X13/X$64,X13)</f>
        <v>5513</v>
      </c>
      <c r="Y87" s="582">
        <f>IF(Y$64&lt;1,Y13/Y$64,Y13)+EnergyBalance!Y436</f>
        <v>181</v>
      </c>
      <c r="Z87" s="191">
        <f>IF(Z$64&lt;1,Z13/Z$64,Z13)</f>
        <v>2259</v>
      </c>
      <c r="AA87" s="191">
        <f>IF(AA$64&lt;1,AA13/AA$64,AA13)</f>
        <v>0</v>
      </c>
      <c r="AB87" s="191">
        <f>IF(AB$64&lt;1,AB13/AB$64,AB13)</f>
        <v>0</v>
      </c>
      <c r="AC87" s="191">
        <f>IF(AC$64&lt;1,AC13/AC$64,AC13)</f>
        <v>0</v>
      </c>
      <c r="AD87" s="191">
        <f t="shared" si="50"/>
        <v>2422</v>
      </c>
      <c r="AE87" s="191">
        <f t="shared" si="50"/>
        <v>0</v>
      </c>
      <c r="AF87" s="191">
        <f t="shared" si="50"/>
        <v>0</v>
      </c>
      <c r="AH87">
        <v>0</v>
      </c>
      <c r="AI87" s="101">
        <f t="shared" si="44"/>
        <v>8.3731524412966451E-3</v>
      </c>
    </row>
    <row r="88" spans="1:35" x14ac:dyDescent="0.25">
      <c r="A88" t="s">
        <v>367</v>
      </c>
      <c r="B88" t="s">
        <v>368</v>
      </c>
      <c r="C88" t="s">
        <v>126</v>
      </c>
      <c r="D88" s="159" t="s">
        <v>363</v>
      </c>
      <c r="E88" s="160">
        <f t="shared" ref="E88:AF88" si="52">E75</f>
        <v>10792.689922484182</v>
      </c>
      <c r="F88" s="160">
        <f t="shared" si="52"/>
        <v>38077.519291903714</v>
      </c>
      <c r="G88" s="160">
        <f t="shared" si="52"/>
        <v>14212.51619374113</v>
      </c>
      <c r="H88" s="160">
        <f t="shared" si="52"/>
        <v>9298.0693104541115</v>
      </c>
      <c r="I88" s="160">
        <f t="shared" si="52"/>
        <v>12579</v>
      </c>
      <c r="J88" s="160">
        <f t="shared" si="52"/>
        <v>15537.437576543405</v>
      </c>
      <c r="K88" s="160">
        <f t="shared" si="52"/>
        <v>35010.218384519758</v>
      </c>
      <c r="L88" s="160">
        <f t="shared" si="52"/>
        <v>36498.913514248954</v>
      </c>
      <c r="M88" s="160">
        <f t="shared" si="52"/>
        <v>23936.860202640615</v>
      </c>
      <c r="N88" s="160">
        <f t="shared" si="52"/>
        <v>7744</v>
      </c>
      <c r="O88" s="160">
        <f t="shared" si="52"/>
        <v>2279</v>
      </c>
      <c r="P88" s="160">
        <f t="shared" si="52"/>
        <v>969959.05376968172</v>
      </c>
      <c r="Q88" s="160">
        <f t="shared" si="52"/>
        <v>18849</v>
      </c>
      <c r="R88" s="160">
        <f t="shared" si="52"/>
        <v>31023</v>
      </c>
      <c r="S88" s="160">
        <f t="shared" si="52"/>
        <v>56903</v>
      </c>
      <c r="T88" s="160">
        <f t="shared" si="52"/>
        <v>96505</v>
      </c>
      <c r="U88" s="160">
        <f t="shared" si="52"/>
        <v>77097</v>
      </c>
      <c r="V88" s="160">
        <f t="shared" si="52"/>
        <v>72465.805736910668</v>
      </c>
      <c r="W88" s="160">
        <f t="shared" si="52"/>
        <v>125251.57593029141</v>
      </c>
      <c r="X88" s="160">
        <f t="shared" si="52"/>
        <v>61095</v>
      </c>
      <c r="Y88" s="160">
        <f t="shared" si="52"/>
        <v>27137.6802054207</v>
      </c>
      <c r="Z88" s="160">
        <f t="shared" si="52"/>
        <v>46758</v>
      </c>
      <c r="AA88" s="160">
        <f t="shared" si="52"/>
        <v>66592.627556349456</v>
      </c>
      <c r="AB88" s="160">
        <f t="shared" si="52"/>
        <v>38365</v>
      </c>
      <c r="AC88" s="160">
        <f t="shared" si="52"/>
        <v>9464.3120083397316</v>
      </c>
      <c r="AD88" s="160">
        <f t="shared" si="52"/>
        <v>60987</v>
      </c>
      <c r="AE88" s="160">
        <f t="shared" si="52"/>
        <v>44828</v>
      </c>
      <c r="AF88" s="160">
        <f t="shared" si="52"/>
        <v>119179</v>
      </c>
      <c r="AI88" s="101">
        <f t="shared" si="44"/>
        <v>0.16012571521018476</v>
      </c>
    </row>
    <row r="89" spans="1:35" x14ac:dyDescent="0.25">
      <c r="A89" t="s">
        <v>367</v>
      </c>
      <c r="B89" t="s">
        <v>368</v>
      </c>
      <c r="C89" t="s">
        <v>128</v>
      </c>
      <c r="D89" s="159" t="s">
        <v>363</v>
      </c>
      <c r="E89" s="191">
        <f>IF(E$64&lt;1,E15/E$64,E15)</f>
        <v>3028.8510550913829</v>
      </c>
      <c r="F89" s="582">
        <f>IF(F$64&lt;1,F15/F$64,F15)-+EnergyBalance!F434</f>
        <v>64796.649620599463</v>
      </c>
      <c r="G89" s="191">
        <f t="shared" ref="G89:O89" si="53">IF(G$64&lt;1,G15/G$64,G15)</f>
        <v>0</v>
      </c>
      <c r="H89" s="191">
        <f t="shared" si="53"/>
        <v>16488.2947791765</v>
      </c>
      <c r="I89" s="191">
        <f t="shared" si="53"/>
        <v>48090</v>
      </c>
      <c r="J89" s="191">
        <f t="shared" si="53"/>
        <v>62807</v>
      </c>
      <c r="K89" s="191">
        <f t="shared" si="53"/>
        <v>36923</v>
      </c>
      <c r="L89" s="191">
        <f t="shared" si="53"/>
        <v>0</v>
      </c>
      <c r="M89" s="191">
        <f t="shared" si="53"/>
        <v>49676</v>
      </c>
      <c r="N89" s="191">
        <f t="shared" si="53"/>
        <v>36610</v>
      </c>
      <c r="O89" s="191">
        <f t="shared" si="53"/>
        <v>366</v>
      </c>
      <c r="P89" s="191">
        <f t="shared" ref="P89:P95" si="54">P15</f>
        <v>0</v>
      </c>
      <c r="Q89" s="191">
        <f t="shared" ref="Q89:V95" si="55">IF(Q$64&lt;1,Q15/Q$64,Q15)</f>
        <v>35224</v>
      </c>
      <c r="R89" s="191">
        <f t="shared" si="55"/>
        <v>51785</v>
      </c>
      <c r="S89" s="191">
        <f t="shared" si="55"/>
        <v>113986</v>
      </c>
      <c r="T89" s="191">
        <f t="shared" si="55"/>
        <v>250235</v>
      </c>
      <c r="U89" s="191">
        <f t="shared" si="55"/>
        <v>170235</v>
      </c>
      <c r="V89" s="191">
        <f t="shared" si="55"/>
        <v>59334.139440462917</v>
      </c>
      <c r="W89" s="191">
        <f t="shared" si="42"/>
        <v>0</v>
      </c>
      <c r="X89" s="191">
        <f t="shared" ref="X89:X95" si="56">IF(X$64&lt;1,X15/X$64,X15)</f>
        <v>32095</v>
      </c>
      <c r="Y89" s="191">
        <f>IF(Y$64&lt;1,Y15/Y$64,Y15)-EnergyBalance!Y434</f>
        <v>56146.451938456594</v>
      </c>
      <c r="Z89" s="191">
        <f t="shared" ref="Z89:Z95" si="57">IF(Z$64&lt;1,Z15/Z$64,Z15)</f>
        <v>63356</v>
      </c>
      <c r="AA89" s="191">
        <f>IF(AA$64&lt;1,AA15/AA$64,AA15)-EnergyBalance!AA434</f>
        <v>461109.09430436027</v>
      </c>
      <c r="AB89" s="191">
        <f t="shared" ref="AB89:AB95" si="58">IF(AB$64&lt;1,AB15/AB$64,AB15)</f>
        <v>48877</v>
      </c>
      <c r="AC89" s="582">
        <f>-(EnergyBalance!AC434*0.7)</f>
        <v>40629.551615588149</v>
      </c>
      <c r="AD89" s="191">
        <f t="shared" ref="AD89:AF95" si="59">IF(AD$64&lt;1,AD15/AD$64,AD15)</f>
        <v>339508</v>
      </c>
      <c r="AE89" s="191">
        <f t="shared" si="59"/>
        <v>24901</v>
      </c>
      <c r="AF89" s="191">
        <f t="shared" si="59"/>
        <v>398884</v>
      </c>
      <c r="AH89">
        <v>0</v>
      </c>
      <c r="AI89" s="101">
        <f t="shared" si="44"/>
        <v>0.38203492631451108</v>
      </c>
    </row>
    <row r="90" spans="1:35" x14ac:dyDescent="0.25">
      <c r="A90" t="s">
        <v>367</v>
      </c>
      <c r="B90" t="s">
        <v>368</v>
      </c>
      <c r="C90" t="s">
        <v>130</v>
      </c>
      <c r="D90" s="159" t="s">
        <v>363</v>
      </c>
      <c r="E90" s="191">
        <f>IF(E$64&lt;1,E16/E$64,E16)</f>
        <v>0</v>
      </c>
      <c r="F90" s="191">
        <f>IF(F$64&lt;1,F16/F$64,F16)</f>
        <v>0</v>
      </c>
      <c r="G90" s="191">
        <f t="shared" ref="G90:O90" si="60">IF(G$64&lt;1,G16/G$64,G16)</f>
        <v>0</v>
      </c>
      <c r="H90" s="191">
        <f t="shared" si="60"/>
        <v>0</v>
      </c>
      <c r="I90" s="191">
        <f t="shared" si="60"/>
        <v>0</v>
      </c>
      <c r="J90" s="191">
        <f t="shared" si="60"/>
        <v>2193</v>
      </c>
      <c r="K90" s="191">
        <f t="shared" si="60"/>
        <v>0</v>
      </c>
      <c r="L90" s="191">
        <f t="shared" si="60"/>
        <v>0</v>
      </c>
      <c r="M90" s="191">
        <f t="shared" si="60"/>
        <v>0</v>
      </c>
      <c r="N90" s="191">
        <f t="shared" si="60"/>
        <v>0</v>
      </c>
      <c r="O90" s="191">
        <f t="shared" si="60"/>
        <v>0</v>
      </c>
      <c r="P90" s="191">
        <f t="shared" si="54"/>
        <v>0</v>
      </c>
      <c r="Q90" s="191">
        <f t="shared" si="55"/>
        <v>5445</v>
      </c>
      <c r="R90" s="191">
        <f t="shared" si="55"/>
        <v>36</v>
      </c>
      <c r="S90" s="191">
        <f t="shared" si="55"/>
        <v>2192</v>
      </c>
      <c r="T90" s="191">
        <f t="shared" si="55"/>
        <v>7389</v>
      </c>
      <c r="U90" s="191">
        <f t="shared" si="55"/>
        <v>2120</v>
      </c>
      <c r="V90" s="191">
        <f t="shared" si="55"/>
        <v>0</v>
      </c>
      <c r="W90" s="191">
        <f t="shared" si="42"/>
        <v>0</v>
      </c>
      <c r="X90" s="191">
        <f t="shared" si="56"/>
        <v>0</v>
      </c>
      <c r="Y90" s="191">
        <f t="shared" ref="Y90:Y95" si="61">IF(Y$64&lt;1,Y16/Y$64,Y16)</f>
        <v>0</v>
      </c>
      <c r="Z90" s="191">
        <f t="shared" si="57"/>
        <v>0</v>
      </c>
      <c r="AA90" s="191">
        <f t="shared" ref="AA90:AA95" si="62">IF(AA$64&lt;1,AA16/AA$64,AA16)</f>
        <v>0</v>
      </c>
      <c r="AB90" s="191">
        <f t="shared" si="58"/>
        <v>0</v>
      </c>
      <c r="AC90" s="191">
        <f>IF(AC$64&lt;1,AC16/AC$64,AC16)</f>
        <v>0</v>
      </c>
      <c r="AD90" s="191">
        <f t="shared" si="59"/>
        <v>88621</v>
      </c>
      <c r="AE90" s="191">
        <f t="shared" si="59"/>
        <v>119</v>
      </c>
      <c r="AF90" s="191">
        <f t="shared" si="59"/>
        <v>149</v>
      </c>
      <c r="AH90">
        <v>0</v>
      </c>
      <c r="AI90" s="101">
        <f t="shared" si="44"/>
        <v>1.6778540310663729E-2</v>
      </c>
    </row>
    <row r="91" spans="1:35" x14ac:dyDescent="0.25">
      <c r="A91" t="s">
        <v>367</v>
      </c>
      <c r="B91" t="s">
        <v>368</v>
      </c>
      <c r="C91" t="s">
        <v>132</v>
      </c>
      <c r="D91" s="159" t="s">
        <v>363</v>
      </c>
      <c r="E91" s="191">
        <f>IF(E$64&lt;1,E17/E$64,E17)</f>
        <v>0</v>
      </c>
      <c r="F91" s="191">
        <f>IF(F$64&lt;1,F17/F$64,F17)</f>
        <v>4067.4577453460925</v>
      </c>
      <c r="G91" s="191">
        <f t="shared" ref="G91:O91" si="63">IF(G$64&lt;1,G17/G$64,G17)</f>
        <v>0</v>
      </c>
      <c r="H91" s="191">
        <f t="shared" si="63"/>
        <v>0</v>
      </c>
      <c r="I91" s="191">
        <f t="shared" si="63"/>
        <v>4180</v>
      </c>
      <c r="J91" s="191">
        <f t="shared" si="63"/>
        <v>586</v>
      </c>
      <c r="K91" s="191">
        <f t="shared" si="63"/>
        <v>3068</v>
      </c>
      <c r="L91" s="191">
        <f t="shared" si="63"/>
        <v>0</v>
      </c>
      <c r="M91" s="191">
        <f t="shared" si="63"/>
        <v>7108</v>
      </c>
      <c r="N91" s="191">
        <f t="shared" si="63"/>
        <v>0</v>
      </c>
      <c r="O91" s="191">
        <f t="shared" si="63"/>
        <v>56</v>
      </c>
      <c r="P91" s="191">
        <f t="shared" si="54"/>
        <v>29186</v>
      </c>
      <c r="Q91" s="191">
        <f t="shared" si="55"/>
        <v>1003</v>
      </c>
      <c r="R91" s="191">
        <f t="shared" si="55"/>
        <v>1542</v>
      </c>
      <c r="S91" s="191">
        <f t="shared" si="55"/>
        <v>1014</v>
      </c>
      <c r="T91" s="191">
        <f t="shared" si="55"/>
        <v>5649</v>
      </c>
      <c r="U91" s="191">
        <f t="shared" si="55"/>
        <v>2633</v>
      </c>
      <c r="V91" s="191">
        <f t="shared" si="55"/>
        <v>24330.311926983119</v>
      </c>
      <c r="W91" s="191">
        <f t="shared" si="42"/>
        <v>0</v>
      </c>
      <c r="X91" s="191">
        <f t="shared" si="56"/>
        <v>3979</v>
      </c>
      <c r="Y91" s="191">
        <f t="shared" si="61"/>
        <v>1449.8685345449064</v>
      </c>
      <c r="Z91" s="191">
        <f t="shared" si="57"/>
        <v>197</v>
      </c>
      <c r="AA91" s="191">
        <f t="shared" si="62"/>
        <v>0</v>
      </c>
      <c r="AB91" s="191">
        <f t="shared" si="58"/>
        <v>92</v>
      </c>
      <c r="AC91" s="191">
        <f>IF(AC$64&lt;1,AC17/AC$64,AC17)</f>
        <v>0</v>
      </c>
      <c r="AD91" s="191">
        <f t="shared" si="59"/>
        <v>750</v>
      </c>
      <c r="AE91" s="191">
        <f t="shared" si="59"/>
        <v>646</v>
      </c>
      <c r="AF91" s="191">
        <f t="shared" si="59"/>
        <v>717</v>
      </c>
      <c r="AH91">
        <v>0</v>
      </c>
      <c r="AI91" s="101">
        <f t="shared" si="44"/>
        <v>9.7740976682220617E-3</v>
      </c>
    </row>
    <row r="92" spans="1:35" x14ac:dyDescent="0.25">
      <c r="A92" t="s">
        <v>367</v>
      </c>
      <c r="B92" t="s">
        <v>368</v>
      </c>
      <c r="C92" t="s">
        <v>134</v>
      </c>
      <c r="D92" s="159" t="s">
        <v>363</v>
      </c>
      <c r="E92" s="582">
        <f>IF(E$64&lt;1,E18/E$64,E18)-EnergyBalance!E434</f>
        <v>27390.108058521109</v>
      </c>
      <c r="F92" s="191">
        <f>IF(F$64&lt;1,F18/F$64,F18)</f>
        <v>95875.008709858099</v>
      </c>
      <c r="G92" s="582">
        <f>IF(G$64&lt;1,G18/G$64,G18)-EnergyBalance!G434</f>
        <v>35567.556738731204</v>
      </c>
      <c r="H92" s="191">
        <f t="shared" ref="H92:O95" si="64">IF(H$64&lt;1,H18/H$64,H18)</f>
        <v>1992.2963388599012</v>
      </c>
      <c r="I92" s="191">
        <f t="shared" si="64"/>
        <v>2973</v>
      </c>
      <c r="J92" s="191">
        <f t="shared" si="64"/>
        <v>3535</v>
      </c>
      <c r="K92" s="191">
        <f t="shared" si="64"/>
        <v>13500</v>
      </c>
      <c r="L92" s="191">
        <f t="shared" si="64"/>
        <v>21695</v>
      </c>
      <c r="M92" s="191">
        <f t="shared" si="64"/>
        <v>119534</v>
      </c>
      <c r="N92" s="191">
        <f t="shared" si="64"/>
        <v>21063</v>
      </c>
      <c r="O92" s="191">
        <f t="shared" si="64"/>
        <v>9099</v>
      </c>
      <c r="P92" s="191">
        <f t="shared" si="54"/>
        <v>337384</v>
      </c>
      <c r="Q92" s="191">
        <f t="shared" si="55"/>
        <v>17309</v>
      </c>
      <c r="R92" s="191">
        <f t="shared" si="55"/>
        <v>8882</v>
      </c>
      <c r="S92" s="191">
        <f t="shared" si="55"/>
        <v>33565</v>
      </c>
      <c r="T92" s="191">
        <f t="shared" si="55"/>
        <v>146259</v>
      </c>
      <c r="U92" s="191">
        <f t="shared" si="55"/>
        <v>43306</v>
      </c>
      <c r="V92" s="191">
        <f t="shared" si="55"/>
        <v>52298.568995637077</v>
      </c>
      <c r="W92" s="191">
        <f t="shared" si="42"/>
        <v>84890.071764087261</v>
      </c>
      <c r="X92" s="191">
        <f t="shared" si="56"/>
        <v>74298</v>
      </c>
      <c r="Y92" s="191">
        <f t="shared" si="61"/>
        <v>59919.269258007647</v>
      </c>
      <c r="Z92" s="191">
        <f t="shared" si="57"/>
        <v>132992</v>
      </c>
      <c r="AA92" s="191">
        <f t="shared" si="62"/>
        <v>0</v>
      </c>
      <c r="AB92" s="191">
        <f t="shared" si="58"/>
        <v>133915</v>
      </c>
      <c r="AC92" s="582">
        <f>IF(AC$64&lt;1,AC18/AC$64,AC18)-(EnergyBalance!AC434*0.3)</f>
        <v>17412.664978109209</v>
      </c>
      <c r="AD92" s="191">
        <f t="shared" si="59"/>
        <v>22846</v>
      </c>
      <c r="AE92" s="191">
        <f t="shared" si="59"/>
        <v>23025</v>
      </c>
      <c r="AF92" s="191">
        <f t="shared" si="59"/>
        <v>48551</v>
      </c>
      <c r="AH92">
        <v>0.1</v>
      </c>
      <c r="AI92" s="101">
        <f t="shared" si="44"/>
        <v>0.18082873650628764</v>
      </c>
    </row>
    <row r="93" spans="1:35" x14ac:dyDescent="0.25">
      <c r="A93" t="s">
        <v>367</v>
      </c>
      <c r="B93" t="s">
        <v>368</v>
      </c>
      <c r="C93" t="s">
        <v>1701</v>
      </c>
      <c r="D93" s="159" t="s">
        <v>363</v>
      </c>
      <c r="E93" s="191">
        <f>IF(E$64&lt;1,E19/E$64,E19)</f>
        <v>0</v>
      </c>
      <c r="F93" s="191">
        <f>IF(F$64&lt;1,F19/F$64,F19)</f>
        <v>0</v>
      </c>
      <c r="G93" s="191">
        <f>IF(G$64&lt;1,G19/G$64,G19)</f>
        <v>0</v>
      </c>
      <c r="H93" s="191">
        <f t="shared" si="64"/>
        <v>0</v>
      </c>
      <c r="I93" s="191">
        <f t="shared" si="64"/>
        <v>0</v>
      </c>
      <c r="J93" s="191">
        <f t="shared" si="64"/>
        <v>0</v>
      </c>
      <c r="K93" s="191">
        <f t="shared" si="64"/>
        <v>0</v>
      </c>
      <c r="L93" s="191">
        <f t="shared" si="64"/>
        <v>0</v>
      </c>
      <c r="M93" s="191">
        <f t="shared" si="64"/>
        <v>0</v>
      </c>
      <c r="N93" s="191">
        <f t="shared" si="64"/>
        <v>0</v>
      </c>
      <c r="O93" s="191">
        <f t="shared" si="64"/>
        <v>0</v>
      </c>
      <c r="P93" s="191">
        <f t="shared" si="54"/>
        <v>0</v>
      </c>
      <c r="Q93" s="191">
        <f t="shared" si="55"/>
        <v>0</v>
      </c>
      <c r="R93" s="191">
        <f t="shared" si="55"/>
        <v>0</v>
      </c>
      <c r="S93" s="582">
        <v>0</v>
      </c>
      <c r="T93" s="191">
        <f t="shared" si="55"/>
        <v>0</v>
      </c>
      <c r="U93" s="191">
        <f t="shared" si="55"/>
        <v>0</v>
      </c>
      <c r="V93" s="191">
        <f t="shared" si="55"/>
        <v>0</v>
      </c>
      <c r="W93" s="191">
        <f t="shared" si="42"/>
        <v>0</v>
      </c>
      <c r="X93" s="191">
        <f t="shared" si="56"/>
        <v>0</v>
      </c>
      <c r="Y93" s="191">
        <f t="shared" si="61"/>
        <v>0</v>
      </c>
      <c r="Z93" s="191">
        <f t="shared" si="57"/>
        <v>0</v>
      </c>
      <c r="AA93" s="191">
        <f t="shared" si="62"/>
        <v>0</v>
      </c>
      <c r="AB93" s="191">
        <f t="shared" si="58"/>
        <v>0</v>
      </c>
      <c r="AC93" s="191">
        <f>IF(AC$64&lt;1,AC19/AC$64,AC19)</f>
        <v>0</v>
      </c>
      <c r="AD93" s="191">
        <f t="shared" si="59"/>
        <v>0</v>
      </c>
      <c r="AE93" s="191">
        <f t="shared" si="59"/>
        <v>0</v>
      </c>
      <c r="AF93" s="191">
        <f t="shared" si="59"/>
        <v>0</v>
      </c>
      <c r="AH93">
        <v>0</v>
      </c>
      <c r="AI93" s="101">
        <f t="shared" si="44"/>
        <v>0</v>
      </c>
    </row>
    <row r="94" spans="1:35" x14ac:dyDescent="0.25">
      <c r="A94" t="s">
        <v>367</v>
      </c>
      <c r="B94" t="s">
        <v>368</v>
      </c>
      <c r="C94" t="s">
        <v>137</v>
      </c>
      <c r="D94" s="159" t="s">
        <v>363</v>
      </c>
      <c r="E94" s="191">
        <f>IF(E$64&lt;1,E20/E$64,E20)</f>
        <v>0</v>
      </c>
      <c r="F94" s="191">
        <f>IF(F$64&lt;1,F20/F$64,F20)</f>
        <v>0</v>
      </c>
      <c r="G94" s="191">
        <f>IF(G$64&lt;1,G20/G$64,G20)</f>
        <v>0</v>
      </c>
      <c r="H94" s="191">
        <f t="shared" si="64"/>
        <v>0</v>
      </c>
      <c r="I94" s="191">
        <f t="shared" si="64"/>
        <v>0</v>
      </c>
      <c r="J94" s="191">
        <f t="shared" si="64"/>
        <v>0</v>
      </c>
      <c r="K94" s="191">
        <f t="shared" si="64"/>
        <v>0</v>
      </c>
      <c r="L94" s="191">
        <f t="shared" si="64"/>
        <v>0</v>
      </c>
      <c r="M94" s="191">
        <f t="shared" si="64"/>
        <v>0</v>
      </c>
      <c r="N94" s="191">
        <f t="shared" si="64"/>
        <v>0</v>
      </c>
      <c r="O94" s="191">
        <f t="shared" si="64"/>
        <v>0</v>
      </c>
      <c r="P94" s="191">
        <f t="shared" si="54"/>
        <v>0</v>
      </c>
      <c r="Q94" s="191">
        <f t="shared" si="55"/>
        <v>0</v>
      </c>
      <c r="R94" s="191">
        <f t="shared" si="55"/>
        <v>0</v>
      </c>
      <c r="S94" s="191">
        <f t="shared" si="55"/>
        <v>0</v>
      </c>
      <c r="T94" s="191">
        <f>IF(T$64&lt;1,T20/T$64,T20)</f>
        <v>0</v>
      </c>
      <c r="U94" s="191">
        <f t="shared" si="55"/>
        <v>0</v>
      </c>
      <c r="V94" s="191">
        <f t="shared" si="55"/>
        <v>0</v>
      </c>
      <c r="W94" s="191">
        <f t="shared" si="42"/>
        <v>0</v>
      </c>
      <c r="X94" s="191">
        <f t="shared" si="56"/>
        <v>0</v>
      </c>
      <c r="Y94" s="191">
        <f t="shared" si="61"/>
        <v>0</v>
      </c>
      <c r="Z94" s="191">
        <f t="shared" si="57"/>
        <v>0</v>
      </c>
      <c r="AA94" s="191">
        <f t="shared" si="62"/>
        <v>0</v>
      </c>
      <c r="AB94" s="191">
        <f t="shared" si="58"/>
        <v>0</v>
      </c>
      <c r="AC94" s="191">
        <f>IF(AC$64&lt;1,AC20/AC$64,AC20)</f>
        <v>0</v>
      </c>
      <c r="AD94" s="191">
        <f t="shared" si="59"/>
        <v>0</v>
      </c>
      <c r="AE94" s="191">
        <f t="shared" si="59"/>
        <v>0</v>
      </c>
      <c r="AF94" s="191">
        <f t="shared" si="59"/>
        <v>0</v>
      </c>
      <c r="AH94">
        <v>0</v>
      </c>
      <c r="AI94" s="101">
        <f t="shared" si="44"/>
        <v>0</v>
      </c>
    </row>
    <row r="95" spans="1:35" x14ac:dyDescent="0.25">
      <c r="A95" t="s">
        <v>367</v>
      </c>
      <c r="B95" t="s">
        <v>368</v>
      </c>
      <c r="C95" t="s">
        <v>139</v>
      </c>
      <c r="D95" s="159" t="s">
        <v>363</v>
      </c>
      <c r="E95" s="191">
        <f>IF(E$64&lt;1,E21/E$64,E21)</f>
        <v>0</v>
      </c>
      <c r="F95" s="582">
        <f>IF(F$64&lt;1,F21/F$64,F21)+EnergyBalance!F444</f>
        <v>2021</v>
      </c>
      <c r="G95" s="191">
        <f>IF(G$64&lt;1,G21/G$64,G21)</f>
        <v>0</v>
      </c>
      <c r="H95" s="191">
        <f t="shared" si="64"/>
        <v>0</v>
      </c>
      <c r="I95" s="191">
        <f t="shared" si="64"/>
        <v>0</v>
      </c>
      <c r="J95" s="191">
        <f t="shared" si="64"/>
        <v>0</v>
      </c>
      <c r="K95" s="191">
        <f t="shared" si="64"/>
        <v>0</v>
      </c>
      <c r="L95" s="191">
        <f t="shared" si="64"/>
        <v>0</v>
      </c>
      <c r="M95" s="191">
        <f t="shared" si="64"/>
        <v>0</v>
      </c>
      <c r="N95" s="191">
        <f t="shared" si="64"/>
        <v>5567</v>
      </c>
      <c r="O95" s="191">
        <f t="shared" si="64"/>
        <v>0</v>
      </c>
      <c r="P95" s="191">
        <f t="shared" si="54"/>
        <v>0</v>
      </c>
      <c r="Q95" s="191">
        <f t="shared" si="55"/>
        <v>17</v>
      </c>
      <c r="R95" s="191">
        <f t="shared" si="55"/>
        <v>8213</v>
      </c>
      <c r="S95" s="191">
        <f t="shared" si="55"/>
        <v>72182</v>
      </c>
      <c r="T95" s="191">
        <f t="shared" si="55"/>
        <v>28918</v>
      </c>
      <c r="U95" s="191">
        <f t="shared" si="55"/>
        <v>74907</v>
      </c>
      <c r="V95" s="191">
        <f t="shared" si="55"/>
        <v>0</v>
      </c>
      <c r="W95" s="191">
        <f>$W$65*AH95</f>
        <v>0</v>
      </c>
      <c r="X95" s="191">
        <f t="shared" si="56"/>
        <v>23831</v>
      </c>
      <c r="Y95" s="191">
        <f t="shared" si="61"/>
        <v>67.31532481815637</v>
      </c>
      <c r="Z95" s="191">
        <f t="shared" si="57"/>
        <v>21143</v>
      </c>
      <c r="AA95" s="191">
        <f t="shared" si="62"/>
        <v>0</v>
      </c>
      <c r="AB95" s="191">
        <f t="shared" si="58"/>
        <v>0</v>
      </c>
      <c r="AC95" s="191">
        <f>IF(AC$64&lt;1,AC21/AC$64,AC21)</f>
        <v>0</v>
      </c>
      <c r="AD95" s="191">
        <f t="shared" si="59"/>
        <v>3043</v>
      </c>
      <c r="AE95" s="191">
        <f t="shared" si="59"/>
        <v>29803</v>
      </c>
      <c r="AF95" s="191">
        <f t="shared" si="59"/>
        <v>7</v>
      </c>
      <c r="AH95">
        <v>0</v>
      </c>
      <c r="AI95" s="101">
        <f t="shared" si="44"/>
        <v>4.1800565328660333E-2</v>
      </c>
    </row>
    <row r="97" spans="1:32" x14ac:dyDescent="0.25">
      <c r="D97" s="159" t="s">
        <v>753</v>
      </c>
      <c r="E97" s="354">
        <f t="shared" ref="E97:AF97" si="65">SUM(E81:E95)/(E75+E65)</f>
        <v>1</v>
      </c>
      <c r="F97" s="354">
        <f t="shared" si="65"/>
        <v>0.99761534436573307</v>
      </c>
      <c r="G97" s="354">
        <f t="shared" si="65"/>
        <v>1</v>
      </c>
      <c r="H97" s="354">
        <f t="shared" si="65"/>
        <v>1</v>
      </c>
      <c r="I97" s="354">
        <f t="shared" si="65"/>
        <v>1</v>
      </c>
      <c r="J97" s="354">
        <f t="shared" si="65"/>
        <v>1.0000000000000002</v>
      </c>
      <c r="K97" s="354">
        <f t="shared" si="65"/>
        <v>1</v>
      </c>
      <c r="L97" s="354">
        <f t="shared" si="65"/>
        <v>1</v>
      </c>
      <c r="M97" s="354">
        <f t="shared" si="65"/>
        <v>1</v>
      </c>
      <c r="N97" s="354">
        <f t="shared" si="65"/>
        <v>1</v>
      </c>
      <c r="O97" s="354">
        <f t="shared" si="65"/>
        <v>1</v>
      </c>
      <c r="P97" s="354">
        <f t="shared" si="65"/>
        <v>1</v>
      </c>
      <c r="Q97" s="354">
        <f t="shared" si="65"/>
        <v>1</v>
      </c>
      <c r="R97" s="354">
        <f t="shared" si="65"/>
        <v>1</v>
      </c>
      <c r="S97" s="354">
        <f t="shared" si="65"/>
        <v>0.9999700680353556</v>
      </c>
      <c r="T97" s="354">
        <f t="shared" si="65"/>
        <v>1</v>
      </c>
      <c r="U97" s="354">
        <f t="shared" si="65"/>
        <v>1</v>
      </c>
      <c r="V97" s="354">
        <f t="shared" si="65"/>
        <v>1</v>
      </c>
      <c r="W97" s="354">
        <f t="shared" si="65"/>
        <v>1</v>
      </c>
      <c r="X97" s="354">
        <f t="shared" si="65"/>
        <v>1</v>
      </c>
      <c r="Y97" s="354">
        <f t="shared" si="65"/>
        <v>0.99938398809313855</v>
      </c>
      <c r="Z97" s="354">
        <f t="shared" si="65"/>
        <v>1</v>
      </c>
      <c r="AA97" s="354">
        <f t="shared" si="65"/>
        <v>1</v>
      </c>
      <c r="AB97" s="354">
        <f t="shared" si="65"/>
        <v>1</v>
      </c>
      <c r="AC97" s="354">
        <f t="shared" si="65"/>
        <v>0.99999999999999978</v>
      </c>
      <c r="AD97" s="354">
        <f t="shared" si="65"/>
        <v>1</v>
      </c>
      <c r="AE97" s="354">
        <f t="shared" si="65"/>
        <v>1</v>
      </c>
      <c r="AF97" s="354">
        <f t="shared" si="65"/>
        <v>1</v>
      </c>
    </row>
    <row r="99" spans="1:32" ht="15.75" x14ac:dyDescent="0.25">
      <c r="A99" s="131" t="s">
        <v>754</v>
      </c>
      <c r="B99" s="132"/>
      <c r="P99" s="340"/>
    </row>
    <row r="100" spans="1:32" ht="15.75" x14ac:dyDescent="0.25">
      <c r="A100" s="277"/>
      <c r="B100" s="277"/>
    </row>
    <row r="101" spans="1:32" ht="15.75" x14ac:dyDescent="0.25">
      <c r="A101" s="353" t="s">
        <v>755</v>
      </c>
      <c r="B101" s="277"/>
      <c r="D101" t="s">
        <v>756</v>
      </c>
      <c r="E101" s="354">
        <f t="shared" ref="E101:AF101" si="66">E64</f>
        <v>0.49061507910799734</v>
      </c>
      <c r="F101" s="354">
        <f t="shared" si="66"/>
        <v>0.73166095048069824</v>
      </c>
      <c r="G101" s="354">
        <f t="shared" si="66"/>
        <v>0.38022172416494149</v>
      </c>
      <c r="H101" s="354">
        <f t="shared" si="66"/>
        <v>0.95467725503547651</v>
      </c>
      <c r="I101" s="340">
        <f t="shared" si="66"/>
        <v>3.4850420517665786</v>
      </c>
      <c r="J101" s="340">
        <f t="shared" si="66"/>
        <v>1.2451543741082318</v>
      </c>
      <c r="K101" s="340">
        <f t="shared" si="66"/>
        <v>1.5474315939164365</v>
      </c>
      <c r="L101" s="340">
        <f t="shared" si="66"/>
        <v>1.1847568851266397</v>
      </c>
      <c r="M101" s="340">
        <f t="shared" si="66"/>
        <v>1.3751916303622851</v>
      </c>
      <c r="N101" s="340">
        <f t="shared" si="66"/>
        <v>1.5984323968538017</v>
      </c>
      <c r="O101" s="340">
        <f t="shared" si="66"/>
        <v>1.6591823332110889</v>
      </c>
      <c r="P101" s="354">
        <f t="shared" si="66"/>
        <v>7.1018205508131732E-2</v>
      </c>
      <c r="Q101" s="340">
        <f t="shared" si="66"/>
        <v>1.867510334787686</v>
      </c>
      <c r="R101" s="340">
        <f t="shared" si="66"/>
        <v>2.1549179461004293</v>
      </c>
      <c r="S101" s="340">
        <f t="shared" si="66"/>
        <v>1.983095525076414</v>
      </c>
      <c r="T101" s="340">
        <f t="shared" si="66"/>
        <v>2.3264425798477992</v>
      </c>
      <c r="U101" s="340">
        <f t="shared" si="66"/>
        <v>2.4387483181796141</v>
      </c>
      <c r="V101" s="354">
        <f t="shared" si="66"/>
        <v>0.12067251783746674</v>
      </c>
      <c r="W101" s="340">
        <f t="shared" si="66"/>
        <v>0</v>
      </c>
      <c r="X101" s="340">
        <f t="shared" si="66"/>
        <v>1.7267710242990781</v>
      </c>
      <c r="Y101" s="354">
        <f t="shared" si="66"/>
        <v>0.57936287324399682</v>
      </c>
      <c r="Z101" s="340">
        <f t="shared" si="66"/>
        <v>1.3684352499953072</v>
      </c>
      <c r="AA101" s="354">
        <f t="shared" si="66"/>
        <v>0.15999566312928465</v>
      </c>
      <c r="AB101" s="340">
        <f t="shared" si="66"/>
        <v>1.4453766955756486</v>
      </c>
      <c r="AC101" s="354">
        <f t="shared" si="66"/>
        <v>2.3700103727555565E-2</v>
      </c>
      <c r="AD101" s="340">
        <f t="shared" si="66"/>
        <v>3.6596374631755979</v>
      </c>
      <c r="AE101" s="354">
        <f t="shared" si="66"/>
        <v>1.1458481947435408</v>
      </c>
      <c r="AF101" s="340">
        <f t="shared" si="66"/>
        <v>2.2902477010124542</v>
      </c>
    </row>
    <row r="102" spans="1:32" ht="15.75" x14ac:dyDescent="0.25">
      <c r="A102" s="158" t="s">
        <v>358</v>
      </c>
      <c r="B102" s="91" t="s">
        <v>435</v>
      </c>
      <c r="C102" s="158"/>
      <c r="D102" s="158" t="s">
        <v>342</v>
      </c>
      <c r="E102" s="91" t="s">
        <v>162</v>
      </c>
      <c r="F102" s="91" t="s">
        <v>164</v>
      </c>
      <c r="G102" s="91" t="s">
        <v>166</v>
      </c>
      <c r="H102" s="91" t="s">
        <v>168</v>
      </c>
      <c r="I102" s="91" t="s">
        <v>170</v>
      </c>
      <c r="J102" s="91" t="s">
        <v>173</v>
      </c>
      <c r="K102" s="91" t="s">
        <v>175</v>
      </c>
      <c r="L102" s="91" t="s">
        <v>177</v>
      </c>
      <c r="M102" s="91" t="s">
        <v>179</v>
      </c>
      <c r="N102" s="91" t="s">
        <v>181</v>
      </c>
      <c r="O102" s="91" t="s">
        <v>183</v>
      </c>
      <c r="P102" s="91" t="s">
        <v>185</v>
      </c>
      <c r="Q102" s="91" t="s">
        <v>188</v>
      </c>
      <c r="R102" s="91" t="s">
        <v>190</v>
      </c>
      <c r="S102" s="91" t="s">
        <v>192</v>
      </c>
      <c r="T102" s="91" t="s">
        <v>194</v>
      </c>
      <c r="U102" s="91" t="s">
        <v>196</v>
      </c>
      <c r="V102" s="91" t="s">
        <v>198</v>
      </c>
      <c r="W102" s="91" t="s">
        <v>9</v>
      </c>
      <c r="X102" s="91" t="s">
        <v>201</v>
      </c>
      <c r="Y102" s="91" t="s">
        <v>203</v>
      </c>
      <c r="Z102" s="91" t="s">
        <v>205</v>
      </c>
      <c r="AA102" s="91" t="s">
        <v>207</v>
      </c>
      <c r="AB102" s="91" t="s">
        <v>210</v>
      </c>
      <c r="AC102" s="91" t="s">
        <v>212</v>
      </c>
      <c r="AD102" s="91" t="s">
        <v>214</v>
      </c>
      <c r="AE102" s="91" t="s">
        <v>217</v>
      </c>
      <c r="AF102" s="91" t="s">
        <v>219</v>
      </c>
    </row>
    <row r="103" spans="1:32" x14ac:dyDescent="0.25">
      <c r="A103" t="s">
        <v>364</v>
      </c>
      <c r="B103" t="s">
        <v>0</v>
      </c>
      <c r="C103" t="str">
        <f>C81</f>
        <v>INDBFG</v>
      </c>
      <c r="D103" t="s">
        <v>363</v>
      </c>
      <c r="E103" s="595">
        <f>E81</f>
        <v>0</v>
      </c>
      <c r="F103" s="595">
        <f t="shared" ref="F103:H103" si="67">F81</f>
        <v>0</v>
      </c>
      <c r="G103" s="595">
        <f t="shared" si="67"/>
        <v>0</v>
      </c>
      <c r="H103" s="595">
        <f t="shared" si="67"/>
        <v>0</v>
      </c>
      <c r="I103" s="595">
        <f t="shared" ref="I103:O109" si="68">SUM(I$58:I$59)*(I81/SUM(I$81:I$87,I$89:I$95))</f>
        <v>0</v>
      </c>
      <c r="J103" s="595">
        <f t="shared" si="68"/>
        <v>0</v>
      </c>
      <c r="K103" s="595">
        <f t="shared" si="68"/>
        <v>0</v>
      </c>
      <c r="L103" s="595">
        <f t="shared" si="68"/>
        <v>0</v>
      </c>
      <c r="M103" s="595">
        <f t="shared" si="68"/>
        <v>0</v>
      </c>
      <c r="N103" s="595">
        <f t="shared" si="68"/>
        <v>0</v>
      </c>
      <c r="O103" s="595">
        <f t="shared" si="68"/>
        <v>0</v>
      </c>
      <c r="P103" s="595">
        <f>P81</f>
        <v>0</v>
      </c>
      <c r="Q103" s="595">
        <f t="shared" ref="Q103:U109" si="69">SUM(Q$58:Q$59)*(Q81/SUM(Q$81:Q$87,Q$89:Q$95))</f>
        <v>0</v>
      </c>
      <c r="R103" s="595">
        <f t="shared" si="69"/>
        <v>76.569040737066757</v>
      </c>
      <c r="S103" s="595">
        <f t="shared" si="69"/>
        <v>0</v>
      </c>
      <c r="T103" s="595">
        <f t="shared" si="69"/>
        <v>0</v>
      </c>
      <c r="U103" s="595">
        <f t="shared" si="69"/>
        <v>0</v>
      </c>
      <c r="V103" s="595">
        <f>V81</f>
        <v>0</v>
      </c>
      <c r="W103" s="595">
        <f>W81</f>
        <v>0</v>
      </c>
      <c r="X103" s="595">
        <f t="shared" ref="X103:X109" si="70">SUM(X$58:X$59)*(X81/SUM(X$81:X$87,X$89:X$95))</f>
        <v>136.09216085577413</v>
      </c>
      <c r="Y103" s="595">
        <f>Y81</f>
        <v>0</v>
      </c>
      <c r="Z103" s="595">
        <f t="shared" ref="Z103:Z109" si="71">SUM(Z$58:Z$59)*(Z81/SUM(Z$81:Z$87,Z$89:Z$95))</f>
        <v>0</v>
      </c>
      <c r="AA103" s="595">
        <f>AA81</f>
        <v>0</v>
      </c>
      <c r="AB103" s="595">
        <f t="shared" ref="AB103:AB109" si="72">SUM(AB$58:AB$59)*(AB81/SUM(AB$81:AB$87,AB$89:AB$95))</f>
        <v>0</v>
      </c>
      <c r="AC103" s="595">
        <f>AC81</f>
        <v>0</v>
      </c>
      <c r="AD103" s="595">
        <f t="shared" ref="AD103:AD109" si="73">SUM(AD$58:AD$59)*(AD81/SUM(AD$81:AD$87,AD$89:AD$95))</f>
        <v>0</v>
      </c>
      <c r="AE103" s="595">
        <f>AE81</f>
        <v>0</v>
      </c>
      <c r="AF103" s="595">
        <f t="shared" ref="AF103:AF109" si="74">SUM(AF$58:AF$59)*(AF81/SUM(AF$81:AF$87,AF$89:AF$95))</f>
        <v>0</v>
      </c>
    </row>
    <row r="104" spans="1:32" x14ac:dyDescent="0.25">
      <c r="A104" t="s">
        <v>364</v>
      </c>
      <c r="B104" t="s">
        <v>0</v>
      </c>
      <c r="C104" t="str">
        <f t="shared" ref="C104:C117" si="75">C82</f>
        <v>INDBGS</v>
      </c>
      <c r="D104" t="s">
        <v>363</v>
      </c>
      <c r="E104" s="595">
        <f t="shared" ref="E104:H117" si="76">E82</f>
        <v>0</v>
      </c>
      <c r="F104" s="595">
        <f t="shared" si="76"/>
        <v>0</v>
      </c>
      <c r="G104" s="595">
        <f t="shared" si="76"/>
        <v>0</v>
      </c>
      <c r="H104" s="595">
        <f t="shared" si="76"/>
        <v>0</v>
      </c>
      <c r="I104" s="595">
        <f t="shared" si="68"/>
        <v>23.816068433930962</v>
      </c>
      <c r="J104" s="595">
        <f t="shared" si="68"/>
        <v>0</v>
      </c>
      <c r="K104" s="595">
        <f t="shared" si="68"/>
        <v>0</v>
      </c>
      <c r="L104" s="595">
        <f t="shared" si="68"/>
        <v>0</v>
      </c>
      <c r="M104" s="595">
        <f t="shared" si="68"/>
        <v>0</v>
      </c>
      <c r="N104" s="595">
        <f t="shared" si="68"/>
        <v>0</v>
      </c>
      <c r="O104" s="595">
        <f t="shared" si="68"/>
        <v>0</v>
      </c>
      <c r="P104" s="595">
        <f t="shared" ref="P104" si="77">P82</f>
        <v>0</v>
      </c>
      <c r="Q104" s="595">
        <f t="shared" si="69"/>
        <v>0</v>
      </c>
      <c r="R104" s="595">
        <f t="shared" si="69"/>
        <v>6.0327123004961694</v>
      </c>
      <c r="S104" s="595">
        <f t="shared" si="69"/>
        <v>12.607008402442771</v>
      </c>
      <c r="T104" s="595">
        <f t="shared" si="69"/>
        <v>118.20622713069113</v>
      </c>
      <c r="U104" s="595">
        <f t="shared" si="69"/>
        <v>44.285012600486716</v>
      </c>
      <c r="V104" s="595">
        <f t="shared" ref="V104:W109" si="78">V82</f>
        <v>0</v>
      </c>
      <c r="W104" s="595">
        <f t="shared" si="78"/>
        <v>0</v>
      </c>
      <c r="X104" s="595">
        <f t="shared" si="70"/>
        <v>0</v>
      </c>
      <c r="Y104" s="595">
        <f t="shared" ref="Y104:AA104" si="79">Y82</f>
        <v>0</v>
      </c>
      <c r="Z104" s="595">
        <f t="shared" si="71"/>
        <v>0</v>
      </c>
      <c r="AA104" s="595">
        <f t="shared" si="79"/>
        <v>0</v>
      </c>
      <c r="AB104" s="595">
        <f t="shared" si="72"/>
        <v>0</v>
      </c>
      <c r="AC104" s="595">
        <f t="shared" ref="AC104" si="80">AC82</f>
        <v>0</v>
      </c>
      <c r="AD104" s="595">
        <f t="shared" si="73"/>
        <v>0</v>
      </c>
      <c r="AE104" s="595">
        <f t="shared" ref="AE104" si="81">AE82</f>
        <v>0</v>
      </c>
      <c r="AF104" s="595">
        <f t="shared" si="74"/>
        <v>0</v>
      </c>
    </row>
    <row r="105" spans="1:32" x14ac:dyDescent="0.25">
      <c r="A105" t="s">
        <v>364</v>
      </c>
      <c r="B105" t="s">
        <v>0</v>
      </c>
      <c r="C105" t="str">
        <f t="shared" si="75"/>
        <v>INDBIO</v>
      </c>
      <c r="D105" t="s">
        <v>363</v>
      </c>
      <c r="E105" s="595">
        <f t="shared" si="76"/>
        <v>0</v>
      </c>
      <c r="F105" s="595">
        <f t="shared" si="76"/>
        <v>4085.225537916489</v>
      </c>
      <c r="G105" s="595">
        <f t="shared" si="76"/>
        <v>1170.3697388078685</v>
      </c>
      <c r="H105" s="595">
        <f t="shared" si="76"/>
        <v>1344.957149892804</v>
      </c>
      <c r="I105" s="595">
        <f t="shared" si="68"/>
        <v>870.29078988087474</v>
      </c>
      <c r="J105" s="595">
        <f t="shared" si="68"/>
        <v>0.80311326916085468</v>
      </c>
      <c r="K105" s="595">
        <f t="shared" si="68"/>
        <v>12795.395982505206</v>
      </c>
      <c r="L105" s="595">
        <f t="shared" si="68"/>
        <v>0</v>
      </c>
      <c r="M105" s="595">
        <f t="shared" si="68"/>
        <v>4976.0337751599445</v>
      </c>
      <c r="N105" s="595">
        <f t="shared" si="68"/>
        <v>578.06636165452574</v>
      </c>
      <c r="O105" s="595">
        <f t="shared" si="68"/>
        <v>0</v>
      </c>
      <c r="P105" s="595">
        <f t="shared" ref="P105" si="82">P83</f>
        <v>11296</v>
      </c>
      <c r="Q105" s="595">
        <f t="shared" si="69"/>
        <v>173.49301578929951</v>
      </c>
      <c r="R105" s="595">
        <f t="shared" si="69"/>
        <v>5533.3893439320245</v>
      </c>
      <c r="S105" s="595">
        <f t="shared" si="69"/>
        <v>2148.7385121123461</v>
      </c>
      <c r="T105" s="595">
        <f t="shared" si="69"/>
        <v>14181.308529075499</v>
      </c>
      <c r="U105" s="595">
        <f t="shared" si="69"/>
        <v>3491.1351600050366</v>
      </c>
      <c r="V105" s="595">
        <f t="shared" si="78"/>
        <v>0</v>
      </c>
      <c r="W105" s="595">
        <f t="shared" si="78"/>
        <v>42445.03588204363</v>
      </c>
      <c r="X105" s="595">
        <f t="shared" si="70"/>
        <v>3508.8612877665341</v>
      </c>
      <c r="Y105" s="595">
        <f t="shared" ref="Y105:AA105" si="83">Y83</f>
        <v>1613.8417616660565</v>
      </c>
      <c r="Z105" s="595">
        <f t="shared" si="71"/>
        <v>0</v>
      </c>
      <c r="AA105" s="595">
        <f t="shared" si="83"/>
        <v>0</v>
      </c>
      <c r="AB105" s="595">
        <f t="shared" si="72"/>
        <v>0</v>
      </c>
      <c r="AC105" s="595">
        <f t="shared" ref="AC105" si="84">AC83</f>
        <v>0</v>
      </c>
      <c r="AD105" s="595">
        <f t="shared" si="73"/>
        <v>14.755559954603337</v>
      </c>
      <c r="AE105" s="595">
        <f t="shared" ref="AE105" si="85">AE83</f>
        <v>68</v>
      </c>
      <c r="AF105" s="595">
        <f t="shared" si="74"/>
        <v>9192.0188330255714</v>
      </c>
    </row>
    <row r="106" spans="1:32" x14ac:dyDescent="0.25">
      <c r="A106" t="s">
        <v>364</v>
      </c>
      <c r="B106" t="s">
        <v>0</v>
      </c>
      <c r="C106" t="str">
        <f t="shared" si="75"/>
        <v>INDBLQ</v>
      </c>
      <c r="D106" t="s">
        <v>363</v>
      </c>
      <c r="E106" s="595">
        <f t="shared" si="76"/>
        <v>0</v>
      </c>
      <c r="F106" s="595">
        <f t="shared" si="76"/>
        <v>0</v>
      </c>
      <c r="G106" s="595">
        <f t="shared" si="76"/>
        <v>0</v>
      </c>
      <c r="H106" s="595">
        <f t="shared" si="76"/>
        <v>0</v>
      </c>
      <c r="I106" s="595">
        <f t="shared" si="68"/>
        <v>0</v>
      </c>
      <c r="J106" s="595">
        <f t="shared" si="68"/>
        <v>0</v>
      </c>
      <c r="K106" s="595">
        <f t="shared" si="68"/>
        <v>0</v>
      </c>
      <c r="L106" s="595">
        <f t="shared" si="68"/>
        <v>0</v>
      </c>
      <c r="M106" s="595">
        <f t="shared" si="68"/>
        <v>165.7950753670126</v>
      </c>
      <c r="N106" s="595">
        <f t="shared" si="68"/>
        <v>0</v>
      </c>
      <c r="O106" s="595">
        <f t="shared" si="68"/>
        <v>0</v>
      </c>
      <c r="P106" s="595">
        <f t="shared" ref="P106" si="86">P84</f>
        <v>0</v>
      </c>
      <c r="Q106" s="595">
        <f t="shared" si="69"/>
        <v>0</v>
      </c>
      <c r="R106" s="595">
        <f t="shared" si="69"/>
        <v>0</v>
      </c>
      <c r="S106" s="595">
        <f t="shared" si="69"/>
        <v>1.0085606721954217</v>
      </c>
      <c r="T106" s="595">
        <f t="shared" si="69"/>
        <v>34.387266074382879</v>
      </c>
      <c r="U106" s="595">
        <f t="shared" si="69"/>
        <v>180.42042170568664</v>
      </c>
      <c r="V106" s="595">
        <f t="shared" si="78"/>
        <v>348.04942129880482</v>
      </c>
      <c r="W106" s="595">
        <f t="shared" si="78"/>
        <v>0</v>
      </c>
      <c r="X106" s="595">
        <f t="shared" si="70"/>
        <v>0</v>
      </c>
      <c r="Y106" s="595">
        <f t="shared" ref="Y106:AA106" si="87">Y84</f>
        <v>0</v>
      </c>
      <c r="Z106" s="595">
        <f t="shared" si="71"/>
        <v>0</v>
      </c>
      <c r="AA106" s="595">
        <f t="shared" si="87"/>
        <v>0</v>
      </c>
      <c r="AB106" s="595">
        <f t="shared" si="72"/>
        <v>0</v>
      </c>
      <c r="AC106" s="595">
        <f t="shared" ref="AC106" si="88">AC84</f>
        <v>0</v>
      </c>
      <c r="AD106" s="595">
        <f t="shared" si="73"/>
        <v>0</v>
      </c>
      <c r="AE106" s="595">
        <f t="shared" ref="AE106" si="89">AE84</f>
        <v>0</v>
      </c>
      <c r="AF106" s="595">
        <f t="shared" si="74"/>
        <v>119.2010802496666</v>
      </c>
    </row>
    <row r="107" spans="1:32" x14ac:dyDescent="0.25">
      <c r="A107" t="s">
        <v>364</v>
      </c>
      <c r="B107" t="s">
        <v>0</v>
      </c>
      <c r="C107" t="str">
        <f t="shared" si="75"/>
        <v>INDCOA</v>
      </c>
      <c r="D107" t="s">
        <v>363</v>
      </c>
      <c r="E107" s="595">
        <f t="shared" si="76"/>
        <v>46937</v>
      </c>
      <c r="F107" s="595">
        <f t="shared" si="76"/>
        <v>101160</v>
      </c>
      <c r="G107" s="595">
        <f t="shared" si="76"/>
        <v>17559.339270075412</v>
      </c>
      <c r="H107" s="595">
        <f t="shared" si="76"/>
        <v>42946.451047978939</v>
      </c>
      <c r="I107" s="595">
        <f t="shared" si="68"/>
        <v>6244.1140384430328</v>
      </c>
      <c r="J107" s="595">
        <f t="shared" si="68"/>
        <v>45623.258594489838</v>
      </c>
      <c r="K107" s="595">
        <f t="shared" si="68"/>
        <v>236347.11959987937</v>
      </c>
      <c r="L107" s="595">
        <f t="shared" si="68"/>
        <v>131497.02015308166</v>
      </c>
      <c r="M107" s="595">
        <f t="shared" si="68"/>
        <v>2252.7769451184431</v>
      </c>
      <c r="N107" s="595">
        <f t="shared" si="68"/>
        <v>6041.5442148244092</v>
      </c>
      <c r="O107" s="595">
        <f t="shared" si="68"/>
        <v>59.667944877643997</v>
      </c>
      <c r="P107" s="630">
        <f t="shared" ref="P107" si="90">P85</f>
        <v>4942826.0295491498</v>
      </c>
      <c r="Q107" s="595">
        <f t="shared" si="69"/>
        <v>31932.888878379246</v>
      </c>
      <c r="R107" s="595">
        <f t="shared" si="69"/>
        <v>10002.701049014995</v>
      </c>
      <c r="S107" s="595">
        <f t="shared" si="69"/>
        <v>20125.323933323543</v>
      </c>
      <c r="T107" s="595">
        <f t="shared" si="69"/>
        <v>8705.9960883818858</v>
      </c>
      <c r="U107" s="595">
        <f t="shared" si="69"/>
        <v>22558.703409405342</v>
      </c>
      <c r="V107" s="595">
        <f t="shared" si="78"/>
        <v>505144.01366931538</v>
      </c>
      <c r="W107" s="595">
        <f t="shared" si="78"/>
        <v>721565.60999474162</v>
      </c>
      <c r="X107" s="595">
        <f t="shared" si="70"/>
        <v>73373.943746496094</v>
      </c>
      <c r="Y107" s="595">
        <f t="shared" ref="Y107:AA107" si="91">Y85</f>
        <v>63880.224280255592</v>
      </c>
      <c r="Z107" s="595">
        <f t="shared" si="71"/>
        <v>52462.109551947156</v>
      </c>
      <c r="AA107" s="595">
        <f t="shared" si="91"/>
        <v>77318</v>
      </c>
      <c r="AB107" s="595">
        <f t="shared" si="72"/>
        <v>2952.17157787409</v>
      </c>
      <c r="AC107" s="595">
        <f t="shared" ref="AC107" si="92">AC85</f>
        <v>1409</v>
      </c>
      <c r="AD107" s="595">
        <f t="shared" si="73"/>
        <v>8167.7489370934882</v>
      </c>
      <c r="AE107" s="595">
        <f t="shared" ref="AE107" si="93">AE85</f>
        <v>94013</v>
      </c>
      <c r="AF107" s="595">
        <f t="shared" si="74"/>
        <v>84406.590568584419</v>
      </c>
    </row>
    <row r="108" spans="1:32" x14ac:dyDescent="0.25">
      <c r="A108" t="s">
        <v>364</v>
      </c>
      <c r="B108" t="s">
        <v>0</v>
      </c>
      <c r="C108" t="str">
        <f t="shared" si="75"/>
        <v>INDCOG</v>
      </c>
      <c r="D108" t="s">
        <v>363</v>
      </c>
      <c r="E108" s="595">
        <f t="shared" si="76"/>
        <v>0</v>
      </c>
      <c r="F108" s="595">
        <f t="shared" si="76"/>
        <v>0</v>
      </c>
      <c r="G108" s="595">
        <f t="shared" si="76"/>
        <v>0</v>
      </c>
      <c r="H108" s="595">
        <f t="shared" si="76"/>
        <v>0</v>
      </c>
      <c r="I108" s="595">
        <f t="shared" si="68"/>
        <v>0</v>
      </c>
      <c r="J108" s="595">
        <f t="shared" si="68"/>
        <v>0</v>
      </c>
      <c r="K108" s="595">
        <f t="shared" si="68"/>
        <v>0</v>
      </c>
      <c r="L108" s="595">
        <f t="shared" si="68"/>
        <v>0</v>
      </c>
      <c r="M108" s="595">
        <f t="shared" si="68"/>
        <v>0</v>
      </c>
      <c r="N108" s="595">
        <f t="shared" si="68"/>
        <v>0</v>
      </c>
      <c r="O108" s="595">
        <f t="shared" si="68"/>
        <v>0</v>
      </c>
      <c r="P108" s="595">
        <f t="shared" ref="P108" si="94">P86</f>
        <v>0</v>
      </c>
      <c r="Q108" s="595">
        <f t="shared" si="69"/>
        <v>0</v>
      </c>
      <c r="R108" s="595">
        <f t="shared" si="69"/>
        <v>0</v>
      </c>
      <c r="S108" s="595">
        <f t="shared" si="69"/>
        <v>1326.2572839369795</v>
      </c>
      <c r="T108" s="595">
        <f t="shared" si="69"/>
        <v>0</v>
      </c>
      <c r="U108" s="595">
        <f t="shared" si="69"/>
        <v>1474.1168546180534</v>
      </c>
      <c r="V108" s="595">
        <f t="shared" si="78"/>
        <v>0</v>
      </c>
      <c r="W108" s="595">
        <f t="shared" si="78"/>
        <v>0</v>
      </c>
      <c r="X108" s="595">
        <f t="shared" si="70"/>
        <v>3699.9694285427272</v>
      </c>
      <c r="Y108" s="595">
        <f t="shared" ref="Y108:AA108" si="95">Y86</f>
        <v>0</v>
      </c>
      <c r="Z108" s="595">
        <f t="shared" si="71"/>
        <v>0</v>
      </c>
      <c r="AA108" s="595">
        <f t="shared" si="95"/>
        <v>0</v>
      </c>
      <c r="AB108" s="595">
        <f t="shared" si="72"/>
        <v>0</v>
      </c>
      <c r="AC108" s="595">
        <f t="shared" ref="AC108" si="96">AC86</f>
        <v>0</v>
      </c>
      <c r="AD108" s="595">
        <f t="shared" si="73"/>
        <v>262.59431696988531</v>
      </c>
      <c r="AE108" s="595">
        <f t="shared" ref="AE108" si="97">AE86</f>
        <v>0</v>
      </c>
      <c r="AF108" s="595">
        <f t="shared" si="74"/>
        <v>0</v>
      </c>
    </row>
    <row r="109" spans="1:32" x14ac:dyDescent="0.25">
      <c r="A109" t="s">
        <v>364</v>
      </c>
      <c r="B109" t="s">
        <v>0</v>
      </c>
      <c r="C109" t="str">
        <f t="shared" si="75"/>
        <v>INDCOK</v>
      </c>
      <c r="D109" t="s">
        <v>363</v>
      </c>
      <c r="E109" s="595">
        <f t="shared" si="76"/>
        <v>0</v>
      </c>
      <c r="F109" s="595">
        <f t="shared" si="76"/>
        <v>0</v>
      </c>
      <c r="G109" s="595">
        <f t="shared" si="76"/>
        <v>0</v>
      </c>
      <c r="H109" s="595">
        <f t="shared" si="76"/>
        <v>0</v>
      </c>
      <c r="I109" s="595">
        <f t="shared" si="68"/>
        <v>30.989583022464384</v>
      </c>
      <c r="J109" s="595">
        <f t="shared" si="68"/>
        <v>203.18765709769625</v>
      </c>
      <c r="K109" s="595">
        <f t="shared" si="68"/>
        <v>0</v>
      </c>
      <c r="L109" s="595">
        <f t="shared" si="68"/>
        <v>0</v>
      </c>
      <c r="M109" s="595">
        <f t="shared" si="68"/>
        <v>1365.627857628288</v>
      </c>
      <c r="N109" s="595">
        <f t="shared" si="68"/>
        <v>432.92415829538066</v>
      </c>
      <c r="O109" s="595">
        <f t="shared" si="68"/>
        <v>0</v>
      </c>
      <c r="P109" s="595">
        <f t="shared" ref="P109" si="98">P87</f>
        <v>0</v>
      </c>
      <c r="Q109" s="595">
        <f t="shared" si="69"/>
        <v>347.5215038495536</v>
      </c>
      <c r="R109" s="595">
        <f t="shared" si="69"/>
        <v>312.77293004110908</v>
      </c>
      <c r="S109" s="595">
        <f t="shared" si="69"/>
        <v>3737.7258511562327</v>
      </c>
      <c r="T109" s="595">
        <f t="shared" si="69"/>
        <v>792.62648301452532</v>
      </c>
      <c r="U109" s="595">
        <f t="shared" si="69"/>
        <v>12360.029026078437</v>
      </c>
      <c r="V109" s="595">
        <f t="shared" si="78"/>
        <v>0</v>
      </c>
      <c r="W109" s="595">
        <f t="shared" si="78"/>
        <v>0</v>
      </c>
      <c r="X109" s="595">
        <f t="shared" si="70"/>
        <v>3192.6641821186504</v>
      </c>
      <c r="Y109" s="595">
        <f t="shared" ref="Y109:AA109" si="99">Y87</f>
        <v>181</v>
      </c>
      <c r="Z109" s="595">
        <f t="shared" si="71"/>
        <v>1650.7905653612379</v>
      </c>
      <c r="AA109" s="595">
        <f t="shared" si="99"/>
        <v>0</v>
      </c>
      <c r="AB109" s="595">
        <f t="shared" si="72"/>
        <v>0</v>
      </c>
      <c r="AC109" s="595">
        <f t="shared" ref="AC109" si="100">AC87</f>
        <v>0</v>
      </c>
      <c r="AD109" s="595">
        <f t="shared" si="73"/>
        <v>661.81418907498676</v>
      </c>
      <c r="AE109" s="595">
        <f t="shared" ref="AE109" si="101">AE87</f>
        <v>0</v>
      </c>
      <c r="AF109" s="595">
        <f t="shared" si="74"/>
        <v>0</v>
      </c>
    </row>
    <row r="110" spans="1:32" x14ac:dyDescent="0.25">
      <c r="A110" s="117" t="s">
        <v>364</v>
      </c>
      <c r="B110" s="117" t="s">
        <v>0</v>
      </c>
      <c r="C110" s="117" t="str">
        <f t="shared" si="75"/>
        <v>INDELC</v>
      </c>
      <c r="D110" s="117" t="s">
        <v>363</v>
      </c>
      <c r="E110" s="633">
        <f>E69</f>
        <v>10792.689922484182</v>
      </c>
      <c r="F110" s="634">
        <f t="shared" ref="F110:AF110" si="102">F69</f>
        <v>38077.519291903714</v>
      </c>
      <c r="G110" s="634">
        <f t="shared" si="102"/>
        <v>14212.51619374113</v>
      </c>
      <c r="H110" s="634">
        <f t="shared" si="102"/>
        <v>9298.0693104541115</v>
      </c>
      <c r="I110" s="634">
        <f t="shared" si="102"/>
        <v>4485.2609083001344</v>
      </c>
      <c r="J110" s="634">
        <f t="shared" si="102"/>
        <v>15537.437576543405</v>
      </c>
      <c r="K110" s="634">
        <f t="shared" si="102"/>
        <v>35010.218384519758</v>
      </c>
      <c r="L110" s="634">
        <f t="shared" si="102"/>
        <v>36498.913514248954</v>
      </c>
      <c r="M110" s="634">
        <f t="shared" si="102"/>
        <v>23936.860202640615</v>
      </c>
      <c r="N110" s="634">
        <f t="shared" si="102"/>
        <v>6773.8204652391814</v>
      </c>
      <c r="O110" s="634">
        <f t="shared" si="102"/>
        <v>2063.7299970558925</v>
      </c>
      <c r="P110" s="633">
        <f>P69</f>
        <v>969959.05376968172</v>
      </c>
      <c r="Q110" s="634">
        <f t="shared" si="102"/>
        <v>9339.8070118452506</v>
      </c>
      <c r="R110" s="634">
        <f t="shared" si="102"/>
        <v>5981.3545333827242</v>
      </c>
      <c r="S110" s="634">
        <f t="shared" si="102"/>
        <v>22039.056718119129</v>
      </c>
      <c r="T110" s="634">
        <f t="shared" si="102"/>
        <v>28977.99510053276</v>
      </c>
      <c r="U110" s="634">
        <f t="shared" si="102"/>
        <v>26398.932607020604</v>
      </c>
      <c r="V110" s="633">
        <f t="shared" si="102"/>
        <v>72465.805736910668</v>
      </c>
      <c r="W110" s="633">
        <f t="shared" si="102"/>
        <v>125251.57593029141</v>
      </c>
      <c r="X110" s="634">
        <f t="shared" si="102"/>
        <v>19008.195649937748</v>
      </c>
      <c r="Y110" s="633">
        <f t="shared" si="102"/>
        <v>27137.6802054207</v>
      </c>
      <c r="Z110" s="634">
        <f t="shared" si="102"/>
        <v>29149.792941407864</v>
      </c>
      <c r="AA110" s="633">
        <f t="shared" si="102"/>
        <v>66592.627556349456</v>
      </c>
      <c r="AB110" s="634">
        <f t="shared" si="102"/>
        <v>17460.009688081009</v>
      </c>
      <c r="AC110" s="633">
        <f t="shared" si="102"/>
        <v>9464.3120083397316</v>
      </c>
      <c r="AD110" s="634">
        <f t="shared" si="102"/>
        <v>23733.202582304453</v>
      </c>
      <c r="AE110" s="633">
        <f t="shared" si="102"/>
        <v>18003.359304617359</v>
      </c>
      <c r="AF110" s="634">
        <f t="shared" si="102"/>
        <v>43560.820461960393</v>
      </c>
    </row>
    <row r="111" spans="1:32" x14ac:dyDescent="0.25">
      <c r="A111" t="s">
        <v>364</v>
      </c>
      <c r="B111" t="s">
        <v>0</v>
      </c>
      <c r="C111" t="str">
        <f t="shared" si="75"/>
        <v>INDGAS</v>
      </c>
      <c r="D111" t="s">
        <v>363</v>
      </c>
      <c r="E111" s="595">
        <f t="shared" si="76"/>
        <v>3028.8510550913829</v>
      </c>
      <c r="F111" s="595">
        <f t="shared" ref="F111:H111" si="103">F89</f>
        <v>64796.649620599463</v>
      </c>
      <c r="G111" s="595">
        <f t="shared" si="103"/>
        <v>0</v>
      </c>
      <c r="H111" s="595">
        <f t="shared" si="103"/>
        <v>16488.2947791765</v>
      </c>
      <c r="I111" s="595">
        <f t="shared" ref="I111:O117" si="104">SUM(I$58:I$59)*(I89/SUM(I$81:I$87,I$89:I$95))</f>
        <v>13798.972662502891</v>
      </c>
      <c r="J111" s="595">
        <f t="shared" si="104"/>
        <v>50441.135096185804</v>
      </c>
      <c r="K111" s="595">
        <f t="shared" si="104"/>
        <v>23860.828578890894</v>
      </c>
      <c r="L111" s="595">
        <f t="shared" si="104"/>
        <v>0</v>
      </c>
      <c r="M111" s="595">
        <f t="shared" si="104"/>
        <v>36122.965631279461</v>
      </c>
      <c r="N111" s="595">
        <f t="shared" si="104"/>
        <v>22903.689935251281</v>
      </c>
      <c r="O111" s="595">
        <f t="shared" si="104"/>
        <v>220.59058409310811</v>
      </c>
      <c r="P111" s="595">
        <f t="shared" ref="P111" si="105">P89</f>
        <v>0</v>
      </c>
      <c r="Q111" s="595">
        <f t="shared" ref="Q111:U117" si="106">SUM(Q$58:Q$59)*(Q89/SUM(Q$81:Q$87,Q$89:Q$95))</f>
        <v>18861.475272105821</v>
      </c>
      <c r="R111" s="595">
        <f t="shared" si="106"/>
        <v>24031.077421630318</v>
      </c>
      <c r="S111" s="595">
        <f t="shared" si="106"/>
        <v>57480.898390433664</v>
      </c>
      <c r="T111" s="595">
        <f t="shared" si="106"/>
        <v>107561.21907654</v>
      </c>
      <c r="U111" s="595">
        <f t="shared" si="106"/>
        <v>69804.251111517195</v>
      </c>
      <c r="V111" s="595">
        <f t="shared" ref="V111:W117" si="107">V89</f>
        <v>59334.139440462917</v>
      </c>
      <c r="W111" s="595">
        <f t="shared" si="107"/>
        <v>0</v>
      </c>
      <c r="X111" s="595">
        <f t="shared" ref="X111:X117" si="108">SUM(X$58:X$59)*(X89/SUM(X$81:X$87,X$89:X$95))</f>
        <v>18586.714479430088</v>
      </c>
      <c r="Y111" s="595">
        <f t="shared" ref="Y111:AA111" si="109">Y89</f>
        <v>56146.451938456594</v>
      </c>
      <c r="Z111" s="595">
        <f t="shared" ref="Z111:Z117" si="110">SUM(Z$58:Z$59)*(Z89/SUM(Z$81:Z$87,Z$89:Z$95))</f>
        <v>46298.135041623107</v>
      </c>
      <c r="AA111" s="595">
        <f t="shared" si="109"/>
        <v>461109.09430436027</v>
      </c>
      <c r="AB111" s="595">
        <f t="shared" ref="AB111:AB117" si="111">SUM(AB$58:AB$59)*(AB89/SUM(AB$81:AB$87,AB$89:AB$95))</f>
        <v>33816.098010722264</v>
      </c>
      <c r="AC111" s="595">
        <f t="shared" ref="AC111" si="112">AC89</f>
        <v>40629.551615588149</v>
      </c>
      <c r="AD111" s="595">
        <f t="shared" ref="AD111:AD117" si="113">SUM(AD$58:AD$59)*(AD89/SUM(AD$81:AD$87,AD$89:AD$95))</f>
        <v>92770.937945693891</v>
      </c>
      <c r="AE111" s="595">
        <f t="shared" ref="AE111" si="114">AE89</f>
        <v>24901</v>
      </c>
      <c r="AF111" s="595">
        <f>SUM(AF$58:AF$59)*(AF89/SUM(AF$81:AF$87,AF$89:AF$95))</f>
        <v>174166.31389856414</v>
      </c>
    </row>
    <row r="112" spans="1:32" x14ac:dyDescent="0.25">
      <c r="A112" t="s">
        <v>364</v>
      </c>
      <c r="B112" t="s">
        <v>0</v>
      </c>
      <c r="C112" t="str">
        <f t="shared" si="75"/>
        <v>INDHET</v>
      </c>
      <c r="D112" t="s">
        <v>363</v>
      </c>
      <c r="E112" s="595">
        <f t="shared" si="76"/>
        <v>0</v>
      </c>
      <c r="F112" s="595">
        <f t="shared" ref="F112:H112" si="115">F90</f>
        <v>0</v>
      </c>
      <c r="G112" s="595">
        <f t="shared" si="115"/>
        <v>0</v>
      </c>
      <c r="H112" s="595">
        <f t="shared" si="115"/>
        <v>0</v>
      </c>
      <c r="I112" s="595">
        <f t="shared" si="104"/>
        <v>0</v>
      </c>
      <c r="J112" s="595">
        <f t="shared" si="104"/>
        <v>1761.2273992697544</v>
      </c>
      <c r="K112" s="595">
        <f t="shared" si="104"/>
        <v>0</v>
      </c>
      <c r="L112" s="595">
        <f t="shared" si="104"/>
        <v>0</v>
      </c>
      <c r="M112" s="595">
        <f t="shared" si="104"/>
        <v>0</v>
      </c>
      <c r="N112" s="595">
        <f t="shared" si="104"/>
        <v>0</v>
      </c>
      <c r="O112" s="595">
        <f t="shared" si="104"/>
        <v>0</v>
      </c>
      <c r="P112" s="595">
        <f t="shared" ref="P112" si="116">P90</f>
        <v>0</v>
      </c>
      <c r="Q112" s="595">
        <f t="shared" si="106"/>
        <v>2915.6465153479498</v>
      </c>
      <c r="R112" s="595">
        <f t="shared" si="106"/>
        <v>16.705972524450932</v>
      </c>
      <c r="S112" s="595">
        <f t="shared" si="106"/>
        <v>1105.3824967261821</v>
      </c>
      <c r="T112" s="595">
        <f t="shared" si="106"/>
        <v>3176.0938627951887</v>
      </c>
      <c r="U112" s="595">
        <f t="shared" si="106"/>
        <v>869.29839549103565</v>
      </c>
      <c r="V112" s="595">
        <f t="shared" si="107"/>
        <v>0</v>
      </c>
      <c r="W112" s="595">
        <f t="shared" si="107"/>
        <v>0</v>
      </c>
      <c r="X112" s="595">
        <f t="shared" si="108"/>
        <v>0</v>
      </c>
      <c r="Y112" s="595">
        <f t="shared" ref="Y112:AA112" si="117">Y90</f>
        <v>0</v>
      </c>
      <c r="Z112" s="595">
        <f t="shared" si="110"/>
        <v>0</v>
      </c>
      <c r="AA112" s="595">
        <f t="shared" si="117"/>
        <v>0</v>
      </c>
      <c r="AB112" s="595">
        <f t="shared" si="111"/>
        <v>0</v>
      </c>
      <c r="AC112" s="595">
        <f t="shared" ref="AC112" si="118">AC90</f>
        <v>0</v>
      </c>
      <c r="AD112" s="595">
        <f t="shared" si="113"/>
        <v>24215.786643275969</v>
      </c>
      <c r="AE112" s="595">
        <f t="shared" ref="AE112" si="119">AE90</f>
        <v>119</v>
      </c>
      <c r="AF112" s="595">
        <f t="shared" ref="AF112:AF117" si="120">SUM(AF$58:AF$59)*(AF90/SUM(AF$81:AF$87,AF$89:AF$95))</f>
        <v>65.058465044689825</v>
      </c>
    </row>
    <row r="113" spans="1:35" x14ac:dyDescent="0.25">
      <c r="A113" t="s">
        <v>364</v>
      </c>
      <c r="B113" t="s">
        <v>0</v>
      </c>
      <c r="C113" t="str">
        <f t="shared" si="75"/>
        <v>INDLPG</v>
      </c>
      <c r="D113" t="s">
        <v>363</v>
      </c>
      <c r="E113" s="595">
        <f t="shared" si="76"/>
        <v>0</v>
      </c>
      <c r="F113" s="595">
        <f t="shared" ref="F113:H113" si="121">F91</f>
        <v>4067.4577453460925</v>
      </c>
      <c r="G113" s="595">
        <f t="shared" si="121"/>
        <v>0</v>
      </c>
      <c r="H113" s="595">
        <f t="shared" si="121"/>
        <v>0</v>
      </c>
      <c r="I113" s="595">
        <f t="shared" si="104"/>
        <v>1199.4116392027881</v>
      </c>
      <c r="J113" s="595">
        <f t="shared" si="104"/>
        <v>470.62437572826087</v>
      </c>
      <c r="K113" s="595">
        <f t="shared" si="104"/>
        <v>1982.6401451679783</v>
      </c>
      <c r="L113" s="595">
        <f t="shared" si="104"/>
        <v>0</v>
      </c>
      <c r="M113" s="595">
        <f t="shared" si="104"/>
        <v>5168.7341917049362</v>
      </c>
      <c r="N113" s="595">
        <f t="shared" si="104"/>
        <v>0</v>
      </c>
      <c r="O113" s="595">
        <f t="shared" si="104"/>
        <v>33.751564779273373</v>
      </c>
      <c r="P113" s="595">
        <f t="shared" ref="P113" si="122">P91</f>
        <v>29186</v>
      </c>
      <c r="Q113" s="595">
        <f t="shared" si="106"/>
        <v>537.07868776749206</v>
      </c>
      <c r="R113" s="595">
        <f t="shared" si="106"/>
        <v>715.5724897973148</v>
      </c>
      <c r="S113" s="595">
        <f t="shared" si="106"/>
        <v>511.34026080307882</v>
      </c>
      <c r="T113" s="595">
        <f t="shared" si="106"/>
        <v>2428.1708256773613</v>
      </c>
      <c r="U113" s="595">
        <f t="shared" si="106"/>
        <v>1079.6522053433475</v>
      </c>
      <c r="V113" s="595">
        <f t="shared" si="107"/>
        <v>24330.311926983119</v>
      </c>
      <c r="W113" s="595">
        <f t="shared" si="107"/>
        <v>0</v>
      </c>
      <c r="X113" s="595">
        <f t="shared" si="108"/>
        <v>2304.3008852984053</v>
      </c>
      <c r="Y113" s="595">
        <f t="shared" ref="Y113:AA113" si="123">Y91</f>
        <v>1449.8685345449064</v>
      </c>
      <c r="Z113" s="595">
        <f t="shared" si="110"/>
        <v>143.96004487656657</v>
      </c>
      <c r="AA113" s="595">
        <f t="shared" si="123"/>
        <v>0</v>
      </c>
      <c r="AB113" s="595">
        <f t="shared" si="111"/>
        <v>63.651226895808819</v>
      </c>
      <c r="AC113" s="595">
        <f t="shared" ref="AC113" si="124">AC91</f>
        <v>0</v>
      </c>
      <c r="AD113" s="595">
        <f t="shared" si="113"/>
        <v>204.93833270282414</v>
      </c>
      <c r="AE113" s="595">
        <f t="shared" ref="AE113" si="125">AE91</f>
        <v>646</v>
      </c>
      <c r="AF113" s="595">
        <f t="shared" si="120"/>
        <v>313.0665734029705</v>
      </c>
    </row>
    <row r="114" spans="1:35" x14ac:dyDescent="0.25">
      <c r="A114" t="s">
        <v>364</v>
      </c>
      <c r="B114" t="s">
        <v>0</v>
      </c>
      <c r="C114" t="str">
        <f t="shared" si="75"/>
        <v>INDOIL</v>
      </c>
      <c r="D114" t="s">
        <v>363</v>
      </c>
      <c r="E114" s="595">
        <f t="shared" si="76"/>
        <v>27390.108058521109</v>
      </c>
      <c r="F114" s="595">
        <f t="shared" ref="F114:H114" si="126">F92</f>
        <v>95875.008709858099</v>
      </c>
      <c r="G114" s="595">
        <f t="shared" si="126"/>
        <v>35567.556738731204</v>
      </c>
      <c r="H114" s="595">
        <f t="shared" si="126"/>
        <v>1992.2963388599012</v>
      </c>
      <c r="I114" s="595">
        <f t="shared" si="104"/>
        <v>853.07435486839461</v>
      </c>
      <c r="J114" s="595">
        <f t="shared" si="104"/>
        <v>2839.0054064836213</v>
      </c>
      <c r="K114" s="595">
        <f t="shared" si="104"/>
        <v>8724.1336244353679</v>
      </c>
      <c r="L114" s="595">
        <f t="shared" si="104"/>
        <v>18311.773725358853</v>
      </c>
      <c r="M114" s="595">
        <f t="shared" si="104"/>
        <v>86921.704118072303</v>
      </c>
      <c r="N114" s="595">
        <f t="shared" si="104"/>
        <v>13177.285471352028</v>
      </c>
      <c r="O114" s="595">
        <f t="shared" si="104"/>
        <v>5484.0265701180069</v>
      </c>
      <c r="P114" s="595">
        <f t="shared" ref="P114" si="127">P92</f>
        <v>337384</v>
      </c>
      <c r="Q114" s="595">
        <f t="shared" si="106"/>
        <v>9268.4895379536574</v>
      </c>
      <c r="R114" s="595">
        <f t="shared" si="106"/>
        <v>4121.7346656159207</v>
      </c>
      <c r="S114" s="595">
        <f t="shared" si="106"/>
        <v>16926.169481119665</v>
      </c>
      <c r="T114" s="595">
        <f t="shared" si="106"/>
        <v>62868.089359664569</v>
      </c>
      <c r="U114" s="595">
        <f t="shared" si="106"/>
        <v>17757.469959969239</v>
      </c>
      <c r="V114" s="595">
        <f t="shared" si="107"/>
        <v>52298.568995637077</v>
      </c>
      <c r="W114" s="595">
        <f t="shared" si="107"/>
        <v>84890.071764087261</v>
      </c>
      <c r="X114" s="595">
        <f t="shared" si="108"/>
        <v>43027.129222392796</v>
      </c>
      <c r="Y114" s="595">
        <f t="shared" ref="Y114:AA114" si="128">Y92</f>
        <v>59919.269258007647</v>
      </c>
      <c r="Z114" s="595">
        <f t="shared" si="110"/>
        <v>97185.453239717463</v>
      </c>
      <c r="AA114" s="595">
        <f t="shared" si="128"/>
        <v>0</v>
      </c>
      <c r="AB114" s="595">
        <f t="shared" si="111"/>
        <v>92650.587497306929</v>
      </c>
      <c r="AC114" s="595">
        <f t="shared" ref="AC114" si="129">AC92</f>
        <v>17412.664978109209</v>
      </c>
      <c r="AD114" s="595">
        <f t="shared" si="113"/>
        <v>6242.6948652382935</v>
      </c>
      <c r="AE114" s="595">
        <f t="shared" ref="AE114" si="130">AE92</f>
        <v>23025</v>
      </c>
      <c r="AF114" s="595">
        <f t="shared" si="120"/>
        <v>21199.017022716351</v>
      </c>
    </row>
    <row r="115" spans="1:35" x14ac:dyDescent="0.25">
      <c r="A115" t="s">
        <v>364</v>
      </c>
      <c r="B115" t="s">
        <v>0</v>
      </c>
      <c r="C115" t="str">
        <f t="shared" si="75"/>
        <v>INDGEO</v>
      </c>
      <c r="D115" t="s">
        <v>363</v>
      </c>
      <c r="E115" s="595">
        <f t="shared" si="76"/>
        <v>0</v>
      </c>
      <c r="F115" s="595">
        <f t="shared" ref="F115:H115" si="131">F93</f>
        <v>0</v>
      </c>
      <c r="G115" s="595">
        <f t="shared" si="131"/>
        <v>0</v>
      </c>
      <c r="H115" s="595">
        <f t="shared" si="131"/>
        <v>0</v>
      </c>
      <c r="I115" s="595">
        <f t="shared" si="104"/>
        <v>0</v>
      </c>
      <c r="J115" s="595">
        <f t="shared" si="104"/>
        <v>0</v>
      </c>
      <c r="K115" s="595">
        <f t="shared" si="104"/>
        <v>0</v>
      </c>
      <c r="L115" s="595">
        <f t="shared" si="104"/>
        <v>0</v>
      </c>
      <c r="M115" s="595">
        <f t="shared" si="104"/>
        <v>0</v>
      </c>
      <c r="N115" s="595">
        <f t="shared" si="104"/>
        <v>0</v>
      </c>
      <c r="O115" s="595">
        <f t="shared" si="104"/>
        <v>0</v>
      </c>
      <c r="P115" s="595">
        <f t="shared" ref="P115" si="132">P93</f>
        <v>0</v>
      </c>
      <c r="Q115" s="595">
        <f t="shared" si="106"/>
        <v>0</v>
      </c>
      <c r="R115" s="595">
        <f t="shared" si="106"/>
        <v>0</v>
      </c>
      <c r="S115" s="595">
        <f t="shared" si="106"/>
        <v>0</v>
      </c>
      <c r="T115" s="595">
        <f t="shared" si="106"/>
        <v>0</v>
      </c>
      <c r="U115" s="595">
        <f t="shared" si="106"/>
        <v>0</v>
      </c>
      <c r="V115" s="595">
        <f t="shared" si="107"/>
        <v>0</v>
      </c>
      <c r="W115" s="595">
        <f t="shared" si="107"/>
        <v>0</v>
      </c>
      <c r="X115" s="595">
        <f t="shared" si="108"/>
        <v>0</v>
      </c>
      <c r="Y115" s="595">
        <f t="shared" ref="Y115:AA115" si="133">Y93</f>
        <v>0</v>
      </c>
      <c r="Z115" s="595">
        <f t="shared" si="110"/>
        <v>0</v>
      </c>
      <c r="AA115" s="595">
        <f t="shared" si="133"/>
        <v>0</v>
      </c>
      <c r="AB115" s="595">
        <f t="shared" si="111"/>
        <v>0</v>
      </c>
      <c r="AC115" s="595">
        <f t="shared" ref="AC115" si="134">AC93</f>
        <v>0</v>
      </c>
      <c r="AD115" s="595">
        <f t="shared" si="113"/>
        <v>0</v>
      </c>
      <c r="AE115" s="595">
        <f t="shared" ref="AE115" si="135">AE93</f>
        <v>0</v>
      </c>
      <c r="AF115" s="595">
        <f t="shared" si="120"/>
        <v>0</v>
      </c>
    </row>
    <row r="116" spans="1:35" x14ac:dyDescent="0.25">
      <c r="A116" t="s">
        <v>364</v>
      </c>
      <c r="B116" t="s">
        <v>0</v>
      </c>
      <c r="C116" t="str">
        <f t="shared" si="75"/>
        <v>INDCSP</v>
      </c>
      <c r="D116" t="s">
        <v>363</v>
      </c>
      <c r="E116" s="595">
        <f t="shared" si="76"/>
        <v>0</v>
      </c>
      <c r="F116" s="595">
        <f t="shared" ref="F116:H116" si="136">F94</f>
        <v>0</v>
      </c>
      <c r="G116" s="595">
        <f t="shared" si="136"/>
        <v>0</v>
      </c>
      <c r="H116" s="595">
        <f t="shared" si="136"/>
        <v>0</v>
      </c>
      <c r="I116" s="595">
        <f t="shared" si="104"/>
        <v>0</v>
      </c>
      <c r="J116" s="595">
        <f t="shared" si="104"/>
        <v>0</v>
      </c>
      <c r="K116" s="595">
        <f t="shared" si="104"/>
        <v>0</v>
      </c>
      <c r="L116" s="595">
        <f t="shared" si="104"/>
        <v>0</v>
      </c>
      <c r="M116" s="595">
        <f t="shared" si="104"/>
        <v>0</v>
      </c>
      <c r="N116" s="595">
        <f t="shared" si="104"/>
        <v>0</v>
      </c>
      <c r="O116" s="595">
        <f t="shared" si="104"/>
        <v>0</v>
      </c>
      <c r="P116" s="595">
        <f t="shared" ref="P116" si="137">P94</f>
        <v>0</v>
      </c>
      <c r="Q116" s="595">
        <f t="shared" si="106"/>
        <v>0</v>
      </c>
      <c r="R116" s="595">
        <f t="shared" si="106"/>
        <v>0</v>
      </c>
      <c r="S116" s="595">
        <f t="shared" si="106"/>
        <v>0</v>
      </c>
      <c r="T116" s="595">
        <f>SUM(T$58:T$59)*(T94/SUM(T$81:T$87,T$89:T$95))</f>
        <v>0</v>
      </c>
      <c r="U116" s="595">
        <f t="shared" si="106"/>
        <v>0</v>
      </c>
      <c r="V116" s="595">
        <f t="shared" si="107"/>
        <v>0</v>
      </c>
      <c r="W116" s="595">
        <f t="shared" si="107"/>
        <v>0</v>
      </c>
      <c r="X116" s="595">
        <f t="shared" si="108"/>
        <v>0</v>
      </c>
      <c r="Y116" s="595">
        <f t="shared" ref="Y116:AA116" si="138">Y94</f>
        <v>0</v>
      </c>
      <c r="Z116" s="595">
        <f t="shared" si="110"/>
        <v>0</v>
      </c>
      <c r="AA116" s="595">
        <f t="shared" si="138"/>
        <v>0</v>
      </c>
      <c r="AB116" s="595">
        <f t="shared" si="111"/>
        <v>0</v>
      </c>
      <c r="AC116" s="595">
        <f t="shared" ref="AC116" si="139">AC94</f>
        <v>0</v>
      </c>
      <c r="AD116" s="595">
        <f t="shared" si="113"/>
        <v>0</v>
      </c>
      <c r="AE116" s="595">
        <f t="shared" ref="AE116" si="140">AE94</f>
        <v>0</v>
      </c>
      <c r="AF116" s="595">
        <f t="shared" si="120"/>
        <v>0</v>
      </c>
    </row>
    <row r="117" spans="1:35" x14ac:dyDescent="0.25">
      <c r="A117" t="s">
        <v>364</v>
      </c>
      <c r="B117" t="s">
        <v>0</v>
      </c>
      <c r="C117" t="str">
        <f t="shared" si="75"/>
        <v>INDWAS</v>
      </c>
      <c r="D117" t="s">
        <v>363</v>
      </c>
      <c r="E117" s="595">
        <f t="shared" si="76"/>
        <v>0</v>
      </c>
      <c r="F117" s="595">
        <f t="shared" ref="F117:H117" si="141">F95</f>
        <v>2021</v>
      </c>
      <c r="G117" s="595">
        <f t="shared" si="141"/>
        <v>0</v>
      </c>
      <c r="H117" s="595">
        <f t="shared" si="141"/>
        <v>0</v>
      </c>
      <c r="I117" s="595">
        <f t="shared" si="104"/>
        <v>0</v>
      </c>
      <c r="J117" s="595">
        <f t="shared" si="104"/>
        <v>0</v>
      </c>
      <c r="K117" s="595">
        <f t="shared" si="104"/>
        <v>0</v>
      </c>
      <c r="L117" s="595">
        <f t="shared" si="104"/>
        <v>0</v>
      </c>
      <c r="M117" s="595">
        <f t="shared" si="104"/>
        <v>0</v>
      </c>
      <c r="N117" s="595">
        <f t="shared" si="104"/>
        <v>3482.7872676739657</v>
      </c>
      <c r="O117" s="595">
        <f t="shared" si="104"/>
        <v>0</v>
      </c>
      <c r="P117" s="595">
        <f t="shared" ref="P117" si="142">P95</f>
        <v>0</v>
      </c>
      <c r="Q117" s="595">
        <f t="shared" si="106"/>
        <v>9.1030286062286763</v>
      </c>
      <c r="R117" s="595">
        <f t="shared" si="106"/>
        <v>3811.2820095365414</v>
      </c>
      <c r="S117" s="595">
        <f t="shared" si="106"/>
        <v>36399.963220204969</v>
      </c>
      <c r="T117" s="595">
        <f t="shared" si="106"/>
        <v>12430.137004237551</v>
      </c>
      <c r="U117" s="595">
        <f t="shared" si="106"/>
        <v>30715.346656154248</v>
      </c>
      <c r="V117" s="595">
        <f t="shared" si="107"/>
        <v>0</v>
      </c>
      <c r="W117" s="595">
        <f t="shared" si="107"/>
        <v>0</v>
      </c>
      <c r="X117" s="595">
        <f t="shared" si="108"/>
        <v>13800.903341931717</v>
      </c>
      <c r="Y117" s="595">
        <f t="shared" ref="Y117:AA117" si="143">Y95</f>
        <v>67.31532481815637</v>
      </c>
      <c r="Z117" s="595">
        <f t="shared" si="110"/>
        <v>15450.49354733628</v>
      </c>
      <c r="AA117" s="595">
        <f t="shared" si="143"/>
        <v>0</v>
      </c>
      <c r="AB117" s="595">
        <f t="shared" si="111"/>
        <v>0</v>
      </c>
      <c r="AC117" s="595">
        <f t="shared" ref="AC117" si="144">AC95</f>
        <v>0</v>
      </c>
      <c r="AD117" s="595">
        <f t="shared" si="113"/>
        <v>831.50312855292509</v>
      </c>
      <c r="AE117" s="595">
        <f t="shared" ref="AE117" si="145">AE95</f>
        <v>29803</v>
      </c>
      <c r="AF117" s="595">
        <f t="shared" si="120"/>
        <v>3.0564379551196565</v>
      </c>
    </row>
    <row r="119" spans="1:35" x14ac:dyDescent="0.25">
      <c r="D119" s="159" t="s">
        <v>757</v>
      </c>
      <c r="E119" s="354">
        <f t="shared" ref="E119:AF119" si="146">SUM(E103:E117)/(E69+E58+E59)</f>
        <v>1</v>
      </c>
      <c r="F119" s="354">
        <f t="shared" si="146"/>
        <v>0.99761534436573307</v>
      </c>
      <c r="G119" s="354">
        <f t="shared" si="146"/>
        <v>1</v>
      </c>
      <c r="H119" s="354">
        <f t="shared" si="146"/>
        <v>1</v>
      </c>
      <c r="I119" s="354">
        <f t="shared" si="146"/>
        <v>0.99999999999999989</v>
      </c>
      <c r="J119" s="354">
        <f t="shared" si="146"/>
        <v>0.99999999999999989</v>
      </c>
      <c r="K119" s="354">
        <f t="shared" si="146"/>
        <v>1</v>
      </c>
      <c r="L119" s="354">
        <f t="shared" si="146"/>
        <v>0.99999999999999989</v>
      </c>
      <c r="M119" s="354">
        <f t="shared" si="146"/>
        <v>1</v>
      </c>
      <c r="N119" s="354">
        <f t="shared" si="146"/>
        <v>0.99999999999999989</v>
      </c>
      <c r="O119" s="354">
        <f t="shared" si="146"/>
        <v>1</v>
      </c>
      <c r="P119" s="354">
        <f t="shared" si="146"/>
        <v>1</v>
      </c>
      <c r="Q119" s="354">
        <f t="shared" si="146"/>
        <v>1</v>
      </c>
      <c r="R119" s="354">
        <f t="shared" si="146"/>
        <v>1</v>
      </c>
      <c r="S119" s="354">
        <f t="shared" si="146"/>
        <v>1</v>
      </c>
      <c r="T119" s="354">
        <f t="shared" si="146"/>
        <v>1.0000000000000002</v>
      </c>
      <c r="U119" s="354">
        <f t="shared" si="146"/>
        <v>1</v>
      </c>
      <c r="V119" s="354">
        <f t="shared" si="146"/>
        <v>1</v>
      </c>
      <c r="W119" s="354">
        <f t="shared" si="146"/>
        <v>1</v>
      </c>
      <c r="X119" s="354">
        <f t="shared" si="146"/>
        <v>1</v>
      </c>
      <c r="Y119" s="354">
        <f t="shared" si="146"/>
        <v>0.99938398809313855</v>
      </c>
      <c r="Z119" s="354">
        <f t="shared" si="146"/>
        <v>1.0000000000000002</v>
      </c>
      <c r="AA119" s="354">
        <f t="shared" si="146"/>
        <v>1.0000000000000002</v>
      </c>
      <c r="AB119" s="354">
        <f t="shared" si="146"/>
        <v>1.0000000000000002</v>
      </c>
      <c r="AC119" s="354">
        <f t="shared" si="146"/>
        <v>1</v>
      </c>
      <c r="AD119" s="354">
        <f t="shared" si="146"/>
        <v>0.99999999999999978</v>
      </c>
      <c r="AE119" s="354">
        <f t="shared" si="146"/>
        <v>1.1302754445927574</v>
      </c>
      <c r="AF119" s="354">
        <f t="shared" si="146"/>
        <v>1</v>
      </c>
    </row>
    <row r="121" spans="1:35" x14ac:dyDescent="0.25">
      <c r="A121" t="s">
        <v>364</v>
      </c>
      <c r="B121" t="s">
        <v>758</v>
      </c>
      <c r="C121" t="str">
        <f>C103</f>
        <v>INDBFG</v>
      </c>
      <c r="D121" t="s">
        <v>449</v>
      </c>
      <c r="E121" s="340">
        <f>((E$58/(SUM(E$58:E$59)))*E103)/(E$35*(1-E$52))</f>
        <v>0</v>
      </c>
      <c r="F121" s="340">
        <f t="shared" ref="F121:AF127" si="147">((F$58/(SUM(F$58:F$59)))*F103)/(F$35*(1-F$52))</f>
        <v>0</v>
      </c>
      <c r="G121" s="340">
        <f t="shared" si="147"/>
        <v>0</v>
      </c>
      <c r="H121" s="340">
        <f t="shared" si="147"/>
        <v>0</v>
      </c>
      <c r="I121" s="340">
        <f t="shared" si="147"/>
        <v>0</v>
      </c>
      <c r="J121" s="340">
        <f t="shared" si="147"/>
        <v>0</v>
      </c>
      <c r="K121" s="340">
        <f t="shared" si="147"/>
        <v>0</v>
      </c>
      <c r="L121" s="340">
        <f t="shared" si="147"/>
        <v>0</v>
      </c>
      <c r="M121" s="340">
        <f t="shared" si="147"/>
        <v>0</v>
      </c>
      <c r="N121" s="340">
        <f t="shared" si="147"/>
        <v>0</v>
      </c>
      <c r="O121" s="340">
        <f t="shared" si="147"/>
        <v>0</v>
      </c>
      <c r="P121" s="340">
        <f t="shared" si="147"/>
        <v>0</v>
      </c>
      <c r="Q121" s="340">
        <f t="shared" si="147"/>
        <v>0</v>
      </c>
      <c r="R121" s="340">
        <f t="shared" si="147"/>
        <v>5.7040676697129016E-3</v>
      </c>
      <c r="S121" s="340">
        <f t="shared" si="147"/>
        <v>0</v>
      </c>
      <c r="T121" s="340">
        <f t="shared" si="147"/>
        <v>0</v>
      </c>
      <c r="U121" s="340">
        <f t="shared" si="147"/>
        <v>0</v>
      </c>
      <c r="V121" s="340">
        <f t="shared" si="147"/>
        <v>0</v>
      </c>
      <c r="W121" s="340">
        <f t="shared" si="147"/>
        <v>0</v>
      </c>
      <c r="X121" s="340">
        <f t="shared" si="147"/>
        <v>2.6996695127446493E-3</v>
      </c>
      <c r="Y121" s="340">
        <f t="shared" si="147"/>
        <v>0</v>
      </c>
      <c r="Z121" s="340">
        <f t="shared" si="147"/>
        <v>0</v>
      </c>
      <c r="AA121" s="340">
        <f t="shared" si="147"/>
        <v>0</v>
      </c>
      <c r="AB121" s="340">
        <f t="shared" si="147"/>
        <v>0</v>
      </c>
      <c r="AC121" s="340">
        <f t="shared" si="147"/>
        <v>0</v>
      </c>
      <c r="AD121" s="340">
        <f t="shared" si="147"/>
        <v>0</v>
      </c>
      <c r="AE121" s="340">
        <f t="shared" si="147"/>
        <v>0</v>
      </c>
      <c r="AF121" s="340">
        <f t="shared" si="147"/>
        <v>0</v>
      </c>
    </row>
    <row r="122" spans="1:35" x14ac:dyDescent="0.25">
      <c r="A122" t="s">
        <v>364</v>
      </c>
      <c r="B122" t="s">
        <v>758</v>
      </c>
      <c r="C122" t="str">
        <f t="shared" ref="C122:C135" si="148">C104</f>
        <v>INDBGS</v>
      </c>
      <c r="D122" t="s">
        <v>449</v>
      </c>
      <c r="E122" s="340">
        <f t="shared" ref="E122:T135" si="149">((E$58/(SUM(E$58:E$59)))*E104)/(E$35*(1-E$52))</f>
        <v>0</v>
      </c>
      <c r="F122" s="340">
        <f t="shared" si="149"/>
        <v>0</v>
      </c>
      <c r="G122" s="340">
        <f t="shared" si="149"/>
        <v>0</v>
      </c>
      <c r="H122" s="340">
        <f t="shared" si="149"/>
        <v>0</v>
      </c>
      <c r="I122" s="340">
        <f t="shared" si="149"/>
        <v>3.5238608883792753E-3</v>
      </c>
      <c r="J122" s="340">
        <f t="shared" si="149"/>
        <v>0</v>
      </c>
      <c r="K122" s="340">
        <f t="shared" si="149"/>
        <v>0</v>
      </c>
      <c r="L122" s="340">
        <f t="shared" si="149"/>
        <v>0</v>
      </c>
      <c r="M122" s="340">
        <f t="shared" si="149"/>
        <v>0</v>
      </c>
      <c r="N122" s="340">
        <f t="shared" si="149"/>
        <v>0</v>
      </c>
      <c r="O122" s="340">
        <f t="shared" si="149"/>
        <v>0</v>
      </c>
      <c r="P122" s="340">
        <f t="shared" si="149"/>
        <v>0</v>
      </c>
      <c r="Q122" s="340">
        <f t="shared" si="149"/>
        <v>0</v>
      </c>
      <c r="R122" s="340">
        <f t="shared" si="149"/>
        <v>4.4941139215919833E-4</v>
      </c>
      <c r="S122" s="340">
        <f t="shared" si="149"/>
        <v>3.2673651514252038E-4</v>
      </c>
      <c r="T122" s="340">
        <f t="shared" si="149"/>
        <v>2.0170398804116433E-3</v>
      </c>
      <c r="U122" s="340">
        <f t="shared" si="147"/>
        <v>1.0005657844968736E-3</v>
      </c>
      <c r="V122" s="340">
        <f t="shared" si="147"/>
        <v>0</v>
      </c>
      <c r="W122" s="340">
        <f t="shared" si="147"/>
        <v>0</v>
      </c>
      <c r="X122" s="340">
        <f t="shared" si="147"/>
        <v>0</v>
      </c>
      <c r="Y122" s="340">
        <f t="shared" si="147"/>
        <v>0</v>
      </c>
      <c r="Z122" s="340">
        <f t="shared" si="147"/>
        <v>0</v>
      </c>
      <c r="AA122" s="340">
        <f t="shared" si="147"/>
        <v>0</v>
      </c>
      <c r="AB122" s="340">
        <f t="shared" si="147"/>
        <v>0</v>
      </c>
      <c r="AC122" s="340">
        <f t="shared" si="147"/>
        <v>0</v>
      </c>
      <c r="AD122" s="340">
        <f t="shared" si="147"/>
        <v>0</v>
      </c>
      <c r="AE122" s="340">
        <f t="shared" si="147"/>
        <v>0</v>
      </c>
      <c r="AF122" s="340">
        <f t="shared" si="147"/>
        <v>0</v>
      </c>
    </row>
    <row r="123" spans="1:35" x14ac:dyDescent="0.25">
      <c r="A123" t="s">
        <v>364</v>
      </c>
      <c r="B123" t="s">
        <v>758</v>
      </c>
      <c r="C123" t="str">
        <f t="shared" si="148"/>
        <v>INDBIO</v>
      </c>
      <c r="D123" t="s">
        <v>449</v>
      </c>
      <c r="E123" s="340">
        <f t="shared" si="149"/>
        <v>0</v>
      </c>
      <c r="F123" s="340">
        <f t="shared" si="147"/>
        <v>5.1760877436527047E-2</v>
      </c>
      <c r="G123" s="340">
        <f t="shared" si="147"/>
        <v>7.3419555802500203E-2</v>
      </c>
      <c r="H123" s="340">
        <f t="shared" si="147"/>
        <v>7.2980883323126258E-2</v>
      </c>
      <c r="I123" s="340">
        <f t="shared" si="147"/>
        <v>0.12876951896932939</v>
      </c>
      <c r="J123" s="340">
        <f t="shared" si="147"/>
        <v>2.6993909052237339E-5</v>
      </c>
      <c r="K123" s="340">
        <f t="shared" si="147"/>
        <v>0.15361921278109431</v>
      </c>
      <c r="L123" s="340">
        <f t="shared" si="147"/>
        <v>0</v>
      </c>
      <c r="M123" s="340">
        <f t="shared" si="147"/>
        <v>0.12892974340955371</v>
      </c>
      <c r="N123" s="340">
        <f t="shared" si="147"/>
        <v>4.2429624928607648E-2</v>
      </c>
      <c r="O123" s="340">
        <f t="shared" si="147"/>
        <v>0</v>
      </c>
      <c r="P123" s="340">
        <f t="shared" si="147"/>
        <v>7.2314134157208838E-3</v>
      </c>
      <c r="Q123" s="340">
        <f t="shared" si="147"/>
        <v>9.8131506142876499E-3</v>
      </c>
      <c r="R123" s="340">
        <f t="shared" si="147"/>
        <v>0.41221395693125229</v>
      </c>
      <c r="S123" s="340">
        <f t="shared" si="147"/>
        <v>5.5688971640891184E-2</v>
      </c>
      <c r="T123" s="340">
        <f t="shared" si="147"/>
        <v>0.24198610812560342</v>
      </c>
      <c r="U123" s="340">
        <f t="shared" si="147"/>
        <v>7.8877936011170213E-2</v>
      </c>
      <c r="V123" s="340">
        <f t="shared" si="147"/>
        <v>0</v>
      </c>
      <c r="W123" s="340">
        <f t="shared" si="147"/>
        <v>0.154699364987191</v>
      </c>
      <c r="X123" s="340">
        <f t="shared" si="147"/>
        <v>6.9605521607318421E-2</v>
      </c>
      <c r="Y123" s="340">
        <f t="shared" si="147"/>
        <v>3.1070256798843562E-2</v>
      </c>
      <c r="Z123" s="340">
        <f t="shared" si="147"/>
        <v>0</v>
      </c>
      <c r="AA123" s="340">
        <f t="shared" si="147"/>
        <v>0</v>
      </c>
      <c r="AB123" s="340">
        <f t="shared" si="147"/>
        <v>0</v>
      </c>
      <c r="AC123" s="340">
        <f t="shared" si="147"/>
        <v>0</v>
      </c>
      <c r="AD123" s="340">
        <f t="shared" si="147"/>
        <v>3.7683839039999721E-4</v>
      </c>
      <c r="AE123" s="340">
        <f t="shared" si="147"/>
        <v>1.447635203679325E-3</v>
      </c>
      <c r="AF123" s="340">
        <f t="shared" si="147"/>
        <v>0.11531305663438048</v>
      </c>
    </row>
    <row r="124" spans="1:35" x14ac:dyDescent="0.25">
      <c r="A124" t="s">
        <v>364</v>
      </c>
      <c r="B124" t="s">
        <v>758</v>
      </c>
      <c r="C124" t="str">
        <f t="shared" si="148"/>
        <v>INDBLQ</v>
      </c>
      <c r="D124" t="s">
        <v>449</v>
      </c>
      <c r="E124" s="340">
        <f t="shared" si="149"/>
        <v>0</v>
      </c>
      <c r="F124" s="340">
        <f t="shared" si="147"/>
        <v>0</v>
      </c>
      <c r="G124" s="340">
        <f t="shared" si="147"/>
        <v>0</v>
      </c>
      <c r="H124" s="340">
        <f t="shared" si="147"/>
        <v>0</v>
      </c>
      <c r="I124" s="340">
        <f t="shared" si="147"/>
        <v>0</v>
      </c>
      <c r="J124" s="340">
        <f t="shared" si="147"/>
        <v>0</v>
      </c>
      <c r="K124" s="340">
        <f t="shared" si="147"/>
        <v>0</v>
      </c>
      <c r="L124" s="340">
        <f t="shared" si="147"/>
        <v>0</v>
      </c>
      <c r="M124" s="340">
        <f t="shared" si="147"/>
        <v>4.2957740022472948E-3</v>
      </c>
      <c r="N124" s="340">
        <f t="shared" si="147"/>
        <v>0</v>
      </c>
      <c r="O124" s="340">
        <f t="shared" si="147"/>
        <v>0</v>
      </c>
      <c r="P124" s="340">
        <f t="shared" si="147"/>
        <v>0</v>
      </c>
      <c r="Q124" s="340">
        <f t="shared" si="147"/>
        <v>0</v>
      </c>
      <c r="R124" s="340">
        <f t="shared" si="147"/>
        <v>0</v>
      </c>
      <c r="S124" s="340">
        <f t="shared" si="147"/>
        <v>2.6138921211401631E-5</v>
      </c>
      <c r="T124" s="340">
        <f t="shared" si="147"/>
        <v>5.8677523793793269E-4</v>
      </c>
      <c r="U124" s="340">
        <f t="shared" si="147"/>
        <v>4.0763791220243002E-3</v>
      </c>
      <c r="V124" s="340">
        <f t="shared" si="147"/>
        <v>1.9378524922327625E-3</v>
      </c>
      <c r="W124" s="340">
        <f t="shared" si="147"/>
        <v>0</v>
      </c>
      <c r="X124" s="340">
        <f t="shared" si="147"/>
        <v>0</v>
      </c>
      <c r="Y124" s="340">
        <f t="shared" si="147"/>
        <v>0</v>
      </c>
      <c r="Z124" s="340">
        <f t="shared" si="147"/>
        <v>0</v>
      </c>
      <c r="AA124" s="340">
        <f t="shared" si="147"/>
        <v>0</v>
      </c>
      <c r="AB124" s="340">
        <f t="shared" si="147"/>
        <v>0</v>
      </c>
      <c r="AC124" s="340">
        <f t="shared" si="147"/>
        <v>0</v>
      </c>
      <c r="AD124" s="340">
        <f t="shared" si="147"/>
        <v>0</v>
      </c>
      <c r="AE124" s="340">
        <f t="shared" si="147"/>
        <v>0</v>
      </c>
      <c r="AF124" s="340">
        <f t="shared" si="147"/>
        <v>1.4953669229140164E-3</v>
      </c>
    </row>
    <row r="125" spans="1:35" x14ac:dyDescent="0.25">
      <c r="A125" t="s">
        <v>364</v>
      </c>
      <c r="B125" t="s">
        <v>758</v>
      </c>
      <c r="C125" t="str">
        <f t="shared" si="148"/>
        <v>INDCOA</v>
      </c>
      <c r="D125" t="s">
        <v>449</v>
      </c>
      <c r="E125" s="340">
        <f t="shared" si="149"/>
        <v>2.0667511202526092</v>
      </c>
      <c r="F125" s="340">
        <f t="shared" si="147"/>
        <v>1.2817236925796665</v>
      </c>
      <c r="G125" s="340">
        <f t="shared" si="147"/>
        <v>1.1015312910495321</v>
      </c>
      <c r="H125" s="340">
        <f t="shared" si="147"/>
        <v>2.3303864612524738</v>
      </c>
      <c r="I125" s="340">
        <f t="shared" si="147"/>
        <v>0.9238883950845953</v>
      </c>
      <c r="J125" s="340">
        <f t="shared" si="147"/>
        <v>1.5334699854394989</v>
      </c>
      <c r="K125" s="340">
        <f t="shared" si="147"/>
        <v>2.8375408237193134</v>
      </c>
      <c r="L125" s="340">
        <f t="shared" si="147"/>
        <v>2.9898213085003706</v>
      </c>
      <c r="M125" s="340">
        <f t="shared" si="147"/>
        <v>5.836977131123737E-2</v>
      </c>
      <c r="N125" s="340">
        <f t="shared" si="147"/>
        <v>0.443444683912948</v>
      </c>
      <c r="O125" s="340">
        <f t="shared" si="147"/>
        <v>3.6334075821538192E-2</v>
      </c>
      <c r="P125" s="340">
        <f t="shared" si="147"/>
        <v>3.1642721725970349</v>
      </c>
      <c r="Q125" s="340">
        <f t="shared" si="147"/>
        <v>1.8061951755649506</v>
      </c>
      <c r="R125" s="340">
        <f t="shared" si="147"/>
        <v>0.74515865830703998</v>
      </c>
      <c r="S125" s="340">
        <f t="shared" si="147"/>
        <v>0.52158910331291386</v>
      </c>
      <c r="T125" s="340">
        <f t="shared" si="147"/>
        <v>0.1485568208649361</v>
      </c>
      <c r="U125" s="340">
        <f t="shared" si="147"/>
        <v>0.50968635772310655</v>
      </c>
      <c r="V125" s="340">
        <f t="shared" si="147"/>
        <v>2.8125160564055354</v>
      </c>
      <c r="W125" s="340">
        <f t="shared" si="147"/>
        <v>2.6298892047822466</v>
      </c>
      <c r="X125" s="340">
        <f t="shared" si="147"/>
        <v>1.4555239458074343</v>
      </c>
      <c r="Y125" s="340">
        <f t="shared" si="147"/>
        <v>1.229844845944668</v>
      </c>
      <c r="Z125" s="340">
        <f t="shared" si="147"/>
        <v>0.83819222943376681</v>
      </c>
      <c r="AA125" s="340">
        <f t="shared" si="147"/>
        <v>0.48912553327013636</v>
      </c>
      <c r="AB125" s="340">
        <f t="shared" si="147"/>
        <v>7.7659952345856695E-2</v>
      </c>
      <c r="AC125" s="340">
        <f t="shared" si="147"/>
        <v>8.0726639808681167E-2</v>
      </c>
      <c r="AD125" s="340">
        <f t="shared" si="147"/>
        <v>0.2085940060638207</v>
      </c>
      <c r="AE125" s="340">
        <f t="shared" si="147"/>
        <v>2.0014195353456525</v>
      </c>
      <c r="AF125" s="340">
        <f t="shared" si="147"/>
        <v>1.058873152389576</v>
      </c>
    </row>
    <row r="126" spans="1:35" x14ac:dyDescent="0.25">
      <c r="A126" t="s">
        <v>364</v>
      </c>
      <c r="B126" t="s">
        <v>758</v>
      </c>
      <c r="C126" t="str">
        <f t="shared" si="148"/>
        <v>INDCOG</v>
      </c>
      <c r="D126" t="s">
        <v>449</v>
      </c>
      <c r="E126" s="340">
        <f t="shared" si="149"/>
        <v>0</v>
      </c>
      <c r="F126" s="340">
        <f t="shared" si="147"/>
        <v>0</v>
      </c>
      <c r="G126" s="340">
        <f t="shared" si="147"/>
        <v>0</v>
      </c>
      <c r="H126" s="340">
        <f t="shared" si="147"/>
        <v>0</v>
      </c>
      <c r="I126" s="340">
        <f t="shared" si="147"/>
        <v>0</v>
      </c>
      <c r="J126" s="340">
        <f t="shared" si="147"/>
        <v>0</v>
      </c>
      <c r="K126" s="340">
        <f t="shared" si="147"/>
        <v>0</v>
      </c>
      <c r="L126" s="340">
        <f t="shared" si="147"/>
        <v>0</v>
      </c>
      <c r="M126" s="340">
        <f t="shared" si="147"/>
        <v>0</v>
      </c>
      <c r="N126" s="340">
        <f t="shared" si="147"/>
        <v>0</v>
      </c>
      <c r="O126" s="340">
        <f t="shared" si="147"/>
        <v>0</v>
      </c>
      <c r="P126" s="340">
        <f t="shared" si="147"/>
        <v>0</v>
      </c>
      <c r="Q126" s="340">
        <f t="shared" si="147"/>
        <v>0</v>
      </c>
      <c r="R126" s="340">
        <f t="shared" si="147"/>
        <v>0</v>
      </c>
      <c r="S126" s="340">
        <f t="shared" si="147"/>
        <v>3.4372681392993147E-2</v>
      </c>
      <c r="T126" s="340">
        <f t="shared" si="147"/>
        <v>0</v>
      </c>
      <c r="U126" s="340">
        <f t="shared" si="147"/>
        <v>3.3305870326539457E-2</v>
      </c>
      <c r="V126" s="340">
        <f t="shared" si="147"/>
        <v>0</v>
      </c>
      <c r="W126" s="340">
        <f t="shared" si="147"/>
        <v>0</v>
      </c>
      <c r="X126" s="340">
        <f t="shared" si="147"/>
        <v>7.3396546880534305E-2</v>
      </c>
      <c r="Y126" s="340">
        <f t="shared" si="147"/>
        <v>0</v>
      </c>
      <c r="Z126" s="340">
        <f t="shared" si="147"/>
        <v>0</v>
      </c>
      <c r="AA126" s="340">
        <f t="shared" si="147"/>
        <v>0</v>
      </c>
      <c r="AB126" s="340">
        <f t="shared" si="147"/>
        <v>0</v>
      </c>
      <c r="AC126" s="340">
        <f t="shared" si="147"/>
        <v>0</v>
      </c>
      <c r="AD126" s="340">
        <f t="shared" si="147"/>
        <v>6.7063276513777284E-3</v>
      </c>
      <c r="AE126" s="340">
        <f t="shared" si="147"/>
        <v>0</v>
      </c>
      <c r="AF126" s="340">
        <f t="shared" si="147"/>
        <v>0</v>
      </c>
    </row>
    <row r="127" spans="1:35" x14ac:dyDescent="0.25">
      <c r="A127" t="s">
        <v>364</v>
      </c>
      <c r="B127" t="s">
        <v>758</v>
      </c>
      <c r="C127" t="str">
        <f t="shared" si="148"/>
        <v>INDCOK</v>
      </c>
      <c r="D127" t="s">
        <v>449</v>
      </c>
      <c r="E127" s="340">
        <f t="shared" si="149"/>
        <v>0</v>
      </c>
      <c r="F127" s="340">
        <f t="shared" si="147"/>
        <v>0</v>
      </c>
      <c r="G127" s="340">
        <f t="shared" si="147"/>
        <v>0</v>
      </c>
      <c r="H127" s="340">
        <f t="shared" si="147"/>
        <v>0</v>
      </c>
      <c r="I127" s="340">
        <f t="shared" si="147"/>
        <v>4.5852647704212254E-3</v>
      </c>
      <c r="J127" s="340">
        <f t="shared" si="147"/>
        <v>6.8294589902160464E-3</v>
      </c>
      <c r="K127" s="340">
        <f t="shared" si="147"/>
        <v>0</v>
      </c>
      <c r="L127" s="340">
        <f t="shared" si="147"/>
        <v>0</v>
      </c>
      <c r="M127" s="340">
        <f t="shared" si="147"/>
        <v>3.538361217640535E-2</v>
      </c>
      <c r="N127" s="340">
        <f t="shared" si="147"/>
        <v>3.177629918895724E-2</v>
      </c>
      <c r="O127" s="340">
        <f t="shared" si="147"/>
        <v>0</v>
      </c>
      <c r="P127" s="340">
        <f t="shared" si="147"/>
        <v>0</v>
      </c>
      <c r="Q127" s="340">
        <f t="shared" si="147"/>
        <v>1.9656588730471249E-2</v>
      </c>
      <c r="R127" s="340">
        <f t="shared" si="147"/>
        <v>2.3300252178099973E-2</v>
      </c>
      <c r="S127" s="340">
        <f t="shared" si="147"/>
        <v>9.687084200945445E-2</v>
      </c>
      <c r="T127" s="340">
        <f t="shared" si="147"/>
        <v>1.3525169234469349E-2</v>
      </c>
      <c r="U127" s="340">
        <f t="shared" si="147"/>
        <v>0.27925976335267838</v>
      </c>
      <c r="V127" s="340">
        <f t="shared" si="147"/>
        <v>0</v>
      </c>
      <c r="W127" s="340">
        <f t="shared" si="147"/>
        <v>0</v>
      </c>
      <c r="X127" s="340">
        <f t="shared" si="147"/>
        <v>6.3333097973452129E-2</v>
      </c>
      <c r="Y127" s="340">
        <f t="shared" si="147"/>
        <v>3.4846765117696648E-3</v>
      </c>
      <c r="Z127" s="340">
        <f t="shared" si="147"/>
        <v>2.6374841502289692E-2</v>
      </c>
      <c r="AA127" s="340">
        <f t="shared" si="147"/>
        <v>0</v>
      </c>
      <c r="AB127" s="340">
        <f t="shared" si="147"/>
        <v>0</v>
      </c>
      <c r="AC127" s="340">
        <f t="shared" si="147"/>
        <v>0</v>
      </c>
      <c r="AD127" s="340">
        <f t="shared" si="147"/>
        <v>1.6901899658310987E-2</v>
      </c>
      <c r="AE127" s="340">
        <f t="shared" si="147"/>
        <v>0</v>
      </c>
      <c r="AF127" s="340">
        <f t="shared" si="147"/>
        <v>0</v>
      </c>
    </row>
    <row r="128" spans="1:35" x14ac:dyDescent="0.25">
      <c r="A128" t="s">
        <v>364</v>
      </c>
      <c r="B128" t="s">
        <v>758</v>
      </c>
      <c r="C128" t="str">
        <f t="shared" si="148"/>
        <v>INDELC</v>
      </c>
      <c r="D128" t="s">
        <v>449</v>
      </c>
      <c r="E128" s="635">
        <f t="shared" ref="E128:O128" si="150">(E110*$AH$128*$AH$129)/(E35*(1-E52))</f>
        <v>0.14519313797063918</v>
      </c>
      <c r="F128" s="635">
        <f t="shared" si="150"/>
        <v>0.14725799517916055</v>
      </c>
      <c r="G128" s="635">
        <f t="shared" si="150"/>
        <v>0.27239753866668504</v>
      </c>
      <c r="H128" s="635">
        <f t="shared" si="150"/>
        <v>0.1541476771483816</v>
      </c>
      <c r="I128" s="635">
        <f t="shared" si="150"/>
        <v>0.20275890396558019</v>
      </c>
      <c r="J128" s="635">
        <f t="shared" si="150"/>
        <v>0.15955554939312042</v>
      </c>
      <c r="K128" s="635">
        <f t="shared" si="150"/>
        <v>0.12841925980580685</v>
      </c>
      <c r="L128" s="635">
        <f t="shared" si="150"/>
        <v>0.25354368385015075</v>
      </c>
      <c r="M128" s="635">
        <f t="shared" si="150"/>
        <v>0.18897521212611013</v>
      </c>
      <c r="N128" s="635">
        <f t="shared" si="150"/>
        <v>0.15185781836448894</v>
      </c>
      <c r="O128" s="635">
        <f t="shared" si="150"/>
        <v>0.38303614460525787</v>
      </c>
      <c r="P128" s="635">
        <f>(P110*$AH$128*$AH$129)/(P35*(1-P52))</f>
        <v>0.18971228111651009</v>
      </c>
      <c r="Q128" s="635">
        <f t="shared" ref="Q128:AF128" si="151">(Q110*$AH$128*$AH$129)/(Q35*(1-Q52))</f>
        <v>0.16075399331919532</v>
      </c>
      <c r="R128" s="635">
        <f t="shared" si="151"/>
        <v>0.13559023311212418</v>
      </c>
      <c r="S128" s="635">
        <f t="shared" si="151"/>
        <v>0.17381050939899101</v>
      </c>
      <c r="T128" s="635">
        <f t="shared" si="151"/>
        <v>0.15046651533863936</v>
      </c>
      <c r="U128" s="635">
        <f t="shared" si="151"/>
        <v>0.18149833349618838</v>
      </c>
      <c r="V128" s="635">
        <f t="shared" si="151"/>
        <v>0.12288651538119487</v>
      </c>
      <c r="W128" s="635">
        <f t="shared" si="151"/>
        <v>0.14041773752519104</v>
      </c>
      <c r="X128" s="635">
        <f t="shared" si="151"/>
        <v>0.11568495922304028</v>
      </c>
      <c r="Y128" s="635">
        <f t="shared" si="151"/>
        <v>0.15924670528752308</v>
      </c>
      <c r="Z128" s="635">
        <f t="shared" si="151"/>
        <v>0.14229082339577726</v>
      </c>
      <c r="AA128" s="635">
        <f t="shared" si="151"/>
        <v>0.12870914700790848</v>
      </c>
      <c r="AB128" s="635">
        <f t="shared" si="151"/>
        <v>0.14032774401548881</v>
      </c>
      <c r="AC128" s="635">
        <f t="shared" si="151"/>
        <v>0.16566793910469005</v>
      </c>
      <c r="AD128" s="635">
        <f t="shared" si="151"/>
        <v>0.18518223839461032</v>
      </c>
      <c r="AE128" s="635">
        <f t="shared" si="151"/>
        <v>0.11758780518433254</v>
      </c>
      <c r="AF128" s="635">
        <f t="shared" si="151"/>
        <v>0.16626267351893279</v>
      </c>
      <c r="AH128">
        <v>0.3</v>
      </c>
      <c r="AI128" s="121" t="s">
        <v>1657</v>
      </c>
    </row>
    <row r="129" spans="1:35" x14ac:dyDescent="0.25">
      <c r="A129" t="s">
        <v>364</v>
      </c>
      <c r="B129" t="s">
        <v>758</v>
      </c>
      <c r="C129" t="str">
        <f t="shared" si="148"/>
        <v>INDGAS</v>
      </c>
      <c r="D129" t="s">
        <v>449</v>
      </c>
      <c r="E129" s="340">
        <f t="shared" si="149"/>
        <v>0.13336773358306697</v>
      </c>
      <c r="F129" s="340">
        <f t="shared" ref="F129:AF129" si="152">((F$58/(SUM(F$58:F$59)))*F111)/(F$35*(1-F$52))</f>
        <v>0.8209905201513007</v>
      </c>
      <c r="G129" s="340">
        <f t="shared" si="152"/>
        <v>0</v>
      </c>
      <c r="H129" s="340">
        <f t="shared" si="152"/>
        <v>0.8946978850384194</v>
      </c>
      <c r="I129" s="340">
        <f t="shared" si="152"/>
        <v>2.0417165074958956</v>
      </c>
      <c r="J129" s="340">
        <f t="shared" si="152"/>
        <v>1.6954064458438705</v>
      </c>
      <c r="K129" s="340">
        <f t="shared" si="152"/>
        <v>0.28646879765234068</v>
      </c>
      <c r="L129" s="340">
        <f t="shared" si="152"/>
        <v>0</v>
      </c>
      <c r="M129" s="340">
        <f t="shared" si="152"/>
        <v>0.93595118129665178</v>
      </c>
      <c r="N129" s="340">
        <f t="shared" si="152"/>
        <v>1.6811131695198331</v>
      </c>
      <c r="O129" s="340">
        <f t="shared" si="152"/>
        <v>0.13432597727962603</v>
      </c>
      <c r="P129" s="340">
        <f t="shared" si="152"/>
        <v>0</v>
      </c>
      <c r="Q129" s="340">
        <f t="shared" si="152"/>
        <v>1.0668469667829266</v>
      </c>
      <c r="R129" s="340">
        <f t="shared" si="152"/>
        <v>1.790212995612622</v>
      </c>
      <c r="S129" s="340">
        <f t="shared" si="152"/>
        <v>1.4897355366014131</v>
      </c>
      <c r="T129" s="340">
        <f t="shared" si="152"/>
        <v>1.8353962708174825</v>
      </c>
      <c r="U129" s="340">
        <f t="shared" si="152"/>
        <v>1.5771418178131973</v>
      </c>
      <c r="V129" s="340">
        <f t="shared" si="152"/>
        <v>0.33035771058063279</v>
      </c>
      <c r="W129" s="340">
        <f t="shared" si="152"/>
        <v>0</v>
      </c>
      <c r="X129" s="340">
        <f t="shared" si="152"/>
        <v>0.36870592770867883</v>
      </c>
      <c r="Y129" s="340">
        <f t="shared" si="152"/>
        <v>1.0809515043599121</v>
      </c>
      <c r="Z129" s="340">
        <f t="shared" si="152"/>
        <v>0.73970980886191495</v>
      </c>
      <c r="AA129" s="340">
        <f t="shared" si="152"/>
        <v>2.9170468926683286</v>
      </c>
      <c r="AB129" s="340">
        <f t="shared" si="152"/>
        <v>0.88956772692956132</v>
      </c>
      <c r="AC129" s="340">
        <f t="shared" si="152"/>
        <v>2.3278120502908477</v>
      </c>
      <c r="AD129" s="340">
        <f t="shared" si="152"/>
        <v>2.3692527453318939</v>
      </c>
      <c r="AE129" s="340">
        <f t="shared" si="152"/>
        <v>0.53011123833557161</v>
      </c>
      <c r="AF129" s="340">
        <f t="shared" si="152"/>
        <v>2.1849008779473791</v>
      </c>
      <c r="AH129">
        <v>0.95</v>
      </c>
      <c r="AI129" t="s">
        <v>1666</v>
      </c>
    </row>
    <row r="130" spans="1:35" x14ac:dyDescent="0.25">
      <c r="A130" t="s">
        <v>364</v>
      </c>
      <c r="B130" t="s">
        <v>758</v>
      </c>
      <c r="C130" t="str">
        <f t="shared" si="148"/>
        <v>INDHET</v>
      </c>
      <c r="D130" t="s">
        <v>449</v>
      </c>
      <c r="E130" s="340">
        <f t="shared" si="149"/>
        <v>0</v>
      </c>
      <c r="F130" s="340">
        <f t="shared" ref="F130:AF130" si="153">((F$58/(SUM(F$58:F$59)))*F112)/(F$35*(1-F$52))</f>
        <v>0</v>
      </c>
      <c r="G130" s="340">
        <f t="shared" si="153"/>
        <v>0</v>
      </c>
      <c r="H130" s="340">
        <f t="shared" si="153"/>
        <v>0</v>
      </c>
      <c r="I130" s="340">
        <f t="shared" si="153"/>
        <v>0</v>
      </c>
      <c r="J130" s="340">
        <f t="shared" si="153"/>
        <v>5.9197642551556476E-2</v>
      </c>
      <c r="K130" s="340">
        <f t="shared" si="153"/>
        <v>0</v>
      </c>
      <c r="L130" s="340">
        <f t="shared" si="153"/>
        <v>0</v>
      </c>
      <c r="M130" s="340">
        <f t="shared" si="153"/>
        <v>0</v>
      </c>
      <c r="N130" s="340">
        <f t="shared" si="153"/>
        <v>0</v>
      </c>
      <c r="O130" s="340">
        <f t="shared" si="153"/>
        <v>0</v>
      </c>
      <c r="P130" s="340">
        <f t="shared" si="153"/>
        <v>0</v>
      </c>
      <c r="Q130" s="340">
        <f t="shared" si="153"/>
        <v>0.16491544782344522</v>
      </c>
      <c r="R130" s="340">
        <f t="shared" si="153"/>
        <v>1.2445238552100876E-3</v>
      </c>
      <c r="S130" s="340">
        <f t="shared" si="153"/>
        <v>2.8648257647696192E-2</v>
      </c>
      <c r="T130" s="340">
        <f t="shared" si="153"/>
        <v>5.4196027914042308E-2</v>
      </c>
      <c r="U130" s="340">
        <f t="shared" si="153"/>
        <v>1.9640735769753448E-2</v>
      </c>
      <c r="V130" s="340">
        <f t="shared" si="153"/>
        <v>0</v>
      </c>
      <c r="W130" s="340">
        <f t="shared" si="153"/>
        <v>0</v>
      </c>
      <c r="X130" s="340">
        <f t="shared" si="153"/>
        <v>0</v>
      </c>
      <c r="Y130" s="340">
        <f t="shared" si="153"/>
        <v>0</v>
      </c>
      <c r="Z130" s="340">
        <f t="shared" si="153"/>
        <v>0</v>
      </c>
      <c r="AA130" s="340">
        <f t="shared" si="153"/>
        <v>0</v>
      </c>
      <c r="AB130" s="340">
        <f t="shared" si="153"/>
        <v>0</v>
      </c>
      <c r="AC130" s="340">
        <f t="shared" si="153"/>
        <v>0</v>
      </c>
      <c r="AD130" s="340">
        <f t="shared" si="153"/>
        <v>0.61844064806737331</v>
      </c>
      <c r="AE130" s="340">
        <f t="shared" si="153"/>
        <v>2.5333616064388185E-3</v>
      </c>
      <c r="AF130" s="340">
        <f t="shared" si="153"/>
        <v>8.1615264290911505E-4</v>
      </c>
      <c r="AH130">
        <f>1-AH129</f>
        <v>5.0000000000000044E-2</v>
      </c>
      <c r="AI130" t="s">
        <v>1665</v>
      </c>
    </row>
    <row r="131" spans="1:35" x14ac:dyDescent="0.25">
      <c r="A131" t="s">
        <v>364</v>
      </c>
      <c r="B131" t="s">
        <v>758</v>
      </c>
      <c r="C131" t="str">
        <f t="shared" si="148"/>
        <v>INDLPG</v>
      </c>
      <c r="D131" t="s">
        <v>449</v>
      </c>
      <c r="E131" s="340">
        <f t="shared" si="149"/>
        <v>0</v>
      </c>
      <c r="F131" s="340">
        <f t="shared" ref="F131:AF131" si="154">((F$58/(SUM(F$58:F$59)))*F113)/(F$35*(1-F$52))</f>
        <v>5.1535754851490291E-2</v>
      </c>
      <c r="G131" s="340">
        <f t="shared" si="154"/>
        <v>0</v>
      </c>
      <c r="H131" s="340">
        <f t="shared" si="154"/>
        <v>0</v>
      </c>
      <c r="I131" s="340">
        <f t="shared" si="154"/>
        <v>0.17746672907741409</v>
      </c>
      <c r="J131" s="340">
        <f t="shared" si="154"/>
        <v>1.5818430704611079E-2</v>
      </c>
      <c r="K131" s="340">
        <f t="shared" si="154"/>
        <v>2.3803219434969561E-2</v>
      </c>
      <c r="L131" s="340">
        <f t="shared" si="154"/>
        <v>0</v>
      </c>
      <c r="M131" s="340">
        <f t="shared" si="154"/>
        <v>0.13392263863146389</v>
      </c>
      <c r="N131" s="340">
        <f t="shared" si="154"/>
        <v>0</v>
      </c>
      <c r="O131" s="340">
        <f t="shared" si="154"/>
        <v>2.0552608545516552E-2</v>
      </c>
      <c r="P131" s="340">
        <f t="shared" si="154"/>
        <v>1.8684138805880816E-2</v>
      </c>
      <c r="Q131" s="340">
        <f t="shared" si="154"/>
        <v>3.0378364401637388E-2</v>
      </c>
      <c r="R131" s="340">
        <f t="shared" si="154"/>
        <v>5.330710513149875E-2</v>
      </c>
      <c r="S131" s="340">
        <f t="shared" si="154"/>
        <v>1.3252433054180628E-2</v>
      </c>
      <c r="T131" s="340">
        <f t="shared" si="154"/>
        <v>4.1433666488892275E-2</v>
      </c>
      <c r="U131" s="340">
        <f t="shared" si="154"/>
        <v>2.4393423246113599E-2</v>
      </c>
      <c r="V131" s="340">
        <f t="shared" si="154"/>
        <v>0.13546511707608072</v>
      </c>
      <c r="W131" s="340">
        <f t="shared" si="154"/>
        <v>0</v>
      </c>
      <c r="X131" s="340">
        <f t="shared" si="154"/>
        <v>4.5710574430684936E-2</v>
      </c>
      <c r="Y131" s="340">
        <f t="shared" si="154"/>
        <v>2.7913385787196356E-2</v>
      </c>
      <c r="Z131" s="340">
        <f t="shared" si="154"/>
        <v>2.3000636458393401E-3</v>
      </c>
      <c r="AA131" s="340">
        <f t="shared" si="154"/>
        <v>0</v>
      </c>
      <c r="AB131" s="340">
        <f t="shared" si="154"/>
        <v>1.6744119090271422E-3</v>
      </c>
      <c r="AC131" s="340">
        <f t="shared" si="154"/>
        <v>0</v>
      </c>
      <c r="AD131" s="340">
        <f t="shared" si="154"/>
        <v>5.2338665333332961E-3</v>
      </c>
      <c r="AE131" s="340">
        <f t="shared" si="154"/>
        <v>1.3752534434953587E-2</v>
      </c>
      <c r="AF131" s="340">
        <f t="shared" si="154"/>
        <v>3.9273922480928562E-3</v>
      </c>
    </row>
    <row r="132" spans="1:35" x14ac:dyDescent="0.25">
      <c r="A132" t="s">
        <v>364</v>
      </c>
      <c r="B132" t="s">
        <v>758</v>
      </c>
      <c r="C132" t="str">
        <f t="shared" si="148"/>
        <v>INDOIL</v>
      </c>
      <c r="D132" t="s">
        <v>449</v>
      </c>
      <c r="E132" s="340">
        <f t="shared" si="149"/>
        <v>1.2060535721027872</v>
      </c>
      <c r="F132" s="340">
        <f t="shared" ref="F132:AF132" si="155">((F$58/(SUM(F$58:F$59)))*F114)/(F$35*(1-F$52))</f>
        <v>1.2147614688583135</v>
      </c>
      <c r="G132" s="340">
        <f t="shared" si="155"/>
        <v>2.2312215790864323</v>
      </c>
      <c r="H132" s="340">
        <f t="shared" si="155"/>
        <v>0.10810719632444406</v>
      </c>
      <c r="I132" s="340">
        <f t="shared" si="155"/>
        <v>0.12622214965242873</v>
      </c>
      <c r="J132" s="340">
        <f t="shared" si="155"/>
        <v>9.5423468499658978E-2</v>
      </c>
      <c r="K132" s="340">
        <f t="shared" si="155"/>
        <v>0.10474037235074612</v>
      </c>
      <c r="L132" s="340">
        <f t="shared" si="155"/>
        <v>0.41635111743809405</v>
      </c>
      <c r="M132" s="340">
        <f t="shared" si="155"/>
        <v>2.2521537262483693</v>
      </c>
      <c r="N132" s="340">
        <f t="shared" si="155"/>
        <v>0.96720258644076051</v>
      </c>
      <c r="O132" s="340">
        <f t="shared" si="155"/>
        <v>3.3394318777795551</v>
      </c>
      <c r="P132" s="340">
        <f t="shared" si="155"/>
        <v>0.21598470111982776</v>
      </c>
      <c r="Q132" s="340">
        <f t="shared" si="155"/>
        <v>0.52424637031699051</v>
      </c>
      <c r="R132" s="340">
        <f t="shared" si="155"/>
        <v>0.3070516911659999</v>
      </c>
      <c r="S132" s="340">
        <f t="shared" si="155"/>
        <v>0.43867644523034793</v>
      </c>
      <c r="T132" s="340">
        <f t="shared" si="155"/>
        <v>1.0727644940695513</v>
      </c>
      <c r="U132" s="340">
        <f t="shared" si="155"/>
        <v>0.40120835058723714</v>
      </c>
      <c r="V132" s="340">
        <f t="shared" si="155"/>
        <v>0.29118540663049913</v>
      </c>
      <c r="W132" s="340">
        <f t="shared" si="155"/>
        <v>0.309398729974382</v>
      </c>
      <c r="X132" s="340">
        <f t="shared" si="155"/>
        <v>0.85353210833149773</v>
      </c>
      <c r="Y132" s="340">
        <f t="shared" si="155"/>
        <v>1.1535871280982399</v>
      </c>
      <c r="Z132" s="340">
        <f t="shared" si="155"/>
        <v>1.5527414435911955</v>
      </c>
      <c r="AA132" s="340">
        <f t="shared" si="155"/>
        <v>0</v>
      </c>
      <c r="AB132" s="340">
        <f t="shared" si="155"/>
        <v>2.437270334754019</v>
      </c>
      <c r="AC132" s="340">
        <f t="shared" si="155"/>
        <v>0.99763373583893489</v>
      </c>
      <c r="AD132" s="340">
        <f t="shared" si="155"/>
        <v>0.15943055309404328</v>
      </c>
      <c r="AE132" s="340">
        <f t="shared" si="155"/>
        <v>0.49017353771641842</v>
      </c>
      <c r="AF132" s="340">
        <f t="shared" si="155"/>
        <v>0.26593977829449966</v>
      </c>
    </row>
    <row r="133" spans="1:35" x14ac:dyDescent="0.25">
      <c r="A133" t="s">
        <v>364</v>
      </c>
      <c r="B133" t="s">
        <v>758</v>
      </c>
      <c r="C133" t="str">
        <f t="shared" si="148"/>
        <v>INDGEO</v>
      </c>
      <c r="D133" t="s">
        <v>449</v>
      </c>
      <c r="E133" s="340">
        <f t="shared" si="149"/>
        <v>0</v>
      </c>
      <c r="F133" s="340">
        <f t="shared" ref="F133:AF133" si="156">((F$58/(SUM(F$58:F$59)))*F115)/(F$35*(1-F$52))</f>
        <v>0</v>
      </c>
      <c r="G133" s="340">
        <f t="shared" si="156"/>
        <v>0</v>
      </c>
      <c r="H133" s="340">
        <f t="shared" si="156"/>
        <v>0</v>
      </c>
      <c r="I133" s="340">
        <f t="shared" si="156"/>
        <v>0</v>
      </c>
      <c r="J133" s="340">
        <f t="shared" si="156"/>
        <v>0</v>
      </c>
      <c r="K133" s="340">
        <f t="shared" si="156"/>
        <v>0</v>
      </c>
      <c r="L133" s="340">
        <f t="shared" si="156"/>
        <v>0</v>
      </c>
      <c r="M133" s="340">
        <f t="shared" si="156"/>
        <v>0</v>
      </c>
      <c r="N133" s="340">
        <f t="shared" si="156"/>
        <v>0</v>
      </c>
      <c r="O133" s="340">
        <f t="shared" si="156"/>
        <v>0</v>
      </c>
      <c r="P133" s="340">
        <f t="shared" si="156"/>
        <v>0</v>
      </c>
      <c r="Q133" s="340">
        <f t="shared" si="156"/>
        <v>0</v>
      </c>
      <c r="R133" s="340">
        <f t="shared" si="156"/>
        <v>0</v>
      </c>
      <c r="S133" s="340">
        <f t="shared" si="156"/>
        <v>0</v>
      </c>
      <c r="T133" s="340">
        <f t="shared" si="156"/>
        <v>0</v>
      </c>
      <c r="U133" s="340">
        <f t="shared" si="156"/>
        <v>0</v>
      </c>
      <c r="V133" s="340">
        <f t="shared" si="156"/>
        <v>0</v>
      </c>
      <c r="W133" s="340">
        <f t="shared" si="156"/>
        <v>0</v>
      </c>
      <c r="X133" s="340">
        <f t="shared" si="156"/>
        <v>0</v>
      </c>
      <c r="Y133" s="340">
        <f t="shared" si="156"/>
        <v>0</v>
      </c>
      <c r="Z133" s="340">
        <f t="shared" si="156"/>
        <v>0</v>
      </c>
      <c r="AA133" s="340">
        <f t="shared" si="156"/>
        <v>0</v>
      </c>
      <c r="AB133" s="340">
        <f t="shared" si="156"/>
        <v>0</v>
      </c>
      <c r="AC133" s="340">
        <f t="shared" si="156"/>
        <v>0</v>
      </c>
      <c r="AD133" s="340">
        <f t="shared" si="156"/>
        <v>0</v>
      </c>
      <c r="AE133" s="340">
        <f t="shared" si="156"/>
        <v>0</v>
      </c>
      <c r="AF133" s="340">
        <f t="shared" si="156"/>
        <v>0</v>
      </c>
    </row>
    <row r="134" spans="1:35" x14ac:dyDescent="0.25">
      <c r="A134" t="s">
        <v>364</v>
      </c>
      <c r="B134" t="s">
        <v>758</v>
      </c>
      <c r="C134" t="str">
        <f t="shared" si="148"/>
        <v>INDCSP</v>
      </c>
      <c r="D134" t="s">
        <v>449</v>
      </c>
      <c r="E134" s="340">
        <f t="shared" si="149"/>
        <v>0</v>
      </c>
      <c r="F134" s="340">
        <f t="shared" ref="F134:AF134" si="157">((F$58/(SUM(F$58:F$59)))*F116)/(F$35*(1-F$52))</f>
        <v>0</v>
      </c>
      <c r="G134" s="340">
        <f t="shared" si="157"/>
        <v>0</v>
      </c>
      <c r="H134" s="340">
        <f t="shared" si="157"/>
        <v>0</v>
      </c>
      <c r="I134" s="340">
        <f t="shared" si="157"/>
        <v>0</v>
      </c>
      <c r="J134" s="340">
        <f t="shared" si="157"/>
        <v>0</v>
      </c>
      <c r="K134" s="340">
        <f t="shared" si="157"/>
        <v>0</v>
      </c>
      <c r="L134" s="340">
        <f t="shared" si="157"/>
        <v>0</v>
      </c>
      <c r="M134" s="340">
        <f t="shared" si="157"/>
        <v>0</v>
      </c>
      <c r="N134" s="340">
        <f t="shared" si="157"/>
        <v>0</v>
      </c>
      <c r="O134" s="340">
        <f t="shared" si="157"/>
        <v>0</v>
      </c>
      <c r="P134" s="340">
        <f t="shared" si="157"/>
        <v>0</v>
      </c>
      <c r="Q134" s="340">
        <f t="shared" si="157"/>
        <v>0</v>
      </c>
      <c r="R134" s="340">
        <f t="shared" si="157"/>
        <v>0</v>
      </c>
      <c r="S134" s="340">
        <f t="shared" si="157"/>
        <v>0</v>
      </c>
      <c r="T134" s="340">
        <f t="shared" si="157"/>
        <v>0</v>
      </c>
      <c r="U134" s="340">
        <f t="shared" si="157"/>
        <v>0</v>
      </c>
      <c r="V134" s="340">
        <f t="shared" si="157"/>
        <v>0</v>
      </c>
      <c r="W134" s="340">
        <f t="shared" si="157"/>
        <v>0</v>
      </c>
      <c r="X134" s="340">
        <f t="shared" si="157"/>
        <v>0</v>
      </c>
      <c r="Y134" s="340">
        <f t="shared" si="157"/>
        <v>0</v>
      </c>
      <c r="Z134" s="340">
        <f t="shared" si="157"/>
        <v>0</v>
      </c>
      <c r="AA134" s="340">
        <f t="shared" si="157"/>
        <v>0</v>
      </c>
      <c r="AB134" s="340">
        <f t="shared" si="157"/>
        <v>0</v>
      </c>
      <c r="AC134" s="340">
        <f t="shared" si="157"/>
        <v>0</v>
      </c>
      <c r="AD134" s="340">
        <f t="shared" si="157"/>
        <v>0</v>
      </c>
      <c r="AE134" s="340">
        <f t="shared" si="157"/>
        <v>0</v>
      </c>
      <c r="AF134" s="340">
        <f t="shared" si="157"/>
        <v>0</v>
      </c>
    </row>
    <row r="135" spans="1:35" x14ac:dyDescent="0.25">
      <c r="A135" t="s">
        <v>364</v>
      </c>
      <c r="B135" t="s">
        <v>758</v>
      </c>
      <c r="C135" t="str">
        <f t="shared" si="148"/>
        <v>INDWAS</v>
      </c>
      <c r="D135" t="s">
        <v>449</v>
      </c>
      <c r="E135" s="340">
        <f t="shared" si="149"/>
        <v>0</v>
      </c>
      <c r="F135" s="340">
        <f t="shared" ref="F135:AF135" si="158">((F$58/(SUM(F$58:F$59)))*F117)/(F$35*(1-F$52))</f>
        <v>2.5606599275439953E-2</v>
      </c>
      <c r="G135" s="340">
        <f t="shared" si="158"/>
        <v>0</v>
      </c>
      <c r="H135" s="340">
        <f t="shared" si="158"/>
        <v>0</v>
      </c>
      <c r="I135" s="340">
        <f t="shared" si="158"/>
        <v>0</v>
      </c>
      <c r="J135" s="340">
        <f t="shared" si="158"/>
        <v>0</v>
      </c>
      <c r="K135" s="340">
        <f t="shared" si="158"/>
        <v>0</v>
      </c>
      <c r="L135" s="340">
        <f t="shared" si="158"/>
        <v>0</v>
      </c>
      <c r="M135" s="340">
        <f t="shared" si="158"/>
        <v>0</v>
      </c>
      <c r="N135" s="340">
        <f t="shared" si="158"/>
        <v>0.2556338982441112</v>
      </c>
      <c r="O135" s="340">
        <f t="shared" si="158"/>
        <v>0</v>
      </c>
      <c r="P135" s="340">
        <f t="shared" si="158"/>
        <v>0</v>
      </c>
      <c r="Q135" s="340">
        <f t="shared" si="158"/>
        <v>5.1488753223114208E-4</v>
      </c>
      <c r="R135" s="340">
        <f t="shared" si="158"/>
        <v>0.28392428952334581</v>
      </c>
      <c r="S135" s="340">
        <f t="shared" si="158"/>
        <v>0.94337980544069633</v>
      </c>
      <c r="T135" s="340">
        <f t="shared" si="158"/>
        <v>0.21210457913361422</v>
      </c>
      <c r="U135" s="340">
        <f t="shared" si="158"/>
        <v>0.69397575203062334</v>
      </c>
      <c r="V135" s="340">
        <f t="shared" si="158"/>
        <v>0</v>
      </c>
      <c r="W135" s="340">
        <f t="shared" si="158"/>
        <v>0</v>
      </c>
      <c r="X135" s="340">
        <f t="shared" si="158"/>
        <v>0.27376946450305417</v>
      </c>
      <c r="Y135" s="340">
        <f t="shared" si="158"/>
        <v>1.2959786258341164E-3</v>
      </c>
      <c r="Z135" s="340">
        <f t="shared" si="158"/>
        <v>0.24685403890345775</v>
      </c>
      <c r="AA135" s="340">
        <f t="shared" si="158"/>
        <v>0</v>
      </c>
      <c r="AB135" s="340">
        <f t="shared" si="158"/>
        <v>0</v>
      </c>
      <c r="AC135" s="340">
        <f t="shared" si="158"/>
        <v>0</v>
      </c>
      <c r="AD135" s="340">
        <f t="shared" si="158"/>
        <v>2.1235541147910954E-2</v>
      </c>
      <c r="AE135" s="340">
        <f t="shared" si="158"/>
        <v>0.63446870551845469</v>
      </c>
      <c r="AF135" s="340">
        <f t="shared" si="158"/>
        <v>3.834274161317991E-5</v>
      </c>
    </row>
    <row r="137" spans="1:35" x14ac:dyDescent="0.25">
      <c r="C137" s="5" t="s">
        <v>466</v>
      </c>
      <c r="D137" s="5" t="s">
        <v>449</v>
      </c>
      <c r="E137" s="356">
        <f>SUM(E121:E135)</f>
        <v>3.5513655639091026</v>
      </c>
      <c r="F137" s="356">
        <f t="shared" ref="F137:AF137" si="159">SUM(F121:F135)</f>
        <v>3.5936369083318978</v>
      </c>
      <c r="G137" s="356">
        <f t="shared" si="159"/>
        <v>3.6785699646051495</v>
      </c>
      <c r="H137" s="356">
        <f t="shared" si="159"/>
        <v>3.5603201030868452</v>
      </c>
      <c r="I137" s="356">
        <f t="shared" si="159"/>
        <v>3.6089313299040437</v>
      </c>
      <c r="J137" s="356">
        <f t="shared" si="159"/>
        <v>3.5657279753315847</v>
      </c>
      <c r="K137" s="356">
        <f t="shared" si="159"/>
        <v>3.5345916857442714</v>
      </c>
      <c r="L137" s="356">
        <f t="shared" si="159"/>
        <v>3.6597161097886155</v>
      </c>
      <c r="M137" s="356">
        <f t="shared" si="159"/>
        <v>3.7379816592020387</v>
      </c>
      <c r="N137" s="356">
        <f t="shared" si="159"/>
        <v>3.5734580805997065</v>
      </c>
      <c r="O137" s="356">
        <f t="shared" si="159"/>
        <v>3.9136806840314939</v>
      </c>
      <c r="P137" s="356">
        <f t="shared" si="159"/>
        <v>3.5958847070549744</v>
      </c>
      <c r="Q137" s="356">
        <f t="shared" si="159"/>
        <v>3.7833209450861358</v>
      </c>
      <c r="R137" s="356">
        <f t="shared" si="159"/>
        <v>3.7581571848790656</v>
      </c>
      <c r="S137" s="356">
        <f t="shared" si="159"/>
        <v>3.7963774611659309</v>
      </c>
      <c r="T137" s="356">
        <f t="shared" si="159"/>
        <v>3.7730334671055799</v>
      </c>
      <c r="U137" s="356">
        <f t="shared" si="159"/>
        <v>3.8040652852631291</v>
      </c>
      <c r="V137" s="356">
        <f t="shared" si="159"/>
        <v>3.6943486585661756</v>
      </c>
      <c r="W137" s="356">
        <f t="shared" si="159"/>
        <v>3.2344050372690107</v>
      </c>
      <c r="X137" s="356">
        <f t="shared" si="159"/>
        <v>3.3219618159784403</v>
      </c>
      <c r="Y137" s="356">
        <f t="shared" si="159"/>
        <v>3.6873944814139867</v>
      </c>
      <c r="Z137" s="356">
        <f t="shared" si="159"/>
        <v>3.5484632493342407</v>
      </c>
      <c r="AA137" s="356">
        <f t="shared" si="159"/>
        <v>3.5348815729463734</v>
      </c>
      <c r="AB137" s="356">
        <f t="shared" si="159"/>
        <v>3.5465001699539531</v>
      </c>
      <c r="AC137" s="356">
        <f t="shared" si="159"/>
        <v>3.5718403650431538</v>
      </c>
      <c r="AD137" s="356">
        <f t="shared" si="159"/>
        <v>3.5913546643330743</v>
      </c>
      <c r="AE137" s="356">
        <f t="shared" si="159"/>
        <v>3.791494353345501</v>
      </c>
      <c r="AF137" s="356">
        <f t="shared" si="159"/>
        <v>3.7975667933402968</v>
      </c>
    </row>
    <row r="140" spans="1:35" x14ac:dyDescent="0.25">
      <c r="A140" t="s">
        <v>364</v>
      </c>
      <c r="B140" t="s">
        <v>759</v>
      </c>
      <c r="C140" t="str">
        <f>C103</f>
        <v>INDBFG</v>
      </c>
      <c r="D140" t="s">
        <v>449</v>
      </c>
      <c r="E140" s="193">
        <f>((E$59/(SUM(E$58:E$59)))*E103)/(E$35*(E$52))</f>
        <v>0</v>
      </c>
      <c r="F140" s="193">
        <f t="shared" ref="F140:AF146" si="160">((F$59/(SUM(F$58:F$59)))*F103)/(F$35*(F$52))</f>
        <v>0</v>
      </c>
      <c r="G140" s="193">
        <f t="shared" si="160"/>
        <v>0</v>
      </c>
      <c r="H140" s="193">
        <f t="shared" si="160"/>
        <v>0</v>
      </c>
      <c r="I140" s="193">
        <f t="shared" si="160"/>
        <v>0</v>
      </c>
      <c r="J140" s="193">
        <f t="shared" si="160"/>
        <v>0</v>
      </c>
      <c r="K140" s="193">
        <f t="shared" si="160"/>
        <v>0</v>
      </c>
      <c r="L140" s="193">
        <f t="shared" si="160"/>
        <v>0</v>
      </c>
      <c r="M140" s="193">
        <f t="shared" si="160"/>
        <v>0</v>
      </c>
      <c r="N140" s="193">
        <f t="shared" si="160"/>
        <v>0</v>
      </c>
      <c r="O140" s="193">
        <f t="shared" si="160"/>
        <v>0</v>
      </c>
      <c r="P140" s="193">
        <f t="shared" si="160"/>
        <v>0</v>
      </c>
      <c r="Q140" s="193">
        <f t="shared" si="160"/>
        <v>0</v>
      </c>
      <c r="R140" s="193">
        <f t="shared" si="160"/>
        <v>7.3380206191627356E-3</v>
      </c>
      <c r="S140" s="193">
        <f t="shared" si="160"/>
        <v>0</v>
      </c>
      <c r="T140" s="193">
        <f t="shared" si="160"/>
        <v>0</v>
      </c>
      <c r="U140" s="193">
        <f t="shared" si="160"/>
        <v>0</v>
      </c>
      <c r="V140" s="193">
        <f t="shared" si="160"/>
        <v>0</v>
      </c>
      <c r="W140" s="193">
        <f t="shared" si="160"/>
        <v>0</v>
      </c>
      <c r="X140" s="193">
        <f t="shared" si="160"/>
        <v>3.9239210551754757E-3</v>
      </c>
      <c r="Y140" s="193">
        <f t="shared" si="160"/>
        <v>0</v>
      </c>
      <c r="Z140" s="193">
        <f t="shared" si="160"/>
        <v>0</v>
      </c>
      <c r="AA140" s="193">
        <f t="shared" si="160"/>
        <v>0</v>
      </c>
      <c r="AB140" s="193">
        <f t="shared" si="160"/>
        <v>0</v>
      </c>
      <c r="AC140" s="193">
        <f t="shared" si="160"/>
        <v>0</v>
      </c>
      <c r="AD140" s="193">
        <f t="shared" si="160"/>
        <v>0</v>
      </c>
      <c r="AE140" s="193">
        <f t="shared" si="160"/>
        <v>0</v>
      </c>
      <c r="AF140" s="193">
        <f t="shared" si="160"/>
        <v>0</v>
      </c>
    </row>
    <row r="141" spans="1:35" x14ac:dyDescent="0.25">
      <c r="A141" t="s">
        <v>364</v>
      </c>
      <c r="B141" t="s">
        <v>759</v>
      </c>
      <c r="C141" t="str">
        <f t="shared" ref="C141:C154" si="161">C104</f>
        <v>INDBGS</v>
      </c>
      <c r="D141" t="s">
        <v>449</v>
      </c>
      <c r="E141" s="193">
        <f t="shared" ref="E141:T146" si="162">((E$59/(SUM(E$58:E$59)))*E104)/(E$35*(E$52))</f>
        <v>0</v>
      </c>
      <c r="F141" s="193">
        <f t="shared" si="162"/>
        <v>0</v>
      </c>
      <c r="G141" s="193">
        <f t="shared" si="162"/>
        <v>0</v>
      </c>
      <c r="H141" s="193">
        <f t="shared" si="162"/>
        <v>0</v>
      </c>
      <c r="I141" s="193">
        <f t="shared" si="162"/>
        <v>4.8212850150480113E-3</v>
      </c>
      <c r="J141" s="193">
        <f t="shared" si="162"/>
        <v>0</v>
      </c>
      <c r="K141" s="193">
        <f t="shared" si="162"/>
        <v>0</v>
      </c>
      <c r="L141" s="193">
        <f t="shared" si="162"/>
        <v>0</v>
      </c>
      <c r="M141" s="193">
        <f t="shared" si="162"/>
        <v>0</v>
      </c>
      <c r="N141" s="193">
        <f t="shared" si="162"/>
        <v>0</v>
      </c>
      <c r="O141" s="193">
        <f t="shared" si="162"/>
        <v>0</v>
      </c>
      <c r="P141" s="193">
        <f t="shared" si="162"/>
        <v>0</v>
      </c>
      <c r="Q141" s="193">
        <f t="shared" si="162"/>
        <v>0</v>
      </c>
      <c r="R141" s="193">
        <f t="shared" si="162"/>
        <v>5.7814707908554887E-4</v>
      </c>
      <c r="S141" s="193">
        <f t="shared" si="162"/>
        <v>4.2033149394068612E-4</v>
      </c>
      <c r="T141" s="193">
        <f t="shared" si="162"/>
        <v>2.5948290043479E-3</v>
      </c>
      <c r="U141" s="193">
        <f t="shared" si="160"/>
        <v>1.2871818468164048E-3</v>
      </c>
      <c r="V141" s="193">
        <f t="shared" si="160"/>
        <v>0</v>
      </c>
      <c r="W141" s="193">
        <f t="shared" si="160"/>
        <v>0</v>
      </c>
      <c r="X141" s="193">
        <f t="shared" si="160"/>
        <v>0</v>
      </c>
      <c r="Y141" s="193">
        <f t="shared" si="160"/>
        <v>0</v>
      </c>
      <c r="Z141" s="193">
        <f t="shared" si="160"/>
        <v>0</v>
      </c>
      <c r="AA141" s="193">
        <f t="shared" si="160"/>
        <v>0</v>
      </c>
      <c r="AB141" s="193">
        <f t="shared" si="160"/>
        <v>0</v>
      </c>
      <c r="AC141" s="193">
        <f t="shared" si="160"/>
        <v>0</v>
      </c>
      <c r="AD141" s="193">
        <f t="shared" si="160"/>
        <v>0</v>
      </c>
      <c r="AE141" s="193">
        <f t="shared" si="160"/>
        <v>0</v>
      </c>
      <c r="AF141" s="193">
        <f t="shared" si="160"/>
        <v>0</v>
      </c>
    </row>
    <row r="142" spans="1:35" x14ac:dyDescent="0.25">
      <c r="A142" t="s">
        <v>364</v>
      </c>
      <c r="B142" t="s">
        <v>759</v>
      </c>
      <c r="C142" t="str">
        <f t="shared" si="161"/>
        <v>INDBIO</v>
      </c>
      <c r="D142" t="s">
        <v>449</v>
      </c>
      <c r="E142" s="193">
        <f t="shared" si="162"/>
        <v>0</v>
      </c>
      <c r="F142" s="193">
        <f t="shared" si="160"/>
        <v>6.9801933354988951E-2</v>
      </c>
      <c r="G142" s="193">
        <f t="shared" si="160"/>
        <v>0.10045135588904573</v>
      </c>
      <c r="H142" s="193">
        <f t="shared" si="160"/>
        <v>9.9851171852753606E-2</v>
      </c>
      <c r="I142" s="193">
        <f t="shared" si="160"/>
        <v>0.17618021024868213</v>
      </c>
      <c r="J142" s="193">
        <f t="shared" si="160"/>
        <v>3.6932595619851012E-5</v>
      </c>
      <c r="K142" s="193">
        <f t="shared" si="160"/>
        <v>0.21017912796938026</v>
      </c>
      <c r="L142" s="193">
        <f t="shared" si="160"/>
        <v>0</v>
      </c>
      <c r="M142" s="193">
        <f t="shared" si="160"/>
        <v>0.16930002003950295</v>
      </c>
      <c r="N142" s="193">
        <f t="shared" si="160"/>
        <v>5.7789721510395312E-2</v>
      </c>
      <c r="O142" s="193">
        <f t="shared" si="160"/>
        <v>0</v>
      </c>
      <c r="P142" s="193">
        <f t="shared" si="160"/>
        <v>9.8938937271350457E-3</v>
      </c>
      <c r="Q142" s="193">
        <f t="shared" si="160"/>
        <v>1.2624166772940239E-2</v>
      </c>
      <c r="R142" s="193">
        <f t="shared" si="160"/>
        <v>0.53029429007816031</v>
      </c>
      <c r="S142" s="193">
        <f t="shared" si="160"/>
        <v>7.1641299827250565E-2</v>
      </c>
      <c r="T142" s="193">
        <f t="shared" si="160"/>
        <v>0.31130399458707608</v>
      </c>
      <c r="U142" s="193">
        <f t="shared" si="160"/>
        <v>0.10147283559069326</v>
      </c>
      <c r="V142" s="193">
        <f t="shared" si="160"/>
        <v>0</v>
      </c>
      <c r="W142" s="193">
        <f t="shared" si="160"/>
        <v>0.23301328565498303</v>
      </c>
      <c r="X142" s="193">
        <f t="shared" si="160"/>
        <v>0.10117037307790727</v>
      </c>
      <c r="Y142" s="193">
        <f t="shared" si="160"/>
        <v>4.1011110249117001E-2</v>
      </c>
      <c r="Z142" s="193">
        <f t="shared" si="160"/>
        <v>0</v>
      </c>
      <c r="AA142" s="193">
        <f t="shared" si="160"/>
        <v>0</v>
      </c>
      <c r="AB142" s="193">
        <f t="shared" si="160"/>
        <v>0</v>
      </c>
      <c r="AC142" s="193">
        <f t="shared" si="160"/>
        <v>0</v>
      </c>
      <c r="AD142" s="193">
        <f t="shared" si="160"/>
        <v>5.1558371407956979E-4</v>
      </c>
      <c r="AE142" s="193">
        <f t="shared" si="160"/>
        <v>2.1041117177915212E-3</v>
      </c>
      <c r="AF142" s="193">
        <f t="shared" si="160"/>
        <v>0.14798801377516094</v>
      </c>
    </row>
    <row r="143" spans="1:35" x14ac:dyDescent="0.25">
      <c r="A143" t="s">
        <v>364</v>
      </c>
      <c r="B143" t="s">
        <v>759</v>
      </c>
      <c r="C143" t="str">
        <f t="shared" si="161"/>
        <v>INDBLQ</v>
      </c>
      <c r="D143" t="s">
        <v>449</v>
      </c>
      <c r="E143" s="193">
        <f t="shared" si="162"/>
        <v>0</v>
      </c>
      <c r="F143" s="193">
        <f t="shared" si="160"/>
        <v>0</v>
      </c>
      <c r="G143" s="193">
        <f t="shared" si="160"/>
        <v>0</v>
      </c>
      <c r="H143" s="193">
        <f t="shared" si="160"/>
        <v>0</v>
      </c>
      <c r="I143" s="193">
        <f t="shared" si="160"/>
        <v>0</v>
      </c>
      <c r="J143" s="193">
        <f t="shared" si="160"/>
        <v>0</v>
      </c>
      <c r="K143" s="193">
        <f t="shared" si="160"/>
        <v>0</v>
      </c>
      <c r="L143" s="193">
        <f t="shared" si="160"/>
        <v>0</v>
      </c>
      <c r="M143" s="193">
        <f t="shared" si="160"/>
        <v>5.640859939939599E-3</v>
      </c>
      <c r="N143" s="193">
        <f t="shared" si="160"/>
        <v>0</v>
      </c>
      <c r="O143" s="193">
        <f t="shared" si="160"/>
        <v>0</v>
      </c>
      <c r="P143" s="193">
        <f t="shared" si="160"/>
        <v>0</v>
      </c>
      <c r="Q143" s="193">
        <f t="shared" si="160"/>
        <v>0</v>
      </c>
      <c r="R143" s="193">
        <f t="shared" si="160"/>
        <v>0</v>
      </c>
      <c r="S143" s="193">
        <f t="shared" si="160"/>
        <v>3.3626519515254891E-5</v>
      </c>
      <c r="T143" s="193">
        <f t="shared" si="160"/>
        <v>7.5485934671938918E-4</v>
      </c>
      <c r="U143" s="193">
        <f t="shared" si="160"/>
        <v>5.2440741907335015E-3</v>
      </c>
      <c r="V143" s="193">
        <f t="shared" si="160"/>
        <v>2.5286303380898864E-3</v>
      </c>
      <c r="W143" s="193">
        <f t="shared" si="160"/>
        <v>0</v>
      </c>
      <c r="X143" s="193">
        <f t="shared" si="160"/>
        <v>0</v>
      </c>
      <c r="Y143" s="193">
        <f t="shared" si="160"/>
        <v>0</v>
      </c>
      <c r="Z143" s="193">
        <f t="shared" si="160"/>
        <v>0</v>
      </c>
      <c r="AA143" s="193">
        <f t="shared" si="160"/>
        <v>0</v>
      </c>
      <c r="AB143" s="193">
        <f t="shared" si="160"/>
        <v>0</v>
      </c>
      <c r="AC143" s="193">
        <f t="shared" si="160"/>
        <v>0</v>
      </c>
      <c r="AD143" s="193">
        <f t="shared" si="160"/>
        <v>0</v>
      </c>
      <c r="AE143" s="193">
        <f t="shared" si="160"/>
        <v>0</v>
      </c>
      <c r="AF143" s="193">
        <f t="shared" si="160"/>
        <v>1.9190921413936414E-3</v>
      </c>
    </row>
    <row r="144" spans="1:35" x14ac:dyDescent="0.25">
      <c r="A144" t="s">
        <v>364</v>
      </c>
      <c r="B144" t="s">
        <v>759</v>
      </c>
      <c r="C144" t="str">
        <f t="shared" si="161"/>
        <v>INDCOA</v>
      </c>
      <c r="D144" t="s">
        <v>449</v>
      </c>
      <c r="E144" s="193">
        <f t="shared" si="162"/>
        <v>2.8276928407609492</v>
      </c>
      <c r="F144" s="193">
        <f t="shared" si="160"/>
        <v>1.7284635848506802</v>
      </c>
      <c r="G144" s="193">
        <f t="shared" si="160"/>
        <v>1.5070959028652759</v>
      </c>
      <c r="H144" s="193">
        <f t="shared" si="160"/>
        <v>3.1883941167935337</v>
      </c>
      <c r="I144" s="193">
        <f t="shared" si="160"/>
        <v>1.2640479905115636</v>
      </c>
      <c r="J144" s="193">
        <f t="shared" si="160"/>
        <v>2.0980668919724965</v>
      </c>
      <c r="K144" s="193">
        <f t="shared" si="160"/>
        <v>3.8822738712812837</v>
      </c>
      <c r="L144" s="193">
        <f t="shared" si="160"/>
        <v>4.0906213749470233</v>
      </c>
      <c r="M144" s="193">
        <f t="shared" si="160"/>
        <v>7.6646421464617878E-2</v>
      </c>
      <c r="N144" s="193">
        <f t="shared" si="160"/>
        <v>0.60397764137000809</v>
      </c>
      <c r="O144" s="193">
        <f t="shared" si="160"/>
        <v>4.7959075425869697E-2</v>
      </c>
      <c r="P144" s="193">
        <f t="shared" si="160"/>
        <v>4.3293020049642488</v>
      </c>
      <c r="Q144" s="193">
        <f t="shared" si="160"/>
        <v>2.3235869922971943</v>
      </c>
      <c r="R144" s="193">
        <f t="shared" si="160"/>
        <v>0.95861232997607748</v>
      </c>
      <c r="S144" s="193">
        <f t="shared" si="160"/>
        <v>0.67100038366715375</v>
      </c>
      <c r="T144" s="193">
        <f t="shared" si="160"/>
        <v>0.19111151510568133</v>
      </c>
      <c r="U144" s="193">
        <f t="shared" si="160"/>
        <v>0.65568804909819001</v>
      </c>
      <c r="V144" s="193">
        <f t="shared" si="160"/>
        <v>3.6699457028320288</v>
      </c>
      <c r="W144" s="193">
        <f t="shared" si="160"/>
        <v>3.9612258561347109</v>
      </c>
      <c r="X144" s="193">
        <f t="shared" si="160"/>
        <v>2.1155778625137565</v>
      </c>
      <c r="Y144" s="193">
        <f t="shared" si="160"/>
        <v>1.6233307272897202</v>
      </c>
      <c r="Z144" s="193">
        <f t="shared" si="160"/>
        <v>1.1467999911192159</v>
      </c>
      <c r="AA144" s="193">
        <f t="shared" si="160"/>
        <v>0.66921302478466604</v>
      </c>
      <c r="AB144" s="193">
        <f t="shared" si="160"/>
        <v>0.1062529924916044</v>
      </c>
      <c r="AC144" s="193">
        <f t="shared" si="160"/>
        <v>0.11044878079843266</v>
      </c>
      <c r="AD144" s="193">
        <f t="shared" si="160"/>
        <v>0.28539468143615593</v>
      </c>
      <c r="AE144" s="193">
        <f t="shared" si="160"/>
        <v>2.9090272783049156</v>
      </c>
      <c r="AF144" s="193">
        <f t="shared" si="160"/>
        <v>1.3589140660699179</v>
      </c>
    </row>
    <row r="145" spans="1:32" x14ac:dyDescent="0.25">
      <c r="A145" t="s">
        <v>364</v>
      </c>
      <c r="B145" t="s">
        <v>759</v>
      </c>
      <c r="C145" t="str">
        <f t="shared" si="161"/>
        <v>INDCOG</v>
      </c>
      <c r="D145" t="s">
        <v>449</v>
      </c>
      <c r="E145" s="193">
        <f t="shared" si="162"/>
        <v>0</v>
      </c>
      <c r="F145" s="193">
        <f t="shared" si="160"/>
        <v>0</v>
      </c>
      <c r="G145" s="193">
        <f t="shared" si="160"/>
        <v>0</v>
      </c>
      <c r="H145" s="193">
        <f t="shared" si="160"/>
        <v>0</v>
      </c>
      <c r="I145" s="193">
        <f t="shared" si="160"/>
        <v>0</v>
      </c>
      <c r="J145" s="193">
        <f t="shared" si="160"/>
        <v>0</v>
      </c>
      <c r="K145" s="193">
        <f t="shared" si="160"/>
        <v>0</v>
      </c>
      <c r="L145" s="193">
        <f t="shared" si="160"/>
        <v>0</v>
      </c>
      <c r="M145" s="193">
        <f t="shared" si="160"/>
        <v>0</v>
      </c>
      <c r="N145" s="193">
        <f t="shared" si="160"/>
        <v>0</v>
      </c>
      <c r="O145" s="193">
        <f t="shared" si="160"/>
        <v>0</v>
      </c>
      <c r="P145" s="193">
        <f t="shared" si="160"/>
        <v>0</v>
      </c>
      <c r="Q145" s="193">
        <f t="shared" si="160"/>
        <v>0</v>
      </c>
      <c r="R145" s="193">
        <f t="shared" si="160"/>
        <v>0</v>
      </c>
      <c r="S145" s="193">
        <f t="shared" si="160"/>
        <v>4.4218873162560186E-2</v>
      </c>
      <c r="T145" s="193">
        <f t="shared" si="160"/>
        <v>0</v>
      </c>
      <c r="U145" s="193">
        <f t="shared" si="160"/>
        <v>4.284646980837941E-2</v>
      </c>
      <c r="V145" s="193">
        <f t="shared" si="160"/>
        <v>0</v>
      </c>
      <c r="W145" s="193">
        <f t="shared" si="160"/>
        <v>0</v>
      </c>
      <c r="X145" s="193">
        <f t="shared" si="160"/>
        <v>0.10668056009155794</v>
      </c>
      <c r="Y145" s="193">
        <f t="shared" si="160"/>
        <v>0</v>
      </c>
      <c r="Z145" s="193">
        <f t="shared" si="160"/>
        <v>0</v>
      </c>
      <c r="AA145" s="193">
        <f t="shared" si="160"/>
        <v>0</v>
      </c>
      <c r="AB145" s="193">
        <f t="shared" si="160"/>
        <v>0</v>
      </c>
      <c r="AC145" s="193">
        <f t="shared" si="160"/>
        <v>0</v>
      </c>
      <c r="AD145" s="193">
        <f t="shared" si="160"/>
        <v>9.1754805413049364E-3</v>
      </c>
      <c r="AE145" s="193">
        <f t="shared" si="160"/>
        <v>0</v>
      </c>
      <c r="AF145" s="193">
        <f t="shared" si="160"/>
        <v>0</v>
      </c>
    </row>
    <row r="146" spans="1:32" x14ac:dyDescent="0.25">
      <c r="A146" t="s">
        <v>364</v>
      </c>
      <c r="B146" t="s">
        <v>759</v>
      </c>
      <c r="C146" t="str">
        <f t="shared" si="161"/>
        <v>INDCOK</v>
      </c>
      <c r="D146" t="s">
        <v>449</v>
      </c>
      <c r="E146" s="193">
        <f t="shared" si="162"/>
        <v>0</v>
      </c>
      <c r="F146" s="193">
        <f t="shared" si="160"/>
        <v>0</v>
      </c>
      <c r="G146" s="193">
        <f t="shared" si="160"/>
        <v>0</v>
      </c>
      <c r="H146" s="193">
        <f t="shared" si="160"/>
        <v>0</v>
      </c>
      <c r="I146" s="193">
        <f t="shared" si="160"/>
        <v>6.2734792966889774E-3</v>
      </c>
      <c r="J146" s="193">
        <f t="shared" si="160"/>
        <v>9.3439466918223066E-3</v>
      </c>
      <c r="K146" s="193">
        <f t="shared" si="160"/>
        <v>0</v>
      </c>
      <c r="L146" s="193">
        <f t="shared" si="160"/>
        <v>0</v>
      </c>
      <c r="M146" s="193">
        <f t="shared" si="160"/>
        <v>4.6462872663186695E-2</v>
      </c>
      <c r="N146" s="193">
        <f t="shared" si="160"/>
        <v>4.3279748144148866E-2</v>
      </c>
      <c r="O146" s="193">
        <f t="shared" si="160"/>
        <v>0</v>
      </c>
      <c r="P146" s="193">
        <f t="shared" si="160"/>
        <v>0</v>
      </c>
      <c r="Q146" s="193">
        <f t="shared" si="160"/>
        <v>2.5287297023574729E-2</v>
      </c>
      <c r="R146" s="193">
        <f t="shared" si="160"/>
        <v>2.9974702407973845E-2</v>
      </c>
      <c r="S146" s="193">
        <f t="shared" si="160"/>
        <v>0.12461988132353462</v>
      </c>
      <c r="T146" s="193">
        <f t="shared" si="160"/>
        <v>1.7399507941881921E-2</v>
      </c>
      <c r="U146" s="193">
        <f t="shared" si="160"/>
        <v>0.35925483711654532</v>
      </c>
      <c r="V146" s="193">
        <f t="shared" si="160"/>
        <v>0</v>
      </c>
      <c r="W146" s="193">
        <f t="shared" si="160"/>
        <v>0</v>
      </c>
      <c r="X146" s="193">
        <f t="shared" si="160"/>
        <v>9.205351820077616E-2</v>
      </c>
      <c r="Y146" s="193">
        <f t="shared" si="160"/>
        <v>4.5995903262702779E-3</v>
      </c>
      <c r="Z146" s="193">
        <f t="shared" si="160"/>
        <v>3.6085598193900469E-2</v>
      </c>
      <c r="AA146" s="193">
        <f t="shared" si="160"/>
        <v>0</v>
      </c>
      <c r="AB146" s="193">
        <f t="shared" si="160"/>
        <v>0</v>
      </c>
      <c r="AC146" s="193">
        <f t="shared" si="160"/>
        <v>0</v>
      </c>
      <c r="AD146" s="193">
        <f t="shared" si="160"/>
        <v>2.312488436112441E-2</v>
      </c>
      <c r="AE146" s="193">
        <f t="shared" si="160"/>
        <v>0</v>
      </c>
      <c r="AF146" s="193">
        <f t="shared" si="160"/>
        <v>0</v>
      </c>
    </row>
    <row r="147" spans="1:32" x14ac:dyDescent="0.25">
      <c r="A147" t="s">
        <v>364</v>
      </c>
      <c r="B147" t="s">
        <v>759</v>
      </c>
      <c r="C147" t="str">
        <f t="shared" si="161"/>
        <v>INDELC</v>
      </c>
      <c r="D147" t="s">
        <v>449</v>
      </c>
      <c r="E147" s="639">
        <f t="shared" ref="E147:O147" si="163">(E110*$AH$128*$AH$130)/(E35*E52)</f>
        <v>0.14519313797063929</v>
      </c>
      <c r="F147" s="639">
        <f t="shared" si="163"/>
        <v>0.14725799517916066</v>
      </c>
      <c r="G147" s="639">
        <f t="shared" si="163"/>
        <v>0.27239753866668526</v>
      </c>
      <c r="H147" s="639">
        <f t="shared" si="163"/>
        <v>0.15414767714838171</v>
      </c>
      <c r="I147" s="639">
        <f t="shared" si="163"/>
        <v>0.20275890396558036</v>
      </c>
      <c r="J147" s="639">
        <f t="shared" si="163"/>
        <v>0.15955554939312058</v>
      </c>
      <c r="K147" s="639">
        <f t="shared" si="163"/>
        <v>0.12841925980580696</v>
      </c>
      <c r="L147" s="639">
        <f t="shared" si="163"/>
        <v>0.25354368385015102</v>
      </c>
      <c r="M147" s="639">
        <f t="shared" si="163"/>
        <v>0.18897521212611029</v>
      </c>
      <c r="N147" s="639">
        <f t="shared" si="163"/>
        <v>0.15185781836448906</v>
      </c>
      <c r="O147" s="639">
        <f t="shared" si="163"/>
        <v>0.38303614460525814</v>
      </c>
      <c r="P147" s="639">
        <f>(P110*$AH$128*$AH$130)/(P35*P52)</f>
        <v>0.18971228111651026</v>
      </c>
      <c r="Q147" s="639">
        <f t="shared" ref="Q147:AF147" si="164">(Q110*$AH$128*$AH$130)/(Q35*Q52)</f>
        <v>0.16075399331919546</v>
      </c>
      <c r="R147" s="639">
        <f t="shared" si="164"/>
        <v>0.13559023311212431</v>
      </c>
      <c r="S147" s="639">
        <f t="shared" si="164"/>
        <v>0.17381050939899115</v>
      </c>
      <c r="T147" s="639">
        <f t="shared" si="164"/>
        <v>0.15046651533863947</v>
      </c>
      <c r="U147" s="639">
        <f t="shared" si="164"/>
        <v>0.18149833349618855</v>
      </c>
      <c r="V147" s="639">
        <f t="shared" si="164"/>
        <v>0.12288651538119499</v>
      </c>
      <c r="W147" s="639">
        <f t="shared" si="164"/>
        <v>0.14041773752519116</v>
      </c>
      <c r="X147" s="639">
        <f t="shared" si="164"/>
        <v>0.11568495922304038</v>
      </c>
      <c r="Y147" s="639">
        <f t="shared" si="164"/>
        <v>0.15924670528752319</v>
      </c>
      <c r="Z147" s="639">
        <f t="shared" si="164"/>
        <v>0.14229082339577739</v>
      </c>
      <c r="AA147" s="639">
        <f t="shared" si="164"/>
        <v>0.12870914700790859</v>
      </c>
      <c r="AB147" s="639">
        <f t="shared" si="164"/>
        <v>0.14032774401548889</v>
      </c>
      <c r="AC147" s="639">
        <f t="shared" si="164"/>
        <v>0.16566793910469019</v>
      </c>
      <c r="AD147" s="639">
        <f t="shared" si="164"/>
        <v>0.18518223839461048</v>
      </c>
      <c r="AE147" s="639">
        <f t="shared" si="164"/>
        <v>0.11758780518433266</v>
      </c>
      <c r="AF147" s="639">
        <f t="shared" si="164"/>
        <v>0.16626267351893292</v>
      </c>
    </row>
    <row r="148" spans="1:32" x14ac:dyDescent="0.25">
      <c r="A148" t="s">
        <v>364</v>
      </c>
      <c r="B148" t="s">
        <v>759</v>
      </c>
      <c r="C148" t="str">
        <f t="shared" si="161"/>
        <v>INDGAS</v>
      </c>
      <c r="D148" t="s">
        <v>449</v>
      </c>
      <c r="E148" s="193">
        <f>((E$59/(SUM(E$58:E$59)))*E111)/(E$35*(E$52))</f>
        <v>0.18247140729516481</v>
      </c>
      <c r="F148" s="193">
        <f t="shared" ref="F148:AF154" si="165">((F$59/(SUM(F$58:F$59)))*F111)/(F$35*(F$52))</f>
        <v>1.1071436268241874</v>
      </c>
      <c r="G148" s="193">
        <f t="shared" si="165"/>
        <v>0</v>
      </c>
      <c r="H148" s="193">
        <f t="shared" si="165"/>
        <v>1.22411004371822</v>
      </c>
      <c r="I148" s="193">
        <f t="shared" si="165"/>
        <v>2.7934409201645645</v>
      </c>
      <c r="J148" s="193">
        <f t="shared" si="165"/>
        <v>2.3196255330959827</v>
      </c>
      <c r="K148" s="193">
        <f t="shared" si="165"/>
        <v>0.39194161323300136</v>
      </c>
      <c r="L148" s="193">
        <f t="shared" si="165"/>
        <v>0</v>
      </c>
      <c r="M148" s="193">
        <f t="shared" si="165"/>
        <v>1.2290147297212259</v>
      </c>
      <c r="N148" s="193">
        <f t="shared" si="165"/>
        <v>2.2896988143891477</v>
      </c>
      <c r="O148" s="193">
        <f t="shared" si="165"/>
        <v>0.17730324854412433</v>
      </c>
      <c r="P148" s="193">
        <f t="shared" si="165"/>
        <v>0</v>
      </c>
      <c r="Q148" s="193">
        <f t="shared" si="165"/>
        <v>1.3724495383026141</v>
      </c>
      <c r="R148" s="193">
        <f t="shared" si="165"/>
        <v>2.3030266531111656</v>
      </c>
      <c r="S148" s="193">
        <f t="shared" si="165"/>
        <v>1.9164762267329218</v>
      </c>
      <c r="T148" s="193">
        <f t="shared" si="165"/>
        <v>2.3611528578290795</v>
      </c>
      <c r="U148" s="193">
        <f t="shared" si="165"/>
        <v>2.0289203860443581</v>
      </c>
      <c r="V148" s="193">
        <f t="shared" si="165"/>
        <v>0.43107126716008537</v>
      </c>
      <c r="W148" s="193">
        <f t="shared" si="165"/>
        <v>0</v>
      </c>
      <c r="X148" s="193">
        <f t="shared" si="165"/>
        <v>0.53590743091853998</v>
      </c>
      <c r="Y148" s="193">
        <f t="shared" si="165"/>
        <v>1.426799321494608</v>
      </c>
      <c r="Z148" s="193">
        <f t="shared" si="165"/>
        <v>1.0120580607227792</v>
      </c>
      <c r="AA148" s="193">
        <f t="shared" si="165"/>
        <v>3.9910526883149942</v>
      </c>
      <c r="AB148" s="193">
        <f t="shared" si="165"/>
        <v>1.2170910508582491</v>
      </c>
      <c r="AC148" s="193">
        <f t="shared" si="165"/>
        <v>3.1848718526108599</v>
      </c>
      <c r="AD148" s="193">
        <f t="shared" si="165"/>
        <v>3.2415702888838256</v>
      </c>
      <c r="AE148" s="193">
        <f t="shared" si="165"/>
        <v>0.77050714536362752</v>
      </c>
      <c r="AF148" s="193">
        <f t="shared" si="165"/>
        <v>2.8040115374639605</v>
      </c>
    </row>
    <row r="149" spans="1:32" x14ac:dyDescent="0.25">
      <c r="A149" t="s">
        <v>364</v>
      </c>
      <c r="B149" t="s">
        <v>759</v>
      </c>
      <c r="C149" t="str">
        <f t="shared" si="161"/>
        <v>INDHET</v>
      </c>
      <c r="D149" t="s">
        <v>449</v>
      </c>
      <c r="E149" s="193">
        <f t="shared" ref="E149:T154" si="166">((E$59/(SUM(E$58:E$59)))*E112)/(E$35*(E$52))</f>
        <v>0</v>
      </c>
      <c r="F149" s="193">
        <f t="shared" si="166"/>
        <v>0</v>
      </c>
      <c r="G149" s="193">
        <f t="shared" si="166"/>
        <v>0</v>
      </c>
      <c r="H149" s="193">
        <f t="shared" si="166"/>
        <v>0</v>
      </c>
      <c r="I149" s="193">
        <f t="shared" si="166"/>
        <v>0</v>
      </c>
      <c r="J149" s="193">
        <f t="shared" si="166"/>
        <v>8.0993182194333269E-2</v>
      </c>
      <c r="K149" s="193">
        <f t="shared" si="166"/>
        <v>0</v>
      </c>
      <c r="L149" s="193">
        <f t="shared" si="166"/>
        <v>0</v>
      </c>
      <c r="M149" s="193">
        <f t="shared" si="166"/>
        <v>0</v>
      </c>
      <c r="N149" s="193">
        <f t="shared" si="166"/>
        <v>0</v>
      </c>
      <c r="O149" s="193">
        <f t="shared" si="166"/>
        <v>0</v>
      </c>
      <c r="P149" s="193">
        <f t="shared" si="166"/>
        <v>0</v>
      </c>
      <c r="Q149" s="193">
        <f t="shared" si="166"/>
        <v>0.21215613604524564</v>
      </c>
      <c r="R149" s="193">
        <f t="shared" si="166"/>
        <v>1.6010226805445971E-3</v>
      </c>
      <c r="S149" s="193">
        <f t="shared" si="166"/>
        <v>3.6854665388719364E-2</v>
      </c>
      <c r="T149" s="193">
        <f t="shared" si="166"/>
        <v>6.9720696411369576E-2</v>
      </c>
      <c r="U149" s="193">
        <f t="shared" si="165"/>
        <v>2.5266902918988692E-2</v>
      </c>
      <c r="V149" s="193">
        <f t="shared" si="165"/>
        <v>0</v>
      </c>
      <c r="W149" s="193">
        <f t="shared" si="165"/>
        <v>0</v>
      </c>
      <c r="X149" s="193">
        <f t="shared" si="165"/>
        <v>0</v>
      </c>
      <c r="Y149" s="193">
        <f t="shared" si="165"/>
        <v>0</v>
      </c>
      <c r="Z149" s="193">
        <f t="shared" si="165"/>
        <v>0</v>
      </c>
      <c r="AA149" s="193">
        <f t="shared" si="165"/>
        <v>0</v>
      </c>
      <c r="AB149" s="193">
        <f t="shared" si="165"/>
        <v>0</v>
      </c>
      <c r="AC149" s="193">
        <f t="shared" si="165"/>
        <v>0</v>
      </c>
      <c r="AD149" s="193">
        <f t="shared" si="165"/>
        <v>0.84613970973047314</v>
      </c>
      <c r="AE149" s="193">
        <f t="shared" si="165"/>
        <v>3.6821955061351616E-3</v>
      </c>
      <c r="AF149" s="193">
        <f t="shared" si="165"/>
        <v>1.0474165899914012E-3</v>
      </c>
    </row>
    <row r="150" spans="1:32" x14ac:dyDescent="0.25">
      <c r="A150" t="s">
        <v>364</v>
      </c>
      <c r="B150" t="s">
        <v>759</v>
      </c>
      <c r="C150" t="str">
        <f t="shared" si="161"/>
        <v>INDLPG</v>
      </c>
      <c r="D150" t="s">
        <v>449</v>
      </c>
      <c r="E150" s="193">
        <f t="shared" si="166"/>
        <v>0</v>
      </c>
      <c r="F150" s="193">
        <f t="shared" si="165"/>
        <v>6.9498345153712643E-2</v>
      </c>
      <c r="G150" s="193">
        <f t="shared" si="165"/>
        <v>0</v>
      </c>
      <c r="H150" s="193">
        <f t="shared" si="165"/>
        <v>0</v>
      </c>
      <c r="I150" s="193">
        <f t="shared" si="165"/>
        <v>0.24280688389036967</v>
      </c>
      <c r="J150" s="193">
        <f t="shared" si="165"/>
        <v>2.1642501033232692E-2</v>
      </c>
      <c r="K150" s="193">
        <f t="shared" si="165"/>
        <v>3.2567149727780742E-2</v>
      </c>
      <c r="L150" s="193">
        <f t="shared" si="165"/>
        <v>0</v>
      </c>
      <c r="M150" s="193">
        <f t="shared" si="165"/>
        <v>0.17585628268899414</v>
      </c>
      <c r="N150" s="193">
        <f t="shared" si="165"/>
        <v>0</v>
      </c>
      <c r="O150" s="193">
        <f t="shared" si="165"/>
        <v>2.7128365897461645E-2</v>
      </c>
      <c r="P150" s="193">
        <f t="shared" si="165"/>
        <v>2.5563312882450728E-2</v>
      </c>
      <c r="Q150" s="193">
        <f t="shared" si="165"/>
        <v>3.9080368127342779E-2</v>
      </c>
      <c r="R150" s="193">
        <f t="shared" si="165"/>
        <v>6.8577138149993569E-2</v>
      </c>
      <c r="S150" s="193">
        <f t="shared" si="165"/>
        <v>1.704864539423423E-2</v>
      </c>
      <c r="T150" s="193">
        <f t="shared" si="165"/>
        <v>5.3302505620222873E-2</v>
      </c>
      <c r="U150" s="193">
        <f t="shared" si="165"/>
        <v>3.1381016691366614E-2</v>
      </c>
      <c r="V150" s="193">
        <f t="shared" si="165"/>
        <v>0.17676330172933111</v>
      </c>
      <c r="W150" s="193">
        <f t="shared" si="165"/>
        <v>0</v>
      </c>
      <c r="X150" s="193">
        <f t="shared" si="165"/>
        <v>6.6439497355503058E-2</v>
      </c>
      <c r="Y150" s="193">
        <f t="shared" si="165"/>
        <v>3.6844205999206715E-2</v>
      </c>
      <c r="Z150" s="193">
        <f t="shared" si="165"/>
        <v>3.1469069695433346E-3</v>
      </c>
      <c r="AA150" s="193">
        <f t="shared" si="165"/>
        <v>0</v>
      </c>
      <c r="AB150" s="193">
        <f t="shared" si="165"/>
        <v>2.2909011739460049E-3</v>
      </c>
      <c r="AC150" s="193">
        <f t="shared" si="165"/>
        <v>0</v>
      </c>
      <c r="AD150" s="193">
        <f t="shared" si="165"/>
        <v>7.1608849177718032E-3</v>
      </c>
      <c r="AE150" s="193">
        <f t="shared" si="165"/>
        <v>1.9989061319019449E-2</v>
      </c>
      <c r="AF150" s="193">
        <f t="shared" si="165"/>
        <v>5.0402529867371454E-3</v>
      </c>
    </row>
    <row r="151" spans="1:32" x14ac:dyDescent="0.25">
      <c r="A151" t="s">
        <v>364</v>
      </c>
      <c r="B151" t="s">
        <v>759</v>
      </c>
      <c r="C151" t="str">
        <f t="shared" si="161"/>
        <v>INDOIL</v>
      </c>
      <c r="D151" t="s">
        <v>449</v>
      </c>
      <c r="E151" s="193">
        <f t="shared" si="166"/>
        <v>1.6501014650435462</v>
      </c>
      <c r="F151" s="193">
        <f t="shared" si="165"/>
        <v>1.6381619340869069</v>
      </c>
      <c r="G151" s="193">
        <f t="shared" si="165"/>
        <v>3.0527184543453392</v>
      </c>
      <c r="H151" s="193">
        <f t="shared" si="165"/>
        <v>0.1479103807351537</v>
      </c>
      <c r="I151" s="193">
        <f t="shared" si="165"/>
        <v>0.17269494397274382</v>
      </c>
      <c r="J151" s="193">
        <f t="shared" si="165"/>
        <v>0.13055672551617331</v>
      </c>
      <c r="K151" s="193">
        <f t="shared" si="165"/>
        <v>0.14330395088821382</v>
      </c>
      <c r="L151" s="193">
        <f t="shared" si="165"/>
        <v>0.56964433815263726</v>
      </c>
      <c r="M151" s="193">
        <f t="shared" si="165"/>
        <v>2.9573445265821929</v>
      </c>
      <c r="N151" s="193">
        <f t="shared" si="165"/>
        <v>1.317342969884693</v>
      </c>
      <c r="O151" s="193">
        <f t="shared" si="165"/>
        <v>4.4078750232322053</v>
      </c>
      <c r="P151" s="193">
        <f t="shared" si="165"/>
        <v>0.29550650152582597</v>
      </c>
      <c r="Q151" s="193">
        <f t="shared" si="165"/>
        <v>0.67441883540994618</v>
      </c>
      <c r="R151" s="193">
        <f t="shared" si="165"/>
        <v>0.3950078735721419</v>
      </c>
      <c r="S151" s="193">
        <f t="shared" si="165"/>
        <v>0.56433706376476522</v>
      </c>
      <c r="T151" s="193">
        <f t="shared" si="165"/>
        <v>1.3800621648978892</v>
      </c>
      <c r="U151" s="193">
        <f t="shared" si="165"/>
        <v>0.51613608387251142</v>
      </c>
      <c r="V151" s="193">
        <f t="shared" si="165"/>
        <v>0.37995681104012557</v>
      </c>
      <c r="W151" s="193">
        <f t="shared" si="165"/>
        <v>0.46602657130996605</v>
      </c>
      <c r="X151" s="193">
        <f t="shared" si="165"/>
        <v>1.2405935598188405</v>
      </c>
      <c r="Y151" s="193">
        <f t="shared" si="165"/>
        <v>1.5226745372172157</v>
      </c>
      <c r="Z151" s="193">
        <f t="shared" si="165"/>
        <v>2.1244337649416605</v>
      </c>
      <c r="AA151" s="193">
        <f t="shared" si="165"/>
        <v>0</v>
      </c>
      <c r="AB151" s="193">
        <f t="shared" si="165"/>
        <v>3.3346307685758614</v>
      </c>
      <c r="AC151" s="193">
        <f t="shared" si="165"/>
        <v>1.3649450796903686</v>
      </c>
      <c r="AD151" s="193">
        <f t="shared" si="165"/>
        <v>0.21813010244188616</v>
      </c>
      <c r="AE151" s="193">
        <f t="shared" si="165"/>
        <v>0.71245841620808481</v>
      </c>
      <c r="AF151" s="193">
        <f t="shared" si="165"/>
        <v>0.34129612658169484</v>
      </c>
    </row>
    <row r="152" spans="1:32" x14ac:dyDescent="0.25">
      <c r="A152" t="s">
        <v>364</v>
      </c>
      <c r="B152" t="s">
        <v>759</v>
      </c>
      <c r="C152" t="str">
        <f t="shared" si="161"/>
        <v>INDGEO</v>
      </c>
      <c r="D152" t="s">
        <v>449</v>
      </c>
      <c r="E152" s="193">
        <f t="shared" si="166"/>
        <v>0</v>
      </c>
      <c r="F152" s="193">
        <f t="shared" si="165"/>
        <v>0</v>
      </c>
      <c r="G152" s="193">
        <f t="shared" si="165"/>
        <v>0</v>
      </c>
      <c r="H152" s="193">
        <f t="shared" si="165"/>
        <v>0</v>
      </c>
      <c r="I152" s="193">
        <f t="shared" si="165"/>
        <v>0</v>
      </c>
      <c r="J152" s="193">
        <f t="shared" si="165"/>
        <v>0</v>
      </c>
      <c r="K152" s="193">
        <f t="shared" si="165"/>
        <v>0</v>
      </c>
      <c r="L152" s="193">
        <f t="shared" si="165"/>
        <v>0</v>
      </c>
      <c r="M152" s="193">
        <f t="shared" si="165"/>
        <v>0</v>
      </c>
      <c r="N152" s="193">
        <f t="shared" si="165"/>
        <v>0</v>
      </c>
      <c r="O152" s="193">
        <f t="shared" si="165"/>
        <v>0</v>
      </c>
      <c r="P152" s="193">
        <f t="shared" si="165"/>
        <v>0</v>
      </c>
      <c r="Q152" s="193">
        <f t="shared" si="165"/>
        <v>0</v>
      </c>
      <c r="R152" s="193">
        <f t="shared" si="165"/>
        <v>0</v>
      </c>
      <c r="S152" s="193">
        <f t="shared" si="165"/>
        <v>0</v>
      </c>
      <c r="T152" s="193">
        <f t="shared" si="165"/>
        <v>0</v>
      </c>
      <c r="U152" s="193">
        <f t="shared" si="165"/>
        <v>0</v>
      </c>
      <c r="V152" s="193">
        <f t="shared" si="165"/>
        <v>0</v>
      </c>
      <c r="W152" s="193">
        <f t="shared" si="165"/>
        <v>0</v>
      </c>
      <c r="X152" s="193">
        <f t="shared" si="165"/>
        <v>0</v>
      </c>
      <c r="Y152" s="193">
        <f t="shared" si="165"/>
        <v>0</v>
      </c>
      <c r="Z152" s="193">
        <f t="shared" si="165"/>
        <v>0</v>
      </c>
      <c r="AA152" s="193">
        <f t="shared" si="165"/>
        <v>0</v>
      </c>
      <c r="AB152" s="193">
        <f t="shared" si="165"/>
        <v>0</v>
      </c>
      <c r="AC152" s="193">
        <f t="shared" si="165"/>
        <v>0</v>
      </c>
      <c r="AD152" s="193">
        <f t="shared" si="165"/>
        <v>0</v>
      </c>
      <c r="AE152" s="193">
        <f t="shared" si="165"/>
        <v>0</v>
      </c>
      <c r="AF152" s="193">
        <f t="shared" si="165"/>
        <v>0</v>
      </c>
    </row>
    <row r="153" spans="1:32" x14ac:dyDescent="0.25">
      <c r="A153" t="s">
        <v>364</v>
      </c>
      <c r="B153" t="s">
        <v>759</v>
      </c>
      <c r="C153" t="str">
        <f t="shared" si="161"/>
        <v>INDCSP</v>
      </c>
      <c r="D153" t="s">
        <v>449</v>
      </c>
      <c r="E153" s="193">
        <f t="shared" si="166"/>
        <v>0</v>
      </c>
      <c r="F153" s="193">
        <f t="shared" si="165"/>
        <v>0</v>
      </c>
      <c r="G153" s="193">
        <f t="shared" si="165"/>
        <v>0</v>
      </c>
      <c r="H153" s="193">
        <f t="shared" si="165"/>
        <v>0</v>
      </c>
      <c r="I153" s="193">
        <f t="shared" si="165"/>
        <v>0</v>
      </c>
      <c r="J153" s="193">
        <f t="shared" si="165"/>
        <v>0</v>
      </c>
      <c r="K153" s="193">
        <f t="shared" si="165"/>
        <v>0</v>
      </c>
      <c r="L153" s="193">
        <f t="shared" si="165"/>
        <v>0</v>
      </c>
      <c r="M153" s="193">
        <f t="shared" si="165"/>
        <v>0</v>
      </c>
      <c r="N153" s="193">
        <f t="shared" si="165"/>
        <v>0</v>
      </c>
      <c r="O153" s="193">
        <f t="shared" si="165"/>
        <v>0</v>
      </c>
      <c r="P153" s="193">
        <f t="shared" si="165"/>
        <v>0</v>
      </c>
      <c r="Q153" s="193">
        <f t="shared" si="165"/>
        <v>0</v>
      </c>
      <c r="R153" s="193">
        <f t="shared" si="165"/>
        <v>0</v>
      </c>
      <c r="S153" s="193">
        <f t="shared" si="165"/>
        <v>0</v>
      </c>
      <c r="T153" s="193">
        <f t="shared" si="165"/>
        <v>0</v>
      </c>
      <c r="U153" s="193">
        <f t="shared" si="165"/>
        <v>0</v>
      </c>
      <c r="V153" s="193">
        <f t="shared" si="165"/>
        <v>0</v>
      </c>
      <c r="W153" s="193">
        <f t="shared" si="165"/>
        <v>0</v>
      </c>
      <c r="X153" s="193">
        <f t="shared" si="165"/>
        <v>0</v>
      </c>
      <c r="Y153" s="193">
        <f t="shared" si="165"/>
        <v>0</v>
      </c>
      <c r="Z153" s="193">
        <f t="shared" si="165"/>
        <v>0</v>
      </c>
      <c r="AA153" s="193">
        <f t="shared" si="165"/>
        <v>0</v>
      </c>
      <c r="AB153" s="193">
        <f t="shared" si="165"/>
        <v>0</v>
      </c>
      <c r="AC153" s="193">
        <f t="shared" si="165"/>
        <v>0</v>
      </c>
      <c r="AD153" s="193">
        <f t="shared" si="165"/>
        <v>0</v>
      </c>
      <c r="AE153" s="193">
        <f t="shared" si="165"/>
        <v>0</v>
      </c>
      <c r="AF153" s="193">
        <f t="shared" si="165"/>
        <v>0</v>
      </c>
    </row>
    <row r="154" spans="1:32" x14ac:dyDescent="0.25">
      <c r="A154" t="s">
        <v>364</v>
      </c>
      <c r="B154" t="s">
        <v>759</v>
      </c>
      <c r="C154" t="str">
        <f t="shared" si="161"/>
        <v>INDWAS</v>
      </c>
      <c r="D154" t="s">
        <v>449</v>
      </c>
      <c r="E154" s="193">
        <f t="shared" si="166"/>
        <v>0</v>
      </c>
      <c r="F154" s="193">
        <f t="shared" si="165"/>
        <v>3.4531681543922742E-2</v>
      </c>
      <c r="G154" s="193">
        <f t="shared" si="165"/>
        <v>0</v>
      </c>
      <c r="H154" s="193">
        <f t="shared" si="165"/>
        <v>0</v>
      </c>
      <c r="I154" s="193">
        <f t="shared" si="165"/>
        <v>0</v>
      </c>
      <c r="J154" s="193">
        <f t="shared" si="165"/>
        <v>0</v>
      </c>
      <c r="K154" s="193">
        <f t="shared" si="165"/>
        <v>0</v>
      </c>
      <c r="L154" s="193">
        <f t="shared" si="165"/>
        <v>0</v>
      </c>
      <c r="M154" s="193">
        <f t="shared" si="165"/>
        <v>0</v>
      </c>
      <c r="N154" s="193">
        <f t="shared" si="165"/>
        <v>0.34817681780126697</v>
      </c>
      <c r="O154" s="193">
        <f t="shared" si="165"/>
        <v>0</v>
      </c>
      <c r="P154" s="193">
        <f t="shared" si="165"/>
        <v>0</v>
      </c>
      <c r="Q154" s="193">
        <f t="shared" si="165"/>
        <v>6.6237912080241977E-4</v>
      </c>
      <c r="R154" s="193">
        <f t="shared" si="165"/>
        <v>0.36525553542535488</v>
      </c>
      <c r="S154" s="193">
        <f t="shared" si="165"/>
        <v>1.2136147158250645</v>
      </c>
      <c r="T154" s="193">
        <f t="shared" si="165"/>
        <v>0.27286278235539119</v>
      </c>
      <c r="U154" s="193">
        <f t="shared" si="165"/>
        <v>0.8927678759210782</v>
      </c>
      <c r="V154" s="193">
        <f t="shared" si="165"/>
        <v>0</v>
      </c>
      <c r="W154" s="193">
        <f t="shared" si="165"/>
        <v>0</v>
      </c>
      <c r="X154" s="193">
        <f t="shared" si="165"/>
        <v>0.39791899006760328</v>
      </c>
      <c r="Y154" s="193">
        <f t="shared" si="165"/>
        <v>1.7106238499631689E-3</v>
      </c>
      <c r="Z154" s="193">
        <f t="shared" si="165"/>
        <v>0.33774139115256208</v>
      </c>
      <c r="AA154" s="193">
        <f t="shared" si="165"/>
        <v>0</v>
      </c>
      <c r="AB154" s="193">
        <f t="shared" si="165"/>
        <v>0</v>
      </c>
      <c r="AC154" s="193">
        <f t="shared" si="165"/>
        <v>0</v>
      </c>
      <c r="AD154" s="193">
        <f t="shared" si="165"/>
        <v>2.9054097073039457E-2</v>
      </c>
      <c r="AE154" s="193">
        <f t="shared" si="165"/>
        <v>0.92218884596089268</v>
      </c>
      <c r="AF154" s="193">
        <f t="shared" si="165"/>
        <v>4.9207490804965163E-5</v>
      </c>
    </row>
    <row r="156" spans="1:32" x14ac:dyDescent="0.25">
      <c r="C156" s="5" t="s">
        <v>466</v>
      </c>
      <c r="D156" s="5" t="s">
        <v>449</v>
      </c>
      <c r="E156" s="356">
        <f>SUM(E140:E154)</f>
        <v>4.8054588510702994</v>
      </c>
      <c r="F156" s="356">
        <f t="shared" ref="F156:AF156" si="167">SUM(F140:F154)</f>
        <v>4.7948591009935599</v>
      </c>
      <c r="G156" s="356">
        <f t="shared" si="167"/>
        <v>4.9326632517663462</v>
      </c>
      <c r="H156" s="356">
        <f t="shared" si="167"/>
        <v>4.8144133902480428</v>
      </c>
      <c r="I156" s="356">
        <f t="shared" si="167"/>
        <v>4.8630246170652409</v>
      </c>
      <c r="J156" s="356">
        <f t="shared" si="167"/>
        <v>4.8198212624927823</v>
      </c>
      <c r="K156" s="356">
        <f t="shared" si="167"/>
        <v>4.7886849729054672</v>
      </c>
      <c r="L156" s="356">
        <f t="shared" si="167"/>
        <v>4.9138093969498122</v>
      </c>
      <c r="M156" s="356">
        <f t="shared" si="167"/>
        <v>4.8492409252257707</v>
      </c>
      <c r="N156" s="356">
        <f t="shared" si="167"/>
        <v>4.8121235314641488</v>
      </c>
      <c r="O156" s="356">
        <f t="shared" si="167"/>
        <v>5.0433018577049191</v>
      </c>
      <c r="P156" s="356">
        <f t="shared" si="167"/>
        <v>4.8499779942161707</v>
      </c>
      <c r="Q156" s="356">
        <f t="shared" si="167"/>
        <v>4.8210197064188556</v>
      </c>
      <c r="R156" s="356">
        <f t="shared" si="167"/>
        <v>4.7958559462117858</v>
      </c>
      <c r="S156" s="356">
        <f t="shared" si="167"/>
        <v>4.8340762224986511</v>
      </c>
      <c r="T156" s="356">
        <f t="shared" si="167"/>
        <v>4.8107322284382983</v>
      </c>
      <c r="U156" s="356">
        <f t="shared" si="167"/>
        <v>4.8417640465958494</v>
      </c>
      <c r="V156" s="356">
        <f t="shared" si="167"/>
        <v>4.7831522284808559</v>
      </c>
      <c r="W156" s="356">
        <f t="shared" si="167"/>
        <v>4.8006834506248515</v>
      </c>
      <c r="X156" s="356">
        <f t="shared" si="167"/>
        <v>4.7759506723227005</v>
      </c>
      <c r="Y156" s="356">
        <f t="shared" si="167"/>
        <v>4.8162168217136241</v>
      </c>
      <c r="Z156" s="356">
        <f t="shared" si="167"/>
        <v>4.8025565364954392</v>
      </c>
      <c r="AA156" s="356">
        <f t="shared" si="167"/>
        <v>4.7889748601075688</v>
      </c>
      <c r="AB156" s="356">
        <f t="shared" si="167"/>
        <v>4.8005934571151503</v>
      </c>
      <c r="AC156" s="356">
        <f t="shared" si="167"/>
        <v>4.8259336522043519</v>
      </c>
      <c r="AD156" s="356">
        <f t="shared" si="167"/>
        <v>4.8454479514942719</v>
      </c>
      <c r="AE156" s="356">
        <f t="shared" si="167"/>
        <v>5.4575448595648002</v>
      </c>
      <c r="AF156" s="356">
        <f t="shared" si="167"/>
        <v>4.8265283866185946</v>
      </c>
    </row>
    <row r="158" spans="1:32" x14ac:dyDescent="0.25">
      <c r="A158" t="s">
        <v>364</v>
      </c>
      <c r="B158" t="s">
        <v>760</v>
      </c>
      <c r="C158" t="s">
        <v>126</v>
      </c>
      <c r="D158" t="s">
        <v>449</v>
      </c>
      <c r="E158" s="356">
        <f>E110/E27*0.7</f>
        <v>0.2880442785146875</v>
      </c>
      <c r="F158" s="356">
        <f t="shared" ref="F158:AF158" si="168">F110/F27*0.7</f>
        <v>0.26800055807927725</v>
      </c>
      <c r="G158" s="356">
        <f t="shared" si="168"/>
        <v>0.2880442785146875</v>
      </c>
      <c r="H158" s="356">
        <f t="shared" si="168"/>
        <v>0.28804427851468745</v>
      </c>
      <c r="I158" s="356">
        <f t="shared" si="168"/>
        <v>0.2880442785146875</v>
      </c>
      <c r="J158" s="356">
        <f t="shared" si="168"/>
        <v>0.2880442785146875</v>
      </c>
      <c r="K158" s="356">
        <f t="shared" si="168"/>
        <v>0.2880442785146875</v>
      </c>
      <c r="L158" s="356">
        <f t="shared" si="168"/>
        <v>0.2880442785146875</v>
      </c>
      <c r="M158" s="356">
        <f t="shared" si="168"/>
        <v>0.29598033855223754</v>
      </c>
      <c r="N158" s="356">
        <f t="shared" si="168"/>
        <v>0.36140810409050506</v>
      </c>
      <c r="O158" s="356">
        <f t="shared" si="168"/>
        <v>0.28719900555449795</v>
      </c>
      <c r="P158" s="638">
        <f>P110/P27*0.7</f>
        <v>0.2880442785146875</v>
      </c>
      <c r="Q158" s="356">
        <f t="shared" si="168"/>
        <v>0.31506871648490525</v>
      </c>
      <c r="R158" s="356">
        <f t="shared" si="168"/>
        <v>0.31506871648490531</v>
      </c>
      <c r="S158" s="356">
        <f t="shared" si="168"/>
        <v>0.31506871648490531</v>
      </c>
      <c r="T158" s="356">
        <f t="shared" si="168"/>
        <v>0.31506871648490531</v>
      </c>
      <c r="U158" s="356">
        <f t="shared" si="168"/>
        <v>0.31506871648490525</v>
      </c>
      <c r="V158" s="356">
        <f t="shared" si="168"/>
        <v>0.24728378181880764</v>
      </c>
      <c r="W158" s="356">
        <f t="shared" si="168"/>
        <v>0.25869033128823943</v>
      </c>
      <c r="X158" s="356">
        <f t="shared" si="168"/>
        <v>0.24888353634389523</v>
      </c>
      <c r="Y158" s="356">
        <f t="shared" si="168"/>
        <v>0.2871990055544979</v>
      </c>
      <c r="Z158" s="356">
        <f t="shared" si="168"/>
        <v>0.2880442785146875</v>
      </c>
      <c r="AA158" s="356">
        <f t="shared" si="168"/>
        <v>0.2880442785146875</v>
      </c>
      <c r="AB158" s="356">
        <f t="shared" si="168"/>
        <v>0.2880442785146875</v>
      </c>
      <c r="AC158" s="356">
        <f t="shared" si="168"/>
        <v>0.2880442785146875</v>
      </c>
      <c r="AD158" s="356">
        <f t="shared" si="168"/>
        <v>0.2880442785146875</v>
      </c>
      <c r="AE158" s="356">
        <f t="shared" si="168"/>
        <v>0.24888353634389521</v>
      </c>
      <c r="AF158" s="356">
        <f t="shared" si="168"/>
        <v>0.34611321592931071</v>
      </c>
    </row>
    <row r="159" spans="1:32" x14ac:dyDescent="0.25">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c r="AA159" s="193"/>
      <c r="AB159" s="193"/>
      <c r="AC159" s="193"/>
      <c r="AD159" s="193"/>
      <c r="AE159" s="193"/>
      <c r="AF159" s="193"/>
    </row>
    <row r="160" spans="1:32" x14ac:dyDescent="0.25">
      <c r="B160" s="636" t="s">
        <v>1656</v>
      </c>
      <c r="C160" s="636"/>
      <c r="D160" s="636"/>
      <c r="E160" s="637">
        <f t="shared" ref="E160:O160" si="169">E158*E27+E147*E35*0.05+E128*E35*0.95</f>
        <v>10792.68992248418</v>
      </c>
      <c r="F160" s="637">
        <f t="shared" si="169"/>
        <v>38077.519291903707</v>
      </c>
      <c r="G160" s="637">
        <f t="shared" si="169"/>
        <v>14212.51619374113</v>
      </c>
      <c r="H160" s="637">
        <f t="shared" si="169"/>
        <v>9298.0693104541097</v>
      </c>
      <c r="I160" s="637">
        <f t="shared" si="169"/>
        <v>4485.2609083001335</v>
      </c>
      <c r="J160" s="637">
        <f t="shared" si="169"/>
        <v>15537.437576543403</v>
      </c>
      <c r="K160" s="637">
        <f t="shared" si="169"/>
        <v>35010.218384519758</v>
      </c>
      <c r="L160" s="637">
        <f t="shared" si="169"/>
        <v>36498.913514248954</v>
      </c>
      <c r="M160" s="637">
        <f t="shared" si="169"/>
        <v>23936.860202640615</v>
      </c>
      <c r="N160" s="637">
        <f t="shared" si="169"/>
        <v>6773.8204652391814</v>
      </c>
      <c r="O160" s="637">
        <f t="shared" si="169"/>
        <v>2063.7299970558925</v>
      </c>
      <c r="P160" s="637">
        <f>P158*P27+P147*P35*0.05+P128*P35*0.95</f>
        <v>969959.05376968172</v>
      </c>
      <c r="Q160" s="637">
        <f t="shared" ref="Q160:AF160" si="170">Q158*Q27+Q147*Q35*0.05+Q128*Q35*0.95</f>
        <v>9339.8070118452488</v>
      </c>
      <c r="R160" s="637">
        <f t="shared" si="170"/>
        <v>5981.3545333827242</v>
      </c>
      <c r="S160" s="637">
        <f t="shared" si="170"/>
        <v>22039.056718119129</v>
      </c>
      <c r="T160" s="637">
        <f t="shared" si="170"/>
        <v>28977.99510053276</v>
      </c>
      <c r="U160" s="637">
        <f t="shared" si="170"/>
        <v>26398.932607020601</v>
      </c>
      <c r="V160" s="637">
        <f t="shared" si="170"/>
        <v>72465.805736910668</v>
      </c>
      <c r="W160" s="637">
        <f t="shared" si="170"/>
        <v>125251.57593029141</v>
      </c>
      <c r="X160" s="637">
        <f t="shared" si="170"/>
        <v>19008.195649937748</v>
      </c>
      <c r="Y160" s="637">
        <f t="shared" si="170"/>
        <v>27137.6802054207</v>
      </c>
      <c r="Z160" s="637">
        <f t="shared" si="170"/>
        <v>29149.792941407861</v>
      </c>
      <c r="AA160" s="637">
        <f t="shared" si="170"/>
        <v>66592.627556349456</v>
      </c>
      <c r="AB160" s="637">
        <f t="shared" si="170"/>
        <v>17460.009688081009</v>
      </c>
      <c r="AC160" s="637">
        <f t="shared" si="170"/>
        <v>9464.3120083397334</v>
      </c>
      <c r="AD160" s="637">
        <f t="shared" si="170"/>
        <v>23733.202582304453</v>
      </c>
      <c r="AE160" s="637">
        <f t="shared" si="170"/>
        <v>18003.359304617356</v>
      </c>
      <c r="AF160" s="637">
        <f t="shared" si="170"/>
        <v>43560.820461960393</v>
      </c>
    </row>
    <row r="161" spans="1:32" x14ac:dyDescent="0.25">
      <c r="E161" s="594" t="b">
        <f>E160=E110</f>
        <v>1</v>
      </c>
      <c r="F161" s="594" t="b">
        <f t="shared" ref="F161:AF161" si="171">F160=F110</f>
        <v>1</v>
      </c>
      <c r="G161" s="594" t="b">
        <f t="shared" si="171"/>
        <v>1</v>
      </c>
      <c r="H161" s="594" t="b">
        <f t="shared" si="171"/>
        <v>1</v>
      </c>
      <c r="I161" s="594" t="b">
        <f t="shared" si="171"/>
        <v>1</v>
      </c>
      <c r="J161" s="594" t="b">
        <f t="shared" si="171"/>
        <v>1</v>
      </c>
      <c r="K161" s="594" t="b">
        <f t="shared" si="171"/>
        <v>1</v>
      </c>
      <c r="L161" s="594" t="b">
        <f t="shared" si="171"/>
        <v>1</v>
      </c>
      <c r="M161" s="594" t="b">
        <f t="shared" si="171"/>
        <v>1</v>
      </c>
      <c r="N161" s="594" t="b">
        <f t="shared" si="171"/>
        <v>1</v>
      </c>
      <c r="O161" s="594" t="b">
        <f t="shared" si="171"/>
        <v>1</v>
      </c>
      <c r="P161" s="594" t="b">
        <f t="shared" si="171"/>
        <v>1</v>
      </c>
      <c r="Q161" s="594" t="b">
        <f t="shared" si="171"/>
        <v>1</v>
      </c>
      <c r="R161" s="594" t="b">
        <f t="shared" si="171"/>
        <v>1</v>
      </c>
      <c r="S161" s="594" t="b">
        <f t="shared" si="171"/>
        <v>1</v>
      </c>
      <c r="T161" s="594" t="b">
        <f t="shared" si="171"/>
        <v>1</v>
      </c>
      <c r="U161" s="594" t="b">
        <f t="shared" si="171"/>
        <v>1</v>
      </c>
      <c r="V161" s="594" t="b">
        <f t="shared" si="171"/>
        <v>1</v>
      </c>
      <c r="W161" s="594" t="b">
        <f t="shared" si="171"/>
        <v>1</v>
      </c>
      <c r="X161" s="594" t="b">
        <f t="shared" si="171"/>
        <v>1</v>
      </c>
      <c r="Y161" s="594" t="b">
        <f t="shared" si="171"/>
        <v>1</v>
      </c>
      <c r="Z161" s="594" t="b">
        <f t="shared" si="171"/>
        <v>1</v>
      </c>
      <c r="AA161" s="594" t="b">
        <f t="shared" si="171"/>
        <v>1</v>
      </c>
      <c r="AB161" s="594" t="b">
        <f t="shared" si="171"/>
        <v>1</v>
      </c>
      <c r="AC161" s="594" t="b">
        <f t="shared" si="171"/>
        <v>1</v>
      </c>
      <c r="AD161" s="594" t="b">
        <f t="shared" si="171"/>
        <v>1</v>
      </c>
      <c r="AE161" s="594" t="b">
        <f t="shared" si="171"/>
        <v>1</v>
      </c>
      <c r="AF161" s="594" t="b">
        <f t="shared" si="171"/>
        <v>1</v>
      </c>
    </row>
    <row r="162" spans="1:32" ht="15.75" x14ac:dyDescent="0.25">
      <c r="A162" s="353" t="s">
        <v>761</v>
      </c>
      <c r="B162" s="277"/>
    </row>
    <row r="163" spans="1:32" ht="15.75" x14ac:dyDescent="0.25">
      <c r="A163" s="158" t="s">
        <v>358</v>
      </c>
      <c r="B163" s="91" t="s">
        <v>435</v>
      </c>
      <c r="C163" s="158"/>
      <c r="D163" s="158" t="s">
        <v>342</v>
      </c>
      <c r="E163" s="91" t="s">
        <v>162</v>
      </c>
      <c r="F163" s="91" t="s">
        <v>164</v>
      </c>
      <c r="G163" s="91" t="s">
        <v>166</v>
      </c>
      <c r="H163" s="91" t="s">
        <v>168</v>
      </c>
      <c r="I163" s="91" t="s">
        <v>170</v>
      </c>
      <c r="J163" s="91" t="s">
        <v>173</v>
      </c>
      <c r="K163" s="91" t="s">
        <v>175</v>
      </c>
      <c r="L163" s="91" t="s">
        <v>177</v>
      </c>
      <c r="M163" s="91" t="s">
        <v>179</v>
      </c>
      <c r="N163" s="91" t="s">
        <v>181</v>
      </c>
      <c r="O163" s="91" t="s">
        <v>183</v>
      </c>
      <c r="P163" s="91" t="s">
        <v>185</v>
      </c>
      <c r="Q163" s="91" t="s">
        <v>188</v>
      </c>
      <c r="R163" s="91" t="s">
        <v>190</v>
      </c>
      <c r="S163" s="91" t="s">
        <v>192</v>
      </c>
      <c r="T163" s="91" t="s">
        <v>194</v>
      </c>
      <c r="U163" s="91" t="s">
        <v>196</v>
      </c>
      <c r="V163" s="91" t="s">
        <v>198</v>
      </c>
      <c r="W163" s="91" t="s">
        <v>9</v>
      </c>
      <c r="X163" s="91" t="s">
        <v>201</v>
      </c>
      <c r="Y163" s="91" t="s">
        <v>203</v>
      </c>
      <c r="Z163" s="91" t="s">
        <v>205</v>
      </c>
      <c r="AA163" s="91" t="s">
        <v>207</v>
      </c>
      <c r="AB163" s="91" t="s">
        <v>210</v>
      </c>
      <c r="AC163" s="91" t="s">
        <v>212</v>
      </c>
      <c r="AD163" s="91" t="s">
        <v>214</v>
      </c>
      <c r="AE163" s="91" t="s">
        <v>217</v>
      </c>
      <c r="AF163" s="91" t="s">
        <v>219</v>
      </c>
    </row>
    <row r="164" spans="1:32" x14ac:dyDescent="0.25">
      <c r="A164" t="s">
        <v>367</v>
      </c>
      <c r="B164" t="s">
        <v>762</v>
      </c>
      <c r="C164" t="str">
        <f>C103</f>
        <v>INDBFG</v>
      </c>
      <c r="D164" t="s">
        <v>363</v>
      </c>
      <c r="E164" s="594">
        <f>IF(E81=0,0,E81-E103)</f>
        <v>0</v>
      </c>
      <c r="F164" s="594">
        <f t="shared" ref="F164:I164" si="172">IF(F81=0,0,F81-F103)</f>
        <v>0</v>
      </c>
      <c r="G164" s="594">
        <f t="shared" si="172"/>
        <v>0</v>
      </c>
      <c r="H164" s="594">
        <f t="shared" si="172"/>
        <v>0</v>
      </c>
      <c r="I164" s="594">
        <f t="shared" si="172"/>
        <v>0</v>
      </c>
      <c r="J164" s="594">
        <f t="shared" ref="J164:AF164" si="173">IF(J81=0,0,J81-J103)</f>
        <v>0</v>
      </c>
      <c r="K164" s="594">
        <f t="shared" si="173"/>
        <v>0</v>
      </c>
      <c r="L164" s="594">
        <f t="shared" si="173"/>
        <v>0</v>
      </c>
      <c r="M164" s="594">
        <f t="shared" si="173"/>
        <v>0</v>
      </c>
      <c r="N164" s="594">
        <f t="shared" si="173"/>
        <v>0</v>
      </c>
      <c r="O164" s="594">
        <f t="shared" si="173"/>
        <v>0</v>
      </c>
      <c r="P164" s="594">
        <f t="shared" si="173"/>
        <v>0</v>
      </c>
      <c r="Q164" s="594">
        <f t="shared" si="173"/>
        <v>0</v>
      </c>
      <c r="R164" s="594">
        <f t="shared" si="173"/>
        <v>88.430959262933243</v>
      </c>
      <c r="S164" s="594">
        <f t="shared" si="173"/>
        <v>0</v>
      </c>
      <c r="T164" s="594">
        <f t="shared" si="173"/>
        <v>0</v>
      </c>
      <c r="U164" s="594">
        <f t="shared" si="173"/>
        <v>0</v>
      </c>
      <c r="V164" s="594">
        <f t="shared" si="173"/>
        <v>0</v>
      </c>
      <c r="W164" s="594">
        <f t="shared" si="173"/>
        <v>0</v>
      </c>
      <c r="X164" s="594">
        <f t="shared" si="173"/>
        <v>98.907839144225875</v>
      </c>
      <c r="Y164" s="594">
        <f t="shared" si="173"/>
        <v>0</v>
      </c>
      <c r="Z164" s="594">
        <f t="shared" si="173"/>
        <v>0</v>
      </c>
      <c r="AA164" s="594">
        <f t="shared" si="173"/>
        <v>0</v>
      </c>
      <c r="AB164" s="594">
        <f t="shared" si="173"/>
        <v>0</v>
      </c>
      <c r="AC164" s="594">
        <f t="shared" si="173"/>
        <v>0</v>
      </c>
      <c r="AD164" s="594">
        <f t="shared" si="173"/>
        <v>0</v>
      </c>
      <c r="AE164" s="594">
        <f t="shared" si="173"/>
        <v>0</v>
      </c>
      <c r="AF164" s="594">
        <f t="shared" si="173"/>
        <v>0</v>
      </c>
    </row>
    <row r="165" spans="1:32" x14ac:dyDescent="0.25">
      <c r="A165" t="s">
        <v>367</v>
      </c>
      <c r="B165" t="s">
        <v>762</v>
      </c>
      <c r="C165" t="str">
        <f t="shared" ref="C165:C178" si="174">C104</f>
        <v>INDBGS</v>
      </c>
      <c r="D165" t="s">
        <v>363</v>
      </c>
      <c r="E165" s="594">
        <f t="shared" ref="E165:I178" si="175">IF(E82=0,0,E82-E104)</f>
        <v>0</v>
      </c>
      <c r="F165" s="594">
        <f t="shared" si="175"/>
        <v>0</v>
      </c>
      <c r="G165" s="594">
        <f t="shared" si="175"/>
        <v>0</v>
      </c>
      <c r="H165" s="594">
        <f t="shared" si="175"/>
        <v>0</v>
      </c>
      <c r="I165" s="594">
        <f t="shared" si="175"/>
        <v>59.183931566069035</v>
      </c>
      <c r="J165" s="594">
        <f t="shared" ref="J165:AF165" si="176">IF(J82=0,0,J82-J104)</f>
        <v>0</v>
      </c>
      <c r="K165" s="594">
        <f t="shared" si="176"/>
        <v>0</v>
      </c>
      <c r="L165" s="594">
        <f t="shared" si="176"/>
        <v>0</v>
      </c>
      <c r="M165" s="594">
        <f t="shared" si="176"/>
        <v>0</v>
      </c>
      <c r="N165" s="594">
        <f t="shared" si="176"/>
        <v>0</v>
      </c>
      <c r="O165" s="594">
        <f t="shared" si="176"/>
        <v>0</v>
      </c>
      <c r="P165" s="594">
        <f t="shared" si="176"/>
        <v>0</v>
      </c>
      <c r="Q165" s="594">
        <f t="shared" si="176"/>
        <v>0</v>
      </c>
      <c r="R165" s="594">
        <f t="shared" si="176"/>
        <v>6.9672876995038306</v>
      </c>
      <c r="S165" s="594">
        <f t="shared" si="176"/>
        <v>12.392991597557229</v>
      </c>
      <c r="T165" s="594">
        <f t="shared" si="176"/>
        <v>156.79377286930887</v>
      </c>
      <c r="U165" s="594">
        <f t="shared" si="176"/>
        <v>63.714987399513284</v>
      </c>
      <c r="V165" s="594">
        <f t="shared" si="176"/>
        <v>0</v>
      </c>
      <c r="W165" s="594">
        <f t="shared" si="176"/>
        <v>0</v>
      </c>
      <c r="X165" s="594">
        <f t="shared" si="176"/>
        <v>0</v>
      </c>
      <c r="Y165" s="594">
        <f t="shared" si="176"/>
        <v>0</v>
      </c>
      <c r="Z165" s="594">
        <f t="shared" si="176"/>
        <v>0</v>
      </c>
      <c r="AA165" s="594">
        <f t="shared" si="176"/>
        <v>0</v>
      </c>
      <c r="AB165" s="594">
        <f t="shared" si="176"/>
        <v>0</v>
      </c>
      <c r="AC165" s="594">
        <f t="shared" si="176"/>
        <v>0</v>
      </c>
      <c r="AD165" s="594">
        <f t="shared" si="176"/>
        <v>0</v>
      </c>
      <c r="AE165" s="594">
        <f t="shared" si="176"/>
        <v>0</v>
      </c>
      <c r="AF165" s="594">
        <f t="shared" si="176"/>
        <v>0</v>
      </c>
    </row>
    <row r="166" spans="1:32" x14ac:dyDescent="0.25">
      <c r="A166" t="s">
        <v>367</v>
      </c>
      <c r="B166" t="s">
        <v>762</v>
      </c>
      <c r="C166" t="str">
        <f t="shared" si="174"/>
        <v>INDBIO</v>
      </c>
      <c r="D166" t="s">
        <v>363</v>
      </c>
      <c r="E166" s="594">
        <f t="shared" si="175"/>
        <v>0</v>
      </c>
      <c r="F166" s="594">
        <f t="shared" si="175"/>
        <v>0</v>
      </c>
      <c r="G166" s="594">
        <f t="shared" si="175"/>
        <v>0</v>
      </c>
      <c r="H166" s="594">
        <f t="shared" si="175"/>
        <v>0</v>
      </c>
      <c r="I166" s="594">
        <f t="shared" si="175"/>
        <v>2162.7092101191251</v>
      </c>
      <c r="J166" s="594">
        <f t="shared" ref="J166:AF166" si="177">IF(J83=0,0,J83-J105)</f>
        <v>0.19688673083914532</v>
      </c>
      <c r="K166" s="594">
        <f t="shared" si="177"/>
        <v>7004.6040174947939</v>
      </c>
      <c r="L166" s="594">
        <f t="shared" si="177"/>
        <v>0</v>
      </c>
      <c r="M166" s="594">
        <f t="shared" si="177"/>
        <v>1866.9662248400555</v>
      </c>
      <c r="N166" s="594">
        <f t="shared" si="177"/>
        <v>345.93363834547426</v>
      </c>
      <c r="O166" s="594">
        <f t="shared" si="177"/>
        <v>0</v>
      </c>
      <c r="P166" s="594">
        <f t="shared" si="177"/>
        <v>0</v>
      </c>
      <c r="Q166" s="594">
        <f t="shared" si="177"/>
        <v>150.50698421070049</v>
      </c>
      <c r="R166" s="594">
        <f t="shared" si="177"/>
        <v>6390.6106560679755</v>
      </c>
      <c r="S166" s="594">
        <f t="shared" si="177"/>
        <v>2112.2614878876539</v>
      </c>
      <c r="T166" s="594">
        <f t="shared" si="177"/>
        <v>18810.691470924503</v>
      </c>
      <c r="U166" s="594">
        <f t="shared" si="177"/>
        <v>5022.8648399949634</v>
      </c>
      <c r="V166" s="594">
        <f t="shared" si="177"/>
        <v>0</v>
      </c>
      <c r="W166" s="594">
        <f t="shared" si="177"/>
        <v>0</v>
      </c>
      <c r="X166" s="594">
        <f t="shared" si="177"/>
        <v>2550.1387122334659</v>
      </c>
      <c r="Y166" s="594">
        <f t="shared" si="177"/>
        <v>0</v>
      </c>
      <c r="Z166" s="594">
        <f t="shared" si="177"/>
        <v>0</v>
      </c>
      <c r="AA166" s="594">
        <f t="shared" si="177"/>
        <v>0</v>
      </c>
      <c r="AB166" s="594">
        <f t="shared" si="177"/>
        <v>0</v>
      </c>
      <c r="AC166" s="594">
        <f t="shared" si="177"/>
        <v>0</v>
      </c>
      <c r="AD166" s="594">
        <f t="shared" si="177"/>
        <v>39.244440045396665</v>
      </c>
      <c r="AE166" s="594">
        <f t="shared" si="177"/>
        <v>0</v>
      </c>
      <c r="AF166" s="594">
        <f t="shared" si="177"/>
        <v>11859.981166974429</v>
      </c>
    </row>
    <row r="167" spans="1:32" x14ac:dyDescent="0.25">
      <c r="A167" t="s">
        <v>367</v>
      </c>
      <c r="B167" t="s">
        <v>762</v>
      </c>
      <c r="C167" t="str">
        <f t="shared" si="174"/>
        <v>INDBLQ</v>
      </c>
      <c r="D167" t="s">
        <v>363</v>
      </c>
      <c r="E167" s="594">
        <f t="shared" si="175"/>
        <v>0</v>
      </c>
      <c r="F167" s="594">
        <f t="shared" si="175"/>
        <v>0</v>
      </c>
      <c r="G167" s="594">
        <f t="shared" si="175"/>
        <v>0</v>
      </c>
      <c r="H167" s="594">
        <f t="shared" si="175"/>
        <v>0</v>
      </c>
      <c r="I167" s="594">
        <f t="shared" si="175"/>
        <v>0</v>
      </c>
      <c r="J167" s="594">
        <f t="shared" ref="J167:AF167" si="178">IF(J84=0,0,J84-J106)</f>
        <v>0</v>
      </c>
      <c r="K167" s="594">
        <f t="shared" si="178"/>
        <v>0</v>
      </c>
      <c r="L167" s="594">
        <f t="shared" si="178"/>
        <v>0</v>
      </c>
      <c r="M167" s="594">
        <f t="shared" si="178"/>
        <v>62.204924632987399</v>
      </c>
      <c r="N167" s="594">
        <f t="shared" si="178"/>
        <v>0</v>
      </c>
      <c r="O167" s="594">
        <f t="shared" si="178"/>
        <v>0</v>
      </c>
      <c r="P167" s="594">
        <f t="shared" si="178"/>
        <v>0</v>
      </c>
      <c r="Q167" s="594">
        <f t="shared" si="178"/>
        <v>0</v>
      </c>
      <c r="R167" s="594">
        <f t="shared" si="178"/>
        <v>0</v>
      </c>
      <c r="S167" s="594">
        <f t="shared" si="178"/>
        <v>0.99143932780457833</v>
      </c>
      <c r="T167" s="594">
        <f t="shared" si="178"/>
        <v>45.612733925617121</v>
      </c>
      <c r="U167" s="594">
        <f t="shared" si="178"/>
        <v>259.57957829431336</v>
      </c>
      <c r="V167" s="594">
        <f t="shared" si="178"/>
        <v>0</v>
      </c>
      <c r="W167" s="594">
        <f t="shared" si="178"/>
        <v>0</v>
      </c>
      <c r="X167" s="594">
        <f t="shared" si="178"/>
        <v>0</v>
      </c>
      <c r="Y167" s="594">
        <f t="shared" si="178"/>
        <v>0</v>
      </c>
      <c r="Z167" s="594">
        <f t="shared" si="178"/>
        <v>0</v>
      </c>
      <c r="AA167" s="594">
        <f t="shared" si="178"/>
        <v>0</v>
      </c>
      <c r="AB167" s="594">
        <f t="shared" si="178"/>
        <v>0</v>
      </c>
      <c r="AC167" s="594">
        <f t="shared" si="178"/>
        <v>0</v>
      </c>
      <c r="AD167" s="594">
        <f t="shared" si="178"/>
        <v>0</v>
      </c>
      <c r="AE167" s="594">
        <f t="shared" si="178"/>
        <v>0</v>
      </c>
      <c r="AF167" s="594">
        <f t="shared" si="178"/>
        <v>153.7989197503334</v>
      </c>
    </row>
    <row r="168" spans="1:32" x14ac:dyDescent="0.25">
      <c r="A168" t="s">
        <v>367</v>
      </c>
      <c r="B168" t="s">
        <v>762</v>
      </c>
      <c r="C168" t="str">
        <f t="shared" si="174"/>
        <v>INDCOA</v>
      </c>
      <c r="D168" t="s">
        <v>363</v>
      </c>
      <c r="E168" s="594">
        <f t="shared" si="175"/>
        <v>0</v>
      </c>
      <c r="F168" s="594">
        <f t="shared" si="175"/>
        <v>0</v>
      </c>
      <c r="G168" s="594">
        <f t="shared" si="175"/>
        <v>0</v>
      </c>
      <c r="H168" s="594">
        <f t="shared" si="175"/>
        <v>0</v>
      </c>
      <c r="I168" s="594">
        <f t="shared" si="175"/>
        <v>15516.885961556967</v>
      </c>
      <c r="J168" s="594">
        <f t="shared" ref="J168:AF168" si="179">IF(J85=0,0,J85-J107)</f>
        <v>11184.741405510162</v>
      </c>
      <c r="K168" s="594">
        <f t="shared" si="179"/>
        <v>129383.88040012063</v>
      </c>
      <c r="L168" s="594">
        <f t="shared" si="179"/>
        <v>24294.979846918344</v>
      </c>
      <c r="M168" s="594">
        <f t="shared" si="179"/>
        <v>845.22305488155689</v>
      </c>
      <c r="N168" s="594">
        <f t="shared" si="179"/>
        <v>3615.4557851755908</v>
      </c>
      <c r="O168" s="594">
        <f t="shared" si="179"/>
        <v>39.332055122356003</v>
      </c>
      <c r="P168" s="594">
        <f t="shared" si="179"/>
        <v>0</v>
      </c>
      <c r="Q168" s="594">
        <f t="shared" si="179"/>
        <v>27702.111121620754</v>
      </c>
      <c r="R168" s="594">
        <f t="shared" si="179"/>
        <v>11552.298950985005</v>
      </c>
      <c r="S168" s="594">
        <f t="shared" si="179"/>
        <v>19783.676066676457</v>
      </c>
      <c r="T168" s="594">
        <f t="shared" si="179"/>
        <v>11548.003911618114</v>
      </c>
      <c r="U168" s="594">
        <f t="shared" si="179"/>
        <v>32456.296590594658</v>
      </c>
      <c r="V168" s="594">
        <f t="shared" si="179"/>
        <v>0</v>
      </c>
      <c r="W168" s="594">
        <f t="shared" si="179"/>
        <v>0</v>
      </c>
      <c r="X168" s="594">
        <f t="shared" si="179"/>
        <v>53326.056253503906</v>
      </c>
      <c r="Y168" s="594">
        <f t="shared" si="179"/>
        <v>0</v>
      </c>
      <c r="Z168" s="594">
        <f t="shared" si="179"/>
        <v>19328.890448052844</v>
      </c>
      <c r="AA168" s="594">
        <f t="shared" si="179"/>
        <v>0</v>
      </c>
      <c r="AB168" s="594">
        <f t="shared" si="179"/>
        <v>1314.82842212591</v>
      </c>
      <c r="AC168" s="594">
        <f t="shared" si="179"/>
        <v>0</v>
      </c>
      <c r="AD168" s="594">
        <f t="shared" si="179"/>
        <v>21723.251062906511</v>
      </c>
      <c r="AE168" s="594">
        <f t="shared" si="179"/>
        <v>0</v>
      </c>
      <c r="AF168" s="594">
        <f t="shared" si="179"/>
        <v>108905.40943141558</v>
      </c>
    </row>
    <row r="169" spans="1:32" x14ac:dyDescent="0.25">
      <c r="A169" t="s">
        <v>367</v>
      </c>
      <c r="B169" t="s">
        <v>762</v>
      </c>
      <c r="C169" t="str">
        <f t="shared" si="174"/>
        <v>INDCOG</v>
      </c>
      <c r="D169" t="s">
        <v>363</v>
      </c>
      <c r="E169" s="594">
        <f t="shared" si="175"/>
        <v>0</v>
      </c>
      <c r="F169" s="594">
        <f t="shared" si="175"/>
        <v>0</v>
      </c>
      <c r="G169" s="594">
        <f t="shared" si="175"/>
        <v>0</v>
      </c>
      <c r="H169" s="594">
        <f t="shared" si="175"/>
        <v>0</v>
      </c>
      <c r="I169" s="594">
        <f t="shared" si="175"/>
        <v>0</v>
      </c>
      <c r="J169" s="594">
        <f t="shared" ref="J169:AF169" si="180">IF(J86=0,0,J86-J108)</f>
        <v>0</v>
      </c>
      <c r="K169" s="594">
        <f t="shared" si="180"/>
        <v>0</v>
      </c>
      <c r="L169" s="594">
        <f t="shared" si="180"/>
        <v>0</v>
      </c>
      <c r="M169" s="594">
        <f t="shared" si="180"/>
        <v>0</v>
      </c>
      <c r="N169" s="594">
        <f t="shared" si="180"/>
        <v>0</v>
      </c>
      <c r="O169" s="594">
        <f t="shared" si="180"/>
        <v>0</v>
      </c>
      <c r="P169" s="594">
        <f t="shared" si="180"/>
        <v>0</v>
      </c>
      <c r="Q169" s="594">
        <f t="shared" si="180"/>
        <v>0</v>
      </c>
      <c r="R169" s="594">
        <f t="shared" si="180"/>
        <v>0</v>
      </c>
      <c r="S169" s="594">
        <f t="shared" si="180"/>
        <v>1303.7427160630205</v>
      </c>
      <c r="T169" s="594">
        <f t="shared" si="180"/>
        <v>0</v>
      </c>
      <c r="U169" s="594">
        <f t="shared" si="180"/>
        <v>2120.8831453819466</v>
      </c>
      <c r="V169" s="594">
        <f t="shared" si="180"/>
        <v>0</v>
      </c>
      <c r="W169" s="594">
        <f t="shared" si="180"/>
        <v>0</v>
      </c>
      <c r="X169" s="594">
        <f t="shared" si="180"/>
        <v>2689.0305714572728</v>
      </c>
      <c r="Y169" s="594">
        <f t="shared" si="180"/>
        <v>0</v>
      </c>
      <c r="Z169" s="594">
        <f t="shared" si="180"/>
        <v>0</v>
      </c>
      <c r="AA169" s="594">
        <f t="shared" si="180"/>
        <v>0</v>
      </c>
      <c r="AB169" s="594">
        <f t="shared" si="180"/>
        <v>0</v>
      </c>
      <c r="AC169" s="594">
        <f t="shared" si="180"/>
        <v>0</v>
      </c>
      <c r="AD169" s="594">
        <f t="shared" si="180"/>
        <v>698.40568303011469</v>
      </c>
      <c r="AE169" s="594">
        <f t="shared" si="180"/>
        <v>0</v>
      </c>
      <c r="AF169" s="594">
        <f t="shared" si="180"/>
        <v>0</v>
      </c>
    </row>
    <row r="170" spans="1:32" x14ac:dyDescent="0.25">
      <c r="A170" t="s">
        <v>367</v>
      </c>
      <c r="B170" t="s">
        <v>762</v>
      </c>
      <c r="C170" t="str">
        <f t="shared" si="174"/>
        <v>INDCOK</v>
      </c>
      <c r="D170" t="s">
        <v>363</v>
      </c>
      <c r="E170" s="594">
        <f t="shared" si="175"/>
        <v>0</v>
      </c>
      <c r="F170" s="594">
        <f t="shared" si="175"/>
        <v>0</v>
      </c>
      <c r="G170" s="594">
        <f t="shared" si="175"/>
        <v>0</v>
      </c>
      <c r="H170" s="594">
        <f t="shared" si="175"/>
        <v>0</v>
      </c>
      <c r="I170" s="594">
        <f t="shared" si="175"/>
        <v>77.010416977535613</v>
      </c>
      <c r="J170" s="594">
        <f t="shared" ref="J170:AF170" si="181">IF(J87=0,0,J87-J109)</f>
        <v>49.812342902303754</v>
      </c>
      <c r="K170" s="594">
        <f t="shared" si="181"/>
        <v>0</v>
      </c>
      <c r="L170" s="594">
        <f t="shared" si="181"/>
        <v>0</v>
      </c>
      <c r="M170" s="594">
        <f t="shared" si="181"/>
        <v>512.37214237171202</v>
      </c>
      <c r="N170" s="594">
        <f t="shared" si="181"/>
        <v>259.07584170461934</v>
      </c>
      <c r="O170" s="594">
        <f t="shared" si="181"/>
        <v>0</v>
      </c>
      <c r="P170" s="594">
        <f t="shared" si="181"/>
        <v>0</v>
      </c>
      <c r="Q170" s="594">
        <f t="shared" si="181"/>
        <v>301.4784961504464</v>
      </c>
      <c r="R170" s="594">
        <f t="shared" si="181"/>
        <v>361.22706995889092</v>
      </c>
      <c r="S170" s="594">
        <f t="shared" si="181"/>
        <v>3674.2741488437673</v>
      </c>
      <c r="T170" s="594">
        <f t="shared" si="181"/>
        <v>1051.3735169854747</v>
      </c>
      <c r="U170" s="594">
        <f t="shared" si="181"/>
        <v>17782.970973921561</v>
      </c>
      <c r="V170" s="594">
        <f t="shared" si="181"/>
        <v>0</v>
      </c>
      <c r="W170" s="594">
        <f t="shared" si="181"/>
        <v>0</v>
      </c>
      <c r="X170" s="594">
        <f t="shared" si="181"/>
        <v>2320.3358178813496</v>
      </c>
      <c r="Y170" s="594">
        <f t="shared" si="181"/>
        <v>0</v>
      </c>
      <c r="Z170" s="594">
        <f t="shared" si="181"/>
        <v>608.2094346387621</v>
      </c>
      <c r="AA170" s="594">
        <f t="shared" si="181"/>
        <v>0</v>
      </c>
      <c r="AB170" s="594">
        <f t="shared" si="181"/>
        <v>0</v>
      </c>
      <c r="AC170" s="594">
        <f t="shared" si="181"/>
        <v>0</v>
      </c>
      <c r="AD170" s="594">
        <f t="shared" si="181"/>
        <v>1760.1858109250134</v>
      </c>
      <c r="AE170" s="594">
        <f t="shared" si="181"/>
        <v>0</v>
      </c>
      <c r="AF170" s="594">
        <f t="shared" si="181"/>
        <v>0</v>
      </c>
    </row>
    <row r="171" spans="1:32" x14ac:dyDescent="0.25">
      <c r="A171" t="s">
        <v>367</v>
      </c>
      <c r="B171" t="s">
        <v>762</v>
      </c>
      <c r="C171" t="str">
        <f t="shared" si="174"/>
        <v>INDELC</v>
      </c>
      <c r="D171" t="s">
        <v>363</v>
      </c>
      <c r="E171" s="594">
        <f t="shared" si="175"/>
        <v>0</v>
      </c>
      <c r="F171" s="594">
        <f t="shared" si="175"/>
        <v>0</v>
      </c>
      <c r="G171" s="594">
        <f t="shared" si="175"/>
        <v>0</v>
      </c>
      <c r="H171" s="594">
        <f t="shared" si="175"/>
        <v>0</v>
      </c>
      <c r="I171" s="594">
        <f t="shared" si="175"/>
        <v>8093.7390916998656</v>
      </c>
      <c r="J171" s="594">
        <f t="shared" ref="J171:AF171" si="182">IF(J88=0,0,J88-J110)</f>
        <v>0</v>
      </c>
      <c r="K171" s="594">
        <f t="shared" si="182"/>
        <v>0</v>
      </c>
      <c r="L171" s="594">
        <f t="shared" si="182"/>
        <v>0</v>
      </c>
      <c r="M171" s="594">
        <f t="shared" si="182"/>
        <v>0</v>
      </c>
      <c r="N171" s="594">
        <f t="shared" si="182"/>
        <v>970.17953476081857</v>
      </c>
      <c r="O171" s="594">
        <f t="shared" si="182"/>
        <v>215.27000294410755</v>
      </c>
      <c r="P171" s="594">
        <f t="shared" si="182"/>
        <v>0</v>
      </c>
      <c r="Q171" s="594">
        <f t="shared" si="182"/>
        <v>9509.1929881547494</v>
      </c>
      <c r="R171" s="594">
        <f t="shared" si="182"/>
        <v>25041.645466617276</v>
      </c>
      <c r="S171" s="594">
        <f t="shared" si="182"/>
        <v>34863.943281880871</v>
      </c>
      <c r="T171" s="594">
        <f t="shared" si="182"/>
        <v>67527.00489946724</v>
      </c>
      <c r="U171" s="594">
        <f t="shared" si="182"/>
        <v>50698.067392979399</v>
      </c>
      <c r="V171" s="594">
        <f t="shared" si="182"/>
        <v>0</v>
      </c>
      <c r="W171" s="594">
        <f t="shared" si="182"/>
        <v>0</v>
      </c>
      <c r="X171" s="594">
        <f t="shared" si="182"/>
        <v>42086.804350062252</v>
      </c>
      <c r="Y171" s="594">
        <f t="shared" si="182"/>
        <v>0</v>
      </c>
      <c r="Z171" s="594">
        <f t="shared" si="182"/>
        <v>17608.207058592136</v>
      </c>
      <c r="AA171" s="594">
        <f t="shared" si="182"/>
        <v>0</v>
      </c>
      <c r="AB171" s="594">
        <f t="shared" si="182"/>
        <v>20904.990311918991</v>
      </c>
      <c r="AC171" s="594">
        <f t="shared" si="182"/>
        <v>0</v>
      </c>
      <c r="AD171" s="594">
        <f t="shared" si="182"/>
        <v>37253.797417695547</v>
      </c>
      <c r="AE171" s="594">
        <f t="shared" si="182"/>
        <v>26824.640695382641</v>
      </c>
      <c r="AF171" s="594">
        <f t="shared" si="182"/>
        <v>75618.179538039607</v>
      </c>
    </row>
    <row r="172" spans="1:32" x14ac:dyDescent="0.25">
      <c r="A172" t="s">
        <v>367</v>
      </c>
      <c r="B172" t="s">
        <v>762</v>
      </c>
      <c r="C172" t="str">
        <f t="shared" si="174"/>
        <v>INDGAS</v>
      </c>
      <c r="D172" t="s">
        <v>363</v>
      </c>
      <c r="E172" s="594">
        <f t="shared" si="175"/>
        <v>0</v>
      </c>
      <c r="F172" s="594">
        <f t="shared" si="175"/>
        <v>0</v>
      </c>
      <c r="G172" s="594">
        <f t="shared" si="175"/>
        <v>0</v>
      </c>
      <c r="H172" s="594">
        <f t="shared" si="175"/>
        <v>0</v>
      </c>
      <c r="I172" s="594">
        <f t="shared" si="175"/>
        <v>34291.027337497108</v>
      </c>
      <c r="J172" s="594">
        <f t="shared" ref="J172:AF172" si="183">IF(J89=0,0,J89-J111)</f>
        <v>12365.864903814196</v>
      </c>
      <c r="K172" s="594">
        <f t="shared" si="183"/>
        <v>13062.171421109106</v>
      </c>
      <c r="L172" s="594">
        <f t="shared" si="183"/>
        <v>0</v>
      </c>
      <c r="M172" s="594">
        <f t="shared" si="183"/>
        <v>13553.034368720539</v>
      </c>
      <c r="N172" s="594">
        <f t="shared" si="183"/>
        <v>13706.310064748719</v>
      </c>
      <c r="O172" s="594">
        <f t="shared" si="183"/>
        <v>145.40941590689189</v>
      </c>
      <c r="P172" s="594">
        <f t="shared" si="183"/>
        <v>0</v>
      </c>
      <c r="Q172" s="594">
        <f t="shared" si="183"/>
        <v>16362.524727894179</v>
      </c>
      <c r="R172" s="594">
        <f t="shared" si="183"/>
        <v>27753.922578369682</v>
      </c>
      <c r="S172" s="594">
        <f t="shared" si="183"/>
        <v>56505.101609566336</v>
      </c>
      <c r="T172" s="594">
        <f t="shared" si="183"/>
        <v>142673.78092346</v>
      </c>
      <c r="U172" s="594">
        <f t="shared" si="183"/>
        <v>100430.74888848281</v>
      </c>
      <c r="V172" s="594">
        <f t="shared" si="183"/>
        <v>0</v>
      </c>
      <c r="W172" s="594">
        <f t="shared" si="183"/>
        <v>0</v>
      </c>
      <c r="X172" s="594">
        <f t="shared" si="183"/>
        <v>13508.285520569912</v>
      </c>
      <c r="Y172" s="594">
        <f t="shared" si="183"/>
        <v>0</v>
      </c>
      <c r="Z172" s="594">
        <f t="shared" si="183"/>
        <v>17057.864958376893</v>
      </c>
      <c r="AA172" s="594">
        <f t="shared" si="183"/>
        <v>0</v>
      </c>
      <c r="AB172" s="594">
        <f t="shared" si="183"/>
        <v>15060.901989277736</v>
      </c>
      <c r="AC172" s="594">
        <f t="shared" si="183"/>
        <v>0</v>
      </c>
      <c r="AD172" s="594">
        <f t="shared" si="183"/>
        <v>246737.06205430609</v>
      </c>
      <c r="AE172" s="594">
        <f t="shared" si="183"/>
        <v>0</v>
      </c>
      <c r="AF172" s="594">
        <f t="shared" si="183"/>
        <v>224717.68610143586</v>
      </c>
    </row>
    <row r="173" spans="1:32" x14ac:dyDescent="0.25">
      <c r="A173" t="s">
        <v>367</v>
      </c>
      <c r="B173" t="s">
        <v>762</v>
      </c>
      <c r="C173" t="str">
        <f t="shared" si="174"/>
        <v>INDHET</v>
      </c>
      <c r="D173" t="s">
        <v>363</v>
      </c>
      <c r="E173" s="594">
        <f t="shared" si="175"/>
        <v>0</v>
      </c>
      <c r="F173" s="594">
        <f t="shared" si="175"/>
        <v>0</v>
      </c>
      <c r="G173" s="594">
        <f t="shared" si="175"/>
        <v>0</v>
      </c>
      <c r="H173" s="594">
        <f t="shared" si="175"/>
        <v>0</v>
      </c>
      <c r="I173" s="594">
        <f t="shared" si="175"/>
        <v>0</v>
      </c>
      <c r="J173" s="594">
        <f t="shared" ref="J173:AF173" si="184">IF(J90=0,0,J90-J112)</f>
        <v>431.77260073024559</v>
      </c>
      <c r="K173" s="594">
        <f t="shared" si="184"/>
        <v>0</v>
      </c>
      <c r="L173" s="594">
        <f t="shared" si="184"/>
        <v>0</v>
      </c>
      <c r="M173" s="594">
        <f t="shared" si="184"/>
        <v>0</v>
      </c>
      <c r="N173" s="594">
        <f t="shared" si="184"/>
        <v>0</v>
      </c>
      <c r="O173" s="594">
        <f t="shared" si="184"/>
        <v>0</v>
      </c>
      <c r="P173" s="594">
        <f t="shared" si="184"/>
        <v>0</v>
      </c>
      <c r="Q173" s="594">
        <f t="shared" si="184"/>
        <v>2529.3534846520502</v>
      </c>
      <c r="R173" s="594">
        <f t="shared" si="184"/>
        <v>19.294027475549068</v>
      </c>
      <c r="S173" s="594">
        <f t="shared" si="184"/>
        <v>1086.6175032738179</v>
      </c>
      <c r="T173" s="594">
        <f t="shared" si="184"/>
        <v>4212.9061372048109</v>
      </c>
      <c r="U173" s="594">
        <f t="shared" si="184"/>
        <v>1250.7016045089645</v>
      </c>
      <c r="V173" s="594">
        <f t="shared" si="184"/>
        <v>0</v>
      </c>
      <c r="W173" s="594">
        <f t="shared" si="184"/>
        <v>0</v>
      </c>
      <c r="X173" s="594">
        <f t="shared" si="184"/>
        <v>0</v>
      </c>
      <c r="Y173" s="594">
        <f t="shared" si="184"/>
        <v>0</v>
      </c>
      <c r="Z173" s="594">
        <f t="shared" si="184"/>
        <v>0</v>
      </c>
      <c r="AA173" s="594">
        <f t="shared" si="184"/>
        <v>0</v>
      </c>
      <c r="AB173" s="594">
        <f t="shared" si="184"/>
        <v>0</v>
      </c>
      <c r="AC173" s="594">
        <f t="shared" si="184"/>
        <v>0</v>
      </c>
      <c r="AD173" s="594">
        <f t="shared" si="184"/>
        <v>64405.213356724031</v>
      </c>
      <c r="AE173" s="594">
        <f t="shared" si="184"/>
        <v>0</v>
      </c>
      <c r="AF173" s="594">
        <f t="shared" si="184"/>
        <v>83.941534955310175</v>
      </c>
    </row>
    <row r="174" spans="1:32" x14ac:dyDescent="0.25">
      <c r="A174" t="s">
        <v>367</v>
      </c>
      <c r="B174" t="s">
        <v>762</v>
      </c>
      <c r="C174" t="str">
        <f t="shared" si="174"/>
        <v>INDLPG</v>
      </c>
      <c r="D174" t="s">
        <v>363</v>
      </c>
      <c r="E174" s="594">
        <f t="shared" si="175"/>
        <v>0</v>
      </c>
      <c r="F174" s="594">
        <f t="shared" si="175"/>
        <v>0</v>
      </c>
      <c r="G174" s="594">
        <f t="shared" si="175"/>
        <v>0</v>
      </c>
      <c r="H174" s="594">
        <f t="shared" si="175"/>
        <v>0</v>
      </c>
      <c r="I174" s="594">
        <f t="shared" si="175"/>
        <v>2980.5883607972119</v>
      </c>
      <c r="J174" s="594">
        <f t="shared" ref="J174:AF174" si="185">IF(J91=0,0,J91-J113)</f>
        <v>115.37562427173913</v>
      </c>
      <c r="K174" s="594">
        <f t="shared" si="185"/>
        <v>1085.3598548320217</v>
      </c>
      <c r="L174" s="594">
        <f t="shared" si="185"/>
        <v>0</v>
      </c>
      <c r="M174" s="594">
        <f t="shared" si="185"/>
        <v>1939.2658082950638</v>
      </c>
      <c r="N174" s="594">
        <f t="shared" si="185"/>
        <v>0</v>
      </c>
      <c r="O174" s="594">
        <f t="shared" si="185"/>
        <v>22.248435220726627</v>
      </c>
      <c r="P174" s="594">
        <f t="shared" si="185"/>
        <v>0</v>
      </c>
      <c r="Q174" s="594">
        <f t="shared" si="185"/>
        <v>465.92131223250794</v>
      </c>
      <c r="R174" s="594">
        <f t="shared" si="185"/>
        <v>826.4275102026852</v>
      </c>
      <c r="S174" s="594">
        <f t="shared" si="185"/>
        <v>502.65973919692118</v>
      </c>
      <c r="T174" s="594">
        <f t="shared" si="185"/>
        <v>3220.8291743226387</v>
      </c>
      <c r="U174" s="594">
        <f t="shared" si="185"/>
        <v>1553.3477946566525</v>
      </c>
      <c r="V174" s="594">
        <f t="shared" si="185"/>
        <v>0</v>
      </c>
      <c r="W174" s="594">
        <f t="shared" si="185"/>
        <v>0</v>
      </c>
      <c r="X174" s="594">
        <f t="shared" si="185"/>
        <v>1674.6991147015947</v>
      </c>
      <c r="Y174" s="594">
        <f t="shared" si="185"/>
        <v>0</v>
      </c>
      <c r="Z174" s="594">
        <f t="shared" si="185"/>
        <v>53.03995512343343</v>
      </c>
      <c r="AA174" s="594">
        <f t="shared" si="185"/>
        <v>0</v>
      </c>
      <c r="AB174" s="594">
        <f t="shared" si="185"/>
        <v>28.348773104191181</v>
      </c>
      <c r="AC174" s="594">
        <f t="shared" si="185"/>
        <v>0</v>
      </c>
      <c r="AD174" s="594">
        <f t="shared" si="185"/>
        <v>545.06166729717586</v>
      </c>
      <c r="AE174" s="594">
        <f t="shared" si="185"/>
        <v>0</v>
      </c>
      <c r="AF174" s="594">
        <f t="shared" si="185"/>
        <v>403.9334265970295</v>
      </c>
    </row>
    <row r="175" spans="1:32" x14ac:dyDescent="0.25">
      <c r="A175" t="s">
        <v>367</v>
      </c>
      <c r="B175" t="s">
        <v>762</v>
      </c>
      <c r="C175" t="str">
        <f t="shared" si="174"/>
        <v>INDOIL</v>
      </c>
      <c r="D175" t="s">
        <v>363</v>
      </c>
      <c r="E175" s="594">
        <f t="shared" si="175"/>
        <v>0</v>
      </c>
      <c r="F175" s="594">
        <f t="shared" si="175"/>
        <v>0</v>
      </c>
      <c r="G175" s="594">
        <f t="shared" si="175"/>
        <v>0</v>
      </c>
      <c r="H175" s="594">
        <f t="shared" si="175"/>
        <v>0</v>
      </c>
      <c r="I175" s="594">
        <f t="shared" si="175"/>
        <v>2119.9256451316055</v>
      </c>
      <c r="J175" s="594">
        <f t="shared" ref="J175:AF175" si="186">IF(J92=0,0,J92-J114)</f>
        <v>695.9945935163787</v>
      </c>
      <c r="K175" s="594">
        <f t="shared" si="186"/>
        <v>4775.8663755646321</v>
      </c>
      <c r="L175" s="594">
        <f t="shared" si="186"/>
        <v>3383.226274641147</v>
      </c>
      <c r="M175" s="594">
        <f t="shared" si="186"/>
        <v>32612.295881927697</v>
      </c>
      <c r="N175" s="594">
        <f t="shared" si="186"/>
        <v>7885.7145286479717</v>
      </c>
      <c r="O175" s="594">
        <f t="shared" si="186"/>
        <v>3614.9734298819931</v>
      </c>
      <c r="P175" s="594">
        <f t="shared" si="186"/>
        <v>0</v>
      </c>
      <c r="Q175" s="594">
        <f t="shared" si="186"/>
        <v>8040.5104620463426</v>
      </c>
      <c r="R175" s="594">
        <f t="shared" si="186"/>
        <v>4760.2653343840793</v>
      </c>
      <c r="S175" s="594">
        <f t="shared" si="186"/>
        <v>16638.830518880335</v>
      </c>
      <c r="T175" s="594">
        <f t="shared" si="186"/>
        <v>83390.910640335438</v>
      </c>
      <c r="U175" s="594">
        <f t="shared" si="186"/>
        <v>25548.530040030761</v>
      </c>
      <c r="V175" s="594">
        <f t="shared" si="186"/>
        <v>0</v>
      </c>
      <c r="W175" s="594">
        <f t="shared" si="186"/>
        <v>0</v>
      </c>
      <c r="X175" s="594">
        <f t="shared" si="186"/>
        <v>31270.870777607204</v>
      </c>
      <c r="Y175" s="594">
        <f t="shared" si="186"/>
        <v>0</v>
      </c>
      <c r="Z175" s="594">
        <f t="shared" si="186"/>
        <v>35806.546760282537</v>
      </c>
      <c r="AA175" s="594">
        <f t="shared" si="186"/>
        <v>0</v>
      </c>
      <c r="AB175" s="594">
        <f t="shared" si="186"/>
        <v>41264.412502693071</v>
      </c>
      <c r="AC175" s="594">
        <f t="shared" si="186"/>
        <v>0</v>
      </c>
      <c r="AD175" s="594">
        <f t="shared" si="186"/>
        <v>16603.305134761707</v>
      </c>
      <c r="AE175" s="594">
        <f t="shared" si="186"/>
        <v>0</v>
      </c>
      <c r="AF175" s="594">
        <f t="shared" si="186"/>
        <v>27351.982977283649</v>
      </c>
    </row>
    <row r="176" spans="1:32" x14ac:dyDescent="0.25">
      <c r="A176" t="s">
        <v>367</v>
      </c>
      <c r="B176" t="s">
        <v>762</v>
      </c>
      <c r="C176" t="str">
        <f t="shared" si="174"/>
        <v>INDGEO</v>
      </c>
      <c r="D176" t="s">
        <v>363</v>
      </c>
      <c r="E176" s="594">
        <f t="shared" si="175"/>
        <v>0</v>
      </c>
      <c r="F176" s="594">
        <f t="shared" si="175"/>
        <v>0</v>
      </c>
      <c r="G176" s="594">
        <f t="shared" si="175"/>
        <v>0</v>
      </c>
      <c r="H176" s="594">
        <f t="shared" si="175"/>
        <v>0</v>
      </c>
      <c r="I176" s="594">
        <f t="shared" si="175"/>
        <v>0</v>
      </c>
      <c r="J176" s="594">
        <f t="shared" ref="J176:AF176" si="187">IF(J93=0,0,J93-J115)</f>
        <v>0</v>
      </c>
      <c r="K176" s="594">
        <f t="shared" si="187"/>
        <v>0</v>
      </c>
      <c r="L176" s="594">
        <f t="shared" si="187"/>
        <v>0</v>
      </c>
      <c r="M176" s="594">
        <f t="shared" si="187"/>
        <v>0</v>
      </c>
      <c r="N176" s="594">
        <f t="shared" si="187"/>
        <v>0</v>
      </c>
      <c r="O176" s="594">
        <f t="shared" si="187"/>
        <v>0</v>
      </c>
      <c r="P176" s="594">
        <f t="shared" si="187"/>
        <v>0</v>
      </c>
      <c r="Q176" s="594">
        <f t="shared" si="187"/>
        <v>0</v>
      </c>
      <c r="R176" s="594">
        <f t="shared" si="187"/>
        <v>0</v>
      </c>
      <c r="S176" s="594">
        <f t="shared" si="187"/>
        <v>0</v>
      </c>
      <c r="T176" s="594">
        <f t="shared" si="187"/>
        <v>0</v>
      </c>
      <c r="U176" s="594">
        <f t="shared" si="187"/>
        <v>0</v>
      </c>
      <c r="V176" s="594">
        <f t="shared" si="187"/>
        <v>0</v>
      </c>
      <c r="W176" s="594">
        <f t="shared" si="187"/>
        <v>0</v>
      </c>
      <c r="X176" s="594">
        <f t="shared" si="187"/>
        <v>0</v>
      </c>
      <c r="Y176" s="594">
        <f t="shared" si="187"/>
        <v>0</v>
      </c>
      <c r="Z176" s="594">
        <f t="shared" si="187"/>
        <v>0</v>
      </c>
      <c r="AA176" s="594">
        <f t="shared" si="187"/>
        <v>0</v>
      </c>
      <c r="AB176" s="594">
        <f t="shared" si="187"/>
        <v>0</v>
      </c>
      <c r="AC176" s="594">
        <f t="shared" si="187"/>
        <v>0</v>
      </c>
      <c r="AD176" s="594">
        <f t="shared" si="187"/>
        <v>0</v>
      </c>
      <c r="AE176" s="594">
        <f t="shared" si="187"/>
        <v>0</v>
      </c>
      <c r="AF176" s="594">
        <f t="shared" si="187"/>
        <v>0</v>
      </c>
    </row>
    <row r="177" spans="1:35" x14ac:dyDescent="0.25">
      <c r="A177" t="s">
        <v>367</v>
      </c>
      <c r="B177" t="s">
        <v>762</v>
      </c>
      <c r="C177" t="str">
        <f t="shared" si="174"/>
        <v>INDCSP</v>
      </c>
      <c r="D177" t="s">
        <v>363</v>
      </c>
      <c r="E177" s="594">
        <f t="shared" si="175"/>
        <v>0</v>
      </c>
      <c r="F177" s="594">
        <f t="shared" si="175"/>
        <v>0</v>
      </c>
      <c r="G177" s="594">
        <f t="shared" si="175"/>
        <v>0</v>
      </c>
      <c r="H177" s="594">
        <f t="shared" si="175"/>
        <v>0</v>
      </c>
      <c r="I177" s="594">
        <f t="shared" si="175"/>
        <v>0</v>
      </c>
      <c r="J177" s="594">
        <f t="shared" ref="J177:AF177" si="188">IF(J94=0,0,J94-J116)</f>
        <v>0</v>
      </c>
      <c r="K177" s="594">
        <f t="shared" si="188"/>
        <v>0</v>
      </c>
      <c r="L177" s="594">
        <f t="shared" si="188"/>
        <v>0</v>
      </c>
      <c r="M177" s="594">
        <f t="shared" si="188"/>
        <v>0</v>
      </c>
      <c r="N177" s="594">
        <f t="shared" si="188"/>
        <v>0</v>
      </c>
      <c r="O177" s="594">
        <f t="shared" si="188"/>
        <v>0</v>
      </c>
      <c r="P177" s="594">
        <f t="shared" si="188"/>
        <v>0</v>
      </c>
      <c r="Q177" s="594">
        <f t="shared" si="188"/>
        <v>0</v>
      </c>
      <c r="R177" s="594">
        <f t="shared" si="188"/>
        <v>0</v>
      </c>
      <c r="S177" s="594">
        <f t="shared" si="188"/>
        <v>0</v>
      </c>
      <c r="T177" s="594">
        <f t="shared" si="188"/>
        <v>0</v>
      </c>
      <c r="U177" s="594">
        <f t="shared" si="188"/>
        <v>0</v>
      </c>
      <c r="V177" s="594">
        <f t="shared" si="188"/>
        <v>0</v>
      </c>
      <c r="W177" s="594">
        <f t="shared" si="188"/>
        <v>0</v>
      </c>
      <c r="X177" s="594">
        <f t="shared" si="188"/>
        <v>0</v>
      </c>
      <c r="Y177" s="594">
        <f t="shared" si="188"/>
        <v>0</v>
      </c>
      <c r="Z177" s="594">
        <f t="shared" si="188"/>
        <v>0</v>
      </c>
      <c r="AA177" s="594">
        <f t="shared" si="188"/>
        <v>0</v>
      </c>
      <c r="AB177" s="594">
        <f t="shared" si="188"/>
        <v>0</v>
      </c>
      <c r="AC177" s="594">
        <f t="shared" si="188"/>
        <v>0</v>
      </c>
      <c r="AD177" s="594">
        <f t="shared" si="188"/>
        <v>0</v>
      </c>
      <c r="AE177" s="594">
        <f t="shared" si="188"/>
        <v>0</v>
      </c>
      <c r="AF177" s="594">
        <f t="shared" si="188"/>
        <v>0</v>
      </c>
    </row>
    <row r="178" spans="1:35" x14ac:dyDescent="0.25">
      <c r="A178" t="s">
        <v>367</v>
      </c>
      <c r="B178" t="s">
        <v>762</v>
      </c>
      <c r="C178" t="str">
        <f t="shared" si="174"/>
        <v>INDWAS</v>
      </c>
      <c r="D178" t="s">
        <v>363</v>
      </c>
      <c r="E178" s="594">
        <f t="shared" si="175"/>
        <v>0</v>
      </c>
      <c r="F178" s="594">
        <f t="shared" si="175"/>
        <v>0</v>
      </c>
      <c r="G178" s="594">
        <f t="shared" si="175"/>
        <v>0</v>
      </c>
      <c r="H178" s="594">
        <f t="shared" si="175"/>
        <v>0</v>
      </c>
      <c r="I178" s="594">
        <f t="shared" si="175"/>
        <v>0</v>
      </c>
      <c r="J178" s="594">
        <f t="shared" ref="J178:AF178" si="189">IF(J95=0,0,J95-J117)</f>
        <v>0</v>
      </c>
      <c r="K178" s="594">
        <f t="shared" si="189"/>
        <v>0</v>
      </c>
      <c r="L178" s="594">
        <f t="shared" si="189"/>
        <v>0</v>
      </c>
      <c r="M178" s="594">
        <f t="shared" si="189"/>
        <v>0</v>
      </c>
      <c r="N178" s="594">
        <f t="shared" si="189"/>
        <v>2084.2127323260343</v>
      </c>
      <c r="O178" s="594">
        <f t="shared" si="189"/>
        <v>0</v>
      </c>
      <c r="P178" s="594">
        <f t="shared" si="189"/>
        <v>0</v>
      </c>
      <c r="Q178" s="594">
        <f t="shared" si="189"/>
        <v>7.8969713937713237</v>
      </c>
      <c r="R178" s="594">
        <f t="shared" si="189"/>
        <v>4401.7179904634586</v>
      </c>
      <c r="S178" s="594">
        <f t="shared" si="189"/>
        <v>35782.036779795031</v>
      </c>
      <c r="T178" s="594">
        <f t="shared" si="189"/>
        <v>16487.862995762451</v>
      </c>
      <c r="U178" s="594">
        <f t="shared" si="189"/>
        <v>44191.653343845755</v>
      </c>
      <c r="V178" s="594">
        <f t="shared" si="189"/>
        <v>0</v>
      </c>
      <c r="W178" s="594">
        <f t="shared" si="189"/>
        <v>0</v>
      </c>
      <c r="X178" s="594">
        <f t="shared" si="189"/>
        <v>10030.096658068283</v>
      </c>
      <c r="Y178" s="594">
        <f t="shared" si="189"/>
        <v>0</v>
      </c>
      <c r="Z178" s="594">
        <f t="shared" si="189"/>
        <v>5692.5064526637198</v>
      </c>
      <c r="AA178" s="594">
        <f t="shared" si="189"/>
        <v>0</v>
      </c>
      <c r="AB178" s="594">
        <f t="shared" si="189"/>
        <v>0</v>
      </c>
      <c r="AC178" s="594">
        <f t="shared" si="189"/>
        <v>0</v>
      </c>
      <c r="AD178" s="594">
        <f t="shared" si="189"/>
        <v>2211.4968714470751</v>
      </c>
      <c r="AE178" s="594">
        <f t="shared" si="189"/>
        <v>0</v>
      </c>
      <c r="AF178" s="594">
        <f t="shared" si="189"/>
        <v>3.9435620448803435</v>
      </c>
    </row>
    <row r="180" spans="1:35" x14ac:dyDescent="0.25">
      <c r="D180" s="159" t="s">
        <v>763</v>
      </c>
      <c r="E180" s="121" t="e">
        <f t="shared" ref="E180:AF180" si="190">SUM(E164:E178)/((E75-E69)+(E65-SUM(E58:E59)))</f>
        <v>#DIV/0!</v>
      </c>
      <c r="F180" s="121" t="e">
        <f t="shared" si="190"/>
        <v>#DIV/0!</v>
      </c>
      <c r="G180" s="121" t="e">
        <f t="shared" si="190"/>
        <v>#DIV/0!</v>
      </c>
      <c r="H180" s="121" t="e">
        <f t="shared" si="190"/>
        <v>#DIV/0!</v>
      </c>
      <c r="I180" s="355">
        <f t="shared" si="190"/>
        <v>1.0000000000000002</v>
      </c>
      <c r="J180" s="355">
        <f t="shared" si="190"/>
        <v>1</v>
      </c>
      <c r="K180" s="355">
        <f t="shared" si="190"/>
        <v>1.0000000000000002</v>
      </c>
      <c r="L180" s="355">
        <f t="shared" si="190"/>
        <v>1.0000000000000002</v>
      </c>
      <c r="M180" s="355">
        <f t="shared" si="190"/>
        <v>1</v>
      </c>
      <c r="N180" s="355">
        <f t="shared" si="190"/>
        <v>1</v>
      </c>
      <c r="O180" s="355">
        <f t="shared" si="190"/>
        <v>1</v>
      </c>
      <c r="P180" s="355" t="e">
        <f t="shared" si="190"/>
        <v>#DIV/0!</v>
      </c>
      <c r="Q180" s="355">
        <f t="shared" si="190"/>
        <v>1</v>
      </c>
      <c r="R180" s="355">
        <f t="shared" si="190"/>
        <v>1</v>
      </c>
      <c r="S180" s="355">
        <f t="shared" si="190"/>
        <v>0.99994195378732287</v>
      </c>
      <c r="T180" s="355">
        <f t="shared" si="190"/>
        <v>1</v>
      </c>
      <c r="U180" s="355">
        <f t="shared" si="190"/>
        <v>1</v>
      </c>
      <c r="V180" s="355" t="e">
        <f t="shared" si="190"/>
        <v>#DIV/0!</v>
      </c>
      <c r="W180" s="355" t="e">
        <f t="shared" si="190"/>
        <v>#DIV/0!</v>
      </c>
      <c r="X180" s="355">
        <f t="shared" si="190"/>
        <v>1</v>
      </c>
      <c r="Y180" s="355" t="e">
        <f t="shared" si="190"/>
        <v>#DIV/0!</v>
      </c>
      <c r="Z180" s="355">
        <f t="shared" si="190"/>
        <v>1</v>
      </c>
      <c r="AA180" s="355" t="e">
        <f t="shared" si="190"/>
        <v>#DIV/0!</v>
      </c>
      <c r="AB180" s="355">
        <f t="shared" si="190"/>
        <v>1</v>
      </c>
      <c r="AC180" s="355" t="e">
        <f t="shared" si="190"/>
        <v>#DIV/0!</v>
      </c>
      <c r="AD180" s="355">
        <f t="shared" si="190"/>
        <v>1</v>
      </c>
      <c r="AE180" s="355">
        <f t="shared" si="190"/>
        <v>0.54979020477812635</v>
      </c>
      <c r="AF180" s="355">
        <f t="shared" si="190"/>
        <v>1</v>
      </c>
    </row>
    <row r="181" spans="1:35" x14ac:dyDescent="0.25">
      <c r="E181" s="594">
        <f>SUM(E164:E178)</f>
        <v>0</v>
      </c>
      <c r="F181" s="594">
        <f t="shared" ref="F181:AF181" si="191">SUM(F164:F178)</f>
        <v>0</v>
      </c>
      <c r="G181" s="594">
        <f t="shared" si="191"/>
        <v>0</v>
      </c>
      <c r="H181" s="594">
        <f t="shared" si="191"/>
        <v>0</v>
      </c>
      <c r="I181" s="594">
        <f t="shared" si="191"/>
        <v>65301.069955345491</v>
      </c>
      <c r="J181" s="594">
        <f t="shared" si="191"/>
        <v>24843.758357475861</v>
      </c>
      <c r="K181" s="594">
        <f t="shared" si="191"/>
        <v>155311.8820691212</v>
      </c>
      <c r="L181" s="594">
        <f t="shared" si="191"/>
        <v>27678.206121559491</v>
      </c>
      <c r="M181" s="594">
        <f t="shared" si="191"/>
        <v>51391.362405669614</v>
      </c>
      <c r="N181" s="594">
        <f t="shared" si="191"/>
        <v>28866.882125709228</v>
      </c>
      <c r="O181" s="594">
        <f t="shared" si="191"/>
        <v>4037.233339076075</v>
      </c>
      <c r="P181" s="594">
        <f t="shared" si="191"/>
        <v>0</v>
      </c>
      <c r="Q181" s="594">
        <f t="shared" si="191"/>
        <v>65069.496548355499</v>
      </c>
      <c r="R181" s="594">
        <f t="shared" si="191"/>
        <v>81202.807831487036</v>
      </c>
      <c r="S181" s="594">
        <f t="shared" si="191"/>
        <v>172266.52828298957</v>
      </c>
      <c r="T181" s="594">
        <f t="shared" si="191"/>
        <v>349125.77017687558</v>
      </c>
      <c r="U181" s="594">
        <f t="shared" si="191"/>
        <v>281379.3591800913</v>
      </c>
      <c r="V181" s="594">
        <f t="shared" si="191"/>
        <v>0</v>
      </c>
      <c r="W181" s="594">
        <f t="shared" si="191"/>
        <v>0</v>
      </c>
      <c r="X181" s="594">
        <f t="shared" si="191"/>
        <v>159555.22561522946</v>
      </c>
      <c r="Y181" s="594">
        <f t="shared" si="191"/>
        <v>0</v>
      </c>
      <c r="Z181" s="594">
        <f t="shared" si="191"/>
        <v>96155.265067730317</v>
      </c>
      <c r="AA181" s="594">
        <f t="shared" si="191"/>
        <v>0</v>
      </c>
      <c r="AB181" s="594">
        <f t="shared" si="191"/>
        <v>78573.481999119889</v>
      </c>
      <c r="AC181" s="594">
        <f t="shared" si="191"/>
        <v>0</v>
      </c>
      <c r="AD181" s="594">
        <f t="shared" si="191"/>
        <v>391977.02349913865</v>
      </c>
      <c r="AE181" s="594">
        <f t="shared" si="191"/>
        <v>26824.640695382641</v>
      </c>
      <c r="AF181" s="594">
        <f t="shared" si="191"/>
        <v>449098.85665849666</v>
      </c>
    </row>
    <row r="184" spans="1:35" ht="30" x14ac:dyDescent="0.25">
      <c r="A184" s="363" t="s">
        <v>764</v>
      </c>
      <c r="B184" s="364" t="s">
        <v>85</v>
      </c>
      <c r="C184" s="363" t="s">
        <v>765</v>
      </c>
      <c r="D184" s="365" t="s">
        <v>85</v>
      </c>
      <c r="E184" s="91" t="s">
        <v>162</v>
      </c>
      <c r="F184" s="91" t="s">
        <v>164</v>
      </c>
      <c r="G184" s="91" t="s">
        <v>166</v>
      </c>
      <c r="H184" s="91" t="s">
        <v>168</v>
      </c>
      <c r="I184" s="91" t="s">
        <v>170</v>
      </c>
      <c r="J184" s="91" t="s">
        <v>173</v>
      </c>
      <c r="K184" s="91" t="s">
        <v>175</v>
      </c>
      <c r="L184" s="91" t="s">
        <v>177</v>
      </c>
      <c r="M184" s="91" t="s">
        <v>179</v>
      </c>
      <c r="N184" s="91" t="s">
        <v>181</v>
      </c>
      <c r="O184" s="91" t="s">
        <v>183</v>
      </c>
      <c r="P184" s="91" t="s">
        <v>185</v>
      </c>
      <c r="Q184" s="91" t="s">
        <v>188</v>
      </c>
      <c r="R184" s="91" t="s">
        <v>190</v>
      </c>
      <c r="S184" s="91" t="s">
        <v>192</v>
      </c>
      <c r="T184" s="91" t="s">
        <v>194</v>
      </c>
      <c r="U184" s="91" t="s">
        <v>196</v>
      </c>
      <c r="V184" s="91" t="s">
        <v>198</v>
      </c>
      <c r="W184" s="91" t="s">
        <v>9</v>
      </c>
      <c r="X184" s="91" t="s">
        <v>201</v>
      </c>
      <c r="Y184" s="91" t="s">
        <v>203</v>
      </c>
      <c r="Z184" s="91" t="s">
        <v>205</v>
      </c>
      <c r="AA184" s="91" t="s">
        <v>207</v>
      </c>
      <c r="AB184" s="91" t="s">
        <v>210</v>
      </c>
      <c r="AC184" s="91" t="s">
        <v>212</v>
      </c>
      <c r="AD184" s="91" t="s">
        <v>214</v>
      </c>
      <c r="AE184" s="91" t="s">
        <v>217</v>
      </c>
      <c r="AF184" s="91" t="s">
        <v>219</v>
      </c>
      <c r="AG184" s="370"/>
      <c r="AH184" s="370" t="s">
        <v>315</v>
      </c>
      <c r="AI184" s="370"/>
    </row>
    <row r="185" spans="1:35" x14ac:dyDescent="0.25">
      <c r="A185" s="5" t="s">
        <v>125</v>
      </c>
      <c r="B185" s="5" t="s">
        <v>350</v>
      </c>
      <c r="C185" s="12"/>
      <c r="D185" s="12"/>
      <c r="E185" s="366">
        <f>SUM(E186:E189)</f>
        <v>1</v>
      </c>
      <c r="F185" s="366">
        <f t="shared" ref="F185:AF185" si="192">SUM(F186:F189)</f>
        <v>1</v>
      </c>
      <c r="G185" s="366">
        <f t="shared" si="192"/>
        <v>1</v>
      </c>
      <c r="H185" s="366">
        <f t="shared" si="192"/>
        <v>1</v>
      </c>
      <c r="I185" s="366">
        <f t="shared" si="192"/>
        <v>1</v>
      </c>
      <c r="J185" s="366">
        <f t="shared" si="192"/>
        <v>1</v>
      </c>
      <c r="K185" s="366">
        <f t="shared" si="192"/>
        <v>1</v>
      </c>
      <c r="L185" s="366">
        <f t="shared" si="192"/>
        <v>1</v>
      </c>
      <c r="M185" s="366">
        <f t="shared" si="192"/>
        <v>1</v>
      </c>
      <c r="N185" s="366">
        <f t="shared" si="192"/>
        <v>1</v>
      </c>
      <c r="O185" s="366">
        <f t="shared" si="192"/>
        <v>1</v>
      </c>
      <c r="P185" s="366">
        <f t="shared" si="192"/>
        <v>1</v>
      </c>
      <c r="Q185" s="366">
        <f t="shared" si="192"/>
        <v>1</v>
      </c>
      <c r="R185" s="366">
        <f t="shared" si="192"/>
        <v>1</v>
      </c>
      <c r="S185" s="366">
        <f t="shared" si="192"/>
        <v>1</v>
      </c>
      <c r="T185" s="366">
        <f t="shared" si="192"/>
        <v>1</v>
      </c>
      <c r="U185" s="366">
        <f t="shared" si="192"/>
        <v>1</v>
      </c>
      <c r="V185" s="366">
        <f t="shared" si="192"/>
        <v>1</v>
      </c>
      <c r="W185" s="366">
        <f t="shared" si="192"/>
        <v>1</v>
      </c>
      <c r="X185" s="366">
        <f t="shared" si="192"/>
        <v>1</v>
      </c>
      <c r="Y185" s="366">
        <f t="shared" si="192"/>
        <v>1</v>
      </c>
      <c r="Z185" s="366">
        <f t="shared" si="192"/>
        <v>1</v>
      </c>
      <c r="AA185" s="366">
        <f t="shared" si="192"/>
        <v>1</v>
      </c>
      <c r="AB185" s="366">
        <f t="shared" si="192"/>
        <v>1</v>
      </c>
      <c r="AC185" s="366">
        <f t="shared" si="192"/>
        <v>1</v>
      </c>
      <c r="AD185" s="366">
        <f t="shared" si="192"/>
        <v>1</v>
      </c>
      <c r="AE185" s="366">
        <f t="shared" si="192"/>
        <v>1</v>
      </c>
      <c r="AF185" s="366">
        <f t="shared" si="192"/>
        <v>1</v>
      </c>
      <c r="AG185" s="371"/>
      <c r="AH185" s="371"/>
      <c r="AI185" s="371"/>
    </row>
    <row r="186" spans="1:35" x14ac:dyDescent="0.25">
      <c r="A186" s="9" t="s">
        <v>125</v>
      </c>
      <c r="B186" s="9" t="s">
        <v>350</v>
      </c>
      <c r="C186" s="9" t="s">
        <v>103</v>
      </c>
      <c r="D186" s="9" t="s">
        <v>104</v>
      </c>
      <c r="E186" s="367">
        <v>0</v>
      </c>
      <c r="F186" s="367">
        <v>0</v>
      </c>
      <c r="G186" s="367">
        <v>0</v>
      </c>
      <c r="H186" s="367">
        <v>0</v>
      </c>
      <c r="I186" s="367">
        <v>0</v>
      </c>
      <c r="J186" s="367">
        <v>0</v>
      </c>
      <c r="K186" s="367">
        <v>0</v>
      </c>
      <c r="L186" s="367">
        <v>0</v>
      </c>
      <c r="M186" s="367">
        <v>0</v>
      </c>
      <c r="N186" s="367">
        <v>0</v>
      </c>
      <c r="O186" s="367">
        <v>0</v>
      </c>
      <c r="P186" s="367">
        <v>0</v>
      </c>
      <c r="Q186" s="367">
        <v>0</v>
      </c>
      <c r="R186" s="367">
        <v>0</v>
      </c>
      <c r="S186" s="367">
        <v>0</v>
      </c>
      <c r="T186" s="367">
        <v>0</v>
      </c>
      <c r="U186" s="367">
        <v>0</v>
      </c>
      <c r="V186" s="367">
        <v>0</v>
      </c>
      <c r="W186" s="367">
        <v>0</v>
      </c>
      <c r="X186" s="367">
        <v>0</v>
      </c>
      <c r="Y186" s="367">
        <v>0</v>
      </c>
      <c r="Z186" s="367">
        <v>0</v>
      </c>
      <c r="AA186" s="367">
        <v>0</v>
      </c>
      <c r="AB186" s="367">
        <v>0</v>
      </c>
      <c r="AC186" s="367">
        <v>0</v>
      </c>
      <c r="AD186" s="367">
        <v>0</v>
      </c>
      <c r="AE186" s="367">
        <v>0</v>
      </c>
      <c r="AF186" s="367">
        <v>0</v>
      </c>
      <c r="AG186" s="372"/>
      <c r="AH186" s="373">
        <v>0.8</v>
      </c>
      <c r="AI186" s="372"/>
    </row>
    <row r="187" spans="1:35" x14ac:dyDescent="0.25">
      <c r="A187" s="9" t="s">
        <v>125</v>
      </c>
      <c r="B187" s="9" t="s">
        <v>350</v>
      </c>
      <c r="C187" s="9" t="s">
        <v>105</v>
      </c>
      <c r="D187" s="9" t="s">
        <v>106</v>
      </c>
      <c r="E187" s="367">
        <v>0.2</v>
      </c>
      <c r="F187" s="367">
        <v>0.2</v>
      </c>
      <c r="G187" s="367">
        <v>0.2</v>
      </c>
      <c r="H187" s="367">
        <v>0.2</v>
      </c>
      <c r="I187" s="367">
        <v>0.2</v>
      </c>
      <c r="J187" s="367">
        <v>0.2</v>
      </c>
      <c r="K187" s="367">
        <v>0.2</v>
      </c>
      <c r="L187" s="367">
        <v>0.2</v>
      </c>
      <c r="M187" s="367">
        <v>0.2</v>
      </c>
      <c r="N187" s="367">
        <v>0.2</v>
      </c>
      <c r="O187" s="367">
        <v>0.2</v>
      </c>
      <c r="P187" s="367">
        <v>0.2</v>
      </c>
      <c r="Q187" s="367">
        <v>0.2</v>
      </c>
      <c r="R187" s="367">
        <v>0.2</v>
      </c>
      <c r="S187" s="367">
        <v>0.2</v>
      </c>
      <c r="T187" s="367">
        <v>0.2</v>
      </c>
      <c r="U187" s="367">
        <v>0.2</v>
      </c>
      <c r="V187" s="367">
        <v>0.2</v>
      </c>
      <c r="W187" s="367">
        <v>0.2</v>
      </c>
      <c r="X187" s="367">
        <v>0.2</v>
      </c>
      <c r="Y187" s="367">
        <v>0.2</v>
      </c>
      <c r="Z187" s="367">
        <v>0.2</v>
      </c>
      <c r="AA187" s="367">
        <v>0.2</v>
      </c>
      <c r="AB187" s="367">
        <v>0.2</v>
      </c>
      <c r="AC187" s="367">
        <v>0.2</v>
      </c>
      <c r="AD187" s="367">
        <v>0.2</v>
      </c>
      <c r="AE187" s="367">
        <v>0.2</v>
      </c>
      <c r="AF187" s="367">
        <v>0.2</v>
      </c>
      <c r="AG187" s="372"/>
      <c r="AH187" s="373">
        <v>0.8</v>
      </c>
      <c r="AI187" s="372"/>
    </row>
    <row r="188" spans="1:35" x14ac:dyDescent="0.25">
      <c r="A188" s="9" t="s">
        <v>125</v>
      </c>
      <c r="B188" s="9" t="s">
        <v>350</v>
      </c>
      <c r="C188" s="9" t="s">
        <v>107</v>
      </c>
      <c r="D188" s="9" t="s">
        <v>108</v>
      </c>
      <c r="E188" s="367">
        <v>0.7</v>
      </c>
      <c r="F188" s="367">
        <v>0.7</v>
      </c>
      <c r="G188" s="367">
        <v>0.7</v>
      </c>
      <c r="H188" s="367">
        <v>0.7</v>
      </c>
      <c r="I188" s="367">
        <v>0.7</v>
      </c>
      <c r="J188" s="367">
        <v>0.7</v>
      </c>
      <c r="K188" s="367">
        <v>0.7</v>
      </c>
      <c r="L188" s="367">
        <v>0.7</v>
      </c>
      <c r="M188" s="367">
        <v>0.7</v>
      </c>
      <c r="N188" s="367">
        <v>0.7</v>
      </c>
      <c r="O188" s="367">
        <v>0.7</v>
      </c>
      <c r="P188" s="367">
        <v>0.7</v>
      </c>
      <c r="Q188" s="367">
        <v>0.7</v>
      </c>
      <c r="R188" s="367">
        <v>0.7</v>
      </c>
      <c r="S188" s="367">
        <v>0.7</v>
      </c>
      <c r="T188" s="367">
        <v>0.7</v>
      </c>
      <c r="U188" s="367">
        <v>0.7</v>
      </c>
      <c r="V188" s="367">
        <v>0.7</v>
      </c>
      <c r="W188" s="367">
        <v>0.7</v>
      </c>
      <c r="X188" s="367">
        <v>0.7</v>
      </c>
      <c r="Y188" s="367">
        <v>0.7</v>
      </c>
      <c r="Z188" s="367">
        <v>0.7</v>
      </c>
      <c r="AA188" s="367">
        <v>0.7</v>
      </c>
      <c r="AB188" s="367">
        <v>0.7</v>
      </c>
      <c r="AC188" s="367">
        <v>0.7</v>
      </c>
      <c r="AD188" s="367">
        <v>0.7</v>
      </c>
      <c r="AE188" s="367">
        <v>0.7</v>
      </c>
      <c r="AF188" s="367">
        <v>0.7</v>
      </c>
      <c r="AG188" s="372"/>
      <c r="AH188" s="373">
        <v>0.8</v>
      </c>
      <c r="AI188" s="372"/>
    </row>
    <row r="189" spans="1:35" x14ac:dyDescent="0.25">
      <c r="A189" s="47" t="s">
        <v>125</v>
      </c>
      <c r="B189" s="47" t="s">
        <v>350</v>
      </c>
      <c r="C189" s="47" t="s">
        <v>109</v>
      </c>
      <c r="D189" s="47" t="s">
        <v>110</v>
      </c>
      <c r="E189" s="368">
        <v>0.10000000000000009</v>
      </c>
      <c r="F189" s="368">
        <v>0.10000000000000009</v>
      </c>
      <c r="G189" s="368">
        <v>0.10000000000000009</v>
      </c>
      <c r="H189" s="368">
        <v>0.10000000000000009</v>
      </c>
      <c r="I189" s="368">
        <v>0.10000000000000009</v>
      </c>
      <c r="J189" s="368">
        <v>0.10000000000000009</v>
      </c>
      <c r="K189" s="368">
        <v>0.10000000000000009</v>
      </c>
      <c r="L189" s="368">
        <v>0.10000000000000009</v>
      </c>
      <c r="M189" s="368">
        <v>0.10000000000000009</v>
      </c>
      <c r="N189" s="368">
        <v>0.10000000000000009</v>
      </c>
      <c r="O189" s="368">
        <v>0.10000000000000009</v>
      </c>
      <c r="P189" s="368">
        <v>0.10000000000000009</v>
      </c>
      <c r="Q189" s="368">
        <v>0.10000000000000009</v>
      </c>
      <c r="R189" s="368">
        <v>0.10000000000000009</v>
      </c>
      <c r="S189" s="368">
        <v>0.10000000000000009</v>
      </c>
      <c r="T189" s="368">
        <v>0.10000000000000009</v>
      </c>
      <c r="U189" s="368">
        <v>0.10000000000000009</v>
      </c>
      <c r="V189" s="368">
        <v>0.10000000000000009</v>
      </c>
      <c r="W189" s="368">
        <v>0.10000000000000009</v>
      </c>
      <c r="X189" s="368">
        <v>0.10000000000000009</v>
      </c>
      <c r="Y189" s="368">
        <v>0.10000000000000009</v>
      </c>
      <c r="Z189" s="368">
        <v>0.10000000000000009</v>
      </c>
      <c r="AA189" s="368">
        <v>0.10000000000000009</v>
      </c>
      <c r="AB189" s="368">
        <v>0.10000000000000009</v>
      </c>
      <c r="AC189" s="368">
        <v>0.10000000000000009</v>
      </c>
      <c r="AD189" s="368">
        <v>0.10000000000000009</v>
      </c>
      <c r="AE189" s="368">
        <v>0.10000000000000009</v>
      </c>
      <c r="AF189" s="368">
        <v>0.10000000000000009</v>
      </c>
      <c r="AG189" s="372"/>
      <c r="AH189" s="374">
        <v>0.8</v>
      </c>
      <c r="AI189" s="372"/>
    </row>
    <row r="190" spans="1:35" x14ac:dyDescent="0.25">
      <c r="A190" s="12" t="s">
        <v>766</v>
      </c>
      <c r="B190" s="12" t="s">
        <v>767</v>
      </c>
      <c r="C190" s="12"/>
      <c r="D190" s="12"/>
      <c r="E190" s="366">
        <f>SUM(E191:E194)</f>
        <v>1</v>
      </c>
      <c r="F190" s="366">
        <f t="shared" ref="F190" si="193">SUM(F191:F194)</f>
        <v>1</v>
      </c>
      <c r="G190" s="366">
        <f t="shared" ref="G190" si="194">SUM(G191:G194)</f>
        <v>1</v>
      </c>
      <c r="H190" s="366">
        <f t="shared" ref="H190" si="195">SUM(H191:H194)</f>
        <v>1</v>
      </c>
      <c r="I190" s="366">
        <f t="shared" ref="I190" si="196">SUM(I191:I194)</f>
        <v>1</v>
      </c>
      <c r="J190" s="366">
        <f t="shared" ref="J190" si="197">SUM(J191:J194)</f>
        <v>1</v>
      </c>
      <c r="K190" s="366">
        <f t="shared" ref="K190" si="198">SUM(K191:K194)</f>
        <v>1</v>
      </c>
      <c r="L190" s="366">
        <f t="shared" ref="L190" si="199">SUM(L191:L194)</f>
        <v>1</v>
      </c>
      <c r="M190" s="366">
        <f t="shared" ref="M190" si="200">SUM(M191:M194)</f>
        <v>1</v>
      </c>
      <c r="N190" s="366">
        <f t="shared" ref="N190" si="201">SUM(N191:N194)</f>
        <v>1</v>
      </c>
      <c r="O190" s="366">
        <f t="shared" ref="O190" si="202">SUM(O191:O194)</f>
        <v>1</v>
      </c>
      <c r="P190" s="366">
        <f t="shared" ref="P190" si="203">SUM(P191:P194)</f>
        <v>1</v>
      </c>
      <c r="Q190" s="366">
        <f t="shared" ref="Q190" si="204">SUM(Q191:Q194)</f>
        <v>1</v>
      </c>
      <c r="R190" s="366">
        <f t="shared" ref="R190" si="205">SUM(R191:R194)</f>
        <v>1</v>
      </c>
      <c r="S190" s="366">
        <f t="shared" ref="S190" si="206">SUM(S191:S194)</f>
        <v>1</v>
      </c>
      <c r="T190" s="366">
        <f t="shared" ref="T190" si="207">SUM(T191:T194)</f>
        <v>1</v>
      </c>
      <c r="U190" s="366">
        <f t="shared" ref="U190" si="208">SUM(U191:U194)</f>
        <v>1</v>
      </c>
      <c r="V190" s="366">
        <f t="shared" ref="V190" si="209">SUM(V191:V194)</f>
        <v>1</v>
      </c>
      <c r="W190" s="366">
        <f t="shared" ref="W190" si="210">SUM(W191:W194)</f>
        <v>1</v>
      </c>
      <c r="X190" s="366">
        <f t="shared" ref="X190" si="211">SUM(X191:X194)</f>
        <v>1</v>
      </c>
      <c r="Y190" s="366">
        <f t="shared" ref="Y190" si="212">SUM(Y191:Y194)</f>
        <v>1</v>
      </c>
      <c r="Z190" s="366">
        <f t="shared" ref="Z190" si="213">SUM(Z191:Z194)</f>
        <v>1</v>
      </c>
      <c r="AA190" s="366">
        <f t="shared" ref="AA190" si="214">SUM(AA191:AA194)</f>
        <v>1</v>
      </c>
      <c r="AB190" s="366">
        <f t="shared" ref="AB190" si="215">SUM(AB191:AB194)</f>
        <v>1</v>
      </c>
      <c r="AC190" s="366">
        <f t="shared" ref="AC190" si="216">SUM(AC191:AC194)</f>
        <v>1</v>
      </c>
      <c r="AD190" s="366">
        <f t="shared" ref="AD190" si="217">SUM(AD191:AD194)</f>
        <v>1</v>
      </c>
      <c r="AE190" s="366">
        <f t="shared" ref="AE190" si="218">SUM(AE191:AE194)</f>
        <v>1</v>
      </c>
      <c r="AF190" s="366">
        <f t="shared" ref="AF190" si="219">SUM(AF191:AF194)</f>
        <v>1</v>
      </c>
      <c r="AG190" s="371"/>
      <c r="AH190" s="375"/>
      <c r="AI190" s="371"/>
    </row>
    <row r="191" spans="1:35" x14ac:dyDescent="0.25">
      <c r="A191" s="9" t="s">
        <v>766</v>
      </c>
      <c r="B191" s="9" t="s">
        <v>767</v>
      </c>
      <c r="C191" s="9" t="s">
        <v>103</v>
      </c>
      <c r="D191" s="9" t="s">
        <v>104</v>
      </c>
      <c r="E191" s="367">
        <v>0.05</v>
      </c>
      <c r="F191" s="367">
        <v>0.05</v>
      </c>
      <c r="G191" s="367">
        <v>0.05</v>
      </c>
      <c r="H191" s="367">
        <v>0.05</v>
      </c>
      <c r="I191" s="367">
        <v>0.05</v>
      </c>
      <c r="J191" s="367">
        <v>0.05</v>
      </c>
      <c r="K191" s="367">
        <v>0.05</v>
      </c>
      <c r="L191" s="367">
        <v>0.05</v>
      </c>
      <c r="M191" s="367">
        <v>0.05</v>
      </c>
      <c r="N191" s="367">
        <v>0.05</v>
      </c>
      <c r="O191" s="367">
        <v>0.05</v>
      </c>
      <c r="P191" s="367">
        <v>0.05</v>
      </c>
      <c r="Q191" s="367">
        <v>0.05</v>
      </c>
      <c r="R191" s="367">
        <v>0.05</v>
      </c>
      <c r="S191" s="367">
        <v>0.05</v>
      </c>
      <c r="T191" s="367">
        <v>0.05</v>
      </c>
      <c r="U191" s="367">
        <v>0.05</v>
      </c>
      <c r="V191" s="367">
        <v>0.05</v>
      </c>
      <c r="W191" s="367">
        <v>0.05</v>
      </c>
      <c r="X191" s="367">
        <v>0.05</v>
      </c>
      <c r="Y191" s="367">
        <v>0.05</v>
      </c>
      <c r="Z191" s="367">
        <v>0.05</v>
      </c>
      <c r="AA191" s="367">
        <v>0.05</v>
      </c>
      <c r="AB191" s="367">
        <v>0.05</v>
      </c>
      <c r="AC191" s="367">
        <v>0.05</v>
      </c>
      <c r="AD191" s="367">
        <v>0.05</v>
      </c>
      <c r="AE191" s="367">
        <v>0.05</v>
      </c>
      <c r="AF191" s="367">
        <v>0.05</v>
      </c>
      <c r="AG191" s="372"/>
      <c r="AH191" s="373">
        <v>0.6</v>
      </c>
      <c r="AI191" s="372"/>
    </row>
    <row r="192" spans="1:35" x14ac:dyDescent="0.25">
      <c r="A192" s="9" t="s">
        <v>766</v>
      </c>
      <c r="B192" s="9" t="s">
        <v>767</v>
      </c>
      <c r="C192" s="9" t="s">
        <v>105</v>
      </c>
      <c r="D192" s="9" t="s">
        <v>106</v>
      </c>
      <c r="E192" s="367">
        <v>0.9</v>
      </c>
      <c r="F192" s="367">
        <v>0.9</v>
      </c>
      <c r="G192" s="367">
        <v>0.9</v>
      </c>
      <c r="H192" s="367">
        <v>0.9</v>
      </c>
      <c r="I192" s="367">
        <v>0.9</v>
      </c>
      <c r="J192" s="367">
        <v>0.9</v>
      </c>
      <c r="K192" s="367">
        <v>0.9</v>
      </c>
      <c r="L192" s="367">
        <v>0.9</v>
      </c>
      <c r="M192" s="367">
        <v>0.9</v>
      </c>
      <c r="N192" s="367">
        <v>0.9</v>
      </c>
      <c r="O192" s="367">
        <v>0.9</v>
      </c>
      <c r="P192" s="367">
        <v>0.9</v>
      </c>
      <c r="Q192" s="367">
        <v>0.9</v>
      </c>
      <c r="R192" s="367">
        <v>0.9</v>
      </c>
      <c r="S192" s="367">
        <v>0.9</v>
      </c>
      <c r="T192" s="367">
        <v>0.9</v>
      </c>
      <c r="U192" s="367">
        <v>0.9</v>
      </c>
      <c r="V192" s="367">
        <v>0.9</v>
      </c>
      <c r="W192" s="367">
        <v>0.9</v>
      </c>
      <c r="X192" s="367">
        <v>0.9</v>
      </c>
      <c r="Y192" s="367">
        <v>0.9</v>
      </c>
      <c r="Z192" s="367">
        <v>0.9</v>
      </c>
      <c r="AA192" s="367">
        <v>0.9</v>
      </c>
      <c r="AB192" s="367">
        <v>0.9</v>
      </c>
      <c r="AC192" s="367">
        <v>0.9</v>
      </c>
      <c r="AD192" s="367">
        <v>0.9</v>
      </c>
      <c r="AE192" s="367">
        <v>0.9</v>
      </c>
      <c r="AF192" s="367">
        <v>0.9</v>
      </c>
      <c r="AG192" s="372"/>
      <c r="AH192" s="373">
        <v>0.6</v>
      </c>
      <c r="AI192" s="372"/>
    </row>
    <row r="193" spans="1:35" x14ac:dyDescent="0.25">
      <c r="A193" s="9" t="s">
        <v>766</v>
      </c>
      <c r="B193" s="9" t="s">
        <v>767</v>
      </c>
      <c r="C193" s="9" t="s">
        <v>107</v>
      </c>
      <c r="D193" s="9" t="s">
        <v>108</v>
      </c>
      <c r="E193" s="367">
        <v>0</v>
      </c>
      <c r="F193" s="367">
        <v>0</v>
      </c>
      <c r="G193" s="367">
        <v>0</v>
      </c>
      <c r="H193" s="367">
        <v>0</v>
      </c>
      <c r="I193" s="367">
        <v>0</v>
      </c>
      <c r="J193" s="367">
        <v>0</v>
      </c>
      <c r="K193" s="367">
        <v>0</v>
      </c>
      <c r="L193" s="367">
        <v>0</v>
      </c>
      <c r="M193" s="367">
        <v>0</v>
      </c>
      <c r="N193" s="367">
        <v>0</v>
      </c>
      <c r="O193" s="367">
        <v>0</v>
      </c>
      <c r="P193" s="367">
        <v>0</v>
      </c>
      <c r="Q193" s="367">
        <v>0</v>
      </c>
      <c r="R193" s="367">
        <v>0</v>
      </c>
      <c r="S193" s="367">
        <v>0</v>
      </c>
      <c r="T193" s="367">
        <v>0</v>
      </c>
      <c r="U193" s="367">
        <v>0</v>
      </c>
      <c r="V193" s="367">
        <v>0</v>
      </c>
      <c r="W193" s="367">
        <v>0</v>
      </c>
      <c r="X193" s="367">
        <v>0</v>
      </c>
      <c r="Y193" s="367">
        <v>0</v>
      </c>
      <c r="Z193" s="367">
        <v>0</v>
      </c>
      <c r="AA193" s="367">
        <v>0</v>
      </c>
      <c r="AB193" s="367">
        <v>0</v>
      </c>
      <c r="AC193" s="367">
        <v>0</v>
      </c>
      <c r="AD193" s="367">
        <v>0</v>
      </c>
      <c r="AE193" s="367">
        <v>0</v>
      </c>
      <c r="AF193" s="367">
        <v>0</v>
      </c>
      <c r="AG193" s="372"/>
      <c r="AH193" s="373">
        <v>0.6</v>
      </c>
      <c r="AI193" s="372"/>
    </row>
    <row r="194" spans="1:35" x14ac:dyDescent="0.25">
      <c r="A194" s="47" t="s">
        <v>766</v>
      </c>
      <c r="B194" s="47" t="s">
        <v>767</v>
      </c>
      <c r="C194" s="47" t="s">
        <v>109</v>
      </c>
      <c r="D194" s="47" t="s">
        <v>110</v>
      </c>
      <c r="E194" s="368">
        <v>4.9999999999999933E-2</v>
      </c>
      <c r="F194" s="368">
        <v>4.9999999999999933E-2</v>
      </c>
      <c r="G194" s="368">
        <v>4.9999999999999933E-2</v>
      </c>
      <c r="H194" s="368">
        <v>4.9999999999999933E-2</v>
      </c>
      <c r="I194" s="368">
        <v>4.9999999999999933E-2</v>
      </c>
      <c r="J194" s="368">
        <v>4.9999999999999933E-2</v>
      </c>
      <c r="K194" s="368">
        <v>4.9999999999999933E-2</v>
      </c>
      <c r="L194" s="368">
        <v>4.9999999999999933E-2</v>
      </c>
      <c r="M194" s="368">
        <v>4.9999999999999933E-2</v>
      </c>
      <c r="N194" s="368">
        <v>4.9999999999999933E-2</v>
      </c>
      <c r="O194" s="368">
        <v>4.9999999999999933E-2</v>
      </c>
      <c r="P194" s="368">
        <v>4.9999999999999933E-2</v>
      </c>
      <c r="Q194" s="368">
        <v>4.9999999999999933E-2</v>
      </c>
      <c r="R194" s="368">
        <v>4.9999999999999933E-2</v>
      </c>
      <c r="S194" s="368">
        <v>4.9999999999999933E-2</v>
      </c>
      <c r="T194" s="368">
        <v>4.9999999999999933E-2</v>
      </c>
      <c r="U194" s="368">
        <v>4.9999999999999933E-2</v>
      </c>
      <c r="V194" s="368">
        <v>4.9999999999999933E-2</v>
      </c>
      <c r="W194" s="368">
        <v>4.9999999999999933E-2</v>
      </c>
      <c r="X194" s="368">
        <v>4.9999999999999933E-2</v>
      </c>
      <c r="Y194" s="368">
        <v>4.9999999999999933E-2</v>
      </c>
      <c r="Z194" s="368">
        <v>4.9999999999999933E-2</v>
      </c>
      <c r="AA194" s="368">
        <v>4.9999999999999933E-2</v>
      </c>
      <c r="AB194" s="368">
        <v>4.9999999999999933E-2</v>
      </c>
      <c r="AC194" s="368">
        <v>4.9999999999999933E-2</v>
      </c>
      <c r="AD194" s="368">
        <v>4.9999999999999933E-2</v>
      </c>
      <c r="AE194" s="368">
        <v>4.9999999999999933E-2</v>
      </c>
      <c r="AF194" s="368">
        <v>4.9999999999999933E-2</v>
      </c>
      <c r="AG194" s="372"/>
      <c r="AH194" s="374">
        <v>0.6</v>
      </c>
      <c r="AI194" s="372"/>
    </row>
    <row r="195" spans="1:35" x14ac:dyDescent="0.25">
      <c r="A195" s="12" t="s">
        <v>129</v>
      </c>
      <c r="B195" s="12" t="s">
        <v>768</v>
      </c>
      <c r="C195" s="12"/>
      <c r="D195" s="12"/>
      <c r="E195" s="366">
        <f>SUM(E196:E199)</f>
        <v>1</v>
      </c>
      <c r="F195" s="366">
        <f t="shared" ref="F195" si="220">SUM(F196:F199)</f>
        <v>1</v>
      </c>
      <c r="G195" s="366">
        <f t="shared" ref="G195" si="221">SUM(G196:G199)</f>
        <v>1</v>
      </c>
      <c r="H195" s="366">
        <f t="shared" ref="H195" si="222">SUM(H196:H199)</f>
        <v>1</v>
      </c>
      <c r="I195" s="366">
        <f t="shared" ref="I195" si="223">SUM(I196:I199)</f>
        <v>1</v>
      </c>
      <c r="J195" s="366">
        <f t="shared" ref="J195" si="224">SUM(J196:J199)</f>
        <v>1</v>
      </c>
      <c r="K195" s="366">
        <f t="shared" ref="K195" si="225">SUM(K196:K199)</f>
        <v>1</v>
      </c>
      <c r="L195" s="366">
        <f t="shared" ref="L195" si="226">SUM(L196:L199)</f>
        <v>1</v>
      </c>
      <c r="M195" s="366">
        <f t="shared" ref="M195" si="227">SUM(M196:M199)</f>
        <v>1</v>
      </c>
      <c r="N195" s="366">
        <f t="shared" ref="N195" si="228">SUM(N196:N199)</f>
        <v>1</v>
      </c>
      <c r="O195" s="366">
        <f t="shared" ref="O195" si="229">SUM(O196:O199)</f>
        <v>1</v>
      </c>
      <c r="P195" s="366">
        <f t="shared" ref="P195" si="230">SUM(P196:P199)</f>
        <v>1</v>
      </c>
      <c r="Q195" s="366">
        <f t="shared" ref="Q195" si="231">SUM(Q196:Q199)</f>
        <v>1</v>
      </c>
      <c r="R195" s="366">
        <f t="shared" ref="R195" si="232">SUM(R196:R199)</f>
        <v>1</v>
      </c>
      <c r="S195" s="366">
        <f t="shared" ref="S195" si="233">SUM(S196:S199)</f>
        <v>1</v>
      </c>
      <c r="T195" s="366">
        <f t="shared" ref="T195" si="234">SUM(T196:T199)</f>
        <v>1</v>
      </c>
      <c r="U195" s="366">
        <f t="shared" ref="U195" si="235">SUM(U196:U199)</f>
        <v>1</v>
      </c>
      <c r="V195" s="366">
        <f t="shared" ref="V195" si="236">SUM(V196:V199)</f>
        <v>1</v>
      </c>
      <c r="W195" s="366">
        <f t="shared" ref="W195" si="237">SUM(W196:W199)</f>
        <v>1</v>
      </c>
      <c r="X195" s="366">
        <f t="shared" ref="X195" si="238">SUM(X196:X199)</f>
        <v>1</v>
      </c>
      <c r="Y195" s="366">
        <f t="shared" ref="Y195" si="239">SUM(Y196:Y199)</f>
        <v>1</v>
      </c>
      <c r="Z195" s="366">
        <f t="shared" ref="Z195" si="240">SUM(Z196:Z199)</f>
        <v>1</v>
      </c>
      <c r="AA195" s="366">
        <f t="shared" ref="AA195" si="241">SUM(AA196:AA199)</f>
        <v>1</v>
      </c>
      <c r="AB195" s="366">
        <f t="shared" ref="AB195" si="242">SUM(AB196:AB199)</f>
        <v>1</v>
      </c>
      <c r="AC195" s="366">
        <f t="shared" ref="AC195" si="243">SUM(AC196:AC199)</f>
        <v>1</v>
      </c>
      <c r="AD195" s="366">
        <f t="shared" ref="AD195" si="244">SUM(AD196:AD199)</f>
        <v>1</v>
      </c>
      <c r="AE195" s="366">
        <f t="shared" ref="AE195" si="245">SUM(AE196:AE199)</f>
        <v>1</v>
      </c>
      <c r="AF195" s="366">
        <f t="shared" ref="AF195" si="246">SUM(AF196:AF199)</f>
        <v>1</v>
      </c>
      <c r="AG195" s="371"/>
      <c r="AH195" s="375"/>
      <c r="AI195" s="371"/>
    </row>
    <row r="196" spans="1:35" x14ac:dyDescent="0.25">
      <c r="A196" s="9" t="s">
        <v>129</v>
      </c>
      <c r="B196" s="9" t="s">
        <v>768</v>
      </c>
      <c r="C196" s="9" t="s">
        <v>103</v>
      </c>
      <c r="D196" s="9" t="s">
        <v>104</v>
      </c>
      <c r="E196" s="367">
        <v>1</v>
      </c>
      <c r="F196" s="367">
        <v>1</v>
      </c>
      <c r="G196" s="367">
        <v>1</v>
      </c>
      <c r="H196" s="367">
        <v>1</v>
      </c>
      <c r="I196" s="367">
        <v>1</v>
      </c>
      <c r="J196" s="367">
        <v>1</v>
      </c>
      <c r="K196" s="367">
        <v>1</v>
      </c>
      <c r="L196" s="367">
        <v>1</v>
      </c>
      <c r="M196" s="367">
        <v>1</v>
      </c>
      <c r="N196" s="367">
        <v>1</v>
      </c>
      <c r="O196" s="367">
        <v>1</v>
      </c>
      <c r="P196" s="367">
        <v>1</v>
      </c>
      <c r="Q196" s="367">
        <v>1</v>
      </c>
      <c r="R196" s="367">
        <v>1</v>
      </c>
      <c r="S196" s="367">
        <v>1</v>
      </c>
      <c r="T196" s="367">
        <v>1</v>
      </c>
      <c r="U196" s="367">
        <v>1</v>
      </c>
      <c r="V196" s="367">
        <v>1</v>
      </c>
      <c r="W196" s="367">
        <v>1</v>
      </c>
      <c r="X196" s="367">
        <v>1</v>
      </c>
      <c r="Y196" s="367">
        <v>1</v>
      </c>
      <c r="Z196" s="367">
        <v>1</v>
      </c>
      <c r="AA196" s="367">
        <v>1</v>
      </c>
      <c r="AB196" s="367">
        <v>1</v>
      </c>
      <c r="AC196" s="367">
        <v>1</v>
      </c>
      <c r="AD196" s="367">
        <v>1</v>
      </c>
      <c r="AE196" s="367">
        <v>1</v>
      </c>
      <c r="AF196" s="367">
        <v>1</v>
      </c>
      <c r="AG196" s="372"/>
      <c r="AH196" s="373">
        <v>1</v>
      </c>
      <c r="AI196" s="372"/>
    </row>
    <row r="197" spans="1:35" x14ac:dyDescent="0.25">
      <c r="A197" s="9" t="s">
        <v>129</v>
      </c>
      <c r="B197" s="9" t="s">
        <v>768</v>
      </c>
      <c r="C197" s="9" t="s">
        <v>105</v>
      </c>
      <c r="D197" s="9" t="s">
        <v>106</v>
      </c>
      <c r="E197" s="367">
        <v>0</v>
      </c>
      <c r="F197" s="367">
        <v>0</v>
      </c>
      <c r="G197" s="367">
        <v>0</v>
      </c>
      <c r="H197" s="367">
        <v>0</v>
      </c>
      <c r="I197" s="367">
        <v>0</v>
      </c>
      <c r="J197" s="367">
        <v>0</v>
      </c>
      <c r="K197" s="367">
        <v>0</v>
      </c>
      <c r="L197" s="367">
        <v>0</v>
      </c>
      <c r="M197" s="367">
        <v>0</v>
      </c>
      <c r="N197" s="367">
        <v>0</v>
      </c>
      <c r="O197" s="367">
        <v>0</v>
      </c>
      <c r="P197" s="367">
        <v>0</v>
      </c>
      <c r="Q197" s="367">
        <v>0</v>
      </c>
      <c r="R197" s="367">
        <v>0</v>
      </c>
      <c r="S197" s="367">
        <v>0</v>
      </c>
      <c r="T197" s="367">
        <v>0</v>
      </c>
      <c r="U197" s="367">
        <v>0</v>
      </c>
      <c r="V197" s="367">
        <v>0</v>
      </c>
      <c r="W197" s="367">
        <v>0</v>
      </c>
      <c r="X197" s="367">
        <v>0</v>
      </c>
      <c r="Y197" s="367">
        <v>0</v>
      </c>
      <c r="Z197" s="367">
        <v>0</v>
      </c>
      <c r="AA197" s="367">
        <v>0</v>
      </c>
      <c r="AB197" s="367">
        <v>0</v>
      </c>
      <c r="AC197" s="367">
        <v>0</v>
      </c>
      <c r="AD197" s="367">
        <v>0</v>
      </c>
      <c r="AE197" s="367">
        <v>0</v>
      </c>
      <c r="AF197" s="367">
        <v>0</v>
      </c>
      <c r="AG197" s="372"/>
      <c r="AH197" s="373">
        <v>1</v>
      </c>
      <c r="AI197" s="372"/>
    </row>
    <row r="198" spans="1:35" x14ac:dyDescent="0.25">
      <c r="A198" s="9" t="s">
        <v>129</v>
      </c>
      <c r="B198" s="9" t="s">
        <v>768</v>
      </c>
      <c r="C198" s="9" t="s">
        <v>107</v>
      </c>
      <c r="D198" s="9" t="s">
        <v>108</v>
      </c>
      <c r="E198" s="367">
        <v>0</v>
      </c>
      <c r="F198" s="367">
        <v>0</v>
      </c>
      <c r="G198" s="367">
        <v>0</v>
      </c>
      <c r="H198" s="367">
        <v>0</v>
      </c>
      <c r="I198" s="367">
        <v>0</v>
      </c>
      <c r="J198" s="367">
        <v>0</v>
      </c>
      <c r="K198" s="367">
        <v>0</v>
      </c>
      <c r="L198" s="367">
        <v>0</v>
      </c>
      <c r="M198" s="367">
        <v>0</v>
      </c>
      <c r="N198" s="367">
        <v>0</v>
      </c>
      <c r="O198" s="367">
        <v>0</v>
      </c>
      <c r="P198" s="367">
        <v>0</v>
      </c>
      <c r="Q198" s="367">
        <v>0</v>
      </c>
      <c r="R198" s="367">
        <v>0</v>
      </c>
      <c r="S198" s="367">
        <v>0</v>
      </c>
      <c r="T198" s="367">
        <v>0</v>
      </c>
      <c r="U198" s="367">
        <v>0</v>
      </c>
      <c r="V198" s="367">
        <v>0</v>
      </c>
      <c r="W198" s="367">
        <v>0</v>
      </c>
      <c r="X198" s="367">
        <v>0</v>
      </c>
      <c r="Y198" s="367">
        <v>0</v>
      </c>
      <c r="Z198" s="367">
        <v>0</v>
      </c>
      <c r="AA198" s="367">
        <v>0</v>
      </c>
      <c r="AB198" s="367">
        <v>0</v>
      </c>
      <c r="AC198" s="367">
        <v>0</v>
      </c>
      <c r="AD198" s="367">
        <v>0</v>
      </c>
      <c r="AE198" s="367">
        <v>0</v>
      </c>
      <c r="AF198" s="367">
        <v>0</v>
      </c>
      <c r="AG198" s="372"/>
      <c r="AH198" s="373">
        <v>1</v>
      </c>
      <c r="AI198" s="372"/>
    </row>
    <row r="199" spans="1:35" x14ac:dyDescent="0.25">
      <c r="A199" s="47" t="s">
        <v>129</v>
      </c>
      <c r="B199" s="47" t="s">
        <v>768</v>
      </c>
      <c r="C199" s="47" t="s">
        <v>109</v>
      </c>
      <c r="D199" s="47" t="s">
        <v>110</v>
      </c>
      <c r="E199" s="368">
        <v>0</v>
      </c>
      <c r="F199" s="368">
        <v>0</v>
      </c>
      <c r="G199" s="368">
        <v>0</v>
      </c>
      <c r="H199" s="368">
        <v>0</v>
      </c>
      <c r="I199" s="368">
        <v>0</v>
      </c>
      <c r="J199" s="368">
        <v>0</v>
      </c>
      <c r="K199" s="368">
        <v>0</v>
      </c>
      <c r="L199" s="368">
        <v>0</v>
      </c>
      <c r="M199" s="368">
        <v>0</v>
      </c>
      <c r="N199" s="368">
        <v>0</v>
      </c>
      <c r="O199" s="368">
        <v>0</v>
      </c>
      <c r="P199" s="368">
        <v>0</v>
      </c>
      <c r="Q199" s="368">
        <v>0</v>
      </c>
      <c r="R199" s="368">
        <v>0</v>
      </c>
      <c r="S199" s="368">
        <v>0</v>
      </c>
      <c r="T199" s="368">
        <v>0</v>
      </c>
      <c r="U199" s="368">
        <v>0</v>
      </c>
      <c r="V199" s="368">
        <v>0</v>
      </c>
      <c r="W199" s="368">
        <v>0</v>
      </c>
      <c r="X199" s="368">
        <v>0</v>
      </c>
      <c r="Y199" s="368">
        <v>0</v>
      </c>
      <c r="Z199" s="368">
        <v>0</v>
      </c>
      <c r="AA199" s="368">
        <v>0</v>
      </c>
      <c r="AB199" s="368">
        <v>0</v>
      </c>
      <c r="AC199" s="368">
        <v>0</v>
      </c>
      <c r="AD199" s="368">
        <v>0</v>
      </c>
      <c r="AE199" s="368">
        <v>0</v>
      </c>
      <c r="AF199" s="368">
        <v>0</v>
      </c>
      <c r="AG199" s="372"/>
      <c r="AH199" s="374">
        <v>1</v>
      </c>
      <c r="AI199" s="372"/>
    </row>
    <row r="200" spans="1:35" x14ac:dyDescent="0.25">
      <c r="A200" s="5" t="s">
        <v>769</v>
      </c>
      <c r="B200" s="5" t="s">
        <v>770</v>
      </c>
      <c r="C200" s="369"/>
      <c r="D200" s="369"/>
      <c r="E200" s="366">
        <f>SUM(E201:E204)</f>
        <v>1</v>
      </c>
      <c r="F200" s="366">
        <f t="shared" ref="F200" si="247">SUM(F201:F204)</f>
        <v>1</v>
      </c>
      <c r="G200" s="366">
        <f t="shared" ref="G200" si="248">SUM(G201:G204)</f>
        <v>1</v>
      </c>
      <c r="H200" s="366">
        <f t="shared" ref="H200" si="249">SUM(H201:H204)</f>
        <v>1</v>
      </c>
      <c r="I200" s="366">
        <f t="shared" ref="I200" si="250">SUM(I201:I204)</f>
        <v>1</v>
      </c>
      <c r="J200" s="366">
        <f t="shared" ref="J200" si="251">SUM(J201:J204)</f>
        <v>1</v>
      </c>
      <c r="K200" s="366">
        <f t="shared" ref="K200" si="252">SUM(K201:K204)</f>
        <v>1</v>
      </c>
      <c r="L200" s="366">
        <f t="shared" ref="L200" si="253">SUM(L201:L204)</f>
        <v>1</v>
      </c>
      <c r="M200" s="366">
        <f t="shared" ref="M200" si="254">SUM(M201:M204)</f>
        <v>1</v>
      </c>
      <c r="N200" s="366">
        <f t="shared" ref="N200" si="255">SUM(N201:N204)</f>
        <v>1</v>
      </c>
      <c r="O200" s="366">
        <f t="shared" ref="O200" si="256">SUM(O201:O204)</f>
        <v>1</v>
      </c>
      <c r="P200" s="366">
        <f t="shared" ref="P200" si="257">SUM(P201:P204)</f>
        <v>1</v>
      </c>
      <c r="Q200" s="366">
        <f t="shared" ref="Q200" si="258">SUM(Q201:Q204)</f>
        <v>1</v>
      </c>
      <c r="R200" s="366">
        <f t="shared" ref="R200" si="259">SUM(R201:R204)</f>
        <v>1</v>
      </c>
      <c r="S200" s="366">
        <f t="shared" ref="S200" si="260">SUM(S201:S204)</f>
        <v>1</v>
      </c>
      <c r="T200" s="366">
        <f t="shared" ref="T200" si="261">SUM(T201:T204)</f>
        <v>1</v>
      </c>
      <c r="U200" s="366">
        <f t="shared" ref="U200" si="262">SUM(U201:U204)</f>
        <v>1</v>
      </c>
      <c r="V200" s="366">
        <f t="shared" ref="V200" si="263">SUM(V201:V204)</f>
        <v>1</v>
      </c>
      <c r="W200" s="366">
        <f t="shared" ref="W200" si="264">SUM(W201:W204)</f>
        <v>1</v>
      </c>
      <c r="X200" s="366">
        <f t="shared" ref="X200" si="265">SUM(X201:X204)</f>
        <v>1</v>
      </c>
      <c r="Y200" s="366">
        <f t="shared" ref="Y200" si="266">SUM(Y201:Y204)</f>
        <v>1</v>
      </c>
      <c r="Z200" s="366">
        <f t="shared" ref="Z200" si="267">SUM(Z201:Z204)</f>
        <v>1</v>
      </c>
      <c r="AA200" s="366">
        <f t="shared" ref="AA200" si="268">SUM(AA201:AA204)</f>
        <v>1</v>
      </c>
      <c r="AB200" s="366">
        <f t="shared" ref="AB200" si="269">SUM(AB201:AB204)</f>
        <v>1</v>
      </c>
      <c r="AC200" s="366">
        <f t="shared" ref="AC200" si="270">SUM(AC201:AC204)</f>
        <v>1</v>
      </c>
      <c r="AD200" s="366">
        <f t="shared" ref="AD200" si="271">SUM(AD201:AD204)</f>
        <v>1</v>
      </c>
      <c r="AE200" s="366">
        <f t="shared" ref="AE200" si="272">SUM(AE201:AE204)</f>
        <v>1</v>
      </c>
      <c r="AF200" s="366">
        <f t="shared" ref="AF200" si="273">SUM(AF201:AF204)</f>
        <v>1</v>
      </c>
      <c r="AG200" s="371"/>
      <c r="AH200" s="375"/>
      <c r="AI200" s="371"/>
    </row>
    <row r="201" spans="1:35" x14ac:dyDescent="0.25">
      <c r="A201" s="9" t="s">
        <v>769</v>
      </c>
      <c r="B201" s="9" t="s">
        <v>770</v>
      </c>
      <c r="C201" s="9" t="s">
        <v>103</v>
      </c>
      <c r="D201" s="9" t="s">
        <v>104</v>
      </c>
      <c r="E201" s="367">
        <v>0.35</v>
      </c>
      <c r="F201" s="367">
        <v>0.35</v>
      </c>
      <c r="G201" s="367">
        <v>0.35</v>
      </c>
      <c r="H201" s="367">
        <v>0.35</v>
      </c>
      <c r="I201" s="367">
        <v>0.35</v>
      </c>
      <c r="J201" s="367">
        <v>0.35</v>
      </c>
      <c r="K201" s="367">
        <v>0.35</v>
      </c>
      <c r="L201" s="367">
        <v>0.35</v>
      </c>
      <c r="M201" s="367">
        <v>0.35</v>
      </c>
      <c r="N201" s="367">
        <v>0.35</v>
      </c>
      <c r="O201" s="367">
        <v>0.35</v>
      </c>
      <c r="P201" s="367">
        <v>0.35</v>
      </c>
      <c r="Q201" s="367">
        <v>0.35</v>
      </c>
      <c r="R201" s="367">
        <v>0.35</v>
      </c>
      <c r="S201" s="367">
        <v>0.35</v>
      </c>
      <c r="T201" s="367">
        <v>0.35</v>
      </c>
      <c r="U201" s="367">
        <v>0.35</v>
      </c>
      <c r="V201" s="367">
        <v>0.35</v>
      </c>
      <c r="W201" s="367">
        <v>0.35</v>
      </c>
      <c r="X201" s="367">
        <v>0.35</v>
      </c>
      <c r="Y201" s="367">
        <v>0.35</v>
      </c>
      <c r="Z201" s="367">
        <v>0.35</v>
      </c>
      <c r="AA201" s="367">
        <v>0.35</v>
      </c>
      <c r="AB201" s="367">
        <v>0.35</v>
      </c>
      <c r="AC201" s="367">
        <v>0.35</v>
      </c>
      <c r="AD201" s="367">
        <v>0.35</v>
      </c>
      <c r="AE201" s="367">
        <v>0.35</v>
      </c>
      <c r="AF201" s="367">
        <v>0.35</v>
      </c>
      <c r="AG201" s="372"/>
      <c r="AH201" s="373">
        <v>0.4</v>
      </c>
      <c r="AI201" s="372"/>
    </row>
    <row r="202" spans="1:35" x14ac:dyDescent="0.25">
      <c r="A202" s="9" t="s">
        <v>769</v>
      </c>
      <c r="B202" s="9" t="s">
        <v>770</v>
      </c>
      <c r="C202" s="9" t="s">
        <v>105</v>
      </c>
      <c r="D202" s="9" t="s">
        <v>106</v>
      </c>
      <c r="E202" s="367">
        <v>0.47</v>
      </c>
      <c r="F202" s="367">
        <v>0.47</v>
      </c>
      <c r="G202" s="367">
        <v>0.47</v>
      </c>
      <c r="H202" s="367">
        <v>0.47</v>
      </c>
      <c r="I202" s="367">
        <v>0.47</v>
      </c>
      <c r="J202" s="367">
        <v>0.47</v>
      </c>
      <c r="K202" s="367">
        <v>0.47</v>
      </c>
      <c r="L202" s="367">
        <v>0.47</v>
      </c>
      <c r="M202" s="367">
        <v>0.47</v>
      </c>
      <c r="N202" s="367">
        <v>0.47</v>
      </c>
      <c r="O202" s="367">
        <v>0.47</v>
      </c>
      <c r="P202" s="367">
        <v>0.47</v>
      </c>
      <c r="Q202" s="367">
        <v>0.47</v>
      </c>
      <c r="R202" s="367">
        <v>0.47</v>
      </c>
      <c r="S202" s="367">
        <v>0.47</v>
      </c>
      <c r="T202" s="367">
        <v>0.47</v>
      </c>
      <c r="U202" s="367">
        <v>0.47</v>
      </c>
      <c r="V202" s="367">
        <v>0.47</v>
      </c>
      <c r="W202" s="367">
        <v>0.47</v>
      </c>
      <c r="X202" s="367">
        <v>0.47</v>
      </c>
      <c r="Y202" s="367">
        <v>0.47</v>
      </c>
      <c r="Z202" s="367">
        <v>0.47</v>
      </c>
      <c r="AA202" s="367">
        <v>0.47</v>
      </c>
      <c r="AB202" s="367">
        <v>0.47</v>
      </c>
      <c r="AC202" s="367">
        <v>0.47</v>
      </c>
      <c r="AD202" s="367">
        <v>0.47</v>
      </c>
      <c r="AE202" s="367">
        <v>0.47</v>
      </c>
      <c r="AF202" s="367">
        <v>0.47</v>
      </c>
      <c r="AG202" s="372"/>
      <c r="AH202" s="373">
        <v>0.4</v>
      </c>
      <c r="AI202" s="372"/>
    </row>
    <row r="203" spans="1:35" x14ac:dyDescent="0.25">
      <c r="A203" s="9" t="s">
        <v>769</v>
      </c>
      <c r="B203" s="9" t="s">
        <v>770</v>
      </c>
      <c r="C203" s="9" t="s">
        <v>107</v>
      </c>
      <c r="D203" s="9" t="s">
        <v>108</v>
      </c>
      <c r="E203" s="367">
        <v>0.08</v>
      </c>
      <c r="F203" s="367">
        <v>0.08</v>
      </c>
      <c r="G203" s="367">
        <v>0.08</v>
      </c>
      <c r="H203" s="367">
        <v>0.08</v>
      </c>
      <c r="I203" s="367">
        <v>0.08</v>
      </c>
      <c r="J203" s="367">
        <v>0.08</v>
      </c>
      <c r="K203" s="367">
        <v>0.08</v>
      </c>
      <c r="L203" s="367">
        <v>0.08</v>
      </c>
      <c r="M203" s="367">
        <v>0.08</v>
      </c>
      <c r="N203" s="367">
        <v>0.08</v>
      </c>
      <c r="O203" s="367">
        <v>0.08</v>
      </c>
      <c r="P203" s="367">
        <v>0.08</v>
      </c>
      <c r="Q203" s="367">
        <v>0.08</v>
      </c>
      <c r="R203" s="367">
        <v>0.08</v>
      </c>
      <c r="S203" s="367">
        <v>0.08</v>
      </c>
      <c r="T203" s="367">
        <v>0.08</v>
      </c>
      <c r="U203" s="367">
        <v>0.08</v>
      </c>
      <c r="V203" s="367">
        <v>0.08</v>
      </c>
      <c r="W203" s="367">
        <v>0.08</v>
      </c>
      <c r="X203" s="367">
        <v>0.08</v>
      </c>
      <c r="Y203" s="367">
        <v>0.08</v>
      </c>
      <c r="Z203" s="367">
        <v>0.08</v>
      </c>
      <c r="AA203" s="367">
        <v>0.08</v>
      </c>
      <c r="AB203" s="367">
        <v>0.08</v>
      </c>
      <c r="AC203" s="367">
        <v>0.08</v>
      </c>
      <c r="AD203" s="367">
        <v>0.08</v>
      </c>
      <c r="AE203" s="367">
        <v>0.08</v>
      </c>
      <c r="AF203" s="367">
        <v>0.08</v>
      </c>
      <c r="AG203" s="372"/>
      <c r="AH203" s="373">
        <v>0.4</v>
      </c>
      <c r="AI203" s="372"/>
    </row>
    <row r="204" spans="1:35" x14ac:dyDescent="0.25">
      <c r="A204" s="47" t="s">
        <v>769</v>
      </c>
      <c r="B204" s="47" t="s">
        <v>770</v>
      </c>
      <c r="C204" s="47" t="s">
        <v>109</v>
      </c>
      <c r="D204" s="47" t="s">
        <v>110</v>
      </c>
      <c r="E204" s="368">
        <v>0.10000000000000009</v>
      </c>
      <c r="F204" s="368">
        <v>0.10000000000000009</v>
      </c>
      <c r="G204" s="368">
        <v>0.10000000000000009</v>
      </c>
      <c r="H204" s="368">
        <v>0.10000000000000009</v>
      </c>
      <c r="I204" s="368">
        <v>0.10000000000000009</v>
      </c>
      <c r="J204" s="368">
        <v>0.10000000000000009</v>
      </c>
      <c r="K204" s="368">
        <v>0.10000000000000009</v>
      </c>
      <c r="L204" s="368">
        <v>0.10000000000000009</v>
      </c>
      <c r="M204" s="368">
        <v>0.10000000000000009</v>
      </c>
      <c r="N204" s="368">
        <v>0.10000000000000009</v>
      </c>
      <c r="O204" s="368">
        <v>0.10000000000000009</v>
      </c>
      <c r="P204" s="368">
        <v>0.10000000000000009</v>
      </c>
      <c r="Q204" s="368">
        <v>0.10000000000000009</v>
      </c>
      <c r="R204" s="368">
        <v>0.10000000000000009</v>
      </c>
      <c r="S204" s="368">
        <v>0.10000000000000009</v>
      </c>
      <c r="T204" s="368">
        <v>0.10000000000000009</v>
      </c>
      <c r="U204" s="368">
        <v>0.10000000000000009</v>
      </c>
      <c r="V204" s="368">
        <v>0.10000000000000009</v>
      </c>
      <c r="W204" s="368">
        <v>0.10000000000000009</v>
      </c>
      <c r="X204" s="368">
        <v>0.10000000000000009</v>
      </c>
      <c r="Y204" s="368">
        <v>0.10000000000000009</v>
      </c>
      <c r="Z204" s="368">
        <v>0.10000000000000009</v>
      </c>
      <c r="AA204" s="368">
        <v>0.10000000000000009</v>
      </c>
      <c r="AB204" s="368">
        <v>0.10000000000000009</v>
      </c>
      <c r="AC204" s="368">
        <v>0.10000000000000009</v>
      </c>
      <c r="AD204" s="368">
        <v>0.10000000000000009</v>
      </c>
      <c r="AE204" s="368">
        <v>0.10000000000000009</v>
      </c>
      <c r="AF204" s="368">
        <v>0.10000000000000009</v>
      </c>
      <c r="AG204" s="372"/>
      <c r="AH204" s="374">
        <v>0.4</v>
      </c>
      <c r="AI204" s="372"/>
    </row>
    <row r="205" spans="1:35" x14ac:dyDescent="0.25">
      <c r="A205" s="12" t="s">
        <v>771</v>
      </c>
      <c r="B205" s="12" t="s">
        <v>331</v>
      </c>
      <c r="C205" s="369"/>
      <c r="D205" s="369"/>
      <c r="E205" s="366">
        <f>SUM(E206:E209)</f>
        <v>1</v>
      </c>
      <c r="F205" s="366">
        <f t="shared" ref="F205" si="274">SUM(F206:F209)</f>
        <v>1</v>
      </c>
      <c r="G205" s="366">
        <f t="shared" ref="G205" si="275">SUM(G206:G209)</f>
        <v>1</v>
      </c>
      <c r="H205" s="366">
        <f t="shared" ref="H205" si="276">SUM(H206:H209)</f>
        <v>1</v>
      </c>
      <c r="I205" s="366">
        <f t="shared" ref="I205" si="277">SUM(I206:I209)</f>
        <v>1</v>
      </c>
      <c r="J205" s="366">
        <f t="shared" ref="J205" si="278">SUM(J206:J209)</f>
        <v>1</v>
      </c>
      <c r="K205" s="366">
        <f t="shared" ref="K205" si="279">SUM(K206:K209)</f>
        <v>1</v>
      </c>
      <c r="L205" s="366">
        <f t="shared" ref="L205" si="280">SUM(L206:L209)</f>
        <v>1</v>
      </c>
      <c r="M205" s="366">
        <f t="shared" ref="M205" si="281">SUM(M206:M209)</f>
        <v>1</v>
      </c>
      <c r="N205" s="366">
        <f t="shared" ref="N205" si="282">SUM(N206:N209)</f>
        <v>1</v>
      </c>
      <c r="O205" s="366">
        <f t="shared" ref="O205" si="283">SUM(O206:O209)</f>
        <v>1</v>
      </c>
      <c r="P205" s="366">
        <f t="shared" ref="P205" si="284">SUM(P206:P209)</f>
        <v>1</v>
      </c>
      <c r="Q205" s="366">
        <f t="shared" ref="Q205" si="285">SUM(Q206:Q209)</f>
        <v>1</v>
      </c>
      <c r="R205" s="366">
        <f t="shared" ref="R205" si="286">SUM(R206:R209)</f>
        <v>1</v>
      </c>
      <c r="S205" s="366">
        <f t="shared" ref="S205" si="287">SUM(S206:S209)</f>
        <v>1</v>
      </c>
      <c r="T205" s="366">
        <f t="shared" ref="T205" si="288">SUM(T206:T209)</f>
        <v>1</v>
      </c>
      <c r="U205" s="366">
        <f t="shared" ref="U205" si="289">SUM(U206:U209)</f>
        <v>1</v>
      </c>
      <c r="V205" s="366">
        <f t="shared" ref="V205" si="290">SUM(V206:V209)</f>
        <v>1</v>
      </c>
      <c r="W205" s="366">
        <f t="shared" ref="W205" si="291">SUM(W206:W209)</f>
        <v>1</v>
      </c>
      <c r="X205" s="366">
        <f t="shared" ref="X205" si="292">SUM(X206:X209)</f>
        <v>1</v>
      </c>
      <c r="Y205" s="366">
        <f t="shared" ref="Y205" si="293">SUM(Y206:Y209)</f>
        <v>1</v>
      </c>
      <c r="Z205" s="366">
        <f t="shared" ref="Z205" si="294">SUM(Z206:Z209)</f>
        <v>1</v>
      </c>
      <c r="AA205" s="366">
        <f t="shared" ref="AA205" si="295">SUM(AA206:AA209)</f>
        <v>1</v>
      </c>
      <c r="AB205" s="366">
        <f t="shared" ref="AB205" si="296">SUM(AB206:AB209)</f>
        <v>1</v>
      </c>
      <c r="AC205" s="366">
        <f t="shared" ref="AC205" si="297">SUM(AC206:AC209)</f>
        <v>1</v>
      </c>
      <c r="AD205" s="366">
        <f t="shared" ref="AD205" si="298">SUM(AD206:AD209)</f>
        <v>1</v>
      </c>
      <c r="AE205" s="366">
        <f t="shared" ref="AE205" si="299">SUM(AE206:AE209)</f>
        <v>1</v>
      </c>
      <c r="AF205" s="366">
        <f t="shared" ref="AF205" si="300">SUM(AF206:AF209)</f>
        <v>1</v>
      </c>
      <c r="AG205" s="371"/>
      <c r="AH205" s="375"/>
      <c r="AI205" s="371"/>
    </row>
    <row r="206" spans="1:35" x14ac:dyDescent="0.25">
      <c r="A206" s="9" t="s">
        <v>771</v>
      </c>
      <c r="B206" s="9" t="s">
        <v>331</v>
      </c>
      <c r="C206" s="9" t="s">
        <v>103</v>
      </c>
      <c r="D206" s="9" t="s">
        <v>104</v>
      </c>
      <c r="E206" s="367">
        <v>0</v>
      </c>
      <c r="F206" s="367">
        <v>0</v>
      </c>
      <c r="G206" s="367">
        <v>0</v>
      </c>
      <c r="H206" s="367">
        <v>0</v>
      </c>
      <c r="I206" s="367">
        <v>0</v>
      </c>
      <c r="J206" s="367">
        <v>0</v>
      </c>
      <c r="K206" s="367">
        <v>0</v>
      </c>
      <c r="L206" s="367">
        <v>0</v>
      </c>
      <c r="M206" s="367">
        <v>0</v>
      </c>
      <c r="N206" s="367">
        <v>0</v>
      </c>
      <c r="O206" s="367">
        <v>0</v>
      </c>
      <c r="P206" s="367">
        <v>0</v>
      </c>
      <c r="Q206" s="367">
        <v>0</v>
      </c>
      <c r="R206" s="367">
        <v>0</v>
      </c>
      <c r="S206" s="367">
        <v>0</v>
      </c>
      <c r="T206" s="367">
        <v>0</v>
      </c>
      <c r="U206" s="367">
        <v>0</v>
      </c>
      <c r="V206" s="367">
        <v>0</v>
      </c>
      <c r="W206" s="367">
        <v>0</v>
      </c>
      <c r="X206" s="367">
        <v>0</v>
      </c>
      <c r="Y206" s="367">
        <v>0</v>
      </c>
      <c r="Z206" s="367">
        <v>0</v>
      </c>
      <c r="AA206" s="367">
        <v>0</v>
      </c>
      <c r="AB206" s="367">
        <v>0</v>
      </c>
      <c r="AC206" s="367">
        <v>0</v>
      </c>
      <c r="AD206" s="367">
        <v>0</v>
      </c>
      <c r="AE206" s="367">
        <v>0</v>
      </c>
      <c r="AF206" s="367">
        <v>0</v>
      </c>
      <c r="AG206" s="372"/>
      <c r="AH206" s="373">
        <v>0.4</v>
      </c>
      <c r="AI206" s="372"/>
    </row>
    <row r="207" spans="1:35" x14ac:dyDescent="0.25">
      <c r="A207" s="9" t="s">
        <v>771</v>
      </c>
      <c r="B207" s="9" t="s">
        <v>331</v>
      </c>
      <c r="C207" s="9" t="s">
        <v>105</v>
      </c>
      <c r="D207" s="9" t="s">
        <v>106</v>
      </c>
      <c r="E207" s="367">
        <v>1</v>
      </c>
      <c r="F207" s="367">
        <v>1</v>
      </c>
      <c r="G207" s="367">
        <v>1</v>
      </c>
      <c r="H207" s="367">
        <v>1</v>
      </c>
      <c r="I207" s="367">
        <v>1</v>
      </c>
      <c r="J207" s="367">
        <v>1</v>
      </c>
      <c r="K207" s="367">
        <v>1</v>
      </c>
      <c r="L207" s="367">
        <v>1</v>
      </c>
      <c r="M207" s="367">
        <v>1</v>
      </c>
      <c r="N207" s="367">
        <v>1</v>
      </c>
      <c r="O207" s="367">
        <v>1</v>
      </c>
      <c r="P207" s="367">
        <v>1</v>
      </c>
      <c r="Q207" s="367">
        <v>1</v>
      </c>
      <c r="R207" s="367">
        <v>1</v>
      </c>
      <c r="S207" s="367">
        <v>1</v>
      </c>
      <c r="T207" s="367">
        <v>1</v>
      </c>
      <c r="U207" s="367">
        <v>1</v>
      </c>
      <c r="V207" s="367">
        <v>1</v>
      </c>
      <c r="W207" s="367">
        <v>1</v>
      </c>
      <c r="X207" s="367">
        <v>1</v>
      </c>
      <c r="Y207" s="367">
        <v>1</v>
      </c>
      <c r="Z207" s="367">
        <v>1</v>
      </c>
      <c r="AA207" s="367">
        <v>1</v>
      </c>
      <c r="AB207" s="367">
        <v>1</v>
      </c>
      <c r="AC207" s="367">
        <v>1</v>
      </c>
      <c r="AD207" s="367">
        <v>1</v>
      </c>
      <c r="AE207" s="367">
        <v>1</v>
      </c>
      <c r="AF207" s="367">
        <v>1</v>
      </c>
      <c r="AG207" s="372"/>
      <c r="AH207" s="373">
        <v>0.4</v>
      </c>
      <c r="AI207" s="372"/>
    </row>
    <row r="208" spans="1:35" x14ac:dyDescent="0.25">
      <c r="A208" s="9" t="s">
        <v>771</v>
      </c>
      <c r="B208" s="9" t="s">
        <v>331</v>
      </c>
      <c r="C208" s="9" t="s">
        <v>107</v>
      </c>
      <c r="D208" s="9" t="s">
        <v>108</v>
      </c>
      <c r="E208" s="367">
        <v>0</v>
      </c>
      <c r="F208" s="367">
        <v>0</v>
      </c>
      <c r="G208" s="367">
        <v>0</v>
      </c>
      <c r="H208" s="367">
        <v>0</v>
      </c>
      <c r="I208" s="367">
        <v>0</v>
      </c>
      <c r="J208" s="367">
        <v>0</v>
      </c>
      <c r="K208" s="367">
        <v>0</v>
      </c>
      <c r="L208" s="367">
        <v>0</v>
      </c>
      <c r="M208" s="367">
        <v>0</v>
      </c>
      <c r="N208" s="367">
        <v>0</v>
      </c>
      <c r="O208" s="367">
        <v>0</v>
      </c>
      <c r="P208" s="367">
        <v>0</v>
      </c>
      <c r="Q208" s="367">
        <v>0</v>
      </c>
      <c r="R208" s="367">
        <v>0</v>
      </c>
      <c r="S208" s="367">
        <v>0</v>
      </c>
      <c r="T208" s="367">
        <v>0</v>
      </c>
      <c r="U208" s="367">
        <v>0</v>
      </c>
      <c r="V208" s="367">
        <v>0</v>
      </c>
      <c r="W208" s="367">
        <v>0</v>
      </c>
      <c r="X208" s="367">
        <v>0</v>
      </c>
      <c r="Y208" s="367">
        <v>0</v>
      </c>
      <c r="Z208" s="367">
        <v>0</v>
      </c>
      <c r="AA208" s="367">
        <v>0</v>
      </c>
      <c r="AB208" s="367">
        <v>0</v>
      </c>
      <c r="AC208" s="367">
        <v>0</v>
      </c>
      <c r="AD208" s="367">
        <v>0</v>
      </c>
      <c r="AE208" s="367">
        <v>0</v>
      </c>
      <c r="AF208" s="367">
        <v>0</v>
      </c>
      <c r="AG208" s="372"/>
      <c r="AH208" s="373">
        <v>0.4</v>
      </c>
      <c r="AI208" s="372"/>
    </row>
    <row r="209" spans="1:35" x14ac:dyDescent="0.25">
      <c r="A209" s="47" t="s">
        <v>771</v>
      </c>
      <c r="B209" s="47" t="s">
        <v>331</v>
      </c>
      <c r="C209" s="47" t="s">
        <v>109</v>
      </c>
      <c r="D209" s="47" t="s">
        <v>110</v>
      </c>
      <c r="E209" s="368">
        <v>0</v>
      </c>
      <c r="F209" s="368">
        <v>0</v>
      </c>
      <c r="G209" s="368">
        <v>0</v>
      </c>
      <c r="H209" s="368">
        <v>0</v>
      </c>
      <c r="I209" s="368">
        <v>0</v>
      </c>
      <c r="J209" s="368">
        <v>0</v>
      </c>
      <c r="K209" s="368">
        <v>0</v>
      </c>
      <c r="L209" s="368">
        <v>0</v>
      </c>
      <c r="M209" s="368">
        <v>0</v>
      </c>
      <c r="N209" s="368">
        <v>0</v>
      </c>
      <c r="O209" s="368">
        <v>0</v>
      </c>
      <c r="P209" s="368">
        <v>0</v>
      </c>
      <c r="Q209" s="368">
        <v>0</v>
      </c>
      <c r="R209" s="368">
        <v>0</v>
      </c>
      <c r="S209" s="368">
        <v>0</v>
      </c>
      <c r="T209" s="368">
        <v>0</v>
      </c>
      <c r="U209" s="368">
        <v>0</v>
      </c>
      <c r="V209" s="368">
        <v>0</v>
      </c>
      <c r="W209" s="368">
        <v>0</v>
      </c>
      <c r="X209" s="368">
        <v>0</v>
      </c>
      <c r="Y209" s="368">
        <v>0</v>
      </c>
      <c r="Z209" s="368">
        <v>0</v>
      </c>
      <c r="AA209" s="368">
        <v>0</v>
      </c>
      <c r="AB209" s="368">
        <v>0</v>
      </c>
      <c r="AC209" s="368">
        <v>0</v>
      </c>
      <c r="AD209" s="368">
        <v>0</v>
      </c>
      <c r="AE209" s="368">
        <v>0</v>
      </c>
      <c r="AF209" s="368">
        <v>0</v>
      </c>
      <c r="AG209" s="372"/>
      <c r="AH209" s="374">
        <v>0.4</v>
      </c>
      <c r="AI209" s="372"/>
    </row>
    <row r="210" spans="1:35" x14ac:dyDescent="0.25">
      <c r="A210" s="12" t="s">
        <v>116</v>
      </c>
      <c r="B210" s="12" t="s">
        <v>772</v>
      </c>
      <c r="C210" s="369"/>
      <c r="D210" s="369"/>
      <c r="E210" s="366">
        <f>SUM(E211:E214)</f>
        <v>1</v>
      </c>
      <c r="F210" s="366">
        <f t="shared" ref="F210" si="301">SUM(F211:F214)</f>
        <v>1</v>
      </c>
      <c r="G210" s="366">
        <f t="shared" ref="G210" si="302">SUM(G211:G214)</f>
        <v>1</v>
      </c>
      <c r="H210" s="366">
        <f t="shared" ref="H210" si="303">SUM(H211:H214)</f>
        <v>1</v>
      </c>
      <c r="I210" s="366">
        <f t="shared" ref="I210" si="304">SUM(I211:I214)</f>
        <v>1</v>
      </c>
      <c r="J210" s="366">
        <f t="shared" ref="J210" si="305">SUM(J211:J214)</f>
        <v>1</v>
      </c>
      <c r="K210" s="366">
        <f t="shared" ref="K210" si="306">SUM(K211:K214)</f>
        <v>1</v>
      </c>
      <c r="L210" s="366">
        <f t="shared" ref="L210" si="307">SUM(L211:L214)</f>
        <v>1</v>
      </c>
      <c r="M210" s="366">
        <f t="shared" ref="M210" si="308">SUM(M211:M214)</f>
        <v>1</v>
      </c>
      <c r="N210" s="366">
        <f t="shared" ref="N210" si="309">SUM(N211:N214)</f>
        <v>1</v>
      </c>
      <c r="O210" s="366">
        <f t="shared" ref="O210" si="310">SUM(O211:O214)</f>
        <v>1</v>
      </c>
      <c r="P210" s="366">
        <f t="shared" ref="P210" si="311">SUM(P211:P214)</f>
        <v>1</v>
      </c>
      <c r="Q210" s="366">
        <f t="shared" ref="Q210" si="312">SUM(Q211:Q214)</f>
        <v>1</v>
      </c>
      <c r="R210" s="366">
        <f t="shared" ref="R210" si="313">SUM(R211:R214)</f>
        <v>1</v>
      </c>
      <c r="S210" s="366">
        <f t="shared" ref="S210" si="314">SUM(S211:S214)</f>
        <v>1</v>
      </c>
      <c r="T210" s="366">
        <f t="shared" ref="T210" si="315">SUM(T211:T214)</f>
        <v>1</v>
      </c>
      <c r="U210" s="366">
        <f t="shared" ref="U210" si="316">SUM(U211:U214)</f>
        <v>1</v>
      </c>
      <c r="V210" s="366">
        <f t="shared" ref="V210" si="317">SUM(V211:V214)</f>
        <v>1</v>
      </c>
      <c r="W210" s="366">
        <f t="shared" ref="W210" si="318">SUM(W211:W214)</f>
        <v>1</v>
      </c>
      <c r="X210" s="366">
        <f t="shared" ref="X210" si="319">SUM(X211:X214)</f>
        <v>1</v>
      </c>
      <c r="Y210" s="366">
        <f t="shared" ref="Y210" si="320">SUM(Y211:Y214)</f>
        <v>1</v>
      </c>
      <c r="Z210" s="366">
        <f t="shared" ref="Z210" si="321">SUM(Z211:Z214)</f>
        <v>1</v>
      </c>
      <c r="AA210" s="366">
        <f t="shared" ref="AA210" si="322">SUM(AA211:AA214)</f>
        <v>1</v>
      </c>
      <c r="AB210" s="366">
        <f t="shared" ref="AB210" si="323">SUM(AB211:AB214)</f>
        <v>1</v>
      </c>
      <c r="AC210" s="366">
        <f t="shared" ref="AC210" si="324">SUM(AC211:AC214)</f>
        <v>1</v>
      </c>
      <c r="AD210" s="366">
        <f t="shared" ref="AD210" si="325">SUM(AD211:AD214)</f>
        <v>1</v>
      </c>
      <c r="AE210" s="366">
        <f t="shared" ref="AE210" si="326">SUM(AE211:AE214)</f>
        <v>1</v>
      </c>
      <c r="AF210" s="366">
        <f t="shared" ref="AF210" si="327">SUM(AF211:AF214)</f>
        <v>1</v>
      </c>
      <c r="AG210" s="371"/>
      <c r="AH210" s="375"/>
      <c r="AI210" s="371"/>
    </row>
    <row r="211" spans="1:35" x14ac:dyDescent="0.25">
      <c r="A211" s="9" t="s">
        <v>116</v>
      </c>
      <c r="B211" s="9" t="s">
        <v>772</v>
      </c>
      <c r="C211" s="9" t="s">
        <v>103</v>
      </c>
      <c r="D211" s="9" t="s">
        <v>104</v>
      </c>
      <c r="E211" s="367">
        <v>1</v>
      </c>
      <c r="F211" s="367">
        <v>1</v>
      </c>
      <c r="G211" s="367">
        <v>1</v>
      </c>
      <c r="H211" s="367">
        <v>1</v>
      </c>
      <c r="I211" s="367">
        <v>1</v>
      </c>
      <c r="J211" s="367">
        <v>1</v>
      </c>
      <c r="K211" s="367">
        <v>1</v>
      </c>
      <c r="L211" s="367">
        <v>1</v>
      </c>
      <c r="M211" s="367">
        <v>1</v>
      </c>
      <c r="N211" s="367">
        <v>1</v>
      </c>
      <c r="O211" s="367">
        <v>1</v>
      </c>
      <c r="P211" s="367">
        <v>1</v>
      </c>
      <c r="Q211" s="367">
        <v>1</v>
      </c>
      <c r="R211" s="367">
        <v>1</v>
      </c>
      <c r="S211" s="367">
        <v>1</v>
      </c>
      <c r="T211" s="367">
        <v>1</v>
      </c>
      <c r="U211" s="367">
        <v>1</v>
      </c>
      <c r="V211" s="367">
        <v>1</v>
      </c>
      <c r="W211" s="367">
        <v>1</v>
      </c>
      <c r="X211" s="367">
        <v>1</v>
      </c>
      <c r="Y211" s="367">
        <v>1</v>
      </c>
      <c r="Z211" s="367">
        <v>1</v>
      </c>
      <c r="AA211" s="367">
        <v>1</v>
      </c>
      <c r="AB211" s="367">
        <v>1</v>
      </c>
      <c r="AC211" s="367">
        <v>1</v>
      </c>
      <c r="AD211" s="367">
        <v>1</v>
      </c>
      <c r="AE211" s="367">
        <v>1</v>
      </c>
      <c r="AF211" s="367">
        <v>1</v>
      </c>
      <c r="AG211" s="372"/>
      <c r="AH211" s="373">
        <v>0.4</v>
      </c>
      <c r="AI211" s="372"/>
    </row>
    <row r="212" spans="1:35" x14ac:dyDescent="0.25">
      <c r="A212" s="9" t="s">
        <v>116</v>
      </c>
      <c r="B212" s="9" t="s">
        <v>772</v>
      </c>
      <c r="C212" s="9" t="s">
        <v>105</v>
      </c>
      <c r="D212" s="9" t="s">
        <v>106</v>
      </c>
      <c r="E212" s="367">
        <v>0</v>
      </c>
      <c r="F212" s="367">
        <v>0</v>
      </c>
      <c r="G212" s="367">
        <v>0</v>
      </c>
      <c r="H212" s="367">
        <v>0</v>
      </c>
      <c r="I212" s="367">
        <v>0</v>
      </c>
      <c r="J212" s="367">
        <v>0</v>
      </c>
      <c r="K212" s="367">
        <v>0</v>
      </c>
      <c r="L212" s="367">
        <v>0</v>
      </c>
      <c r="M212" s="367">
        <v>0</v>
      </c>
      <c r="N212" s="367">
        <v>0</v>
      </c>
      <c r="O212" s="367">
        <v>0</v>
      </c>
      <c r="P212" s="367">
        <v>0</v>
      </c>
      <c r="Q212" s="367">
        <v>0</v>
      </c>
      <c r="R212" s="367">
        <v>0</v>
      </c>
      <c r="S212" s="367">
        <v>0</v>
      </c>
      <c r="T212" s="367">
        <v>0</v>
      </c>
      <c r="U212" s="367">
        <v>0</v>
      </c>
      <c r="V212" s="367">
        <v>0</v>
      </c>
      <c r="W212" s="367">
        <v>0</v>
      </c>
      <c r="X212" s="367">
        <v>0</v>
      </c>
      <c r="Y212" s="367">
        <v>0</v>
      </c>
      <c r="Z212" s="367">
        <v>0</v>
      </c>
      <c r="AA212" s="367">
        <v>0</v>
      </c>
      <c r="AB212" s="367">
        <v>0</v>
      </c>
      <c r="AC212" s="367">
        <v>0</v>
      </c>
      <c r="AD212" s="367">
        <v>0</v>
      </c>
      <c r="AE212" s="367">
        <v>0</v>
      </c>
      <c r="AF212" s="367">
        <v>0</v>
      </c>
      <c r="AG212" s="372"/>
      <c r="AH212" s="373">
        <v>0.4</v>
      </c>
      <c r="AI212" s="372"/>
    </row>
    <row r="213" spans="1:35" x14ac:dyDescent="0.25">
      <c r="A213" s="9" t="s">
        <v>116</v>
      </c>
      <c r="B213" s="9" t="s">
        <v>772</v>
      </c>
      <c r="C213" s="9" t="s">
        <v>107</v>
      </c>
      <c r="D213" s="9" t="s">
        <v>108</v>
      </c>
      <c r="E213" s="367">
        <v>0</v>
      </c>
      <c r="F213" s="367">
        <v>0</v>
      </c>
      <c r="G213" s="367">
        <v>0</v>
      </c>
      <c r="H213" s="367">
        <v>0</v>
      </c>
      <c r="I213" s="367">
        <v>0</v>
      </c>
      <c r="J213" s="367">
        <v>0</v>
      </c>
      <c r="K213" s="367">
        <v>0</v>
      </c>
      <c r="L213" s="367">
        <v>0</v>
      </c>
      <c r="M213" s="367">
        <v>0</v>
      </c>
      <c r="N213" s="367">
        <v>0</v>
      </c>
      <c r="O213" s="367">
        <v>0</v>
      </c>
      <c r="P213" s="367">
        <v>0</v>
      </c>
      <c r="Q213" s="367">
        <v>0</v>
      </c>
      <c r="R213" s="367">
        <v>0</v>
      </c>
      <c r="S213" s="367">
        <v>0</v>
      </c>
      <c r="T213" s="367">
        <v>0</v>
      </c>
      <c r="U213" s="367">
        <v>0</v>
      </c>
      <c r="V213" s="367">
        <v>0</v>
      </c>
      <c r="W213" s="367">
        <v>0</v>
      </c>
      <c r="X213" s="367">
        <v>0</v>
      </c>
      <c r="Y213" s="367">
        <v>0</v>
      </c>
      <c r="Z213" s="367">
        <v>0</v>
      </c>
      <c r="AA213" s="367">
        <v>0</v>
      </c>
      <c r="AB213" s="367">
        <v>0</v>
      </c>
      <c r="AC213" s="367">
        <v>0</v>
      </c>
      <c r="AD213" s="367">
        <v>0</v>
      </c>
      <c r="AE213" s="367">
        <v>0</v>
      </c>
      <c r="AF213" s="367">
        <v>0</v>
      </c>
      <c r="AG213" s="372"/>
      <c r="AH213" s="373">
        <v>0.4</v>
      </c>
      <c r="AI213" s="372"/>
    </row>
    <row r="214" spans="1:35" x14ac:dyDescent="0.25">
      <c r="A214" s="47" t="s">
        <v>116</v>
      </c>
      <c r="B214" s="47" t="s">
        <v>772</v>
      </c>
      <c r="C214" s="47" t="s">
        <v>109</v>
      </c>
      <c r="D214" s="47" t="s">
        <v>110</v>
      </c>
      <c r="E214" s="368">
        <v>0</v>
      </c>
      <c r="F214" s="368">
        <v>0</v>
      </c>
      <c r="G214" s="368">
        <v>0</v>
      </c>
      <c r="H214" s="368">
        <v>0</v>
      </c>
      <c r="I214" s="368">
        <v>0</v>
      </c>
      <c r="J214" s="368">
        <v>0</v>
      </c>
      <c r="K214" s="368">
        <v>0</v>
      </c>
      <c r="L214" s="368">
        <v>0</v>
      </c>
      <c r="M214" s="368">
        <v>0</v>
      </c>
      <c r="N214" s="368">
        <v>0</v>
      </c>
      <c r="O214" s="368">
        <v>0</v>
      </c>
      <c r="P214" s="368">
        <v>0</v>
      </c>
      <c r="Q214" s="368">
        <v>0</v>
      </c>
      <c r="R214" s="368">
        <v>0</v>
      </c>
      <c r="S214" s="368">
        <v>0</v>
      </c>
      <c r="T214" s="368">
        <v>0</v>
      </c>
      <c r="U214" s="368">
        <v>0</v>
      </c>
      <c r="V214" s="368">
        <v>0</v>
      </c>
      <c r="W214" s="368">
        <v>0</v>
      </c>
      <c r="X214" s="368">
        <v>0</v>
      </c>
      <c r="Y214" s="368">
        <v>0</v>
      </c>
      <c r="Z214" s="368">
        <v>0</v>
      </c>
      <c r="AA214" s="368">
        <v>0</v>
      </c>
      <c r="AB214" s="368">
        <v>0</v>
      </c>
      <c r="AC214" s="368">
        <v>0</v>
      </c>
      <c r="AD214" s="368">
        <v>0</v>
      </c>
      <c r="AE214" s="368">
        <v>0</v>
      </c>
      <c r="AF214" s="368">
        <v>0</v>
      </c>
      <c r="AG214" s="372"/>
      <c r="AH214" s="373">
        <v>0.4</v>
      </c>
      <c r="AI214" s="372"/>
    </row>
    <row r="217" spans="1:35" x14ac:dyDescent="0.25">
      <c r="A217" s="12" t="s">
        <v>773</v>
      </c>
    </row>
    <row r="218" spans="1:35" x14ac:dyDescent="0.25">
      <c r="E218" s="91" t="s">
        <v>162</v>
      </c>
      <c r="F218" s="91" t="s">
        <v>164</v>
      </c>
      <c r="G218" s="91" t="s">
        <v>166</v>
      </c>
      <c r="H218" s="91" t="s">
        <v>168</v>
      </c>
      <c r="I218" s="91" t="s">
        <v>170</v>
      </c>
      <c r="J218" s="91" t="s">
        <v>173</v>
      </c>
      <c r="K218" s="91" t="s">
        <v>175</v>
      </c>
      <c r="L218" s="91" t="s">
        <v>177</v>
      </c>
      <c r="M218" s="91" t="s">
        <v>179</v>
      </c>
      <c r="N218" s="91" t="s">
        <v>181</v>
      </c>
      <c r="O218" s="91" t="s">
        <v>183</v>
      </c>
      <c r="P218" s="91" t="s">
        <v>185</v>
      </c>
      <c r="Q218" s="91" t="s">
        <v>188</v>
      </c>
      <c r="R218" s="91" t="s">
        <v>190</v>
      </c>
      <c r="S218" s="91" t="s">
        <v>192</v>
      </c>
      <c r="T218" s="91" t="s">
        <v>194</v>
      </c>
      <c r="U218" s="91" t="s">
        <v>196</v>
      </c>
      <c r="V218" s="91" t="s">
        <v>198</v>
      </c>
      <c r="W218" s="91" t="s">
        <v>9</v>
      </c>
      <c r="X218" s="91" t="s">
        <v>201</v>
      </c>
      <c r="Y218" s="91" t="s">
        <v>203</v>
      </c>
      <c r="Z218" s="91" t="s">
        <v>205</v>
      </c>
      <c r="AA218" s="91" t="s">
        <v>207</v>
      </c>
      <c r="AB218" s="91" t="s">
        <v>210</v>
      </c>
      <c r="AC218" s="91" t="s">
        <v>212</v>
      </c>
      <c r="AD218" s="91" t="s">
        <v>214</v>
      </c>
      <c r="AE218" s="91" t="s">
        <v>217</v>
      </c>
      <c r="AF218" s="91" t="s">
        <v>219</v>
      </c>
    </row>
    <row r="219" spans="1:35" x14ac:dyDescent="0.25">
      <c r="A219" t="str">
        <f>'INM_BY Techs'!AO12</f>
        <v>I-NM-LTH_ELC00</v>
      </c>
      <c r="B219" t="str">
        <f>'INM_BY Techs'!AP12</f>
        <v>IND Non-metallic minerals technology: Low temperature heat using Electricity - Existing</v>
      </c>
      <c r="C219" t="s">
        <v>126</v>
      </c>
      <c r="D219" t="s">
        <v>106</v>
      </c>
      <c r="E219" s="225">
        <f>E187*E$171</f>
        <v>0</v>
      </c>
      <c r="F219" s="225">
        <f t="shared" ref="F219:AF221" si="328">F187*F$171</f>
        <v>0</v>
      </c>
      <c r="G219" s="225">
        <f t="shared" si="328"/>
        <v>0</v>
      </c>
      <c r="H219" s="225">
        <f t="shared" si="328"/>
        <v>0</v>
      </c>
      <c r="I219" s="225">
        <f t="shared" si="328"/>
        <v>1618.7478183399733</v>
      </c>
      <c r="J219" s="225">
        <f t="shared" si="328"/>
        <v>0</v>
      </c>
      <c r="K219" s="225">
        <f t="shared" si="328"/>
        <v>0</v>
      </c>
      <c r="L219" s="225">
        <f t="shared" si="328"/>
        <v>0</v>
      </c>
      <c r="M219" s="225">
        <f t="shared" si="328"/>
        <v>0</v>
      </c>
      <c r="N219" s="225">
        <f t="shared" si="328"/>
        <v>194.03590695216371</v>
      </c>
      <c r="O219" s="225">
        <f t="shared" si="328"/>
        <v>43.054000588821509</v>
      </c>
      <c r="P219" s="225">
        <f t="shared" si="328"/>
        <v>0</v>
      </c>
      <c r="Q219" s="225">
        <f t="shared" si="328"/>
        <v>1901.8385976309501</v>
      </c>
      <c r="R219" s="225">
        <f t="shared" si="328"/>
        <v>5008.3290933234557</v>
      </c>
      <c r="S219" s="225">
        <f t="shared" si="328"/>
        <v>6972.7886563761749</v>
      </c>
      <c r="T219" s="225">
        <f t="shared" si="328"/>
        <v>13505.400979893449</v>
      </c>
      <c r="U219" s="225">
        <f t="shared" si="328"/>
        <v>10139.61347859588</v>
      </c>
      <c r="V219" s="225">
        <f t="shared" si="328"/>
        <v>0</v>
      </c>
      <c r="W219" s="225">
        <f t="shared" si="328"/>
        <v>0</v>
      </c>
      <c r="X219" s="225">
        <f t="shared" si="328"/>
        <v>8417.3608700124514</v>
      </c>
      <c r="Y219" s="225">
        <f t="shared" si="328"/>
        <v>0</v>
      </c>
      <c r="Z219" s="225">
        <f t="shared" si="328"/>
        <v>3521.6414117184272</v>
      </c>
      <c r="AA219" s="225">
        <f t="shared" si="328"/>
        <v>0</v>
      </c>
      <c r="AB219" s="225">
        <f t="shared" si="328"/>
        <v>4180.9980623837982</v>
      </c>
      <c r="AC219" s="225">
        <f t="shared" si="328"/>
        <v>0</v>
      </c>
      <c r="AD219" s="225">
        <f t="shared" si="328"/>
        <v>7450.7594835391101</v>
      </c>
      <c r="AE219" s="225">
        <f t="shared" si="328"/>
        <v>5364.9281390765282</v>
      </c>
      <c r="AF219" s="225">
        <f t="shared" si="328"/>
        <v>15123.635907607922</v>
      </c>
      <c r="AH219" s="113">
        <v>0.8</v>
      </c>
      <c r="AI219" t="s">
        <v>774</v>
      </c>
    </row>
    <row r="220" spans="1:35" x14ac:dyDescent="0.25">
      <c r="A220" t="str">
        <f>'INM_BY Techs'!AO13</f>
        <v>I-NM-MDR_ELC00</v>
      </c>
      <c r="B220" t="str">
        <f>'INM_BY Techs'!AP13</f>
        <v>IND Non-metallic minerals technology: Machine drive using Electricity - Existing</v>
      </c>
      <c r="C220" t="s">
        <v>126</v>
      </c>
      <c r="D220" t="s">
        <v>108</v>
      </c>
      <c r="E220" s="225">
        <f t="shared" ref="E220:T221" si="329">E188*E$171</f>
        <v>0</v>
      </c>
      <c r="F220" s="225">
        <f t="shared" si="329"/>
        <v>0</v>
      </c>
      <c r="G220" s="225">
        <f t="shared" si="329"/>
        <v>0</v>
      </c>
      <c r="H220" s="225">
        <f t="shared" si="329"/>
        <v>0</v>
      </c>
      <c r="I220" s="225">
        <f t="shared" si="329"/>
        <v>5665.6173641899059</v>
      </c>
      <c r="J220" s="225">
        <f t="shared" si="329"/>
        <v>0</v>
      </c>
      <c r="K220" s="225">
        <f t="shared" si="329"/>
        <v>0</v>
      </c>
      <c r="L220" s="225">
        <f t="shared" si="329"/>
        <v>0</v>
      </c>
      <c r="M220" s="225">
        <f t="shared" si="329"/>
        <v>0</v>
      </c>
      <c r="N220" s="225">
        <f t="shared" si="329"/>
        <v>679.125674332573</v>
      </c>
      <c r="O220" s="225">
        <f t="shared" si="329"/>
        <v>150.68900206087528</v>
      </c>
      <c r="P220" s="225">
        <f t="shared" si="329"/>
        <v>0</v>
      </c>
      <c r="Q220" s="225">
        <f t="shared" si="329"/>
        <v>6656.4350917083239</v>
      </c>
      <c r="R220" s="225">
        <f t="shared" si="329"/>
        <v>17529.151826632093</v>
      </c>
      <c r="S220" s="225">
        <f t="shared" si="329"/>
        <v>24404.760297316607</v>
      </c>
      <c r="T220" s="225">
        <f t="shared" si="329"/>
        <v>47268.903429627062</v>
      </c>
      <c r="U220" s="225">
        <f t="shared" si="328"/>
        <v>35488.647175085578</v>
      </c>
      <c r="V220" s="225">
        <f t="shared" si="328"/>
        <v>0</v>
      </c>
      <c r="W220" s="225">
        <f t="shared" si="328"/>
        <v>0</v>
      </c>
      <c r="X220" s="225">
        <f t="shared" si="328"/>
        <v>29460.763045043575</v>
      </c>
      <c r="Y220" s="225">
        <f t="shared" si="328"/>
        <v>0</v>
      </c>
      <c r="Z220" s="225">
        <f t="shared" si="328"/>
        <v>12325.744941014495</v>
      </c>
      <c r="AA220" s="225">
        <f t="shared" si="328"/>
        <v>0</v>
      </c>
      <c r="AB220" s="225">
        <f t="shared" si="328"/>
        <v>14633.493218343292</v>
      </c>
      <c r="AC220" s="225">
        <f t="shared" si="328"/>
        <v>0</v>
      </c>
      <c r="AD220" s="225">
        <f t="shared" si="328"/>
        <v>26077.65819238688</v>
      </c>
      <c r="AE220" s="225">
        <f t="shared" si="328"/>
        <v>18777.248486767847</v>
      </c>
      <c r="AF220" s="225">
        <f t="shared" si="328"/>
        <v>52932.725676627721</v>
      </c>
      <c r="AH220" s="113">
        <v>0.8</v>
      </c>
      <c r="AI220" t="s">
        <v>775</v>
      </c>
    </row>
    <row r="221" spans="1:35" x14ac:dyDescent="0.25">
      <c r="A221" t="str">
        <f>'INM_BY Techs'!AO14</f>
        <v>I-NM-OTS_ELC00</v>
      </c>
      <c r="B221" t="str">
        <f>'INM_BY Techs'!AP14</f>
        <v>IND Non-metallic minerals technology: Other services using Electricity - Existing</v>
      </c>
      <c r="C221" t="s">
        <v>126</v>
      </c>
      <c r="D221" t="s">
        <v>776</v>
      </c>
      <c r="E221" s="225">
        <f t="shared" si="329"/>
        <v>0</v>
      </c>
      <c r="F221" s="225">
        <f t="shared" si="328"/>
        <v>0</v>
      </c>
      <c r="G221" s="225">
        <f t="shared" si="328"/>
        <v>0</v>
      </c>
      <c r="H221" s="225">
        <f t="shared" si="328"/>
        <v>0</v>
      </c>
      <c r="I221" s="225">
        <f t="shared" si="328"/>
        <v>809.37390916998731</v>
      </c>
      <c r="J221" s="225">
        <f t="shared" si="328"/>
        <v>0</v>
      </c>
      <c r="K221" s="225">
        <f t="shared" si="328"/>
        <v>0</v>
      </c>
      <c r="L221" s="225">
        <f t="shared" si="328"/>
        <v>0</v>
      </c>
      <c r="M221" s="225">
        <f t="shared" si="328"/>
        <v>0</v>
      </c>
      <c r="N221" s="225">
        <f t="shared" si="328"/>
        <v>97.017953476081942</v>
      </c>
      <c r="O221" s="225">
        <f t="shared" si="328"/>
        <v>21.527000294410772</v>
      </c>
      <c r="P221" s="225">
        <f t="shared" si="328"/>
        <v>0</v>
      </c>
      <c r="Q221" s="225">
        <f t="shared" si="328"/>
        <v>950.91929881547583</v>
      </c>
      <c r="R221" s="225">
        <f t="shared" si="328"/>
        <v>2504.1645466617297</v>
      </c>
      <c r="S221" s="225">
        <f t="shared" si="328"/>
        <v>3486.3943281880902</v>
      </c>
      <c r="T221" s="225">
        <f t="shared" si="328"/>
        <v>6752.7004899467302</v>
      </c>
      <c r="U221" s="225">
        <f t="shared" si="328"/>
        <v>5069.8067392979447</v>
      </c>
      <c r="V221" s="225">
        <f t="shared" si="328"/>
        <v>0</v>
      </c>
      <c r="W221" s="225">
        <f t="shared" si="328"/>
        <v>0</v>
      </c>
      <c r="X221" s="225">
        <f t="shared" si="328"/>
        <v>4208.6804350062293</v>
      </c>
      <c r="Y221" s="225">
        <f t="shared" si="328"/>
        <v>0</v>
      </c>
      <c r="Z221" s="225">
        <f t="shared" si="328"/>
        <v>1760.8207058592152</v>
      </c>
      <c r="AA221" s="225">
        <f t="shared" si="328"/>
        <v>0</v>
      </c>
      <c r="AB221" s="225">
        <f t="shared" si="328"/>
        <v>2090.4990311919009</v>
      </c>
      <c r="AC221" s="225">
        <f t="shared" si="328"/>
        <v>0</v>
      </c>
      <c r="AD221" s="225">
        <f t="shared" si="328"/>
        <v>3725.3797417695578</v>
      </c>
      <c r="AE221" s="225">
        <f t="shared" si="328"/>
        <v>2682.4640695382664</v>
      </c>
      <c r="AF221" s="225">
        <f t="shared" si="328"/>
        <v>7561.8179538039676</v>
      </c>
      <c r="AH221" s="113">
        <v>0.8</v>
      </c>
      <c r="AI221" t="s">
        <v>777</v>
      </c>
    </row>
    <row r="222" spans="1:35" x14ac:dyDescent="0.25">
      <c r="A222" t="str">
        <f>'INM_BY Techs'!AO15</f>
        <v>I-NM-HTH_GAS00</v>
      </c>
      <c r="B222" t="str">
        <f>'INM_BY Techs'!AP15</f>
        <v>IND Non-metallic minerals technology: High temperature heat using Gas - Existing</v>
      </c>
      <c r="C222" s="9" t="s">
        <v>128</v>
      </c>
      <c r="D222" t="s">
        <v>104</v>
      </c>
      <c r="E222" s="225">
        <f>E$191*E172</f>
        <v>0</v>
      </c>
      <c r="F222" s="225">
        <f t="shared" ref="F222:AF222" si="330">F$191*F172</f>
        <v>0</v>
      </c>
      <c r="G222" s="225">
        <f t="shared" si="330"/>
        <v>0</v>
      </c>
      <c r="H222" s="225">
        <f t="shared" si="330"/>
        <v>0</v>
      </c>
      <c r="I222" s="225">
        <f t="shared" si="330"/>
        <v>1714.5513668748554</v>
      </c>
      <c r="J222" s="225">
        <f t="shared" si="330"/>
        <v>618.29324519070985</v>
      </c>
      <c r="K222" s="225">
        <f t="shared" si="330"/>
        <v>653.10857105545529</v>
      </c>
      <c r="L222" s="225">
        <f t="shared" si="330"/>
        <v>0</v>
      </c>
      <c r="M222" s="225">
        <f t="shared" si="330"/>
        <v>677.65171843602695</v>
      </c>
      <c r="N222" s="225">
        <f t="shared" si="330"/>
        <v>685.31550323743602</v>
      </c>
      <c r="O222" s="225">
        <f t="shared" si="330"/>
        <v>7.2704707953445951</v>
      </c>
      <c r="P222" s="225">
        <f t="shared" si="330"/>
        <v>0</v>
      </c>
      <c r="Q222" s="225">
        <f t="shared" si="330"/>
        <v>818.12623639470894</v>
      </c>
      <c r="R222" s="225">
        <f t="shared" si="330"/>
        <v>1387.6961289184842</v>
      </c>
      <c r="S222" s="225">
        <f t="shared" si="330"/>
        <v>2825.2550804783168</v>
      </c>
      <c r="T222" s="225">
        <f t="shared" si="330"/>
        <v>7133.689046173</v>
      </c>
      <c r="U222" s="225">
        <f t="shared" si="330"/>
        <v>5021.5374444241406</v>
      </c>
      <c r="V222" s="225">
        <f t="shared" si="330"/>
        <v>0</v>
      </c>
      <c r="W222" s="225">
        <f t="shared" si="330"/>
        <v>0</v>
      </c>
      <c r="X222" s="225">
        <f t="shared" si="330"/>
        <v>675.41427602849569</v>
      </c>
      <c r="Y222" s="225">
        <f t="shared" si="330"/>
        <v>0</v>
      </c>
      <c r="Z222" s="225">
        <f t="shared" si="330"/>
        <v>852.89324791884474</v>
      </c>
      <c r="AA222" s="225">
        <f t="shared" si="330"/>
        <v>0</v>
      </c>
      <c r="AB222" s="225">
        <f t="shared" si="330"/>
        <v>753.0450994638868</v>
      </c>
      <c r="AC222" s="225">
        <f t="shared" si="330"/>
        <v>0</v>
      </c>
      <c r="AD222" s="225">
        <f t="shared" si="330"/>
        <v>12336.853102715306</v>
      </c>
      <c r="AE222" s="225">
        <f t="shared" si="330"/>
        <v>0</v>
      </c>
      <c r="AF222" s="225">
        <f t="shared" si="330"/>
        <v>11235.884305071793</v>
      </c>
      <c r="AH222" s="113">
        <v>0.6</v>
      </c>
      <c r="AI222" t="s">
        <v>778</v>
      </c>
    </row>
    <row r="223" spans="1:35" x14ac:dyDescent="0.25">
      <c r="C223" s="9" t="s">
        <v>115</v>
      </c>
      <c r="D223" t="s">
        <v>104</v>
      </c>
      <c r="E223" s="225">
        <f>E$191*E165</f>
        <v>0</v>
      </c>
      <c r="F223" s="225">
        <f t="shared" ref="F223:AF223" si="331">F$191*F165</f>
        <v>0</v>
      </c>
      <c r="G223" s="225">
        <f t="shared" si="331"/>
        <v>0</v>
      </c>
      <c r="H223" s="225">
        <f t="shared" si="331"/>
        <v>0</v>
      </c>
      <c r="I223" s="225">
        <f t="shared" si="331"/>
        <v>2.9591965783034517</v>
      </c>
      <c r="J223" s="225">
        <f t="shared" si="331"/>
        <v>0</v>
      </c>
      <c r="K223" s="225">
        <f t="shared" si="331"/>
        <v>0</v>
      </c>
      <c r="L223" s="225">
        <f t="shared" si="331"/>
        <v>0</v>
      </c>
      <c r="M223" s="225">
        <f t="shared" si="331"/>
        <v>0</v>
      </c>
      <c r="N223" s="225">
        <f t="shared" si="331"/>
        <v>0</v>
      </c>
      <c r="O223" s="225">
        <f t="shared" si="331"/>
        <v>0</v>
      </c>
      <c r="P223" s="225">
        <f t="shared" si="331"/>
        <v>0</v>
      </c>
      <c r="Q223" s="225">
        <f t="shared" si="331"/>
        <v>0</v>
      </c>
      <c r="R223" s="225">
        <f t="shared" si="331"/>
        <v>0.34836438497519157</v>
      </c>
      <c r="S223" s="225">
        <f t="shared" si="331"/>
        <v>0.61964957987786151</v>
      </c>
      <c r="T223" s="225">
        <f t="shared" si="331"/>
        <v>7.8396886434654434</v>
      </c>
      <c r="U223" s="225">
        <f t="shared" si="331"/>
        <v>3.1857493699756643</v>
      </c>
      <c r="V223" s="225">
        <f t="shared" si="331"/>
        <v>0</v>
      </c>
      <c r="W223" s="225">
        <f t="shared" si="331"/>
        <v>0</v>
      </c>
      <c r="X223" s="225">
        <f t="shared" si="331"/>
        <v>0</v>
      </c>
      <c r="Y223" s="225">
        <f t="shared" si="331"/>
        <v>0</v>
      </c>
      <c r="Z223" s="225">
        <f t="shared" si="331"/>
        <v>0</v>
      </c>
      <c r="AA223" s="225">
        <f t="shared" si="331"/>
        <v>0</v>
      </c>
      <c r="AB223" s="225">
        <f t="shared" si="331"/>
        <v>0</v>
      </c>
      <c r="AC223" s="225">
        <f t="shared" si="331"/>
        <v>0</v>
      </c>
      <c r="AD223" s="225">
        <f t="shared" si="331"/>
        <v>0</v>
      </c>
      <c r="AE223" s="225">
        <f t="shared" si="331"/>
        <v>0</v>
      </c>
      <c r="AF223" s="225">
        <f t="shared" si="331"/>
        <v>0</v>
      </c>
      <c r="AH223" s="113">
        <v>0.6</v>
      </c>
    </row>
    <row r="224" spans="1:35" x14ac:dyDescent="0.25">
      <c r="C224" s="9" t="s">
        <v>113</v>
      </c>
      <c r="D224" t="s">
        <v>104</v>
      </c>
      <c r="E224" s="225">
        <f>E$191*E164</f>
        <v>0</v>
      </c>
      <c r="F224" s="225">
        <f t="shared" ref="F224:AF224" si="332">F$191*F164</f>
        <v>0</v>
      </c>
      <c r="G224" s="225">
        <f t="shared" si="332"/>
        <v>0</v>
      </c>
      <c r="H224" s="225">
        <f t="shared" si="332"/>
        <v>0</v>
      </c>
      <c r="I224" s="225">
        <f t="shared" si="332"/>
        <v>0</v>
      </c>
      <c r="J224" s="225">
        <f t="shared" si="332"/>
        <v>0</v>
      </c>
      <c r="K224" s="225">
        <f t="shared" si="332"/>
        <v>0</v>
      </c>
      <c r="L224" s="225">
        <f t="shared" si="332"/>
        <v>0</v>
      </c>
      <c r="M224" s="225">
        <f t="shared" si="332"/>
        <v>0</v>
      </c>
      <c r="N224" s="225">
        <f t="shared" si="332"/>
        <v>0</v>
      </c>
      <c r="O224" s="225">
        <f t="shared" si="332"/>
        <v>0</v>
      </c>
      <c r="P224" s="225">
        <f t="shared" si="332"/>
        <v>0</v>
      </c>
      <c r="Q224" s="225">
        <f t="shared" si="332"/>
        <v>0</v>
      </c>
      <c r="R224" s="225">
        <f t="shared" si="332"/>
        <v>4.4215479631466623</v>
      </c>
      <c r="S224" s="225">
        <f t="shared" si="332"/>
        <v>0</v>
      </c>
      <c r="T224" s="225">
        <f t="shared" si="332"/>
        <v>0</v>
      </c>
      <c r="U224" s="225">
        <f t="shared" si="332"/>
        <v>0</v>
      </c>
      <c r="V224" s="225">
        <f t="shared" si="332"/>
        <v>0</v>
      </c>
      <c r="W224" s="225">
        <f t="shared" si="332"/>
        <v>0</v>
      </c>
      <c r="X224" s="225">
        <f t="shared" si="332"/>
        <v>4.9453919572112941</v>
      </c>
      <c r="Y224" s="225">
        <f t="shared" si="332"/>
        <v>0</v>
      </c>
      <c r="Z224" s="225">
        <f t="shared" si="332"/>
        <v>0</v>
      </c>
      <c r="AA224" s="225">
        <f t="shared" si="332"/>
        <v>0</v>
      </c>
      <c r="AB224" s="225">
        <f t="shared" si="332"/>
        <v>0</v>
      </c>
      <c r="AC224" s="225">
        <f t="shared" si="332"/>
        <v>0</v>
      </c>
      <c r="AD224" s="225">
        <f t="shared" si="332"/>
        <v>0</v>
      </c>
      <c r="AE224" s="225">
        <f t="shared" si="332"/>
        <v>0</v>
      </c>
      <c r="AF224" s="225">
        <f t="shared" si="332"/>
        <v>0</v>
      </c>
      <c r="AH224" s="113">
        <v>0.6</v>
      </c>
    </row>
    <row r="225" spans="1:35" x14ac:dyDescent="0.25">
      <c r="C225" s="9" t="s">
        <v>132</v>
      </c>
      <c r="D225" t="s">
        <v>104</v>
      </c>
      <c r="E225" s="225">
        <f>E$191*E174</f>
        <v>0</v>
      </c>
      <c r="F225" s="225">
        <f t="shared" ref="F225:AF225" si="333">F$191*F174</f>
        <v>0</v>
      </c>
      <c r="G225" s="225">
        <f t="shared" si="333"/>
        <v>0</v>
      </c>
      <c r="H225" s="225">
        <f t="shared" si="333"/>
        <v>0</v>
      </c>
      <c r="I225" s="225">
        <f t="shared" si="333"/>
        <v>149.02941803986059</v>
      </c>
      <c r="J225" s="225">
        <f t="shared" si="333"/>
        <v>5.7687812135869567</v>
      </c>
      <c r="K225" s="225">
        <f t="shared" si="333"/>
        <v>54.267992741601091</v>
      </c>
      <c r="L225" s="225">
        <f t="shared" si="333"/>
        <v>0</v>
      </c>
      <c r="M225" s="225">
        <f t="shared" si="333"/>
        <v>96.963290414753203</v>
      </c>
      <c r="N225" s="225">
        <f t="shared" si="333"/>
        <v>0</v>
      </c>
      <c r="O225" s="225">
        <f t="shared" si="333"/>
        <v>1.1124217610363314</v>
      </c>
      <c r="P225" s="225">
        <f t="shared" si="333"/>
        <v>0</v>
      </c>
      <c r="Q225" s="225">
        <f t="shared" si="333"/>
        <v>23.296065611625398</v>
      </c>
      <c r="R225" s="225">
        <f t="shared" si="333"/>
        <v>41.32137551013426</v>
      </c>
      <c r="S225" s="225">
        <f t="shared" si="333"/>
        <v>25.132986959846061</v>
      </c>
      <c r="T225" s="225">
        <f t="shared" si="333"/>
        <v>161.04145871613196</v>
      </c>
      <c r="U225" s="225">
        <f t="shared" si="333"/>
        <v>77.667389732832632</v>
      </c>
      <c r="V225" s="225">
        <f t="shared" si="333"/>
        <v>0</v>
      </c>
      <c r="W225" s="225">
        <f t="shared" si="333"/>
        <v>0</v>
      </c>
      <c r="X225" s="225">
        <f t="shared" si="333"/>
        <v>83.734955735079737</v>
      </c>
      <c r="Y225" s="225">
        <f t="shared" si="333"/>
        <v>0</v>
      </c>
      <c r="Z225" s="225">
        <f t="shared" si="333"/>
        <v>2.6519977561716717</v>
      </c>
      <c r="AA225" s="225">
        <f t="shared" si="333"/>
        <v>0</v>
      </c>
      <c r="AB225" s="225">
        <f t="shared" si="333"/>
        <v>1.4174386552095593</v>
      </c>
      <c r="AC225" s="225">
        <f t="shared" si="333"/>
        <v>0</v>
      </c>
      <c r="AD225" s="225">
        <f t="shared" si="333"/>
        <v>27.253083364858796</v>
      </c>
      <c r="AE225" s="225">
        <f t="shared" si="333"/>
        <v>0</v>
      </c>
      <c r="AF225" s="225">
        <f t="shared" si="333"/>
        <v>20.196671329851476</v>
      </c>
      <c r="AH225" s="113">
        <v>0.6</v>
      </c>
    </row>
    <row r="226" spans="1:35" x14ac:dyDescent="0.25">
      <c r="C226" s="9" t="s">
        <v>122</v>
      </c>
      <c r="D226" t="s">
        <v>104</v>
      </c>
      <c r="E226" s="225">
        <f>E$191*E169</f>
        <v>0</v>
      </c>
      <c r="F226" s="225">
        <f t="shared" ref="F226:AF226" si="334">F$191*F169</f>
        <v>0</v>
      </c>
      <c r="G226" s="225">
        <f t="shared" si="334"/>
        <v>0</v>
      </c>
      <c r="H226" s="225">
        <f t="shared" si="334"/>
        <v>0</v>
      </c>
      <c r="I226" s="225">
        <f t="shared" si="334"/>
        <v>0</v>
      </c>
      <c r="J226" s="225">
        <f t="shared" si="334"/>
        <v>0</v>
      </c>
      <c r="K226" s="225">
        <f t="shared" si="334"/>
        <v>0</v>
      </c>
      <c r="L226" s="225">
        <f t="shared" si="334"/>
        <v>0</v>
      </c>
      <c r="M226" s="225">
        <f t="shared" si="334"/>
        <v>0</v>
      </c>
      <c r="N226" s="225">
        <f t="shared" si="334"/>
        <v>0</v>
      </c>
      <c r="O226" s="225">
        <f t="shared" si="334"/>
        <v>0</v>
      </c>
      <c r="P226" s="225">
        <f t="shared" si="334"/>
        <v>0</v>
      </c>
      <c r="Q226" s="225">
        <f t="shared" si="334"/>
        <v>0</v>
      </c>
      <c r="R226" s="225">
        <f t="shared" si="334"/>
        <v>0</v>
      </c>
      <c r="S226" s="225">
        <f t="shared" si="334"/>
        <v>65.187135803151023</v>
      </c>
      <c r="T226" s="225">
        <f t="shared" si="334"/>
        <v>0</v>
      </c>
      <c r="U226" s="225">
        <f t="shared" si="334"/>
        <v>106.04415726909734</v>
      </c>
      <c r="V226" s="225">
        <f t="shared" si="334"/>
        <v>0</v>
      </c>
      <c r="W226" s="225">
        <f t="shared" si="334"/>
        <v>0</v>
      </c>
      <c r="X226" s="225">
        <f t="shared" si="334"/>
        <v>134.45152857286365</v>
      </c>
      <c r="Y226" s="225">
        <f t="shared" si="334"/>
        <v>0</v>
      </c>
      <c r="Z226" s="225">
        <f t="shared" si="334"/>
        <v>0</v>
      </c>
      <c r="AA226" s="225">
        <f t="shared" si="334"/>
        <v>0</v>
      </c>
      <c r="AB226" s="225">
        <f t="shared" si="334"/>
        <v>0</v>
      </c>
      <c r="AC226" s="225">
        <f t="shared" si="334"/>
        <v>0</v>
      </c>
      <c r="AD226" s="225">
        <f t="shared" si="334"/>
        <v>34.920284151505733</v>
      </c>
      <c r="AE226" s="225">
        <f t="shared" si="334"/>
        <v>0</v>
      </c>
      <c r="AF226" s="225">
        <f t="shared" si="334"/>
        <v>0</v>
      </c>
      <c r="AH226" s="113">
        <v>0.6</v>
      </c>
    </row>
    <row r="227" spans="1:35" x14ac:dyDescent="0.25">
      <c r="A227" t="str">
        <f>'INM_BY Techs'!AO16</f>
        <v>I-NM-LTH_GAS00</v>
      </c>
      <c r="B227" t="str">
        <f>'INM_BY Techs'!AP16</f>
        <v>IND Non-metallic minerals technology: Low temperature heat using Gas - Existing</v>
      </c>
      <c r="C227" s="9" t="s">
        <v>128</v>
      </c>
      <c r="D227" t="s">
        <v>106</v>
      </c>
      <c r="E227" s="225">
        <f>E$192*E172</f>
        <v>0</v>
      </c>
      <c r="F227" s="225">
        <f t="shared" ref="F227:AE227" si="335">F$192*F172</f>
        <v>0</v>
      </c>
      <c r="G227" s="225">
        <f t="shared" si="335"/>
        <v>0</v>
      </c>
      <c r="H227" s="225">
        <f t="shared" si="335"/>
        <v>0</v>
      </c>
      <c r="I227" s="225">
        <f t="shared" si="335"/>
        <v>30861.924603747397</v>
      </c>
      <c r="J227" s="225">
        <f t="shared" si="335"/>
        <v>11129.278413432776</v>
      </c>
      <c r="K227" s="225">
        <f t="shared" si="335"/>
        <v>11755.954278998195</v>
      </c>
      <c r="L227" s="225">
        <f t="shared" si="335"/>
        <v>0</v>
      </c>
      <c r="M227" s="225">
        <f t="shared" si="335"/>
        <v>12197.730931848486</v>
      </c>
      <c r="N227" s="225">
        <f t="shared" si="335"/>
        <v>12335.679058273847</v>
      </c>
      <c r="O227" s="225">
        <f t="shared" si="335"/>
        <v>130.86847431620271</v>
      </c>
      <c r="P227" s="225">
        <f t="shared" si="335"/>
        <v>0</v>
      </c>
      <c r="Q227" s="225">
        <f t="shared" si="335"/>
        <v>14726.272255104761</v>
      </c>
      <c r="R227" s="225">
        <f t="shared" si="335"/>
        <v>24978.530320532715</v>
      </c>
      <c r="S227" s="225">
        <f t="shared" si="335"/>
        <v>50854.591448609703</v>
      </c>
      <c r="T227" s="225">
        <f t="shared" si="335"/>
        <v>128406.402831114</v>
      </c>
      <c r="U227" s="225">
        <f t="shared" si="335"/>
        <v>90387.673999634528</v>
      </c>
      <c r="V227" s="225">
        <f t="shared" si="335"/>
        <v>0</v>
      </c>
      <c r="W227" s="225">
        <f t="shared" si="335"/>
        <v>0</v>
      </c>
      <c r="X227" s="225">
        <f t="shared" si="335"/>
        <v>12157.456968512921</v>
      </c>
      <c r="Y227" s="225">
        <f t="shared" si="335"/>
        <v>0</v>
      </c>
      <c r="Z227" s="225">
        <f t="shared" si="335"/>
        <v>15352.078462539204</v>
      </c>
      <c r="AA227" s="225">
        <f t="shared" si="335"/>
        <v>0</v>
      </c>
      <c r="AB227" s="225">
        <f t="shared" si="335"/>
        <v>13554.811790349962</v>
      </c>
      <c r="AC227" s="225">
        <f t="shared" si="335"/>
        <v>0</v>
      </c>
      <c r="AD227" s="225">
        <f t="shared" si="335"/>
        <v>222063.35584887548</v>
      </c>
      <c r="AE227" s="225">
        <f t="shared" si="335"/>
        <v>0</v>
      </c>
      <c r="AF227" s="225">
        <f>AF$192*AF172</f>
        <v>202245.91749129229</v>
      </c>
      <c r="AH227" s="113">
        <v>0.6</v>
      </c>
      <c r="AI227" t="s">
        <v>779</v>
      </c>
    </row>
    <row r="228" spans="1:35" x14ac:dyDescent="0.25">
      <c r="C228" s="9" t="s">
        <v>115</v>
      </c>
      <c r="D228" t="s">
        <v>106</v>
      </c>
      <c r="E228" s="225">
        <f>E$192*E165</f>
        <v>0</v>
      </c>
      <c r="F228" s="225">
        <f t="shared" ref="F228:AF228" si="336">F$192*F165</f>
        <v>0</v>
      </c>
      <c r="G228" s="225">
        <f t="shared" si="336"/>
        <v>0</v>
      </c>
      <c r="H228" s="225">
        <f t="shared" si="336"/>
        <v>0</v>
      </c>
      <c r="I228" s="225">
        <f t="shared" si="336"/>
        <v>53.265538409462131</v>
      </c>
      <c r="J228" s="225">
        <f t="shared" si="336"/>
        <v>0</v>
      </c>
      <c r="K228" s="225">
        <f t="shared" si="336"/>
        <v>0</v>
      </c>
      <c r="L228" s="225">
        <f t="shared" si="336"/>
        <v>0</v>
      </c>
      <c r="M228" s="225">
        <f t="shared" si="336"/>
        <v>0</v>
      </c>
      <c r="N228" s="225">
        <f t="shared" si="336"/>
        <v>0</v>
      </c>
      <c r="O228" s="225">
        <f t="shared" si="336"/>
        <v>0</v>
      </c>
      <c r="P228" s="225">
        <f t="shared" si="336"/>
        <v>0</v>
      </c>
      <c r="Q228" s="225">
        <f t="shared" si="336"/>
        <v>0</v>
      </c>
      <c r="R228" s="225">
        <f t="shared" si="336"/>
        <v>6.2705589295534478</v>
      </c>
      <c r="S228" s="225">
        <f t="shared" si="336"/>
        <v>11.153692437801507</v>
      </c>
      <c r="T228" s="225">
        <f t="shared" si="336"/>
        <v>141.11439558237799</v>
      </c>
      <c r="U228" s="225">
        <f t="shared" si="336"/>
        <v>57.343488659561956</v>
      </c>
      <c r="V228" s="225">
        <f t="shared" si="336"/>
        <v>0</v>
      </c>
      <c r="W228" s="225">
        <f t="shared" si="336"/>
        <v>0</v>
      </c>
      <c r="X228" s="225">
        <f t="shared" si="336"/>
        <v>0</v>
      </c>
      <c r="Y228" s="225">
        <f t="shared" si="336"/>
        <v>0</v>
      </c>
      <c r="Z228" s="225">
        <f t="shared" si="336"/>
        <v>0</v>
      </c>
      <c r="AA228" s="225">
        <f t="shared" si="336"/>
        <v>0</v>
      </c>
      <c r="AB228" s="225">
        <f t="shared" si="336"/>
        <v>0</v>
      </c>
      <c r="AC228" s="225">
        <f t="shared" si="336"/>
        <v>0</v>
      </c>
      <c r="AD228" s="225">
        <f t="shared" si="336"/>
        <v>0</v>
      </c>
      <c r="AE228" s="225">
        <f t="shared" si="336"/>
        <v>0</v>
      </c>
      <c r="AF228" s="225">
        <f t="shared" si="336"/>
        <v>0</v>
      </c>
      <c r="AH228" s="113">
        <v>0.6</v>
      </c>
    </row>
    <row r="229" spans="1:35" x14ac:dyDescent="0.25">
      <c r="C229" s="9" t="s">
        <v>113</v>
      </c>
      <c r="D229" t="s">
        <v>106</v>
      </c>
      <c r="E229" s="225">
        <f>E$192*E164</f>
        <v>0</v>
      </c>
      <c r="F229" s="225">
        <f t="shared" ref="F229:AF229" si="337">F$192*F164</f>
        <v>0</v>
      </c>
      <c r="G229" s="225">
        <f t="shared" si="337"/>
        <v>0</v>
      </c>
      <c r="H229" s="225">
        <f t="shared" si="337"/>
        <v>0</v>
      </c>
      <c r="I229" s="225">
        <f t="shared" si="337"/>
        <v>0</v>
      </c>
      <c r="J229" s="225">
        <f t="shared" si="337"/>
        <v>0</v>
      </c>
      <c r="K229" s="225">
        <f t="shared" si="337"/>
        <v>0</v>
      </c>
      <c r="L229" s="225">
        <f t="shared" si="337"/>
        <v>0</v>
      </c>
      <c r="M229" s="225">
        <f t="shared" si="337"/>
        <v>0</v>
      </c>
      <c r="N229" s="225">
        <f t="shared" si="337"/>
        <v>0</v>
      </c>
      <c r="O229" s="225">
        <f t="shared" si="337"/>
        <v>0</v>
      </c>
      <c r="P229" s="225">
        <f t="shared" si="337"/>
        <v>0</v>
      </c>
      <c r="Q229" s="225">
        <f t="shared" si="337"/>
        <v>0</v>
      </c>
      <c r="R229" s="225">
        <f t="shared" si="337"/>
        <v>79.587863336639927</v>
      </c>
      <c r="S229" s="225">
        <f t="shared" si="337"/>
        <v>0</v>
      </c>
      <c r="T229" s="225">
        <f t="shared" si="337"/>
        <v>0</v>
      </c>
      <c r="U229" s="225">
        <f t="shared" si="337"/>
        <v>0</v>
      </c>
      <c r="V229" s="225">
        <f t="shared" si="337"/>
        <v>0</v>
      </c>
      <c r="W229" s="225">
        <f t="shared" si="337"/>
        <v>0</v>
      </c>
      <c r="X229" s="225">
        <f t="shared" si="337"/>
        <v>89.01705522980329</v>
      </c>
      <c r="Y229" s="225">
        <f t="shared" si="337"/>
        <v>0</v>
      </c>
      <c r="Z229" s="225">
        <f t="shared" si="337"/>
        <v>0</v>
      </c>
      <c r="AA229" s="225">
        <f t="shared" si="337"/>
        <v>0</v>
      </c>
      <c r="AB229" s="225">
        <f t="shared" si="337"/>
        <v>0</v>
      </c>
      <c r="AC229" s="225">
        <f t="shared" si="337"/>
        <v>0</v>
      </c>
      <c r="AD229" s="225">
        <f t="shared" si="337"/>
        <v>0</v>
      </c>
      <c r="AE229" s="225">
        <f t="shared" si="337"/>
        <v>0</v>
      </c>
      <c r="AF229" s="225">
        <f t="shared" si="337"/>
        <v>0</v>
      </c>
      <c r="AH229" s="113">
        <v>0.6</v>
      </c>
    </row>
    <row r="230" spans="1:35" x14ac:dyDescent="0.25">
      <c r="C230" s="9" t="s">
        <v>132</v>
      </c>
      <c r="D230" t="s">
        <v>106</v>
      </c>
      <c r="E230" s="225">
        <f>E$192*E174</f>
        <v>0</v>
      </c>
      <c r="F230" s="225">
        <f t="shared" ref="F230:AF230" si="338">F$192*F174</f>
        <v>0</v>
      </c>
      <c r="G230" s="225">
        <f t="shared" si="338"/>
        <v>0</v>
      </c>
      <c r="H230" s="225">
        <f t="shared" si="338"/>
        <v>0</v>
      </c>
      <c r="I230" s="225">
        <f t="shared" si="338"/>
        <v>2682.5295247174909</v>
      </c>
      <c r="J230" s="225">
        <f t="shared" si="338"/>
        <v>103.83806184456522</v>
      </c>
      <c r="K230" s="225">
        <f t="shared" si="338"/>
        <v>976.82386934881958</v>
      </c>
      <c r="L230" s="225">
        <f t="shared" si="338"/>
        <v>0</v>
      </c>
      <c r="M230" s="225">
        <f t="shared" si="338"/>
        <v>1745.3392274655575</v>
      </c>
      <c r="N230" s="225">
        <f t="shared" si="338"/>
        <v>0</v>
      </c>
      <c r="O230" s="225">
        <f t="shared" si="338"/>
        <v>20.023591698653966</v>
      </c>
      <c r="P230" s="225">
        <f t="shared" si="338"/>
        <v>0</v>
      </c>
      <c r="Q230" s="225">
        <f t="shared" si="338"/>
        <v>419.32918100925718</v>
      </c>
      <c r="R230" s="225">
        <f t="shared" si="338"/>
        <v>743.78475918241668</v>
      </c>
      <c r="S230" s="225">
        <f t="shared" si="338"/>
        <v>452.39376527722908</v>
      </c>
      <c r="T230" s="225">
        <f t="shared" si="338"/>
        <v>2898.7462568903748</v>
      </c>
      <c r="U230" s="225">
        <f t="shared" si="338"/>
        <v>1398.0130151909873</v>
      </c>
      <c r="V230" s="225">
        <f t="shared" si="338"/>
        <v>0</v>
      </c>
      <c r="W230" s="225">
        <f t="shared" si="338"/>
        <v>0</v>
      </c>
      <c r="X230" s="225">
        <f t="shared" si="338"/>
        <v>1507.2292032314353</v>
      </c>
      <c r="Y230" s="225">
        <f t="shared" si="338"/>
        <v>0</v>
      </c>
      <c r="Z230" s="225">
        <f t="shared" si="338"/>
        <v>47.735959611090088</v>
      </c>
      <c r="AA230" s="225">
        <f t="shared" si="338"/>
        <v>0</v>
      </c>
      <c r="AB230" s="225">
        <f t="shared" si="338"/>
        <v>25.513895793772065</v>
      </c>
      <c r="AC230" s="225">
        <f t="shared" si="338"/>
        <v>0</v>
      </c>
      <c r="AD230" s="225">
        <f t="shared" si="338"/>
        <v>490.5555005674583</v>
      </c>
      <c r="AE230" s="225">
        <f t="shared" si="338"/>
        <v>0</v>
      </c>
      <c r="AF230" s="225">
        <f t="shared" si="338"/>
        <v>363.54008393732653</v>
      </c>
      <c r="AH230" s="113">
        <v>0.6</v>
      </c>
    </row>
    <row r="231" spans="1:35" x14ac:dyDescent="0.25">
      <c r="C231" s="9" t="s">
        <v>122</v>
      </c>
      <c r="D231" t="s">
        <v>106</v>
      </c>
      <c r="E231" s="225">
        <f>E$192*E169</f>
        <v>0</v>
      </c>
      <c r="F231" s="225">
        <f t="shared" ref="F231:AF231" si="339">F$192*F169</f>
        <v>0</v>
      </c>
      <c r="G231" s="225">
        <f t="shared" si="339"/>
        <v>0</v>
      </c>
      <c r="H231" s="225">
        <f t="shared" si="339"/>
        <v>0</v>
      </c>
      <c r="I231" s="225">
        <f t="shared" si="339"/>
        <v>0</v>
      </c>
      <c r="J231" s="225">
        <f t="shared" si="339"/>
        <v>0</v>
      </c>
      <c r="K231" s="225">
        <f t="shared" si="339"/>
        <v>0</v>
      </c>
      <c r="L231" s="225">
        <f t="shared" si="339"/>
        <v>0</v>
      </c>
      <c r="M231" s="225">
        <f t="shared" si="339"/>
        <v>0</v>
      </c>
      <c r="N231" s="225">
        <f t="shared" si="339"/>
        <v>0</v>
      </c>
      <c r="O231" s="225">
        <f t="shared" si="339"/>
        <v>0</v>
      </c>
      <c r="P231" s="225">
        <f t="shared" si="339"/>
        <v>0</v>
      </c>
      <c r="Q231" s="225">
        <f t="shared" si="339"/>
        <v>0</v>
      </c>
      <c r="R231" s="225">
        <f t="shared" si="339"/>
        <v>0</v>
      </c>
      <c r="S231" s="225">
        <f t="shared" si="339"/>
        <v>1173.3684444567184</v>
      </c>
      <c r="T231" s="225">
        <f t="shared" si="339"/>
        <v>0</v>
      </c>
      <c r="U231" s="225">
        <f t="shared" si="339"/>
        <v>1908.7948308437519</v>
      </c>
      <c r="V231" s="225">
        <f t="shared" si="339"/>
        <v>0</v>
      </c>
      <c r="W231" s="225">
        <f t="shared" si="339"/>
        <v>0</v>
      </c>
      <c r="X231" s="225">
        <f t="shared" si="339"/>
        <v>2420.1275143115454</v>
      </c>
      <c r="Y231" s="225">
        <f t="shared" si="339"/>
        <v>0</v>
      </c>
      <c r="Z231" s="225">
        <f t="shared" si="339"/>
        <v>0</v>
      </c>
      <c r="AA231" s="225">
        <f t="shared" si="339"/>
        <v>0</v>
      </c>
      <c r="AB231" s="225">
        <f t="shared" si="339"/>
        <v>0</v>
      </c>
      <c r="AC231" s="225">
        <f t="shared" si="339"/>
        <v>0</v>
      </c>
      <c r="AD231" s="225">
        <f t="shared" si="339"/>
        <v>628.56511472710326</v>
      </c>
      <c r="AE231" s="225">
        <f t="shared" si="339"/>
        <v>0</v>
      </c>
      <c r="AF231" s="225">
        <f t="shared" si="339"/>
        <v>0</v>
      </c>
      <c r="AH231" s="113">
        <v>0.6</v>
      </c>
    </row>
    <row r="232" spans="1:35" x14ac:dyDescent="0.25">
      <c r="A232" t="str">
        <f>'INM_BY Techs'!AO17</f>
        <v>I-NM-OTS_GAS00</v>
      </c>
      <c r="B232" t="str">
        <f>'INM_BY Techs'!AP17</f>
        <v>IND Non-metallic minerals technology: Other services using Gas - Existing</v>
      </c>
      <c r="C232" s="9" t="s">
        <v>128</v>
      </c>
      <c r="D232" t="s">
        <v>110</v>
      </c>
      <c r="E232" s="225">
        <f>E$194*E172</f>
        <v>0</v>
      </c>
      <c r="F232" s="225">
        <f t="shared" ref="F232:AF232" si="340">F$194*F172</f>
        <v>0</v>
      </c>
      <c r="G232" s="225">
        <f t="shared" si="340"/>
        <v>0</v>
      </c>
      <c r="H232" s="225">
        <f t="shared" si="340"/>
        <v>0</v>
      </c>
      <c r="I232" s="225">
        <f t="shared" si="340"/>
        <v>1714.5513668748531</v>
      </c>
      <c r="J232" s="225">
        <f t="shared" si="340"/>
        <v>618.29324519070894</v>
      </c>
      <c r="K232" s="225">
        <f t="shared" si="340"/>
        <v>653.10857105545438</v>
      </c>
      <c r="L232" s="225">
        <f t="shared" si="340"/>
        <v>0</v>
      </c>
      <c r="M232" s="225">
        <f t="shared" si="340"/>
        <v>677.65171843602604</v>
      </c>
      <c r="N232" s="225">
        <f t="shared" si="340"/>
        <v>685.315503237435</v>
      </c>
      <c r="O232" s="225">
        <f t="shared" si="340"/>
        <v>7.2704707953445853</v>
      </c>
      <c r="P232" s="225">
        <f t="shared" si="340"/>
        <v>0</v>
      </c>
      <c r="Q232" s="225">
        <f t="shared" si="340"/>
        <v>818.1262363947078</v>
      </c>
      <c r="R232" s="225">
        <f t="shared" si="340"/>
        <v>1387.6961289184821</v>
      </c>
      <c r="S232" s="225">
        <f t="shared" si="340"/>
        <v>2825.2550804783132</v>
      </c>
      <c r="T232" s="225">
        <f t="shared" si="340"/>
        <v>7133.6890461729909</v>
      </c>
      <c r="U232" s="225">
        <f t="shared" si="340"/>
        <v>5021.5374444241334</v>
      </c>
      <c r="V232" s="225">
        <f t="shared" si="340"/>
        <v>0</v>
      </c>
      <c r="W232" s="225">
        <f t="shared" si="340"/>
        <v>0</v>
      </c>
      <c r="X232" s="225">
        <f t="shared" si="340"/>
        <v>675.41427602849467</v>
      </c>
      <c r="Y232" s="225">
        <f t="shared" si="340"/>
        <v>0</v>
      </c>
      <c r="Z232" s="225">
        <f t="shared" si="340"/>
        <v>852.89324791884349</v>
      </c>
      <c r="AA232" s="225">
        <f t="shared" si="340"/>
        <v>0</v>
      </c>
      <c r="AB232" s="225">
        <f t="shared" si="340"/>
        <v>753.04509946388578</v>
      </c>
      <c r="AC232" s="225">
        <f t="shared" si="340"/>
        <v>0</v>
      </c>
      <c r="AD232" s="225">
        <f t="shared" si="340"/>
        <v>12336.853102715288</v>
      </c>
      <c r="AE232" s="225">
        <f t="shared" si="340"/>
        <v>0</v>
      </c>
      <c r="AF232" s="225">
        <f t="shared" si="340"/>
        <v>11235.884305071779</v>
      </c>
      <c r="AH232" s="113">
        <v>0.6</v>
      </c>
      <c r="AI232" t="s">
        <v>780</v>
      </c>
    </row>
    <row r="233" spans="1:35" x14ac:dyDescent="0.25">
      <c r="C233" s="9" t="s">
        <v>115</v>
      </c>
      <c r="D233" t="s">
        <v>110</v>
      </c>
      <c r="E233" s="225">
        <f>E$194*E165</f>
        <v>0</v>
      </c>
      <c r="F233" s="225">
        <f t="shared" ref="F233:AF233" si="341">F$194*F165</f>
        <v>0</v>
      </c>
      <c r="G233" s="225">
        <f t="shared" si="341"/>
        <v>0</v>
      </c>
      <c r="H233" s="225">
        <f t="shared" si="341"/>
        <v>0</v>
      </c>
      <c r="I233" s="225">
        <f t="shared" si="341"/>
        <v>2.9591965783034477</v>
      </c>
      <c r="J233" s="225">
        <f t="shared" si="341"/>
        <v>0</v>
      </c>
      <c r="K233" s="225">
        <f t="shared" si="341"/>
        <v>0</v>
      </c>
      <c r="L233" s="225">
        <f t="shared" si="341"/>
        <v>0</v>
      </c>
      <c r="M233" s="225">
        <f t="shared" si="341"/>
        <v>0</v>
      </c>
      <c r="N233" s="225">
        <f t="shared" si="341"/>
        <v>0</v>
      </c>
      <c r="O233" s="225">
        <f t="shared" si="341"/>
        <v>0</v>
      </c>
      <c r="P233" s="225">
        <f t="shared" si="341"/>
        <v>0</v>
      </c>
      <c r="Q233" s="225">
        <f t="shared" si="341"/>
        <v>0</v>
      </c>
      <c r="R233" s="225">
        <f t="shared" si="341"/>
        <v>0.34836438497519107</v>
      </c>
      <c r="S233" s="225">
        <f t="shared" si="341"/>
        <v>0.61964957987786062</v>
      </c>
      <c r="T233" s="225">
        <f t="shared" si="341"/>
        <v>7.8396886434654327</v>
      </c>
      <c r="U233" s="225">
        <f t="shared" si="341"/>
        <v>3.1857493699756598</v>
      </c>
      <c r="V233" s="225">
        <f t="shared" si="341"/>
        <v>0</v>
      </c>
      <c r="W233" s="225">
        <f t="shared" si="341"/>
        <v>0</v>
      </c>
      <c r="X233" s="225">
        <f t="shared" si="341"/>
        <v>0</v>
      </c>
      <c r="Y233" s="225">
        <f t="shared" si="341"/>
        <v>0</v>
      </c>
      <c r="Z233" s="225">
        <f t="shared" si="341"/>
        <v>0</v>
      </c>
      <c r="AA233" s="225">
        <f t="shared" si="341"/>
        <v>0</v>
      </c>
      <c r="AB233" s="225">
        <f t="shared" si="341"/>
        <v>0</v>
      </c>
      <c r="AC233" s="225">
        <f t="shared" si="341"/>
        <v>0</v>
      </c>
      <c r="AD233" s="225">
        <f t="shared" si="341"/>
        <v>0</v>
      </c>
      <c r="AE233" s="225">
        <f t="shared" si="341"/>
        <v>0</v>
      </c>
      <c r="AF233" s="225">
        <f t="shared" si="341"/>
        <v>0</v>
      </c>
      <c r="AH233" s="113">
        <v>0.6</v>
      </c>
    </row>
    <row r="234" spans="1:35" x14ac:dyDescent="0.25">
      <c r="C234" s="9" t="s">
        <v>113</v>
      </c>
      <c r="D234" t="s">
        <v>110</v>
      </c>
      <c r="E234" s="225">
        <f>E$194*E164</f>
        <v>0</v>
      </c>
      <c r="F234" s="225">
        <f t="shared" ref="F234:AF234" si="342">F$194*F164</f>
        <v>0</v>
      </c>
      <c r="G234" s="225">
        <f t="shared" si="342"/>
        <v>0</v>
      </c>
      <c r="H234" s="225">
        <f t="shared" si="342"/>
        <v>0</v>
      </c>
      <c r="I234" s="225">
        <f t="shared" si="342"/>
        <v>0</v>
      </c>
      <c r="J234" s="225">
        <f t="shared" si="342"/>
        <v>0</v>
      </c>
      <c r="K234" s="225">
        <f t="shared" si="342"/>
        <v>0</v>
      </c>
      <c r="L234" s="225">
        <f t="shared" si="342"/>
        <v>0</v>
      </c>
      <c r="M234" s="225">
        <f t="shared" si="342"/>
        <v>0</v>
      </c>
      <c r="N234" s="225">
        <f t="shared" si="342"/>
        <v>0</v>
      </c>
      <c r="O234" s="225">
        <f t="shared" si="342"/>
        <v>0</v>
      </c>
      <c r="P234" s="225">
        <f t="shared" si="342"/>
        <v>0</v>
      </c>
      <c r="Q234" s="225">
        <f t="shared" si="342"/>
        <v>0</v>
      </c>
      <c r="R234" s="225">
        <f t="shared" si="342"/>
        <v>4.4215479631466561</v>
      </c>
      <c r="S234" s="225">
        <f t="shared" si="342"/>
        <v>0</v>
      </c>
      <c r="T234" s="225">
        <f t="shared" si="342"/>
        <v>0</v>
      </c>
      <c r="U234" s="225">
        <f t="shared" si="342"/>
        <v>0</v>
      </c>
      <c r="V234" s="225">
        <f t="shared" si="342"/>
        <v>0</v>
      </c>
      <c r="W234" s="225">
        <f t="shared" si="342"/>
        <v>0</v>
      </c>
      <c r="X234" s="225">
        <f t="shared" si="342"/>
        <v>4.945391957211287</v>
      </c>
      <c r="Y234" s="225">
        <f t="shared" si="342"/>
        <v>0</v>
      </c>
      <c r="Z234" s="225">
        <f t="shared" si="342"/>
        <v>0</v>
      </c>
      <c r="AA234" s="225">
        <f t="shared" si="342"/>
        <v>0</v>
      </c>
      <c r="AB234" s="225">
        <f t="shared" si="342"/>
        <v>0</v>
      </c>
      <c r="AC234" s="225">
        <f t="shared" si="342"/>
        <v>0</v>
      </c>
      <c r="AD234" s="225">
        <f t="shared" si="342"/>
        <v>0</v>
      </c>
      <c r="AE234" s="225">
        <f t="shared" si="342"/>
        <v>0</v>
      </c>
      <c r="AF234" s="225">
        <f t="shared" si="342"/>
        <v>0</v>
      </c>
      <c r="AH234" s="113">
        <v>0.6</v>
      </c>
    </row>
    <row r="235" spans="1:35" x14ac:dyDescent="0.25">
      <c r="C235" s="9" t="s">
        <v>132</v>
      </c>
      <c r="D235" t="s">
        <v>110</v>
      </c>
      <c r="E235" s="225">
        <f>E$194*E174</f>
        <v>0</v>
      </c>
      <c r="F235" s="225">
        <f t="shared" ref="F235:AF235" si="343">F$194*F174</f>
        <v>0</v>
      </c>
      <c r="G235" s="225">
        <f t="shared" si="343"/>
        <v>0</v>
      </c>
      <c r="H235" s="225">
        <f t="shared" si="343"/>
        <v>0</v>
      </c>
      <c r="I235" s="225">
        <f t="shared" si="343"/>
        <v>149.02941803986039</v>
      </c>
      <c r="J235" s="225">
        <f t="shared" si="343"/>
        <v>5.7687812135869487</v>
      </c>
      <c r="K235" s="225">
        <f t="shared" si="343"/>
        <v>54.267992741601013</v>
      </c>
      <c r="L235" s="225">
        <f t="shared" si="343"/>
        <v>0</v>
      </c>
      <c r="M235" s="225">
        <f t="shared" si="343"/>
        <v>96.963290414753061</v>
      </c>
      <c r="N235" s="225">
        <f t="shared" si="343"/>
        <v>0</v>
      </c>
      <c r="O235" s="225">
        <f t="shared" si="343"/>
        <v>1.1124217610363298</v>
      </c>
      <c r="P235" s="225">
        <f t="shared" si="343"/>
        <v>0</v>
      </c>
      <c r="Q235" s="225">
        <f t="shared" si="343"/>
        <v>23.296065611625366</v>
      </c>
      <c r="R235" s="225">
        <f t="shared" si="343"/>
        <v>41.321375510134203</v>
      </c>
      <c r="S235" s="225">
        <f t="shared" si="343"/>
        <v>25.132986959846026</v>
      </c>
      <c r="T235" s="225">
        <f t="shared" si="343"/>
        <v>161.04145871613173</v>
      </c>
      <c r="U235" s="225">
        <f t="shared" si="343"/>
        <v>77.667389732832518</v>
      </c>
      <c r="V235" s="225">
        <f t="shared" si="343"/>
        <v>0</v>
      </c>
      <c r="W235" s="225">
        <f t="shared" si="343"/>
        <v>0</v>
      </c>
      <c r="X235" s="225">
        <f t="shared" si="343"/>
        <v>83.734955735079623</v>
      </c>
      <c r="Y235" s="225">
        <f t="shared" si="343"/>
        <v>0</v>
      </c>
      <c r="Z235" s="225">
        <f t="shared" si="343"/>
        <v>2.6519977561716681</v>
      </c>
      <c r="AA235" s="225">
        <f t="shared" si="343"/>
        <v>0</v>
      </c>
      <c r="AB235" s="225">
        <f t="shared" si="343"/>
        <v>1.4174386552095573</v>
      </c>
      <c r="AC235" s="225">
        <f t="shared" si="343"/>
        <v>0</v>
      </c>
      <c r="AD235" s="225">
        <f t="shared" si="343"/>
        <v>27.253083364858757</v>
      </c>
      <c r="AE235" s="225">
        <f t="shared" si="343"/>
        <v>0</v>
      </c>
      <c r="AF235" s="225">
        <f t="shared" si="343"/>
        <v>20.196671329851448</v>
      </c>
      <c r="AH235" s="113">
        <v>0.6</v>
      </c>
    </row>
    <row r="236" spans="1:35" x14ac:dyDescent="0.25">
      <c r="C236" s="9" t="s">
        <v>122</v>
      </c>
      <c r="D236" t="s">
        <v>110</v>
      </c>
      <c r="E236" s="225">
        <f>E$194*E169</f>
        <v>0</v>
      </c>
      <c r="F236" s="225">
        <f t="shared" ref="F236:AF236" si="344">F$194*F169</f>
        <v>0</v>
      </c>
      <c r="G236" s="225">
        <f t="shared" si="344"/>
        <v>0</v>
      </c>
      <c r="H236" s="225">
        <f t="shared" si="344"/>
        <v>0</v>
      </c>
      <c r="I236" s="225">
        <f t="shared" si="344"/>
        <v>0</v>
      </c>
      <c r="J236" s="225">
        <f t="shared" si="344"/>
        <v>0</v>
      </c>
      <c r="K236" s="225">
        <f t="shared" si="344"/>
        <v>0</v>
      </c>
      <c r="L236" s="225">
        <f t="shared" si="344"/>
        <v>0</v>
      </c>
      <c r="M236" s="225">
        <f t="shared" si="344"/>
        <v>0</v>
      </c>
      <c r="N236" s="225">
        <f t="shared" si="344"/>
        <v>0</v>
      </c>
      <c r="O236" s="225">
        <f t="shared" si="344"/>
        <v>0</v>
      </c>
      <c r="P236" s="225">
        <f t="shared" si="344"/>
        <v>0</v>
      </c>
      <c r="Q236" s="225">
        <f t="shared" si="344"/>
        <v>0</v>
      </c>
      <c r="R236" s="225">
        <f t="shared" si="344"/>
        <v>0</v>
      </c>
      <c r="S236" s="225">
        <f t="shared" si="344"/>
        <v>65.187135803150937</v>
      </c>
      <c r="T236" s="225">
        <f t="shared" si="344"/>
        <v>0</v>
      </c>
      <c r="U236" s="225">
        <f t="shared" si="344"/>
        <v>106.04415726909718</v>
      </c>
      <c r="V236" s="225">
        <f t="shared" si="344"/>
        <v>0</v>
      </c>
      <c r="W236" s="225">
        <f t="shared" si="344"/>
        <v>0</v>
      </c>
      <c r="X236" s="225">
        <f t="shared" si="344"/>
        <v>134.45152857286345</v>
      </c>
      <c r="Y236" s="225">
        <f t="shared" si="344"/>
        <v>0</v>
      </c>
      <c r="Z236" s="225">
        <f t="shared" si="344"/>
        <v>0</v>
      </c>
      <c r="AA236" s="225">
        <f t="shared" si="344"/>
        <v>0</v>
      </c>
      <c r="AB236" s="225">
        <f t="shared" si="344"/>
        <v>0</v>
      </c>
      <c r="AC236" s="225">
        <f t="shared" si="344"/>
        <v>0</v>
      </c>
      <c r="AD236" s="225">
        <f t="shared" si="344"/>
        <v>34.92028415150569</v>
      </c>
      <c r="AE236" s="225">
        <f t="shared" si="344"/>
        <v>0</v>
      </c>
      <c r="AF236" s="225">
        <f t="shared" si="344"/>
        <v>0</v>
      </c>
      <c r="AH236" s="113">
        <v>0.6</v>
      </c>
    </row>
    <row r="237" spans="1:35" x14ac:dyDescent="0.25">
      <c r="A237" t="str">
        <f>'INM_BY Techs'!AO18</f>
        <v>I-NM-HTH_HET00</v>
      </c>
      <c r="B237" t="str">
        <f>'INM_BY Techs'!AP18</f>
        <v>IND Non-metallic minerals technology: High temperature heat using Heat - Existing</v>
      </c>
      <c r="C237" s="9" t="s">
        <v>130</v>
      </c>
      <c r="D237" t="s">
        <v>104</v>
      </c>
      <c r="E237" s="225">
        <f>E196*E173</f>
        <v>0</v>
      </c>
      <c r="F237" s="225">
        <f t="shared" ref="F237:AF237" si="345">F196*F173</f>
        <v>0</v>
      </c>
      <c r="G237" s="225">
        <f t="shared" si="345"/>
        <v>0</v>
      </c>
      <c r="H237" s="225">
        <f t="shared" si="345"/>
        <v>0</v>
      </c>
      <c r="I237" s="225">
        <f t="shared" si="345"/>
        <v>0</v>
      </c>
      <c r="J237" s="225">
        <f t="shared" si="345"/>
        <v>431.77260073024559</v>
      </c>
      <c r="K237" s="225">
        <f t="shared" si="345"/>
        <v>0</v>
      </c>
      <c r="L237" s="225">
        <f t="shared" si="345"/>
        <v>0</v>
      </c>
      <c r="M237" s="225">
        <f t="shared" si="345"/>
        <v>0</v>
      </c>
      <c r="N237" s="225">
        <f t="shared" si="345"/>
        <v>0</v>
      </c>
      <c r="O237" s="225">
        <f t="shared" si="345"/>
        <v>0</v>
      </c>
      <c r="P237" s="225">
        <f t="shared" si="345"/>
        <v>0</v>
      </c>
      <c r="Q237" s="225">
        <f t="shared" si="345"/>
        <v>2529.3534846520502</v>
      </c>
      <c r="R237" s="225">
        <f t="shared" si="345"/>
        <v>19.294027475549068</v>
      </c>
      <c r="S237" s="225">
        <f t="shared" si="345"/>
        <v>1086.6175032738179</v>
      </c>
      <c r="T237" s="225">
        <f t="shared" si="345"/>
        <v>4212.9061372048109</v>
      </c>
      <c r="U237" s="225">
        <f t="shared" si="345"/>
        <v>1250.7016045089645</v>
      </c>
      <c r="V237" s="225">
        <f t="shared" si="345"/>
        <v>0</v>
      </c>
      <c r="W237" s="225">
        <f t="shared" si="345"/>
        <v>0</v>
      </c>
      <c r="X237" s="225">
        <f t="shared" si="345"/>
        <v>0</v>
      </c>
      <c r="Y237" s="225">
        <f t="shared" si="345"/>
        <v>0</v>
      </c>
      <c r="Z237" s="225">
        <f t="shared" si="345"/>
        <v>0</v>
      </c>
      <c r="AA237" s="225">
        <f t="shared" si="345"/>
        <v>0</v>
      </c>
      <c r="AB237" s="225">
        <f t="shared" si="345"/>
        <v>0</v>
      </c>
      <c r="AC237" s="225">
        <f t="shared" si="345"/>
        <v>0</v>
      </c>
      <c r="AD237" s="225">
        <f t="shared" si="345"/>
        <v>64405.213356724031</v>
      </c>
      <c r="AE237" s="225">
        <f t="shared" si="345"/>
        <v>0</v>
      </c>
      <c r="AF237" s="225">
        <f t="shared" si="345"/>
        <v>83.941534955310175</v>
      </c>
      <c r="AH237" s="113">
        <v>1</v>
      </c>
      <c r="AI237" t="s">
        <v>781</v>
      </c>
    </row>
    <row r="238" spans="1:35" x14ac:dyDescent="0.25">
      <c r="A238" t="str">
        <f>'INM_BY Techs'!AO19</f>
        <v>I-NM-HTH_OIL00</v>
      </c>
      <c r="B238" t="str">
        <f>'INM_BY Techs'!AP19</f>
        <v>IND Non-metallic minerals technology: High temperature heat using Liquid - Existing</v>
      </c>
      <c r="C238" s="9" t="s">
        <v>134</v>
      </c>
      <c r="D238" t="s">
        <v>104</v>
      </c>
      <c r="E238" s="225">
        <f>E201*E$175</f>
        <v>0</v>
      </c>
      <c r="F238" s="225">
        <f t="shared" ref="F238:AF238" si="346">F201*F$175</f>
        <v>0</v>
      </c>
      <c r="G238" s="225">
        <f t="shared" si="346"/>
        <v>0</v>
      </c>
      <c r="H238" s="225">
        <f t="shared" si="346"/>
        <v>0</v>
      </c>
      <c r="I238" s="225">
        <f t="shared" si="346"/>
        <v>741.97397579606184</v>
      </c>
      <c r="J238" s="225">
        <f t="shared" si="346"/>
        <v>243.59810773073252</v>
      </c>
      <c r="K238" s="225">
        <f t="shared" si="346"/>
        <v>1671.5532314476211</v>
      </c>
      <c r="L238" s="225">
        <f t="shared" si="346"/>
        <v>1184.1291961244015</v>
      </c>
      <c r="M238" s="225">
        <f t="shared" si="346"/>
        <v>11414.303558674694</v>
      </c>
      <c r="N238" s="225">
        <f t="shared" si="346"/>
        <v>2760.0000850267897</v>
      </c>
      <c r="O238" s="225">
        <f t="shared" si="346"/>
        <v>1265.2407004586976</v>
      </c>
      <c r="P238" s="225">
        <f t="shared" si="346"/>
        <v>0</v>
      </c>
      <c r="Q238" s="225">
        <f t="shared" si="346"/>
        <v>2814.1786617162197</v>
      </c>
      <c r="R238" s="225">
        <f t="shared" si="346"/>
        <v>1666.0928670344276</v>
      </c>
      <c r="S238" s="225">
        <f t="shared" si="346"/>
        <v>5823.5906816081169</v>
      </c>
      <c r="T238" s="225">
        <f t="shared" si="346"/>
        <v>29186.818724117402</v>
      </c>
      <c r="U238" s="225">
        <f t="shared" si="346"/>
        <v>8941.9855140107647</v>
      </c>
      <c r="V238" s="225">
        <f t="shared" si="346"/>
        <v>0</v>
      </c>
      <c r="W238" s="225">
        <f t="shared" si="346"/>
        <v>0</v>
      </c>
      <c r="X238" s="225">
        <f t="shared" si="346"/>
        <v>10944.804772162521</v>
      </c>
      <c r="Y238" s="225">
        <f t="shared" si="346"/>
        <v>0</v>
      </c>
      <c r="Z238" s="225">
        <f t="shared" si="346"/>
        <v>12532.291366098887</v>
      </c>
      <c r="AA238" s="225">
        <f t="shared" si="346"/>
        <v>0</v>
      </c>
      <c r="AB238" s="225">
        <f t="shared" si="346"/>
        <v>14442.544375942574</v>
      </c>
      <c r="AC238" s="225">
        <f t="shared" si="346"/>
        <v>0</v>
      </c>
      <c r="AD238" s="225">
        <f t="shared" si="346"/>
        <v>5811.1567971665972</v>
      </c>
      <c r="AE238" s="225">
        <f t="shared" si="346"/>
        <v>0</v>
      </c>
      <c r="AF238" s="225">
        <f t="shared" si="346"/>
        <v>9573.1940420492774</v>
      </c>
      <c r="AH238" s="113">
        <v>0.4</v>
      </c>
      <c r="AI238" t="s">
        <v>782</v>
      </c>
    </row>
    <row r="239" spans="1:35" x14ac:dyDescent="0.25">
      <c r="A239" t="str">
        <f>'INM_BY Techs'!AO20</f>
        <v>I-NM-LTH_OIL00</v>
      </c>
      <c r="B239" t="str">
        <f>'INM_BY Techs'!AP20</f>
        <v>IND Non-metallic minerals technology: Low temperature heat using Liquid - Existing</v>
      </c>
      <c r="C239" s="9" t="s">
        <v>134</v>
      </c>
      <c r="D239" t="s">
        <v>106</v>
      </c>
      <c r="E239" s="225">
        <f>E202*E$175</f>
        <v>0</v>
      </c>
      <c r="F239" s="225">
        <f t="shared" ref="F239:AF241" si="347">F202*F$175</f>
        <v>0</v>
      </c>
      <c r="G239" s="225">
        <f t="shared" si="347"/>
        <v>0</v>
      </c>
      <c r="H239" s="225">
        <f t="shared" si="347"/>
        <v>0</v>
      </c>
      <c r="I239" s="225">
        <f t="shared" si="347"/>
        <v>996.3650532118545</v>
      </c>
      <c r="J239" s="225">
        <f t="shared" si="347"/>
        <v>327.11745895269797</v>
      </c>
      <c r="K239" s="225">
        <f t="shared" si="347"/>
        <v>2244.6571965153771</v>
      </c>
      <c r="L239" s="225">
        <f t="shared" si="347"/>
        <v>1590.116349081339</v>
      </c>
      <c r="M239" s="225">
        <f t="shared" si="347"/>
        <v>15327.779064506018</v>
      </c>
      <c r="N239" s="225">
        <f t="shared" si="347"/>
        <v>3706.2858284645463</v>
      </c>
      <c r="O239" s="225">
        <f t="shared" si="347"/>
        <v>1699.0375120445367</v>
      </c>
      <c r="P239" s="225">
        <f t="shared" si="347"/>
        <v>0</v>
      </c>
      <c r="Q239" s="225">
        <f t="shared" si="347"/>
        <v>3779.039917161781</v>
      </c>
      <c r="R239" s="225">
        <f t="shared" si="347"/>
        <v>2237.3247071605169</v>
      </c>
      <c r="S239" s="225">
        <f t="shared" si="347"/>
        <v>7820.2503438737567</v>
      </c>
      <c r="T239" s="225">
        <f t="shared" si="347"/>
        <v>39193.728000957657</v>
      </c>
      <c r="U239" s="225">
        <f t="shared" si="347"/>
        <v>12007.809118814457</v>
      </c>
      <c r="V239" s="225">
        <f t="shared" si="347"/>
        <v>0</v>
      </c>
      <c r="W239" s="225">
        <f t="shared" si="347"/>
        <v>0</v>
      </c>
      <c r="X239" s="225">
        <f t="shared" si="347"/>
        <v>14697.309265475385</v>
      </c>
      <c r="Y239" s="225">
        <f t="shared" si="347"/>
        <v>0</v>
      </c>
      <c r="Z239" s="225">
        <f t="shared" si="347"/>
        <v>16829.076977332792</v>
      </c>
      <c r="AA239" s="225">
        <f t="shared" si="347"/>
        <v>0</v>
      </c>
      <c r="AB239" s="225">
        <f t="shared" si="347"/>
        <v>19394.273876265743</v>
      </c>
      <c r="AC239" s="225">
        <f t="shared" si="347"/>
        <v>0</v>
      </c>
      <c r="AD239" s="225">
        <f t="shared" si="347"/>
        <v>7803.5534133380024</v>
      </c>
      <c r="AE239" s="225">
        <f t="shared" si="347"/>
        <v>0</v>
      </c>
      <c r="AF239" s="225">
        <f t="shared" si="347"/>
        <v>12855.431999323315</v>
      </c>
      <c r="AH239" s="113">
        <v>0.4</v>
      </c>
      <c r="AI239" t="s">
        <v>783</v>
      </c>
    </row>
    <row r="240" spans="1:35" x14ac:dyDescent="0.25">
      <c r="A240" t="str">
        <f>'INM_BY Techs'!AO21</f>
        <v>I-NM-MDR_OIL00</v>
      </c>
      <c r="B240" t="str">
        <f>'INM_BY Techs'!AP21</f>
        <v>IND Non-metallic minerals technology: Machine drive using Liquid - Existing</v>
      </c>
      <c r="C240" s="9" t="s">
        <v>134</v>
      </c>
      <c r="D240" t="s">
        <v>108</v>
      </c>
      <c r="E240" s="225">
        <f>E203*E$175</f>
        <v>0</v>
      </c>
      <c r="F240" s="225">
        <f t="shared" ref="F240:T240" si="348">F203*F$175</f>
        <v>0</v>
      </c>
      <c r="G240" s="225">
        <f t="shared" si="348"/>
        <v>0</v>
      </c>
      <c r="H240" s="225">
        <f t="shared" si="348"/>
        <v>0</v>
      </c>
      <c r="I240" s="225">
        <f t="shared" si="348"/>
        <v>169.59405161052845</v>
      </c>
      <c r="J240" s="225">
        <f t="shared" si="348"/>
        <v>55.679567481310301</v>
      </c>
      <c r="K240" s="225">
        <f t="shared" si="348"/>
        <v>382.0693100451706</v>
      </c>
      <c r="L240" s="225">
        <f t="shared" si="348"/>
        <v>270.65810197129179</v>
      </c>
      <c r="M240" s="225">
        <f t="shared" si="348"/>
        <v>2608.9836705542157</v>
      </c>
      <c r="N240" s="225">
        <f t="shared" si="348"/>
        <v>630.85716229183777</v>
      </c>
      <c r="O240" s="225">
        <f t="shared" si="348"/>
        <v>289.19787439055943</v>
      </c>
      <c r="P240" s="225">
        <f t="shared" si="348"/>
        <v>0</v>
      </c>
      <c r="Q240" s="225">
        <f t="shared" si="348"/>
        <v>643.24083696370747</v>
      </c>
      <c r="R240" s="225">
        <f t="shared" si="348"/>
        <v>380.82122675072634</v>
      </c>
      <c r="S240" s="225">
        <f t="shared" si="348"/>
        <v>1331.1064415104267</v>
      </c>
      <c r="T240" s="225">
        <f t="shared" si="348"/>
        <v>6671.272851226835</v>
      </c>
      <c r="U240" s="225">
        <f t="shared" si="347"/>
        <v>2043.8824032024609</v>
      </c>
      <c r="V240" s="225">
        <f t="shared" si="347"/>
        <v>0</v>
      </c>
      <c r="W240" s="225">
        <f t="shared" si="347"/>
        <v>0</v>
      </c>
      <c r="X240" s="225">
        <f t="shared" si="347"/>
        <v>2501.6696622085765</v>
      </c>
      <c r="Y240" s="225">
        <f t="shared" si="347"/>
        <v>0</v>
      </c>
      <c r="Z240" s="225">
        <f t="shared" si="347"/>
        <v>2864.523740822603</v>
      </c>
      <c r="AA240" s="225">
        <f t="shared" si="347"/>
        <v>0</v>
      </c>
      <c r="AB240" s="225">
        <f t="shared" si="347"/>
        <v>3301.1530002154459</v>
      </c>
      <c r="AC240" s="225">
        <f t="shared" si="347"/>
        <v>0</v>
      </c>
      <c r="AD240" s="225">
        <f t="shared" si="347"/>
        <v>1328.2644107809367</v>
      </c>
      <c r="AE240" s="225">
        <f t="shared" si="347"/>
        <v>0</v>
      </c>
      <c r="AF240" s="225">
        <f t="shared" si="347"/>
        <v>2188.1586381826919</v>
      </c>
      <c r="AH240" s="113">
        <v>0.4</v>
      </c>
      <c r="AI240" t="s">
        <v>784</v>
      </c>
    </row>
    <row r="241" spans="1:35" x14ac:dyDescent="0.25">
      <c r="A241" t="str">
        <f>'INM_BY Techs'!AO22</f>
        <v>I-NM-OTS_OIL00</v>
      </c>
      <c r="B241" t="str">
        <f>'INM_BY Techs'!AP22</f>
        <v>IND Non-metallic minerals technology: Other services using Liquid - Existing</v>
      </c>
      <c r="C241" s="9" t="s">
        <v>134</v>
      </c>
      <c r="D241" t="s">
        <v>110</v>
      </c>
      <c r="E241" s="225">
        <f>E204*E$175</f>
        <v>0</v>
      </c>
      <c r="F241" s="225">
        <f t="shared" si="347"/>
        <v>0</v>
      </c>
      <c r="G241" s="225">
        <f t="shared" si="347"/>
        <v>0</v>
      </c>
      <c r="H241" s="225">
        <f t="shared" si="347"/>
        <v>0</v>
      </c>
      <c r="I241" s="225">
        <f t="shared" si="347"/>
        <v>211.99256451316074</v>
      </c>
      <c r="J241" s="225">
        <f t="shared" si="347"/>
        <v>69.599459351637933</v>
      </c>
      <c r="K241" s="225">
        <f t="shared" si="347"/>
        <v>477.58663755646364</v>
      </c>
      <c r="L241" s="225">
        <f t="shared" si="347"/>
        <v>338.32262746411499</v>
      </c>
      <c r="M241" s="225">
        <f t="shared" si="347"/>
        <v>3261.2295881927726</v>
      </c>
      <c r="N241" s="225">
        <f t="shared" si="347"/>
        <v>788.57145286479783</v>
      </c>
      <c r="O241" s="225">
        <f t="shared" si="347"/>
        <v>361.49734298819965</v>
      </c>
      <c r="P241" s="225">
        <f t="shared" si="347"/>
        <v>0</v>
      </c>
      <c r="Q241" s="225">
        <f t="shared" si="347"/>
        <v>804.05104620463499</v>
      </c>
      <c r="R241" s="225">
        <f t="shared" si="347"/>
        <v>476.02653343840836</v>
      </c>
      <c r="S241" s="225">
        <f t="shared" si="347"/>
        <v>1663.883051888035</v>
      </c>
      <c r="T241" s="225">
        <f t="shared" si="347"/>
        <v>8339.0910640335514</v>
      </c>
      <c r="U241" s="225">
        <f t="shared" si="347"/>
        <v>2554.8530040030782</v>
      </c>
      <c r="V241" s="225">
        <f t="shared" si="347"/>
        <v>0</v>
      </c>
      <c r="W241" s="225">
        <f t="shared" si="347"/>
        <v>0</v>
      </c>
      <c r="X241" s="225">
        <f t="shared" si="347"/>
        <v>3127.0870777607233</v>
      </c>
      <c r="Y241" s="225">
        <f t="shared" si="347"/>
        <v>0</v>
      </c>
      <c r="Z241" s="225">
        <f t="shared" si="347"/>
        <v>3580.6546760282567</v>
      </c>
      <c r="AA241" s="225">
        <f t="shared" si="347"/>
        <v>0</v>
      </c>
      <c r="AB241" s="225">
        <f t="shared" si="347"/>
        <v>4126.4412502693103</v>
      </c>
      <c r="AC241" s="225">
        <f t="shared" si="347"/>
        <v>0</v>
      </c>
      <c r="AD241" s="225">
        <f t="shared" si="347"/>
        <v>1660.3305134761722</v>
      </c>
      <c r="AE241" s="225">
        <f t="shared" si="347"/>
        <v>0</v>
      </c>
      <c r="AF241" s="225">
        <f t="shared" si="347"/>
        <v>2735.1982977283674</v>
      </c>
      <c r="AH241" s="113">
        <v>0.4</v>
      </c>
      <c r="AI241" t="s">
        <v>785</v>
      </c>
    </row>
    <row r="242" spans="1:35" x14ac:dyDescent="0.25">
      <c r="A242" t="str">
        <f>'INM_BY Techs'!AO23</f>
        <v>I-NM-LTH_COA00</v>
      </c>
      <c r="B242" t="str">
        <f>'INM_BY Techs'!AP23</f>
        <v>IND Non-metallic minerals technology: Low temperature heat using Solid - Existing</v>
      </c>
      <c r="C242" s="9" t="s">
        <v>120</v>
      </c>
      <c r="D242" t="s">
        <v>106</v>
      </c>
      <c r="E242" s="340">
        <f>E$207*E168</f>
        <v>0</v>
      </c>
      <c r="F242" s="340">
        <f t="shared" ref="F242:AF242" si="349">F$207*F168</f>
        <v>0</v>
      </c>
      <c r="G242" s="340">
        <f t="shared" si="349"/>
        <v>0</v>
      </c>
      <c r="H242" s="340">
        <f t="shared" si="349"/>
        <v>0</v>
      </c>
      <c r="I242" s="340">
        <f>I$207*I168</f>
        <v>15516.885961556967</v>
      </c>
      <c r="J242" s="340">
        <f t="shared" si="349"/>
        <v>11184.741405510162</v>
      </c>
      <c r="K242" s="340">
        <f t="shared" si="349"/>
        <v>129383.88040012063</v>
      </c>
      <c r="L242" s="340">
        <f t="shared" si="349"/>
        <v>24294.979846918344</v>
      </c>
      <c r="M242" s="340">
        <f t="shared" si="349"/>
        <v>845.22305488155689</v>
      </c>
      <c r="N242" s="340">
        <f t="shared" si="349"/>
        <v>3615.4557851755908</v>
      </c>
      <c r="O242" s="340">
        <f t="shared" si="349"/>
        <v>39.332055122356003</v>
      </c>
      <c r="P242" s="340">
        <f t="shared" si="349"/>
        <v>0</v>
      </c>
      <c r="Q242" s="340">
        <f t="shared" si="349"/>
        <v>27702.111121620754</v>
      </c>
      <c r="R242" s="340">
        <f t="shared" si="349"/>
        <v>11552.298950985005</v>
      </c>
      <c r="S242" s="340">
        <f t="shared" si="349"/>
        <v>19783.676066676457</v>
      </c>
      <c r="T242" s="340">
        <f t="shared" si="349"/>
        <v>11548.003911618114</v>
      </c>
      <c r="U242" s="340">
        <f t="shared" si="349"/>
        <v>32456.296590594658</v>
      </c>
      <c r="V242" s="340">
        <f t="shared" si="349"/>
        <v>0</v>
      </c>
      <c r="W242" s="340">
        <f t="shared" si="349"/>
        <v>0</v>
      </c>
      <c r="X242" s="340">
        <f t="shared" si="349"/>
        <v>53326.056253503906</v>
      </c>
      <c r="Y242" s="340">
        <f t="shared" si="349"/>
        <v>0</v>
      </c>
      <c r="Z242" s="340">
        <f t="shared" si="349"/>
        <v>19328.890448052844</v>
      </c>
      <c r="AA242" s="340">
        <f t="shared" si="349"/>
        <v>0</v>
      </c>
      <c r="AB242" s="340">
        <f t="shared" si="349"/>
        <v>1314.82842212591</v>
      </c>
      <c r="AC242" s="340">
        <f t="shared" si="349"/>
        <v>0</v>
      </c>
      <c r="AD242" s="340">
        <f t="shared" si="349"/>
        <v>21723.251062906511</v>
      </c>
      <c r="AE242" s="340">
        <f t="shared" si="349"/>
        <v>0</v>
      </c>
      <c r="AF242" s="340">
        <f t="shared" si="349"/>
        <v>108905.40943141558</v>
      </c>
      <c r="AH242" s="113">
        <v>0.4</v>
      </c>
      <c r="AI242" t="s">
        <v>786</v>
      </c>
    </row>
    <row r="243" spans="1:35" x14ac:dyDescent="0.25">
      <c r="C243" s="9" t="s">
        <v>124</v>
      </c>
      <c r="D243" t="s">
        <v>106</v>
      </c>
      <c r="E243" s="340">
        <f>E$207*E170</f>
        <v>0</v>
      </c>
      <c r="F243" s="340">
        <f t="shared" ref="F243:AF243" si="350">F$207*F170</f>
        <v>0</v>
      </c>
      <c r="G243" s="340">
        <f t="shared" si="350"/>
        <v>0</v>
      </c>
      <c r="H243" s="340">
        <f t="shared" si="350"/>
        <v>0</v>
      </c>
      <c r="I243" s="340">
        <f t="shared" si="350"/>
        <v>77.010416977535613</v>
      </c>
      <c r="J243" s="340">
        <f t="shared" si="350"/>
        <v>49.812342902303754</v>
      </c>
      <c r="K243" s="340">
        <f t="shared" si="350"/>
        <v>0</v>
      </c>
      <c r="L243" s="340">
        <f t="shared" si="350"/>
        <v>0</v>
      </c>
      <c r="M243" s="340">
        <f t="shared" si="350"/>
        <v>512.37214237171202</v>
      </c>
      <c r="N243" s="340">
        <f t="shared" si="350"/>
        <v>259.07584170461934</v>
      </c>
      <c r="O243" s="340">
        <f t="shared" si="350"/>
        <v>0</v>
      </c>
      <c r="P243" s="340">
        <f t="shared" si="350"/>
        <v>0</v>
      </c>
      <c r="Q243" s="340">
        <f t="shared" si="350"/>
        <v>301.4784961504464</v>
      </c>
      <c r="R243" s="340">
        <f t="shared" si="350"/>
        <v>361.22706995889092</v>
      </c>
      <c r="S243" s="340">
        <f t="shared" si="350"/>
        <v>3674.2741488437673</v>
      </c>
      <c r="T243" s="340">
        <f t="shared" si="350"/>
        <v>1051.3735169854747</v>
      </c>
      <c r="U243" s="340">
        <f t="shared" si="350"/>
        <v>17782.970973921561</v>
      </c>
      <c r="V243" s="340">
        <f t="shared" si="350"/>
        <v>0</v>
      </c>
      <c r="W243" s="340">
        <f t="shared" si="350"/>
        <v>0</v>
      </c>
      <c r="X243" s="340">
        <f t="shared" si="350"/>
        <v>2320.3358178813496</v>
      </c>
      <c r="Y243" s="340">
        <f t="shared" si="350"/>
        <v>0</v>
      </c>
      <c r="Z243" s="340">
        <f t="shared" si="350"/>
        <v>608.2094346387621</v>
      </c>
      <c r="AA243" s="340">
        <f t="shared" si="350"/>
        <v>0</v>
      </c>
      <c r="AB243" s="340">
        <f t="shared" si="350"/>
        <v>0</v>
      </c>
      <c r="AC243" s="340">
        <f t="shared" si="350"/>
        <v>0</v>
      </c>
      <c r="AD243" s="340">
        <f t="shared" si="350"/>
        <v>1760.1858109250134</v>
      </c>
      <c r="AE243" s="340">
        <f t="shared" si="350"/>
        <v>0</v>
      </c>
      <c r="AF243" s="340">
        <f t="shared" si="350"/>
        <v>0</v>
      </c>
      <c r="AH243" s="113">
        <v>0.4</v>
      </c>
    </row>
    <row r="244" spans="1:35" x14ac:dyDescent="0.25">
      <c r="A244" t="str">
        <f>'INM_BY Techs'!AO24</f>
        <v>I-NM-HTH_BIO00</v>
      </c>
      <c r="B244" t="str">
        <f>'INM_BY Techs'!AP24</f>
        <v>IND Non-metallic minerals technology: High temperature heat using Biomass - Existing</v>
      </c>
      <c r="C244" s="9" t="s">
        <v>117</v>
      </c>
      <c r="D244" t="s">
        <v>104</v>
      </c>
      <c r="E244" s="225">
        <f>E211*E166</f>
        <v>0</v>
      </c>
      <c r="F244" s="225">
        <f t="shared" ref="F244:AF244" si="351">F211*F166</f>
        <v>0</v>
      </c>
      <c r="G244" s="225">
        <f t="shared" si="351"/>
        <v>0</v>
      </c>
      <c r="H244" s="225">
        <f t="shared" si="351"/>
        <v>0</v>
      </c>
      <c r="I244" s="225">
        <f t="shared" si="351"/>
        <v>2162.7092101191251</v>
      </c>
      <c r="J244" s="225">
        <f t="shared" si="351"/>
        <v>0.19688673083914532</v>
      </c>
      <c r="K244" s="225">
        <f t="shared" si="351"/>
        <v>7004.6040174947939</v>
      </c>
      <c r="L244" s="225">
        <f t="shared" si="351"/>
        <v>0</v>
      </c>
      <c r="M244" s="225">
        <f t="shared" si="351"/>
        <v>1866.9662248400555</v>
      </c>
      <c r="N244" s="225">
        <f t="shared" si="351"/>
        <v>345.93363834547426</v>
      </c>
      <c r="O244" s="225">
        <f t="shared" si="351"/>
        <v>0</v>
      </c>
      <c r="P244" s="225">
        <f t="shared" si="351"/>
        <v>0</v>
      </c>
      <c r="Q244" s="225">
        <f t="shared" si="351"/>
        <v>150.50698421070049</v>
      </c>
      <c r="R244" s="225">
        <f t="shared" si="351"/>
        <v>6390.6106560679755</v>
      </c>
      <c r="S244" s="225">
        <f t="shared" si="351"/>
        <v>2112.2614878876539</v>
      </c>
      <c r="T244" s="225">
        <f t="shared" si="351"/>
        <v>18810.691470924503</v>
      </c>
      <c r="U244" s="225">
        <f t="shared" si="351"/>
        <v>5022.8648399949634</v>
      </c>
      <c r="V244" s="225">
        <f t="shared" si="351"/>
        <v>0</v>
      </c>
      <c r="W244" s="225">
        <f t="shared" si="351"/>
        <v>0</v>
      </c>
      <c r="X244" s="225">
        <f t="shared" si="351"/>
        <v>2550.1387122334659</v>
      </c>
      <c r="Y244" s="225">
        <f t="shared" si="351"/>
        <v>0</v>
      </c>
      <c r="Z244" s="225">
        <f t="shared" si="351"/>
        <v>0</v>
      </c>
      <c r="AA244" s="225">
        <f t="shared" si="351"/>
        <v>0</v>
      </c>
      <c r="AB244" s="225">
        <f t="shared" si="351"/>
        <v>0</v>
      </c>
      <c r="AC244" s="225">
        <f t="shared" si="351"/>
        <v>0</v>
      </c>
      <c r="AD244" s="225">
        <f t="shared" si="351"/>
        <v>39.244440045396665</v>
      </c>
      <c r="AE244" s="225">
        <f t="shared" si="351"/>
        <v>0</v>
      </c>
      <c r="AF244" s="225">
        <f t="shared" si="351"/>
        <v>11859.981166974429</v>
      </c>
      <c r="AH244" s="113">
        <v>0.4</v>
      </c>
      <c r="AI244" t="s">
        <v>787</v>
      </c>
    </row>
    <row r="245" spans="1:35" x14ac:dyDescent="0.25">
      <c r="C245" s="9" t="s">
        <v>139</v>
      </c>
      <c r="D245" t="s">
        <v>104</v>
      </c>
      <c r="E245" s="225">
        <f>E211*E178</f>
        <v>0</v>
      </c>
      <c r="F245" s="225">
        <f t="shared" ref="F245:AF245" si="352">F211*F178</f>
        <v>0</v>
      </c>
      <c r="G245" s="225">
        <f t="shared" si="352"/>
        <v>0</v>
      </c>
      <c r="H245" s="225">
        <f t="shared" si="352"/>
        <v>0</v>
      </c>
      <c r="I245" s="225">
        <f t="shared" si="352"/>
        <v>0</v>
      </c>
      <c r="J245" s="225">
        <f t="shared" si="352"/>
        <v>0</v>
      </c>
      <c r="K245" s="225">
        <f t="shared" si="352"/>
        <v>0</v>
      </c>
      <c r="L245" s="225">
        <f t="shared" si="352"/>
        <v>0</v>
      </c>
      <c r="M245" s="225">
        <f t="shared" si="352"/>
        <v>0</v>
      </c>
      <c r="N245" s="225">
        <f t="shared" si="352"/>
        <v>2084.2127323260343</v>
      </c>
      <c r="O245" s="225">
        <f t="shared" si="352"/>
        <v>0</v>
      </c>
      <c r="P245" s="225">
        <f t="shared" si="352"/>
        <v>0</v>
      </c>
      <c r="Q245" s="225">
        <f t="shared" si="352"/>
        <v>7.8969713937713237</v>
      </c>
      <c r="R245" s="225">
        <f t="shared" si="352"/>
        <v>4401.7179904634586</v>
      </c>
      <c r="S245" s="225">
        <f t="shared" si="352"/>
        <v>35782.036779795031</v>
      </c>
      <c r="T245" s="225">
        <f t="shared" si="352"/>
        <v>16487.862995762451</v>
      </c>
      <c r="U245" s="225">
        <f t="shared" si="352"/>
        <v>44191.653343845755</v>
      </c>
      <c r="V245" s="225">
        <f t="shared" si="352"/>
        <v>0</v>
      </c>
      <c r="W245" s="225">
        <f t="shared" si="352"/>
        <v>0</v>
      </c>
      <c r="X245" s="225">
        <f t="shared" si="352"/>
        <v>10030.096658068283</v>
      </c>
      <c r="Y245" s="225">
        <f t="shared" si="352"/>
        <v>0</v>
      </c>
      <c r="Z245" s="225">
        <f t="shared" si="352"/>
        <v>5692.5064526637198</v>
      </c>
      <c r="AA245" s="225">
        <f t="shared" si="352"/>
        <v>0</v>
      </c>
      <c r="AB245" s="225">
        <f t="shared" si="352"/>
        <v>0</v>
      </c>
      <c r="AC245" s="225">
        <f t="shared" si="352"/>
        <v>0</v>
      </c>
      <c r="AD245" s="225">
        <f t="shared" si="352"/>
        <v>2211.4968714470751</v>
      </c>
      <c r="AE245" s="225">
        <f t="shared" si="352"/>
        <v>0</v>
      </c>
      <c r="AF245" s="225">
        <f t="shared" si="352"/>
        <v>3.9435620448803435</v>
      </c>
      <c r="AH245" s="113">
        <v>0.4</v>
      </c>
    </row>
    <row r="247" spans="1:35" x14ac:dyDescent="0.25">
      <c r="D247" s="121" t="s">
        <v>788</v>
      </c>
      <c r="E247" s="217" t="e">
        <f>SUM(E219:E245)/SUM(E164:E178)</f>
        <v>#DIV/0!</v>
      </c>
      <c r="F247" s="217" t="e">
        <f t="shared" ref="F247:AF247" si="353">SUM(F219:F245)/SUM(F164:F178)</f>
        <v>#DIV/0!</v>
      </c>
      <c r="G247" s="217" t="e">
        <f t="shared" si="353"/>
        <v>#DIV/0!</v>
      </c>
      <c r="H247" s="217" t="e">
        <f t="shared" si="353"/>
        <v>#DIV/0!</v>
      </c>
      <c r="I247" s="217">
        <f t="shared" si="353"/>
        <v>1</v>
      </c>
      <c r="J247" s="217">
        <f t="shared" si="353"/>
        <v>1</v>
      </c>
      <c r="K247" s="217">
        <f t="shared" si="353"/>
        <v>1</v>
      </c>
      <c r="L247" s="217">
        <f t="shared" si="353"/>
        <v>1</v>
      </c>
      <c r="M247" s="217">
        <f t="shared" si="353"/>
        <v>0.99878958405223905</v>
      </c>
      <c r="N247" s="217">
        <f t="shared" si="353"/>
        <v>1.0000000000000002</v>
      </c>
      <c r="O247" s="217">
        <f t="shared" si="353"/>
        <v>1.0000000000000002</v>
      </c>
      <c r="P247" s="217" t="e">
        <f t="shared" si="353"/>
        <v>#DIV/0!</v>
      </c>
      <c r="Q247" s="217">
        <f t="shared" si="353"/>
        <v>1</v>
      </c>
      <c r="R247" s="217">
        <f t="shared" si="353"/>
        <v>0.99999999999999978</v>
      </c>
      <c r="S247" s="217">
        <f t="shared" si="353"/>
        <v>0.99999424473612075</v>
      </c>
      <c r="T247" s="217">
        <f t="shared" si="353"/>
        <v>0.99986935156948609</v>
      </c>
      <c r="U247" s="217">
        <f t="shared" si="353"/>
        <v>0.9990774746980351</v>
      </c>
      <c r="V247" s="217" t="e">
        <f t="shared" si="353"/>
        <v>#DIV/0!</v>
      </c>
      <c r="W247" s="217" t="e">
        <f t="shared" si="353"/>
        <v>#DIV/0!</v>
      </c>
      <c r="X247" s="217">
        <f t="shared" si="353"/>
        <v>0.99999999999999978</v>
      </c>
      <c r="Y247" s="217" t="e">
        <f t="shared" si="353"/>
        <v>#DIV/0!</v>
      </c>
      <c r="Z247" s="217">
        <f t="shared" si="353"/>
        <v>1</v>
      </c>
      <c r="AA247" s="217" t="e">
        <f t="shared" si="353"/>
        <v>#DIV/0!</v>
      </c>
      <c r="AB247" s="217">
        <f t="shared" si="353"/>
        <v>1.0000000000000004</v>
      </c>
      <c r="AC247" s="217" t="e">
        <f t="shared" si="353"/>
        <v>#DIV/0!</v>
      </c>
      <c r="AD247" s="217">
        <f t="shared" si="353"/>
        <v>1.0000000000000002</v>
      </c>
      <c r="AE247" s="217">
        <f t="shared" si="353"/>
        <v>1</v>
      </c>
      <c r="AF247" s="217">
        <f t="shared" si="353"/>
        <v>0.99965753883032638</v>
      </c>
    </row>
    <row r="249" spans="1:35" x14ac:dyDescent="0.25">
      <c r="A249" s="12" t="s">
        <v>789</v>
      </c>
    </row>
    <row r="250" spans="1:35" x14ac:dyDescent="0.25">
      <c r="E250" s="91" t="s">
        <v>162</v>
      </c>
      <c r="F250" s="91" t="s">
        <v>164</v>
      </c>
      <c r="G250" s="91" t="s">
        <v>166</v>
      </c>
      <c r="H250" s="91" t="s">
        <v>168</v>
      </c>
      <c r="I250" s="91" t="s">
        <v>170</v>
      </c>
      <c r="J250" s="91" t="s">
        <v>173</v>
      </c>
      <c r="K250" s="91" t="s">
        <v>175</v>
      </c>
      <c r="L250" s="91" t="s">
        <v>177</v>
      </c>
      <c r="M250" s="91" t="s">
        <v>179</v>
      </c>
      <c r="N250" s="91" t="s">
        <v>181</v>
      </c>
      <c r="O250" s="91" t="s">
        <v>183</v>
      </c>
      <c r="P250" s="91" t="s">
        <v>185</v>
      </c>
      <c r="Q250" s="91" t="s">
        <v>188</v>
      </c>
      <c r="R250" s="91" t="s">
        <v>190</v>
      </c>
      <c r="S250" s="91" t="s">
        <v>192</v>
      </c>
      <c r="T250" s="91" t="s">
        <v>194</v>
      </c>
      <c r="U250" s="91" t="s">
        <v>196</v>
      </c>
      <c r="V250" s="91" t="s">
        <v>198</v>
      </c>
      <c r="W250" s="91" t="s">
        <v>9</v>
      </c>
      <c r="X250" s="91" t="s">
        <v>201</v>
      </c>
      <c r="Y250" s="91" t="s">
        <v>203</v>
      </c>
      <c r="Z250" s="91" t="s">
        <v>205</v>
      </c>
      <c r="AA250" s="91" t="s">
        <v>207</v>
      </c>
      <c r="AB250" s="91" t="s">
        <v>210</v>
      </c>
      <c r="AC250" s="91" t="s">
        <v>212</v>
      </c>
      <c r="AD250" s="91" t="s">
        <v>214</v>
      </c>
      <c r="AE250" s="91" t="s">
        <v>217</v>
      </c>
      <c r="AF250" s="91" t="s">
        <v>219</v>
      </c>
    </row>
    <row r="251" spans="1:35" x14ac:dyDescent="0.25">
      <c r="A251" t="str">
        <f>A219</f>
        <v>I-NM-LTH_ELC00</v>
      </c>
      <c r="B251" t="str">
        <f>B219</f>
        <v>IND Non-metallic minerals technology: Low temperature heat using Electricity - Existing</v>
      </c>
      <c r="C251" t="s">
        <v>126</v>
      </c>
      <c r="D251" t="s">
        <v>106</v>
      </c>
      <c r="E251" s="225">
        <f>E219*$AH219</f>
        <v>0</v>
      </c>
      <c r="F251" s="225">
        <f t="shared" ref="F251:AF260" si="354">F219*$AH219</f>
        <v>0</v>
      </c>
      <c r="G251" s="225">
        <f t="shared" si="354"/>
        <v>0</v>
      </c>
      <c r="H251" s="225">
        <f t="shared" si="354"/>
        <v>0</v>
      </c>
      <c r="I251" s="225">
        <f t="shared" si="354"/>
        <v>1294.9982546719787</v>
      </c>
      <c r="J251" s="225">
        <f t="shared" si="354"/>
        <v>0</v>
      </c>
      <c r="K251" s="225">
        <f t="shared" si="354"/>
        <v>0</v>
      </c>
      <c r="L251" s="225">
        <f t="shared" si="354"/>
        <v>0</v>
      </c>
      <c r="M251" s="225">
        <f t="shared" si="354"/>
        <v>0</v>
      </c>
      <c r="N251" s="225">
        <f t="shared" si="354"/>
        <v>155.22872556173098</v>
      </c>
      <c r="O251" s="225">
        <f t="shared" si="354"/>
        <v>34.44320047105721</v>
      </c>
      <c r="P251" s="225">
        <f t="shared" si="354"/>
        <v>0</v>
      </c>
      <c r="Q251" s="225">
        <f t="shared" si="354"/>
        <v>1521.4708781047602</v>
      </c>
      <c r="R251" s="225">
        <f t="shared" si="354"/>
        <v>4006.6632746587647</v>
      </c>
      <c r="S251" s="225">
        <f t="shared" si="354"/>
        <v>5578.2309251009401</v>
      </c>
      <c r="T251" s="225">
        <f t="shared" si="354"/>
        <v>10804.32078391476</v>
      </c>
      <c r="U251" s="225">
        <f t="shared" si="354"/>
        <v>8111.6907828767044</v>
      </c>
      <c r="V251" s="225">
        <f t="shared" si="354"/>
        <v>0</v>
      </c>
      <c r="W251" s="225">
        <f t="shared" si="354"/>
        <v>0</v>
      </c>
      <c r="X251" s="225">
        <f t="shared" si="354"/>
        <v>6733.8886960099617</v>
      </c>
      <c r="Y251" s="225">
        <f t="shared" si="354"/>
        <v>0</v>
      </c>
      <c r="Z251" s="225">
        <f t="shared" si="354"/>
        <v>2817.3131293747419</v>
      </c>
      <c r="AA251" s="225">
        <f t="shared" si="354"/>
        <v>0</v>
      </c>
      <c r="AB251" s="225">
        <f t="shared" si="354"/>
        <v>3344.798449907039</v>
      </c>
      <c r="AC251" s="225">
        <f t="shared" si="354"/>
        <v>0</v>
      </c>
      <c r="AD251" s="225">
        <f t="shared" si="354"/>
        <v>5960.6075868312882</v>
      </c>
      <c r="AE251" s="225">
        <f t="shared" si="354"/>
        <v>4291.9425112612225</v>
      </c>
      <c r="AF251" s="225">
        <f t="shared" si="354"/>
        <v>12098.908726086338</v>
      </c>
    </row>
    <row r="252" spans="1:35" x14ac:dyDescent="0.25">
      <c r="A252" t="str">
        <f t="shared" ref="A252:B276" si="355">A220</f>
        <v>I-NM-MDR_ELC00</v>
      </c>
      <c r="B252" t="str">
        <f t="shared" si="355"/>
        <v>IND Non-metallic minerals technology: Machine drive using Electricity - Existing</v>
      </c>
      <c r="C252" t="s">
        <v>126</v>
      </c>
      <c r="D252" t="s">
        <v>108</v>
      </c>
      <c r="E252" s="225">
        <f t="shared" ref="E252:T277" si="356">E220*$AH220</f>
        <v>0</v>
      </c>
      <c r="F252" s="225">
        <f t="shared" si="356"/>
        <v>0</v>
      </c>
      <c r="G252" s="225">
        <f t="shared" si="356"/>
        <v>0</v>
      </c>
      <c r="H252" s="225">
        <f t="shared" si="356"/>
        <v>0</v>
      </c>
      <c r="I252" s="225">
        <f t="shared" si="356"/>
        <v>4532.4938913519245</v>
      </c>
      <c r="J252" s="225">
        <f t="shared" si="356"/>
        <v>0</v>
      </c>
      <c r="K252" s="225">
        <f t="shared" si="356"/>
        <v>0</v>
      </c>
      <c r="L252" s="225">
        <f t="shared" si="356"/>
        <v>0</v>
      </c>
      <c r="M252" s="225">
        <f t="shared" si="356"/>
        <v>0</v>
      </c>
      <c r="N252" s="225">
        <f t="shared" si="356"/>
        <v>543.30053946605847</v>
      </c>
      <c r="O252" s="225">
        <f t="shared" si="356"/>
        <v>120.55120164870023</v>
      </c>
      <c r="P252" s="225">
        <f t="shared" si="356"/>
        <v>0</v>
      </c>
      <c r="Q252" s="225">
        <f t="shared" si="356"/>
        <v>5325.1480733666594</v>
      </c>
      <c r="R252" s="225">
        <f t="shared" si="356"/>
        <v>14023.321461305675</v>
      </c>
      <c r="S252" s="225">
        <f t="shared" si="356"/>
        <v>19523.808237853285</v>
      </c>
      <c r="T252" s="225">
        <f t="shared" si="356"/>
        <v>37815.12274370165</v>
      </c>
      <c r="U252" s="225">
        <f t="shared" si="354"/>
        <v>28390.917740068464</v>
      </c>
      <c r="V252" s="225">
        <f t="shared" si="354"/>
        <v>0</v>
      </c>
      <c r="W252" s="225">
        <f t="shared" si="354"/>
        <v>0</v>
      </c>
      <c r="X252" s="225">
        <f t="shared" si="354"/>
        <v>23568.610436034862</v>
      </c>
      <c r="Y252" s="225">
        <f t="shared" si="354"/>
        <v>0</v>
      </c>
      <c r="Z252" s="225">
        <f t="shared" si="354"/>
        <v>9860.5959528115964</v>
      </c>
      <c r="AA252" s="225">
        <f t="shared" si="354"/>
        <v>0</v>
      </c>
      <c r="AB252" s="225">
        <f t="shared" si="354"/>
        <v>11706.794574674634</v>
      </c>
      <c r="AC252" s="225">
        <f t="shared" si="354"/>
        <v>0</v>
      </c>
      <c r="AD252" s="225">
        <f t="shared" si="354"/>
        <v>20862.126553909504</v>
      </c>
      <c r="AE252" s="225">
        <f t="shared" si="354"/>
        <v>15021.798789414279</v>
      </c>
      <c r="AF252" s="225">
        <f t="shared" si="354"/>
        <v>42346.180541302179</v>
      </c>
    </row>
    <row r="253" spans="1:35" x14ac:dyDescent="0.25">
      <c r="A253" t="str">
        <f t="shared" si="355"/>
        <v>I-NM-OTS_ELC00</v>
      </c>
      <c r="B253" t="str">
        <f t="shared" si="355"/>
        <v>IND Non-metallic minerals technology: Other services using Electricity - Existing</v>
      </c>
      <c r="C253" t="s">
        <v>126</v>
      </c>
      <c r="D253" t="s">
        <v>110</v>
      </c>
      <c r="E253" s="225">
        <f t="shared" si="356"/>
        <v>0</v>
      </c>
      <c r="F253" s="225">
        <f t="shared" si="354"/>
        <v>0</v>
      </c>
      <c r="G253" s="225">
        <f t="shared" si="354"/>
        <v>0</v>
      </c>
      <c r="H253" s="225">
        <f t="shared" si="354"/>
        <v>0</v>
      </c>
      <c r="I253" s="225">
        <f t="shared" si="354"/>
        <v>647.4991273359899</v>
      </c>
      <c r="J253" s="225">
        <f t="shared" si="354"/>
        <v>0</v>
      </c>
      <c r="K253" s="225">
        <f t="shared" si="354"/>
        <v>0</v>
      </c>
      <c r="L253" s="225">
        <f t="shared" si="354"/>
        <v>0</v>
      </c>
      <c r="M253" s="225">
        <f t="shared" si="354"/>
        <v>0</v>
      </c>
      <c r="N253" s="225">
        <f t="shared" si="354"/>
        <v>77.614362780865562</v>
      </c>
      <c r="O253" s="225">
        <f t="shared" si="354"/>
        <v>17.221600235528619</v>
      </c>
      <c r="P253" s="225">
        <f t="shared" si="354"/>
        <v>0</v>
      </c>
      <c r="Q253" s="225">
        <f t="shared" si="354"/>
        <v>760.73543905238068</v>
      </c>
      <c r="R253" s="225">
        <f t="shared" si="354"/>
        <v>2003.3316373293837</v>
      </c>
      <c r="S253" s="225">
        <f t="shared" si="354"/>
        <v>2789.1154625504723</v>
      </c>
      <c r="T253" s="225">
        <f t="shared" si="354"/>
        <v>5402.1603919573845</v>
      </c>
      <c r="U253" s="225">
        <f t="shared" si="354"/>
        <v>4055.8453914383558</v>
      </c>
      <c r="V253" s="225">
        <f t="shared" si="354"/>
        <v>0</v>
      </c>
      <c r="W253" s="225">
        <f t="shared" si="354"/>
        <v>0</v>
      </c>
      <c r="X253" s="225">
        <f t="shared" si="354"/>
        <v>3366.9443480049836</v>
      </c>
      <c r="Y253" s="225">
        <f t="shared" si="354"/>
        <v>0</v>
      </c>
      <c r="Z253" s="225">
        <f t="shared" si="354"/>
        <v>1408.6565646873723</v>
      </c>
      <c r="AA253" s="225">
        <f t="shared" si="354"/>
        <v>0</v>
      </c>
      <c r="AB253" s="225">
        <f t="shared" si="354"/>
        <v>1672.3992249535208</v>
      </c>
      <c r="AC253" s="225">
        <f t="shared" si="354"/>
        <v>0</v>
      </c>
      <c r="AD253" s="225">
        <f t="shared" si="354"/>
        <v>2980.3037934156464</v>
      </c>
      <c r="AE253" s="225">
        <f t="shared" si="354"/>
        <v>2145.9712556306131</v>
      </c>
      <c r="AF253" s="225">
        <f t="shared" si="354"/>
        <v>6049.4543630431745</v>
      </c>
    </row>
    <row r="254" spans="1:35" x14ac:dyDescent="0.25">
      <c r="A254" t="str">
        <f t="shared" si="355"/>
        <v>I-NM-HTH_GAS00</v>
      </c>
      <c r="B254" t="str">
        <f t="shared" si="355"/>
        <v>IND Non-metallic minerals technology: High temperature heat using Gas - Existing</v>
      </c>
      <c r="C254" s="9" t="s">
        <v>128</v>
      </c>
      <c r="D254" t="s">
        <v>104</v>
      </c>
      <c r="E254" s="225">
        <f t="shared" si="356"/>
        <v>0</v>
      </c>
      <c r="F254" s="225">
        <f t="shared" si="354"/>
        <v>0</v>
      </c>
      <c r="G254" s="225">
        <f t="shared" si="354"/>
        <v>0</v>
      </c>
      <c r="H254" s="225">
        <f t="shared" si="354"/>
        <v>0</v>
      </c>
      <c r="I254" s="225">
        <f t="shared" si="354"/>
        <v>1028.7308201249132</v>
      </c>
      <c r="J254" s="225">
        <f t="shared" si="354"/>
        <v>370.97594711442588</v>
      </c>
      <c r="K254" s="225">
        <f t="shared" si="354"/>
        <v>391.86514263327314</v>
      </c>
      <c r="L254" s="225">
        <f t="shared" si="354"/>
        <v>0</v>
      </c>
      <c r="M254" s="225">
        <f t="shared" si="354"/>
        <v>406.59103106161615</v>
      </c>
      <c r="N254" s="225">
        <f t="shared" si="354"/>
        <v>411.18930194246161</v>
      </c>
      <c r="O254" s="225">
        <f t="shared" si="354"/>
        <v>4.3622824772067572</v>
      </c>
      <c r="P254" s="225">
        <f t="shared" si="354"/>
        <v>0</v>
      </c>
      <c r="Q254" s="225">
        <f t="shared" si="354"/>
        <v>490.87574183682534</v>
      </c>
      <c r="R254" s="225">
        <f t="shared" si="354"/>
        <v>832.61767735109049</v>
      </c>
      <c r="S254" s="225">
        <f t="shared" si="354"/>
        <v>1695.15304828699</v>
      </c>
      <c r="T254" s="225">
        <f t="shared" si="354"/>
        <v>4280.2134277037994</v>
      </c>
      <c r="U254" s="225">
        <f t="shared" si="354"/>
        <v>3012.9224666544842</v>
      </c>
      <c r="V254" s="225">
        <f t="shared" si="354"/>
        <v>0</v>
      </c>
      <c r="W254" s="225">
        <f t="shared" si="354"/>
        <v>0</v>
      </c>
      <c r="X254" s="225">
        <f t="shared" si="354"/>
        <v>405.24856561709743</v>
      </c>
      <c r="Y254" s="225">
        <f t="shared" si="354"/>
        <v>0</v>
      </c>
      <c r="Z254" s="225">
        <f t="shared" si="354"/>
        <v>511.73594875130681</v>
      </c>
      <c r="AA254" s="225">
        <f t="shared" si="354"/>
        <v>0</v>
      </c>
      <c r="AB254" s="225">
        <f t="shared" si="354"/>
        <v>451.82705967833209</v>
      </c>
      <c r="AC254" s="225">
        <f t="shared" si="354"/>
        <v>0</v>
      </c>
      <c r="AD254" s="225">
        <f t="shared" si="354"/>
        <v>7402.1118616291833</v>
      </c>
      <c r="AE254" s="225">
        <f t="shared" si="354"/>
        <v>0</v>
      </c>
      <c r="AF254" s="225">
        <f t="shared" si="354"/>
        <v>6741.5305830430761</v>
      </c>
    </row>
    <row r="255" spans="1:35" x14ac:dyDescent="0.25">
      <c r="C255" s="9" t="s">
        <v>115</v>
      </c>
      <c r="D255" t="s">
        <v>104</v>
      </c>
      <c r="E255" s="225">
        <f t="shared" si="356"/>
        <v>0</v>
      </c>
      <c r="F255" s="225">
        <f t="shared" si="354"/>
        <v>0</v>
      </c>
      <c r="G255" s="225">
        <f t="shared" si="354"/>
        <v>0</v>
      </c>
      <c r="H255" s="225">
        <f t="shared" si="354"/>
        <v>0</v>
      </c>
      <c r="I255" s="225">
        <f t="shared" si="354"/>
        <v>1.775517946982071</v>
      </c>
      <c r="J255" s="225">
        <f t="shared" si="354"/>
        <v>0</v>
      </c>
      <c r="K255" s="225">
        <f t="shared" si="354"/>
        <v>0</v>
      </c>
      <c r="L255" s="225">
        <f t="shared" si="354"/>
        <v>0</v>
      </c>
      <c r="M255" s="225">
        <f t="shared" si="354"/>
        <v>0</v>
      </c>
      <c r="N255" s="225">
        <f t="shared" si="354"/>
        <v>0</v>
      </c>
      <c r="O255" s="225">
        <f t="shared" si="354"/>
        <v>0</v>
      </c>
      <c r="P255" s="225">
        <f t="shared" si="354"/>
        <v>0</v>
      </c>
      <c r="Q255" s="225">
        <f t="shared" si="354"/>
        <v>0</v>
      </c>
      <c r="R255" s="225">
        <f t="shared" si="354"/>
        <v>0.20901863098511494</v>
      </c>
      <c r="S255" s="225">
        <f t="shared" si="354"/>
        <v>0.37178974792671687</v>
      </c>
      <c r="T255" s="225">
        <f t="shared" si="354"/>
        <v>4.703813186079266</v>
      </c>
      <c r="U255" s="225">
        <f t="shared" si="354"/>
        <v>1.9114496219853985</v>
      </c>
      <c r="V255" s="225">
        <f t="shared" si="354"/>
        <v>0</v>
      </c>
      <c r="W255" s="225">
        <f t="shared" si="354"/>
        <v>0</v>
      </c>
      <c r="X255" s="225">
        <f t="shared" si="354"/>
        <v>0</v>
      </c>
      <c r="Y255" s="225">
        <f t="shared" si="354"/>
        <v>0</v>
      </c>
      <c r="Z255" s="225">
        <f t="shared" si="354"/>
        <v>0</v>
      </c>
      <c r="AA255" s="225">
        <f t="shared" si="354"/>
        <v>0</v>
      </c>
      <c r="AB255" s="225">
        <f t="shared" si="354"/>
        <v>0</v>
      </c>
      <c r="AC255" s="225">
        <f t="shared" si="354"/>
        <v>0</v>
      </c>
      <c r="AD255" s="225">
        <f t="shared" si="354"/>
        <v>0</v>
      </c>
      <c r="AE255" s="225">
        <f t="shared" si="354"/>
        <v>0</v>
      </c>
      <c r="AF255" s="225">
        <f t="shared" si="354"/>
        <v>0</v>
      </c>
    </row>
    <row r="256" spans="1:35" x14ac:dyDescent="0.25">
      <c r="C256" s="9" t="s">
        <v>113</v>
      </c>
      <c r="D256" t="s">
        <v>104</v>
      </c>
      <c r="E256" s="225">
        <f t="shared" si="356"/>
        <v>0</v>
      </c>
      <c r="F256" s="225">
        <f t="shared" si="354"/>
        <v>0</v>
      </c>
      <c r="G256" s="225">
        <f t="shared" si="354"/>
        <v>0</v>
      </c>
      <c r="H256" s="225">
        <f t="shared" si="354"/>
        <v>0</v>
      </c>
      <c r="I256" s="225">
        <f t="shared" si="354"/>
        <v>0</v>
      </c>
      <c r="J256" s="225">
        <f t="shared" si="354"/>
        <v>0</v>
      </c>
      <c r="K256" s="225">
        <f t="shared" si="354"/>
        <v>0</v>
      </c>
      <c r="L256" s="225">
        <f t="shared" si="354"/>
        <v>0</v>
      </c>
      <c r="M256" s="225">
        <f t="shared" si="354"/>
        <v>0</v>
      </c>
      <c r="N256" s="225">
        <f t="shared" si="354"/>
        <v>0</v>
      </c>
      <c r="O256" s="225">
        <f t="shared" si="354"/>
        <v>0</v>
      </c>
      <c r="P256" s="225">
        <f t="shared" si="354"/>
        <v>0</v>
      </c>
      <c r="Q256" s="225">
        <f t="shared" si="354"/>
        <v>0</v>
      </c>
      <c r="R256" s="225">
        <f t="shared" si="354"/>
        <v>2.6529287778879973</v>
      </c>
      <c r="S256" s="225">
        <f t="shared" si="354"/>
        <v>0</v>
      </c>
      <c r="T256" s="225">
        <f t="shared" si="354"/>
        <v>0</v>
      </c>
      <c r="U256" s="225">
        <f t="shared" si="354"/>
        <v>0</v>
      </c>
      <c r="V256" s="225">
        <f t="shared" si="354"/>
        <v>0</v>
      </c>
      <c r="W256" s="225">
        <f t="shared" si="354"/>
        <v>0</v>
      </c>
      <c r="X256" s="225">
        <f t="shared" si="354"/>
        <v>2.9672351743267762</v>
      </c>
      <c r="Y256" s="225">
        <f t="shared" si="354"/>
        <v>0</v>
      </c>
      <c r="Z256" s="225">
        <f t="shared" si="354"/>
        <v>0</v>
      </c>
      <c r="AA256" s="225">
        <f t="shared" si="354"/>
        <v>0</v>
      </c>
      <c r="AB256" s="225">
        <f t="shared" si="354"/>
        <v>0</v>
      </c>
      <c r="AC256" s="225">
        <f t="shared" si="354"/>
        <v>0</v>
      </c>
      <c r="AD256" s="225">
        <f t="shared" si="354"/>
        <v>0</v>
      </c>
      <c r="AE256" s="225">
        <f t="shared" si="354"/>
        <v>0</v>
      </c>
      <c r="AF256" s="225">
        <f t="shared" si="354"/>
        <v>0</v>
      </c>
    </row>
    <row r="257" spans="1:32" x14ac:dyDescent="0.25">
      <c r="C257" s="9" t="s">
        <v>132</v>
      </c>
      <c r="D257" t="s">
        <v>104</v>
      </c>
      <c r="E257" s="225">
        <f t="shared" si="356"/>
        <v>0</v>
      </c>
      <c r="F257" s="225">
        <f t="shared" si="354"/>
        <v>0</v>
      </c>
      <c r="G257" s="225">
        <f t="shared" si="354"/>
        <v>0</v>
      </c>
      <c r="H257" s="225">
        <f t="shared" si="354"/>
        <v>0</v>
      </c>
      <c r="I257" s="225">
        <f t="shared" si="354"/>
        <v>89.417650823916347</v>
      </c>
      <c r="J257" s="225">
        <f t="shared" si="354"/>
        <v>3.4612687281521741</v>
      </c>
      <c r="K257" s="225">
        <f t="shared" si="354"/>
        <v>32.560795644960656</v>
      </c>
      <c r="L257" s="225">
        <f t="shared" si="354"/>
        <v>0</v>
      </c>
      <c r="M257" s="225">
        <f t="shared" si="354"/>
        <v>58.177974248851918</v>
      </c>
      <c r="N257" s="225">
        <f t="shared" si="354"/>
        <v>0</v>
      </c>
      <c r="O257" s="225">
        <f t="shared" si="354"/>
        <v>0.66745305662179877</v>
      </c>
      <c r="P257" s="225">
        <f t="shared" si="354"/>
        <v>0</v>
      </c>
      <c r="Q257" s="225">
        <f t="shared" si="354"/>
        <v>13.977639366975238</v>
      </c>
      <c r="R257" s="225">
        <f t="shared" si="354"/>
        <v>24.792825306080555</v>
      </c>
      <c r="S257" s="225">
        <f t="shared" si="354"/>
        <v>15.079792175907636</v>
      </c>
      <c r="T257" s="225">
        <f t="shared" si="354"/>
        <v>96.624875229679176</v>
      </c>
      <c r="U257" s="225">
        <f t="shared" si="354"/>
        <v>46.600433839699576</v>
      </c>
      <c r="V257" s="225">
        <f t="shared" si="354"/>
        <v>0</v>
      </c>
      <c r="W257" s="225">
        <f t="shared" si="354"/>
        <v>0</v>
      </c>
      <c r="X257" s="225">
        <f t="shared" si="354"/>
        <v>50.240973441047842</v>
      </c>
      <c r="Y257" s="225">
        <f t="shared" si="354"/>
        <v>0</v>
      </c>
      <c r="Z257" s="225">
        <f t="shared" si="354"/>
        <v>1.591198653703003</v>
      </c>
      <c r="AA257" s="225">
        <f t="shared" si="354"/>
        <v>0</v>
      </c>
      <c r="AB257" s="225">
        <f t="shared" si="354"/>
        <v>0.85046319312573548</v>
      </c>
      <c r="AC257" s="225">
        <f t="shared" si="354"/>
        <v>0</v>
      </c>
      <c r="AD257" s="225">
        <f t="shared" si="354"/>
        <v>16.351850018915275</v>
      </c>
      <c r="AE257" s="225">
        <f t="shared" si="354"/>
        <v>0</v>
      </c>
      <c r="AF257" s="225">
        <f t="shared" si="354"/>
        <v>12.118002797910885</v>
      </c>
    </row>
    <row r="258" spans="1:32" x14ac:dyDescent="0.25">
      <c r="C258" s="9" t="s">
        <v>122</v>
      </c>
      <c r="D258" t="s">
        <v>104</v>
      </c>
      <c r="E258" s="225">
        <f t="shared" si="356"/>
        <v>0</v>
      </c>
      <c r="F258" s="225">
        <f t="shared" si="354"/>
        <v>0</v>
      </c>
      <c r="G258" s="225">
        <f t="shared" si="354"/>
        <v>0</v>
      </c>
      <c r="H258" s="225">
        <f t="shared" si="354"/>
        <v>0</v>
      </c>
      <c r="I258" s="225">
        <f t="shared" si="354"/>
        <v>0</v>
      </c>
      <c r="J258" s="225">
        <f t="shared" si="354"/>
        <v>0</v>
      </c>
      <c r="K258" s="225">
        <f t="shared" si="354"/>
        <v>0</v>
      </c>
      <c r="L258" s="225">
        <f t="shared" si="354"/>
        <v>0</v>
      </c>
      <c r="M258" s="225">
        <f t="shared" si="354"/>
        <v>0</v>
      </c>
      <c r="N258" s="225">
        <f t="shared" si="354"/>
        <v>0</v>
      </c>
      <c r="O258" s="225">
        <f t="shared" si="354"/>
        <v>0</v>
      </c>
      <c r="P258" s="225">
        <f t="shared" si="354"/>
        <v>0</v>
      </c>
      <c r="Q258" s="225">
        <f t="shared" si="354"/>
        <v>0</v>
      </c>
      <c r="R258" s="225">
        <f t="shared" si="354"/>
        <v>0</v>
      </c>
      <c r="S258" s="225">
        <f t="shared" si="354"/>
        <v>39.112281481890612</v>
      </c>
      <c r="T258" s="225">
        <f t="shared" si="354"/>
        <v>0</v>
      </c>
      <c r="U258" s="225">
        <f t="shared" si="354"/>
        <v>63.626494361458398</v>
      </c>
      <c r="V258" s="225">
        <f t="shared" si="354"/>
        <v>0</v>
      </c>
      <c r="W258" s="225">
        <f t="shared" si="354"/>
        <v>0</v>
      </c>
      <c r="X258" s="225">
        <f t="shared" si="354"/>
        <v>80.670917143718185</v>
      </c>
      <c r="Y258" s="225">
        <f t="shared" si="354"/>
        <v>0</v>
      </c>
      <c r="Z258" s="225">
        <f t="shared" si="354"/>
        <v>0</v>
      </c>
      <c r="AA258" s="225">
        <f t="shared" si="354"/>
        <v>0</v>
      </c>
      <c r="AB258" s="225">
        <f t="shared" si="354"/>
        <v>0</v>
      </c>
      <c r="AC258" s="225">
        <f t="shared" si="354"/>
        <v>0</v>
      </c>
      <c r="AD258" s="225">
        <f t="shared" si="354"/>
        <v>20.952170490903438</v>
      </c>
      <c r="AE258" s="225">
        <f t="shared" si="354"/>
        <v>0</v>
      </c>
      <c r="AF258" s="225">
        <f t="shared" si="354"/>
        <v>0</v>
      </c>
    </row>
    <row r="259" spans="1:32" x14ac:dyDescent="0.25">
      <c r="A259" t="str">
        <f t="shared" si="355"/>
        <v>I-NM-LTH_GAS00</v>
      </c>
      <c r="B259" t="str">
        <f t="shared" si="355"/>
        <v>IND Non-metallic minerals technology: Low temperature heat using Gas - Existing</v>
      </c>
      <c r="C259" s="9" t="s">
        <v>128</v>
      </c>
      <c r="D259" t="s">
        <v>106</v>
      </c>
      <c r="E259" s="225">
        <f t="shared" si="356"/>
        <v>0</v>
      </c>
      <c r="F259" s="225">
        <f t="shared" si="354"/>
        <v>0</v>
      </c>
      <c r="G259" s="225">
        <f t="shared" si="354"/>
        <v>0</v>
      </c>
      <c r="H259" s="225">
        <f t="shared" si="354"/>
        <v>0</v>
      </c>
      <c r="I259" s="225">
        <f t="shared" si="354"/>
        <v>18517.154762248436</v>
      </c>
      <c r="J259" s="225">
        <f t="shared" si="354"/>
        <v>6677.5670480596655</v>
      </c>
      <c r="K259" s="225">
        <f t="shared" si="354"/>
        <v>7053.5725673989173</v>
      </c>
      <c r="L259" s="225">
        <f t="shared" si="354"/>
        <v>0</v>
      </c>
      <c r="M259" s="225">
        <f t="shared" si="354"/>
        <v>7318.6385591090911</v>
      </c>
      <c r="N259" s="225">
        <f t="shared" si="354"/>
        <v>7401.4074349643079</v>
      </c>
      <c r="O259" s="225">
        <f t="shared" si="354"/>
        <v>78.521084589721625</v>
      </c>
      <c r="P259" s="225">
        <f t="shared" si="354"/>
        <v>0</v>
      </c>
      <c r="Q259" s="225">
        <f t="shared" si="354"/>
        <v>8835.7633530628555</v>
      </c>
      <c r="R259" s="225">
        <f t="shared" si="354"/>
        <v>14987.118192319627</v>
      </c>
      <c r="S259" s="225">
        <f t="shared" si="354"/>
        <v>30512.754869165819</v>
      </c>
      <c r="T259" s="225">
        <f t="shared" si="354"/>
        <v>77043.841698668402</v>
      </c>
      <c r="U259" s="225">
        <f t="shared" si="354"/>
        <v>54232.604399780714</v>
      </c>
      <c r="V259" s="225">
        <f t="shared" si="354"/>
        <v>0</v>
      </c>
      <c r="W259" s="225">
        <f t="shared" si="354"/>
        <v>0</v>
      </c>
      <c r="X259" s="225">
        <f t="shared" si="354"/>
        <v>7294.474181107752</v>
      </c>
      <c r="Y259" s="225">
        <f t="shared" si="354"/>
        <v>0</v>
      </c>
      <c r="Z259" s="225">
        <f t="shared" si="354"/>
        <v>9211.2470775235215</v>
      </c>
      <c r="AA259" s="225">
        <f t="shared" si="354"/>
        <v>0</v>
      </c>
      <c r="AB259" s="225">
        <f t="shared" si="354"/>
        <v>8132.8870742099771</v>
      </c>
      <c r="AC259" s="225">
        <f t="shared" si="354"/>
        <v>0</v>
      </c>
      <c r="AD259" s="225">
        <f t="shared" si="354"/>
        <v>133238.01350932528</v>
      </c>
      <c r="AE259" s="225">
        <f t="shared" si="354"/>
        <v>0</v>
      </c>
      <c r="AF259" s="225">
        <f>AF227*$AH227</f>
        <v>121347.55049477537</v>
      </c>
    </row>
    <row r="260" spans="1:32" x14ac:dyDescent="0.25">
      <c r="C260" s="9" t="s">
        <v>115</v>
      </c>
      <c r="D260" t="s">
        <v>106</v>
      </c>
      <c r="E260" s="225">
        <f t="shared" si="356"/>
        <v>0</v>
      </c>
      <c r="F260" s="225">
        <f t="shared" si="354"/>
        <v>0</v>
      </c>
      <c r="G260" s="225">
        <f t="shared" si="354"/>
        <v>0</v>
      </c>
      <c r="H260" s="225">
        <f t="shared" si="354"/>
        <v>0</v>
      </c>
      <c r="I260" s="225">
        <f t="shared" si="354"/>
        <v>31.959323045677277</v>
      </c>
      <c r="J260" s="225">
        <f t="shared" si="354"/>
        <v>0</v>
      </c>
      <c r="K260" s="225">
        <f t="shared" si="354"/>
        <v>0</v>
      </c>
      <c r="L260" s="225">
        <f t="shared" si="354"/>
        <v>0</v>
      </c>
      <c r="M260" s="225">
        <f t="shared" si="354"/>
        <v>0</v>
      </c>
      <c r="N260" s="225">
        <f t="shared" si="354"/>
        <v>0</v>
      </c>
      <c r="O260" s="225">
        <f t="shared" si="354"/>
        <v>0</v>
      </c>
      <c r="P260" s="225">
        <f t="shared" si="354"/>
        <v>0</v>
      </c>
      <c r="Q260" s="225">
        <f t="shared" si="354"/>
        <v>0</v>
      </c>
      <c r="R260" s="225">
        <f t="shared" si="354"/>
        <v>3.7623353577320686</v>
      </c>
      <c r="S260" s="225">
        <f t="shared" si="354"/>
        <v>6.6922154626809034</v>
      </c>
      <c r="T260" s="225">
        <f t="shared" si="354"/>
        <v>84.668637349426788</v>
      </c>
      <c r="U260" s="225">
        <f t="shared" si="354"/>
        <v>34.406093195737171</v>
      </c>
      <c r="V260" s="225">
        <f t="shared" si="354"/>
        <v>0</v>
      </c>
      <c r="W260" s="225">
        <f t="shared" si="354"/>
        <v>0</v>
      </c>
      <c r="X260" s="225">
        <f t="shared" si="354"/>
        <v>0</v>
      </c>
      <c r="Y260" s="225">
        <f t="shared" si="354"/>
        <v>0</v>
      </c>
      <c r="Z260" s="225">
        <f t="shared" si="354"/>
        <v>0</v>
      </c>
      <c r="AA260" s="225">
        <f t="shared" si="354"/>
        <v>0</v>
      </c>
      <c r="AB260" s="225">
        <f t="shared" si="354"/>
        <v>0</v>
      </c>
      <c r="AC260" s="225">
        <f t="shared" si="354"/>
        <v>0</v>
      </c>
      <c r="AD260" s="225">
        <f t="shared" si="354"/>
        <v>0</v>
      </c>
      <c r="AE260" s="225">
        <f t="shared" si="354"/>
        <v>0</v>
      </c>
      <c r="AF260" s="225">
        <f t="shared" si="354"/>
        <v>0</v>
      </c>
    </row>
    <row r="261" spans="1:32" x14ac:dyDescent="0.25">
      <c r="C261" s="9" t="s">
        <v>113</v>
      </c>
      <c r="D261" t="s">
        <v>106</v>
      </c>
      <c r="E261" s="225">
        <f t="shared" si="356"/>
        <v>0</v>
      </c>
      <c r="F261" s="225">
        <f t="shared" ref="F261:AF270" si="357">F229*$AH229</f>
        <v>0</v>
      </c>
      <c r="G261" s="225">
        <f t="shared" si="357"/>
        <v>0</v>
      </c>
      <c r="H261" s="225">
        <f t="shared" si="357"/>
        <v>0</v>
      </c>
      <c r="I261" s="225">
        <f t="shared" si="357"/>
        <v>0</v>
      </c>
      <c r="J261" s="225">
        <f t="shared" si="357"/>
        <v>0</v>
      </c>
      <c r="K261" s="225">
        <f t="shared" si="357"/>
        <v>0</v>
      </c>
      <c r="L261" s="225">
        <f t="shared" si="357"/>
        <v>0</v>
      </c>
      <c r="M261" s="225">
        <f t="shared" si="357"/>
        <v>0</v>
      </c>
      <c r="N261" s="225">
        <f t="shared" si="357"/>
        <v>0</v>
      </c>
      <c r="O261" s="225">
        <f t="shared" si="357"/>
        <v>0</v>
      </c>
      <c r="P261" s="225">
        <f t="shared" si="357"/>
        <v>0</v>
      </c>
      <c r="Q261" s="225">
        <f t="shared" si="357"/>
        <v>0</v>
      </c>
      <c r="R261" s="225">
        <f t="shared" si="357"/>
        <v>47.752718001983958</v>
      </c>
      <c r="S261" s="225">
        <f t="shared" si="357"/>
        <v>0</v>
      </c>
      <c r="T261" s="225">
        <f t="shared" si="357"/>
        <v>0</v>
      </c>
      <c r="U261" s="225">
        <f t="shared" si="357"/>
        <v>0</v>
      </c>
      <c r="V261" s="225">
        <f t="shared" si="357"/>
        <v>0</v>
      </c>
      <c r="W261" s="225">
        <f t="shared" si="357"/>
        <v>0</v>
      </c>
      <c r="X261" s="225">
        <f t="shared" si="357"/>
        <v>53.410233137881974</v>
      </c>
      <c r="Y261" s="225">
        <f t="shared" si="357"/>
        <v>0</v>
      </c>
      <c r="Z261" s="225">
        <f t="shared" si="357"/>
        <v>0</v>
      </c>
      <c r="AA261" s="225">
        <f t="shared" si="357"/>
        <v>0</v>
      </c>
      <c r="AB261" s="225">
        <f t="shared" si="357"/>
        <v>0</v>
      </c>
      <c r="AC261" s="225">
        <f t="shared" si="357"/>
        <v>0</v>
      </c>
      <c r="AD261" s="225">
        <f t="shared" si="357"/>
        <v>0</v>
      </c>
      <c r="AE261" s="225">
        <f t="shared" si="357"/>
        <v>0</v>
      </c>
      <c r="AF261" s="225">
        <f t="shared" si="357"/>
        <v>0</v>
      </c>
    </row>
    <row r="262" spans="1:32" x14ac:dyDescent="0.25">
      <c r="C262" s="9" t="s">
        <v>132</v>
      </c>
      <c r="D262" t="s">
        <v>106</v>
      </c>
      <c r="E262" s="225">
        <f t="shared" si="356"/>
        <v>0</v>
      </c>
      <c r="F262" s="225">
        <f t="shared" si="357"/>
        <v>0</v>
      </c>
      <c r="G262" s="225">
        <f t="shared" si="357"/>
        <v>0</v>
      </c>
      <c r="H262" s="225">
        <f t="shared" si="357"/>
        <v>0</v>
      </c>
      <c r="I262" s="225">
        <f t="shared" si="357"/>
        <v>1609.5177148304945</v>
      </c>
      <c r="J262" s="225">
        <f t="shared" si="357"/>
        <v>62.302837106739126</v>
      </c>
      <c r="K262" s="225">
        <f t="shared" si="357"/>
        <v>586.09432160929168</v>
      </c>
      <c r="L262" s="225">
        <f t="shared" si="357"/>
        <v>0</v>
      </c>
      <c r="M262" s="225">
        <f t="shared" si="357"/>
        <v>1047.2035364793344</v>
      </c>
      <c r="N262" s="225">
        <f t="shared" si="357"/>
        <v>0</v>
      </c>
      <c r="O262" s="225">
        <f t="shared" si="357"/>
        <v>12.01415501919238</v>
      </c>
      <c r="P262" s="225">
        <f t="shared" si="357"/>
        <v>0</v>
      </c>
      <c r="Q262" s="225">
        <f t="shared" si="357"/>
        <v>251.59750860555431</v>
      </c>
      <c r="R262" s="225">
        <f t="shared" si="357"/>
        <v>446.27085550944997</v>
      </c>
      <c r="S262" s="225">
        <f t="shared" si="357"/>
        <v>271.43625916633744</v>
      </c>
      <c r="T262" s="225">
        <f t="shared" si="357"/>
        <v>1739.2477541342248</v>
      </c>
      <c r="U262" s="225">
        <f t="shared" si="357"/>
        <v>838.80780911459237</v>
      </c>
      <c r="V262" s="225">
        <f t="shared" si="357"/>
        <v>0</v>
      </c>
      <c r="W262" s="225">
        <f t="shared" si="357"/>
        <v>0</v>
      </c>
      <c r="X262" s="225">
        <f t="shared" si="357"/>
        <v>904.33752193886119</v>
      </c>
      <c r="Y262" s="225">
        <f t="shared" si="357"/>
        <v>0</v>
      </c>
      <c r="Z262" s="225">
        <f t="shared" si="357"/>
        <v>28.641575766654054</v>
      </c>
      <c r="AA262" s="225">
        <f t="shared" si="357"/>
        <v>0</v>
      </c>
      <c r="AB262" s="225">
        <f t="shared" si="357"/>
        <v>15.308337476263238</v>
      </c>
      <c r="AC262" s="225">
        <f t="shared" si="357"/>
        <v>0</v>
      </c>
      <c r="AD262" s="225">
        <f t="shared" si="357"/>
        <v>294.33330034047498</v>
      </c>
      <c r="AE262" s="225">
        <f t="shared" si="357"/>
        <v>0</v>
      </c>
      <c r="AF262" s="225">
        <f t="shared" si="357"/>
        <v>218.12405036239591</v>
      </c>
    </row>
    <row r="263" spans="1:32" x14ac:dyDescent="0.25">
      <c r="C263" s="9" t="s">
        <v>122</v>
      </c>
      <c r="D263" t="s">
        <v>106</v>
      </c>
      <c r="E263" s="225">
        <f t="shared" si="356"/>
        <v>0</v>
      </c>
      <c r="F263" s="225">
        <f t="shared" si="357"/>
        <v>0</v>
      </c>
      <c r="G263" s="225">
        <f t="shared" si="357"/>
        <v>0</v>
      </c>
      <c r="H263" s="225">
        <f t="shared" si="357"/>
        <v>0</v>
      </c>
      <c r="I263" s="225">
        <f t="shared" si="357"/>
        <v>0</v>
      </c>
      <c r="J263" s="225">
        <f t="shared" si="357"/>
        <v>0</v>
      </c>
      <c r="K263" s="225">
        <f t="shared" si="357"/>
        <v>0</v>
      </c>
      <c r="L263" s="225">
        <f t="shared" si="357"/>
        <v>0</v>
      </c>
      <c r="M263" s="225">
        <f t="shared" si="357"/>
        <v>0</v>
      </c>
      <c r="N263" s="225">
        <f t="shared" si="357"/>
        <v>0</v>
      </c>
      <c r="O263" s="225">
        <f t="shared" si="357"/>
        <v>0</v>
      </c>
      <c r="P263" s="225">
        <f t="shared" si="357"/>
        <v>0</v>
      </c>
      <c r="Q263" s="225">
        <f t="shared" si="357"/>
        <v>0</v>
      </c>
      <c r="R263" s="225">
        <f t="shared" si="357"/>
        <v>0</v>
      </c>
      <c r="S263" s="225">
        <f t="shared" si="357"/>
        <v>704.02106667403098</v>
      </c>
      <c r="T263" s="225">
        <f t="shared" si="357"/>
        <v>0</v>
      </c>
      <c r="U263" s="225">
        <f t="shared" si="357"/>
        <v>1145.2768985062512</v>
      </c>
      <c r="V263" s="225">
        <f t="shared" si="357"/>
        <v>0</v>
      </c>
      <c r="W263" s="225">
        <f t="shared" si="357"/>
        <v>0</v>
      </c>
      <c r="X263" s="225">
        <f t="shared" si="357"/>
        <v>1452.0765085869273</v>
      </c>
      <c r="Y263" s="225">
        <f t="shared" si="357"/>
        <v>0</v>
      </c>
      <c r="Z263" s="225">
        <f t="shared" si="357"/>
        <v>0</v>
      </c>
      <c r="AA263" s="225">
        <f t="shared" si="357"/>
        <v>0</v>
      </c>
      <c r="AB263" s="225">
        <f t="shared" si="357"/>
        <v>0</v>
      </c>
      <c r="AC263" s="225">
        <f t="shared" si="357"/>
        <v>0</v>
      </c>
      <c r="AD263" s="225">
        <f t="shared" si="357"/>
        <v>377.13906883626197</v>
      </c>
      <c r="AE263" s="225">
        <f t="shared" si="357"/>
        <v>0</v>
      </c>
      <c r="AF263" s="225">
        <f t="shared" si="357"/>
        <v>0</v>
      </c>
    </row>
    <row r="264" spans="1:32" x14ac:dyDescent="0.25">
      <c r="A264" t="str">
        <f t="shared" si="355"/>
        <v>I-NM-OTS_GAS00</v>
      </c>
      <c r="B264" t="str">
        <f t="shared" si="355"/>
        <v>IND Non-metallic minerals technology: Other services using Gas - Existing</v>
      </c>
      <c r="C264" s="9" t="s">
        <v>128</v>
      </c>
      <c r="D264" t="s">
        <v>110</v>
      </c>
      <c r="E264" s="225">
        <f t="shared" si="356"/>
        <v>0</v>
      </c>
      <c r="F264" s="225">
        <f t="shared" si="357"/>
        <v>0</v>
      </c>
      <c r="G264" s="225">
        <f t="shared" si="357"/>
        <v>0</v>
      </c>
      <c r="H264" s="225">
        <f t="shared" si="357"/>
        <v>0</v>
      </c>
      <c r="I264" s="225">
        <f t="shared" si="357"/>
        <v>1028.7308201249118</v>
      </c>
      <c r="J264" s="225">
        <f t="shared" si="357"/>
        <v>370.97594711442537</v>
      </c>
      <c r="K264" s="225">
        <f t="shared" si="357"/>
        <v>391.86514263327263</v>
      </c>
      <c r="L264" s="225">
        <f t="shared" si="357"/>
        <v>0</v>
      </c>
      <c r="M264" s="225">
        <f t="shared" si="357"/>
        <v>406.59103106161564</v>
      </c>
      <c r="N264" s="225">
        <f t="shared" si="357"/>
        <v>411.18930194246099</v>
      </c>
      <c r="O264" s="225">
        <f t="shared" si="357"/>
        <v>4.362282477206751</v>
      </c>
      <c r="P264" s="225">
        <f t="shared" si="357"/>
        <v>0</v>
      </c>
      <c r="Q264" s="225">
        <f t="shared" si="357"/>
        <v>490.87574183682466</v>
      </c>
      <c r="R264" s="225">
        <f t="shared" si="357"/>
        <v>832.61767735108924</v>
      </c>
      <c r="S264" s="225">
        <f t="shared" si="357"/>
        <v>1695.1530482869878</v>
      </c>
      <c r="T264" s="225">
        <f t="shared" si="357"/>
        <v>4280.213427703794</v>
      </c>
      <c r="U264" s="225">
        <f t="shared" si="357"/>
        <v>3012.9224666544801</v>
      </c>
      <c r="V264" s="225">
        <f t="shared" si="357"/>
        <v>0</v>
      </c>
      <c r="W264" s="225">
        <f t="shared" si="357"/>
        <v>0</v>
      </c>
      <c r="X264" s="225">
        <f t="shared" si="357"/>
        <v>405.2485656170968</v>
      </c>
      <c r="Y264" s="225">
        <f t="shared" si="357"/>
        <v>0</v>
      </c>
      <c r="Z264" s="225">
        <f t="shared" si="357"/>
        <v>511.73594875130607</v>
      </c>
      <c r="AA264" s="225">
        <f t="shared" si="357"/>
        <v>0</v>
      </c>
      <c r="AB264" s="225">
        <f t="shared" si="357"/>
        <v>451.82705967833147</v>
      </c>
      <c r="AC264" s="225">
        <f t="shared" si="357"/>
        <v>0</v>
      </c>
      <c r="AD264" s="225">
        <f t="shared" si="357"/>
        <v>7402.1118616291724</v>
      </c>
      <c r="AE264" s="225">
        <f t="shared" si="357"/>
        <v>0</v>
      </c>
      <c r="AF264" s="225">
        <f t="shared" si="357"/>
        <v>6741.5305830430671</v>
      </c>
    </row>
    <row r="265" spans="1:32" x14ac:dyDescent="0.25">
      <c r="C265" s="9" t="s">
        <v>115</v>
      </c>
      <c r="D265" t="s">
        <v>110</v>
      </c>
      <c r="E265" s="225">
        <f t="shared" si="356"/>
        <v>0</v>
      </c>
      <c r="F265" s="225">
        <f t="shared" si="357"/>
        <v>0</v>
      </c>
      <c r="G265" s="225">
        <f t="shared" si="357"/>
        <v>0</v>
      </c>
      <c r="H265" s="225">
        <f t="shared" si="357"/>
        <v>0</v>
      </c>
      <c r="I265" s="225">
        <f t="shared" si="357"/>
        <v>1.7755179469820686</v>
      </c>
      <c r="J265" s="225">
        <f t="shared" si="357"/>
        <v>0</v>
      </c>
      <c r="K265" s="225">
        <f t="shared" si="357"/>
        <v>0</v>
      </c>
      <c r="L265" s="225">
        <f t="shared" si="357"/>
        <v>0</v>
      </c>
      <c r="M265" s="225">
        <f t="shared" si="357"/>
        <v>0</v>
      </c>
      <c r="N265" s="225">
        <f t="shared" si="357"/>
        <v>0</v>
      </c>
      <c r="O265" s="225">
        <f t="shared" si="357"/>
        <v>0</v>
      </c>
      <c r="P265" s="225">
        <f t="shared" si="357"/>
        <v>0</v>
      </c>
      <c r="Q265" s="225">
        <f t="shared" si="357"/>
        <v>0</v>
      </c>
      <c r="R265" s="225">
        <f t="shared" si="357"/>
        <v>0.20901863098511464</v>
      </c>
      <c r="S265" s="225">
        <f t="shared" si="357"/>
        <v>0.37178974792671637</v>
      </c>
      <c r="T265" s="225">
        <f t="shared" si="357"/>
        <v>4.7038131860792598</v>
      </c>
      <c r="U265" s="225">
        <f t="shared" si="357"/>
        <v>1.9114496219853958</v>
      </c>
      <c r="V265" s="225">
        <f t="shared" si="357"/>
        <v>0</v>
      </c>
      <c r="W265" s="225">
        <f t="shared" si="357"/>
        <v>0</v>
      </c>
      <c r="X265" s="225">
        <f t="shared" si="357"/>
        <v>0</v>
      </c>
      <c r="Y265" s="225">
        <f t="shared" si="357"/>
        <v>0</v>
      </c>
      <c r="Z265" s="225">
        <f t="shared" si="357"/>
        <v>0</v>
      </c>
      <c r="AA265" s="225">
        <f t="shared" si="357"/>
        <v>0</v>
      </c>
      <c r="AB265" s="225">
        <f t="shared" si="357"/>
        <v>0</v>
      </c>
      <c r="AC265" s="225">
        <f t="shared" si="357"/>
        <v>0</v>
      </c>
      <c r="AD265" s="225">
        <f t="shared" si="357"/>
        <v>0</v>
      </c>
      <c r="AE265" s="225">
        <f t="shared" si="357"/>
        <v>0</v>
      </c>
      <c r="AF265" s="225">
        <f t="shared" si="357"/>
        <v>0</v>
      </c>
    </row>
    <row r="266" spans="1:32" x14ac:dyDescent="0.25">
      <c r="C266" s="9" t="s">
        <v>113</v>
      </c>
      <c r="D266" t="s">
        <v>110</v>
      </c>
      <c r="E266" s="225">
        <f t="shared" si="356"/>
        <v>0</v>
      </c>
      <c r="F266" s="225">
        <f t="shared" si="357"/>
        <v>0</v>
      </c>
      <c r="G266" s="225">
        <f t="shared" si="357"/>
        <v>0</v>
      </c>
      <c r="H266" s="225">
        <f t="shared" si="357"/>
        <v>0</v>
      </c>
      <c r="I266" s="225">
        <f t="shared" si="357"/>
        <v>0</v>
      </c>
      <c r="J266" s="225">
        <f t="shared" si="357"/>
        <v>0</v>
      </c>
      <c r="K266" s="225">
        <f t="shared" si="357"/>
        <v>0</v>
      </c>
      <c r="L266" s="225">
        <f t="shared" si="357"/>
        <v>0</v>
      </c>
      <c r="M266" s="225">
        <f t="shared" si="357"/>
        <v>0</v>
      </c>
      <c r="N266" s="225">
        <f t="shared" si="357"/>
        <v>0</v>
      </c>
      <c r="O266" s="225">
        <f t="shared" si="357"/>
        <v>0</v>
      </c>
      <c r="P266" s="225">
        <f t="shared" si="357"/>
        <v>0</v>
      </c>
      <c r="Q266" s="225">
        <f t="shared" si="357"/>
        <v>0</v>
      </c>
      <c r="R266" s="225">
        <f t="shared" si="357"/>
        <v>2.6529287778879937</v>
      </c>
      <c r="S266" s="225">
        <f t="shared" si="357"/>
        <v>0</v>
      </c>
      <c r="T266" s="225">
        <f t="shared" si="357"/>
        <v>0</v>
      </c>
      <c r="U266" s="225">
        <f t="shared" si="357"/>
        <v>0</v>
      </c>
      <c r="V266" s="225">
        <f t="shared" si="357"/>
        <v>0</v>
      </c>
      <c r="W266" s="225">
        <f t="shared" si="357"/>
        <v>0</v>
      </c>
      <c r="X266" s="225">
        <f t="shared" si="357"/>
        <v>2.9672351743267722</v>
      </c>
      <c r="Y266" s="225">
        <f t="shared" si="357"/>
        <v>0</v>
      </c>
      <c r="Z266" s="225">
        <f t="shared" si="357"/>
        <v>0</v>
      </c>
      <c r="AA266" s="225">
        <f t="shared" si="357"/>
        <v>0</v>
      </c>
      <c r="AB266" s="225">
        <f t="shared" si="357"/>
        <v>0</v>
      </c>
      <c r="AC266" s="225">
        <f t="shared" si="357"/>
        <v>0</v>
      </c>
      <c r="AD266" s="225">
        <f t="shared" si="357"/>
        <v>0</v>
      </c>
      <c r="AE266" s="225">
        <f t="shared" si="357"/>
        <v>0</v>
      </c>
      <c r="AF266" s="225">
        <f t="shared" si="357"/>
        <v>0</v>
      </c>
    </row>
    <row r="267" spans="1:32" x14ac:dyDescent="0.25">
      <c r="C267" s="9" t="s">
        <v>132</v>
      </c>
      <c r="D267" t="s">
        <v>110</v>
      </c>
      <c r="E267" s="225">
        <f t="shared" si="356"/>
        <v>0</v>
      </c>
      <c r="F267" s="225">
        <f t="shared" si="357"/>
        <v>0</v>
      </c>
      <c r="G267" s="225">
        <f t="shared" si="357"/>
        <v>0</v>
      </c>
      <c r="H267" s="225">
        <f t="shared" si="357"/>
        <v>0</v>
      </c>
      <c r="I267" s="225">
        <f t="shared" si="357"/>
        <v>89.417650823916233</v>
      </c>
      <c r="J267" s="225">
        <f t="shared" si="357"/>
        <v>3.4612687281521692</v>
      </c>
      <c r="K267" s="225">
        <f t="shared" si="357"/>
        <v>32.560795644960606</v>
      </c>
      <c r="L267" s="225">
        <f t="shared" si="357"/>
        <v>0</v>
      </c>
      <c r="M267" s="225">
        <f t="shared" si="357"/>
        <v>58.177974248851832</v>
      </c>
      <c r="N267" s="225">
        <f t="shared" si="357"/>
        <v>0</v>
      </c>
      <c r="O267" s="225">
        <f t="shared" si="357"/>
        <v>0.66745305662179788</v>
      </c>
      <c r="P267" s="225">
        <f t="shared" si="357"/>
        <v>0</v>
      </c>
      <c r="Q267" s="225">
        <f t="shared" si="357"/>
        <v>13.97763936697522</v>
      </c>
      <c r="R267" s="225">
        <f t="shared" si="357"/>
        <v>24.79282530608052</v>
      </c>
      <c r="S267" s="225">
        <f t="shared" si="357"/>
        <v>15.079792175907615</v>
      </c>
      <c r="T267" s="225">
        <f t="shared" si="357"/>
        <v>96.624875229679034</v>
      </c>
      <c r="U267" s="225">
        <f t="shared" si="357"/>
        <v>46.600433839699512</v>
      </c>
      <c r="V267" s="225">
        <f t="shared" si="357"/>
        <v>0</v>
      </c>
      <c r="W267" s="225">
        <f t="shared" si="357"/>
        <v>0</v>
      </c>
      <c r="X267" s="225">
        <f t="shared" si="357"/>
        <v>50.240973441047771</v>
      </c>
      <c r="Y267" s="225">
        <f t="shared" si="357"/>
        <v>0</v>
      </c>
      <c r="Z267" s="225">
        <f t="shared" si="357"/>
        <v>1.5911986537030007</v>
      </c>
      <c r="AA267" s="225">
        <f t="shared" si="357"/>
        <v>0</v>
      </c>
      <c r="AB267" s="225">
        <f t="shared" si="357"/>
        <v>0.85046319312573437</v>
      </c>
      <c r="AC267" s="225">
        <f t="shared" si="357"/>
        <v>0</v>
      </c>
      <c r="AD267" s="225">
        <f t="shared" si="357"/>
        <v>16.351850018915254</v>
      </c>
      <c r="AE267" s="225">
        <f t="shared" si="357"/>
        <v>0</v>
      </c>
      <c r="AF267" s="225">
        <f t="shared" si="357"/>
        <v>12.118002797910869</v>
      </c>
    </row>
    <row r="268" spans="1:32" x14ac:dyDescent="0.25">
      <c r="C268" s="9" t="s">
        <v>122</v>
      </c>
      <c r="D268" t="s">
        <v>110</v>
      </c>
      <c r="E268" s="225">
        <f t="shared" si="356"/>
        <v>0</v>
      </c>
      <c r="F268" s="225">
        <f t="shared" si="357"/>
        <v>0</v>
      </c>
      <c r="G268" s="225">
        <f t="shared" si="357"/>
        <v>0</v>
      </c>
      <c r="H268" s="225">
        <f t="shared" si="357"/>
        <v>0</v>
      </c>
      <c r="I268" s="225">
        <f t="shared" si="357"/>
        <v>0</v>
      </c>
      <c r="J268" s="225">
        <f t="shared" si="357"/>
        <v>0</v>
      </c>
      <c r="K268" s="225">
        <f t="shared" si="357"/>
        <v>0</v>
      </c>
      <c r="L268" s="225">
        <f t="shared" si="357"/>
        <v>0</v>
      </c>
      <c r="M268" s="225">
        <f t="shared" si="357"/>
        <v>0</v>
      </c>
      <c r="N268" s="225">
        <f t="shared" si="357"/>
        <v>0</v>
      </c>
      <c r="O268" s="225">
        <f t="shared" si="357"/>
        <v>0</v>
      </c>
      <c r="P268" s="225">
        <f t="shared" si="357"/>
        <v>0</v>
      </c>
      <c r="Q268" s="225">
        <f t="shared" si="357"/>
        <v>0</v>
      </c>
      <c r="R268" s="225">
        <f t="shared" si="357"/>
        <v>0</v>
      </c>
      <c r="S268" s="225">
        <f t="shared" si="357"/>
        <v>39.112281481890562</v>
      </c>
      <c r="T268" s="225">
        <f t="shared" si="357"/>
        <v>0</v>
      </c>
      <c r="U268" s="225">
        <f t="shared" si="357"/>
        <v>63.626494361458306</v>
      </c>
      <c r="V268" s="225">
        <f t="shared" si="357"/>
        <v>0</v>
      </c>
      <c r="W268" s="225">
        <f t="shared" si="357"/>
        <v>0</v>
      </c>
      <c r="X268" s="225">
        <f t="shared" si="357"/>
        <v>80.670917143718071</v>
      </c>
      <c r="Y268" s="225">
        <f t="shared" si="357"/>
        <v>0</v>
      </c>
      <c r="Z268" s="225">
        <f t="shared" si="357"/>
        <v>0</v>
      </c>
      <c r="AA268" s="225">
        <f t="shared" si="357"/>
        <v>0</v>
      </c>
      <c r="AB268" s="225">
        <f t="shared" si="357"/>
        <v>0</v>
      </c>
      <c r="AC268" s="225">
        <f t="shared" si="357"/>
        <v>0</v>
      </c>
      <c r="AD268" s="225">
        <f t="shared" si="357"/>
        <v>20.952170490903413</v>
      </c>
      <c r="AE268" s="225">
        <f t="shared" si="357"/>
        <v>0</v>
      </c>
      <c r="AF268" s="225">
        <f t="shared" si="357"/>
        <v>0</v>
      </c>
    </row>
    <row r="269" spans="1:32" x14ac:dyDescent="0.25">
      <c r="A269" t="str">
        <f t="shared" si="355"/>
        <v>I-NM-HTH_HET00</v>
      </c>
      <c r="B269" t="str">
        <f t="shared" si="355"/>
        <v>IND Non-metallic minerals technology: High temperature heat using Heat - Existing</v>
      </c>
      <c r="C269" s="9" t="s">
        <v>130</v>
      </c>
      <c r="D269" t="s">
        <v>104</v>
      </c>
      <c r="E269" s="225">
        <f t="shared" si="356"/>
        <v>0</v>
      </c>
      <c r="F269" s="225">
        <f t="shared" si="357"/>
        <v>0</v>
      </c>
      <c r="G269" s="225">
        <f t="shared" si="357"/>
        <v>0</v>
      </c>
      <c r="H269" s="225">
        <f t="shared" si="357"/>
        <v>0</v>
      </c>
      <c r="I269" s="225">
        <f t="shared" si="357"/>
        <v>0</v>
      </c>
      <c r="J269" s="225">
        <f t="shared" si="357"/>
        <v>431.77260073024559</v>
      </c>
      <c r="K269" s="225">
        <f t="shared" si="357"/>
        <v>0</v>
      </c>
      <c r="L269" s="225">
        <f t="shared" si="357"/>
        <v>0</v>
      </c>
      <c r="M269" s="225">
        <f t="shared" si="357"/>
        <v>0</v>
      </c>
      <c r="N269" s="225">
        <f t="shared" si="357"/>
        <v>0</v>
      </c>
      <c r="O269" s="225">
        <f t="shared" si="357"/>
        <v>0</v>
      </c>
      <c r="P269" s="225">
        <f t="shared" si="357"/>
        <v>0</v>
      </c>
      <c r="Q269" s="225">
        <f t="shared" si="357"/>
        <v>2529.3534846520502</v>
      </c>
      <c r="R269" s="225">
        <f t="shared" si="357"/>
        <v>19.294027475549068</v>
      </c>
      <c r="S269" s="225">
        <f t="shared" si="357"/>
        <v>1086.6175032738179</v>
      </c>
      <c r="T269" s="225">
        <f t="shared" si="357"/>
        <v>4212.9061372048109</v>
      </c>
      <c r="U269" s="225">
        <f t="shared" si="357"/>
        <v>1250.7016045089645</v>
      </c>
      <c r="V269" s="225">
        <f t="shared" si="357"/>
        <v>0</v>
      </c>
      <c r="W269" s="225">
        <f t="shared" si="357"/>
        <v>0</v>
      </c>
      <c r="X269" s="225">
        <f t="shared" si="357"/>
        <v>0</v>
      </c>
      <c r="Y269" s="225">
        <f t="shared" si="357"/>
        <v>0</v>
      </c>
      <c r="Z269" s="225">
        <f t="shared" si="357"/>
        <v>0</v>
      </c>
      <c r="AA269" s="225">
        <f t="shared" si="357"/>
        <v>0</v>
      </c>
      <c r="AB269" s="225">
        <f t="shared" si="357"/>
        <v>0</v>
      </c>
      <c r="AC269" s="225">
        <f t="shared" si="357"/>
        <v>0</v>
      </c>
      <c r="AD269" s="225">
        <f t="shared" si="357"/>
        <v>64405.213356724031</v>
      </c>
      <c r="AE269" s="225">
        <f t="shared" si="357"/>
        <v>0</v>
      </c>
      <c r="AF269" s="225">
        <f t="shared" si="357"/>
        <v>83.941534955310175</v>
      </c>
    </row>
    <row r="270" spans="1:32" x14ac:dyDescent="0.25">
      <c r="A270" t="str">
        <f t="shared" si="355"/>
        <v>I-NM-HTH_OIL00</v>
      </c>
      <c r="B270" t="str">
        <f t="shared" si="355"/>
        <v>IND Non-metallic minerals technology: High temperature heat using Liquid - Existing</v>
      </c>
      <c r="C270" s="9" t="s">
        <v>134</v>
      </c>
      <c r="D270" t="s">
        <v>104</v>
      </c>
      <c r="E270" s="225">
        <f t="shared" si="356"/>
        <v>0</v>
      </c>
      <c r="F270" s="225">
        <f t="shared" si="357"/>
        <v>0</v>
      </c>
      <c r="G270" s="225">
        <f t="shared" si="357"/>
        <v>0</v>
      </c>
      <c r="H270" s="225">
        <f t="shared" si="357"/>
        <v>0</v>
      </c>
      <c r="I270" s="225">
        <f t="shared" si="357"/>
        <v>296.78959031842476</v>
      </c>
      <c r="J270" s="225">
        <f t="shared" si="357"/>
        <v>97.439243092293012</v>
      </c>
      <c r="K270" s="225">
        <f t="shared" si="357"/>
        <v>668.62129257904849</v>
      </c>
      <c r="L270" s="225">
        <f t="shared" si="357"/>
        <v>473.6516784497606</v>
      </c>
      <c r="M270" s="225">
        <f t="shared" si="357"/>
        <v>4565.7214234698777</v>
      </c>
      <c r="N270" s="225">
        <f t="shared" si="357"/>
        <v>1104.000034010716</v>
      </c>
      <c r="O270" s="225">
        <f t="shared" si="357"/>
        <v>506.09628018347905</v>
      </c>
      <c r="P270" s="225">
        <f t="shared" si="357"/>
        <v>0</v>
      </c>
      <c r="Q270" s="225">
        <f t="shared" si="357"/>
        <v>1125.671464686488</v>
      </c>
      <c r="R270" s="225">
        <f t="shared" ref="F270:AF277" si="358">R238*$AH238</f>
        <v>666.43714681377105</v>
      </c>
      <c r="S270" s="225">
        <f t="shared" si="358"/>
        <v>2329.4362726432469</v>
      </c>
      <c r="T270" s="225">
        <f t="shared" si="358"/>
        <v>11674.727489646961</v>
      </c>
      <c r="U270" s="225">
        <f t="shared" si="358"/>
        <v>3576.7942056043062</v>
      </c>
      <c r="V270" s="225">
        <f t="shared" si="358"/>
        <v>0</v>
      </c>
      <c r="W270" s="225">
        <f t="shared" si="358"/>
        <v>0</v>
      </c>
      <c r="X270" s="225">
        <f t="shared" si="358"/>
        <v>4377.9219088650088</v>
      </c>
      <c r="Y270" s="225">
        <f t="shared" si="358"/>
        <v>0</v>
      </c>
      <c r="Z270" s="225">
        <f t="shared" si="358"/>
        <v>5012.9165464395555</v>
      </c>
      <c r="AA270" s="225">
        <f t="shared" si="358"/>
        <v>0</v>
      </c>
      <c r="AB270" s="225">
        <f t="shared" si="358"/>
        <v>5777.0177503770301</v>
      </c>
      <c r="AC270" s="225">
        <f t="shared" si="358"/>
        <v>0</v>
      </c>
      <c r="AD270" s="225">
        <f t="shared" si="358"/>
        <v>2324.4627188666391</v>
      </c>
      <c r="AE270" s="225">
        <f t="shared" si="358"/>
        <v>0</v>
      </c>
      <c r="AF270" s="225">
        <f t="shared" si="358"/>
        <v>3829.2776168197111</v>
      </c>
    </row>
    <row r="271" spans="1:32" x14ac:dyDescent="0.25">
      <c r="A271" t="str">
        <f t="shared" si="355"/>
        <v>I-NM-LTH_OIL00</v>
      </c>
      <c r="B271" t="str">
        <f t="shared" si="355"/>
        <v>IND Non-metallic minerals technology: Low temperature heat using Liquid - Existing</v>
      </c>
      <c r="C271" s="9" t="s">
        <v>134</v>
      </c>
      <c r="D271" t="s">
        <v>106</v>
      </c>
      <c r="E271" s="225">
        <f t="shared" si="356"/>
        <v>0</v>
      </c>
      <c r="F271" s="225">
        <f t="shared" si="358"/>
        <v>0</v>
      </c>
      <c r="G271" s="225">
        <f t="shared" si="358"/>
        <v>0</v>
      </c>
      <c r="H271" s="225">
        <f t="shared" si="358"/>
        <v>0</v>
      </c>
      <c r="I271" s="225">
        <f t="shared" si="358"/>
        <v>398.54602128474181</v>
      </c>
      <c r="J271" s="225">
        <f t="shared" si="358"/>
        <v>130.8469835810792</v>
      </c>
      <c r="K271" s="225">
        <f t="shared" si="358"/>
        <v>897.86287860615084</v>
      </c>
      <c r="L271" s="225">
        <f t="shared" si="358"/>
        <v>636.04653963253566</v>
      </c>
      <c r="M271" s="225">
        <f t="shared" si="358"/>
        <v>6131.1116258024076</v>
      </c>
      <c r="N271" s="225">
        <f t="shared" si="358"/>
        <v>1482.5143313858187</v>
      </c>
      <c r="O271" s="225">
        <f t="shared" si="358"/>
        <v>679.61500481781468</v>
      </c>
      <c r="P271" s="225">
        <f t="shared" si="358"/>
        <v>0</v>
      </c>
      <c r="Q271" s="225">
        <f t="shared" si="358"/>
        <v>1511.6159668647124</v>
      </c>
      <c r="R271" s="225">
        <f t="shared" si="358"/>
        <v>894.92988286420677</v>
      </c>
      <c r="S271" s="225">
        <f t="shared" si="358"/>
        <v>3128.100137549503</v>
      </c>
      <c r="T271" s="225">
        <f t="shared" si="358"/>
        <v>15677.491200383063</v>
      </c>
      <c r="U271" s="225">
        <f t="shared" si="358"/>
        <v>4803.1236475257829</v>
      </c>
      <c r="V271" s="225">
        <f t="shared" si="358"/>
        <v>0</v>
      </c>
      <c r="W271" s="225">
        <f t="shared" si="358"/>
        <v>0</v>
      </c>
      <c r="X271" s="225">
        <f t="shared" si="358"/>
        <v>5878.9237061901549</v>
      </c>
      <c r="Y271" s="225">
        <f t="shared" si="358"/>
        <v>0</v>
      </c>
      <c r="Z271" s="225">
        <f t="shared" si="358"/>
        <v>6731.6307909331172</v>
      </c>
      <c r="AA271" s="225">
        <f t="shared" si="358"/>
        <v>0</v>
      </c>
      <c r="AB271" s="225">
        <f t="shared" si="358"/>
        <v>7757.7095505062971</v>
      </c>
      <c r="AC271" s="225">
        <f t="shared" si="358"/>
        <v>0</v>
      </c>
      <c r="AD271" s="225">
        <f t="shared" si="358"/>
        <v>3121.4213653352012</v>
      </c>
      <c r="AE271" s="225">
        <f t="shared" si="358"/>
        <v>0</v>
      </c>
      <c r="AF271" s="225">
        <f t="shared" si="358"/>
        <v>5142.1727997293265</v>
      </c>
    </row>
    <row r="272" spans="1:32" x14ac:dyDescent="0.25">
      <c r="A272" t="str">
        <f t="shared" si="355"/>
        <v>I-NM-MDR_OIL00</v>
      </c>
      <c r="B272" t="str">
        <f t="shared" si="355"/>
        <v>IND Non-metallic minerals technology: Machine drive using Liquid - Existing</v>
      </c>
      <c r="C272" s="9" t="s">
        <v>134</v>
      </c>
      <c r="D272" t="s">
        <v>108</v>
      </c>
      <c r="E272" s="225">
        <f t="shared" si="356"/>
        <v>0</v>
      </c>
      <c r="F272" s="225">
        <f t="shared" si="358"/>
        <v>0</v>
      </c>
      <c r="G272" s="225">
        <f t="shared" si="358"/>
        <v>0</v>
      </c>
      <c r="H272" s="225">
        <f t="shared" si="358"/>
        <v>0</v>
      </c>
      <c r="I272" s="225">
        <f t="shared" si="358"/>
        <v>67.837620644211384</v>
      </c>
      <c r="J272" s="225">
        <f t="shared" si="358"/>
        <v>22.271826992524122</v>
      </c>
      <c r="K272" s="225">
        <f t="shared" si="358"/>
        <v>152.82772401806824</v>
      </c>
      <c r="L272" s="225">
        <f t="shared" si="358"/>
        <v>108.26324078851673</v>
      </c>
      <c r="M272" s="225">
        <f t="shared" si="358"/>
        <v>1043.5934682216864</v>
      </c>
      <c r="N272" s="225">
        <f t="shared" si="358"/>
        <v>252.34286491673512</v>
      </c>
      <c r="O272" s="225">
        <f t="shared" si="358"/>
        <v>115.67914975622378</v>
      </c>
      <c r="P272" s="225">
        <f t="shared" si="358"/>
        <v>0</v>
      </c>
      <c r="Q272" s="225">
        <f t="shared" si="358"/>
        <v>257.296334785483</v>
      </c>
      <c r="R272" s="225">
        <f t="shared" si="358"/>
        <v>152.32849070029053</v>
      </c>
      <c r="S272" s="225">
        <f t="shared" si="358"/>
        <v>532.44257660417077</v>
      </c>
      <c r="T272" s="225">
        <f t="shared" si="358"/>
        <v>2668.5091404907344</v>
      </c>
      <c r="U272" s="225">
        <f t="shared" si="358"/>
        <v>817.55296128098439</v>
      </c>
      <c r="V272" s="225">
        <f t="shared" si="358"/>
        <v>0</v>
      </c>
      <c r="W272" s="225">
        <f t="shared" si="358"/>
        <v>0</v>
      </c>
      <c r="X272" s="225">
        <f t="shared" si="358"/>
        <v>1000.6678648834306</v>
      </c>
      <c r="Y272" s="225">
        <f t="shared" si="358"/>
        <v>0</v>
      </c>
      <c r="Z272" s="225">
        <f t="shared" si="358"/>
        <v>1145.8094963290412</v>
      </c>
      <c r="AA272" s="225">
        <f t="shared" si="358"/>
        <v>0</v>
      </c>
      <c r="AB272" s="225">
        <f t="shared" si="358"/>
        <v>1320.4612000861785</v>
      </c>
      <c r="AC272" s="225">
        <f t="shared" si="358"/>
        <v>0</v>
      </c>
      <c r="AD272" s="225">
        <f t="shared" si="358"/>
        <v>531.30576431237466</v>
      </c>
      <c r="AE272" s="225">
        <f t="shared" si="358"/>
        <v>0</v>
      </c>
      <c r="AF272" s="225">
        <f t="shared" si="358"/>
        <v>875.26345527307683</v>
      </c>
    </row>
    <row r="273" spans="1:32" x14ac:dyDescent="0.25">
      <c r="A273" t="str">
        <f t="shared" si="355"/>
        <v>I-NM-OTS_OIL00</v>
      </c>
      <c r="B273" t="str">
        <f t="shared" si="355"/>
        <v>IND Non-metallic minerals technology: Other services using Liquid - Existing</v>
      </c>
      <c r="C273" s="9" t="s">
        <v>134</v>
      </c>
      <c r="D273" t="s">
        <v>110</v>
      </c>
      <c r="E273" s="225">
        <f t="shared" si="356"/>
        <v>0</v>
      </c>
      <c r="F273" s="225">
        <f t="shared" si="358"/>
        <v>0</v>
      </c>
      <c r="G273" s="225">
        <f t="shared" si="358"/>
        <v>0</v>
      </c>
      <c r="H273" s="225">
        <f t="shared" si="358"/>
        <v>0</v>
      </c>
      <c r="I273" s="225">
        <f t="shared" si="358"/>
        <v>84.797025805264298</v>
      </c>
      <c r="J273" s="225">
        <f t="shared" si="358"/>
        <v>27.839783740655175</v>
      </c>
      <c r="K273" s="225">
        <f t="shared" si="358"/>
        <v>191.03465502258547</v>
      </c>
      <c r="L273" s="225">
        <f t="shared" si="358"/>
        <v>135.32905098564601</v>
      </c>
      <c r="M273" s="225">
        <f t="shared" si="358"/>
        <v>1304.4918352771092</v>
      </c>
      <c r="N273" s="225">
        <f t="shared" si="358"/>
        <v>315.42858114591917</v>
      </c>
      <c r="O273" s="225">
        <f t="shared" si="358"/>
        <v>144.59893719527986</v>
      </c>
      <c r="P273" s="225">
        <f t="shared" si="358"/>
        <v>0</v>
      </c>
      <c r="Q273" s="225">
        <f t="shared" si="358"/>
        <v>321.62041848185402</v>
      </c>
      <c r="R273" s="225">
        <f t="shared" si="358"/>
        <v>190.41061337536337</v>
      </c>
      <c r="S273" s="225">
        <f t="shared" si="358"/>
        <v>665.55322075521406</v>
      </c>
      <c r="T273" s="225">
        <f t="shared" si="358"/>
        <v>3335.6364256134207</v>
      </c>
      <c r="U273" s="225">
        <f t="shared" si="358"/>
        <v>1021.9412016012313</v>
      </c>
      <c r="V273" s="225">
        <f t="shared" si="358"/>
        <v>0</v>
      </c>
      <c r="W273" s="225">
        <f t="shared" si="358"/>
        <v>0</v>
      </c>
      <c r="X273" s="225">
        <f t="shared" si="358"/>
        <v>1250.8348311042894</v>
      </c>
      <c r="Y273" s="225">
        <f t="shared" si="358"/>
        <v>0</v>
      </c>
      <c r="Z273" s="225">
        <f t="shared" si="358"/>
        <v>1432.2618704113029</v>
      </c>
      <c r="AA273" s="225">
        <f t="shared" si="358"/>
        <v>0</v>
      </c>
      <c r="AB273" s="225">
        <f t="shared" si="358"/>
        <v>1650.5765001077243</v>
      </c>
      <c r="AC273" s="225">
        <f t="shared" si="358"/>
        <v>0</v>
      </c>
      <c r="AD273" s="225">
        <f t="shared" si="358"/>
        <v>664.13220539046893</v>
      </c>
      <c r="AE273" s="225">
        <f t="shared" si="358"/>
        <v>0</v>
      </c>
      <c r="AF273" s="225">
        <f t="shared" si="358"/>
        <v>1094.0793190913471</v>
      </c>
    </row>
    <row r="274" spans="1:32" x14ac:dyDescent="0.25">
      <c r="A274" t="str">
        <f t="shared" si="355"/>
        <v>I-NM-LTH_COA00</v>
      </c>
      <c r="B274" t="str">
        <f t="shared" si="355"/>
        <v>IND Non-metallic minerals technology: Low temperature heat using Solid - Existing</v>
      </c>
      <c r="C274" s="9" t="s">
        <v>120</v>
      </c>
      <c r="D274" t="s">
        <v>106</v>
      </c>
      <c r="E274" s="225">
        <f t="shared" si="356"/>
        <v>0</v>
      </c>
      <c r="F274" s="225">
        <f t="shared" si="358"/>
        <v>0</v>
      </c>
      <c r="G274" s="225">
        <f t="shared" si="358"/>
        <v>0</v>
      </c>
      <c r="H274" s="225">
        <f t="shared" si="358"/>
        <v>0</v>
      </c>
      <c r="I274" s="225">
        <f t="shared" si="358"/>
        <v>6206.7543846227873</v>
      </c>
      <c r="J274" s="225">
        <f t="shared" si="358"/>
        <v>4473.896562204065</v>
      </c>
      <c r="K274" s="225">
        <f t="shared" si="358"/>
        <v>51753.552160048253</v>
      </c>
      <c r="L274" s="225">
        <f t="shared" si="358"/>
        <v>9717.9919387673381</v>
      </c>
      <c r="M274" s="225">
        <f t="shared" si="358"/>
        <v>338.08922195262278</v>
      </c>
      <c r="N274" s="225">
        <f t="shared" si="358"/>
        <v>1446.1823140702363</v>
      </c>
      <c r="O274" s="225">
        <f t="shared" si="358"/>
        <v>15.732822048942403</v>
      </c>
      <c r="P274" s="225">
        <f t="shared" si="358"/>
        <v>0</v>
      </c>
      <c r="Q274" s="225">
        <f t="shared" si="358"/>
        <v>11080.844448648302</v>
      </c>
      <c r="R274" s="225">
        <f t="shared" si="358"/>
        <v>4620.919580394002</v>
      </c>
      <c r="S274" s="225">
        <f t="shared" si="358"/>
        <v>7913.470426670583</v>
      </c>
      <c r="T274" s="225">
        <f t="shared" si="358"/>
        <v>4619.2015646472455</v>
      </c>
      <c r="U274" s="225">
        <f t="shared" si="358"/>
        <v>12982.518636237864</v>
      </c>
      <c r="V274" s="225">
        <f t="shared" si="358"/>
        <v>0</v>
      </c>
      <c r="W274" s="225">
        <f t="shared" si="358"/>
        <v>0</v>
      </c>
      <c r="X274" s="225">
        <f t="shared" si="358"/>
        <v>21330.422501401565</v>
      </c>
      <c r="Y274" s="225">
        <f t="shared" si="358"/>
        <v>0</v>
      </c>
      <c r="Z274" s="225">
        <f t="shared" si="358"/>
        <v>7731.5561792211374</v>
      </c>
      <c r="AA274" s="225">
        <f t="shared" si="358"/>
        <v>0</v>
      </c>
      <c r="AB274" s="225">
        <f t="shared" si="358"/>
        <v>525.93136885036404</v>
      </c>
      <c r="AC274" s="225">
        <f t="shared" si="358"/>
        <v>0</v>
      </c>
      <c r="AD274" s="225">
        <f t="shared" si="358"/>
        <v>8689.3004251626044</v>
      </c>
      <c r="AE274" s="225">
        <f t="shared" si="358"/>
        <v>0</v>
      </c>
      <c r="AF274" s="225">
        <f t="shared" si="358"/>
        <v>43562.163772566237</v>
      </c>
    </row>
    <row r="275" spans="1:32" x14ac:dyDescent="0.25">
      <c r="C275" s="9" t="s">
        <v>124</v>
      </c>
      <c r="D275" t="s">
        <v>106</v>
      </c>
      <c r="E275" s="225">
        <f t="shared" si="356"/>
        <v>0</v>
      </c>
      <c r="F275" s="225">
        <f t="shared" si="358"/>
        <v>0</v>
      </c>
      <c r="G275" s="225">
        <f t="shared" si="358"/>
        <v>0</v>
      </c>
      <c r="H275" s="225">
        <f t="shared" si="358"/>
        <v>0</v>
      </c>
      <c r="I275" s="225">
        <f t="shared" si="358"/>
        <v>30.804166791014246</v>
      </c>
      <c r="J275" s="225">
        <f t="shared" si="358"/>
        <v>19.924937160921502</v>
      </c>
      <c r="K275" s="225">
        <f t="shared" si="358"/>
        <v>0</v>
      </c>
      <c r="L275" s="225">
        <f t="shared" si="358"/>
        <v>0</v>
      </c>
      <c r="M275" s="225">
        <f t="shared" si="358"/>
        <v>204.94885694868481</v>
      </c>
      <c r="N275" s="225">
        <f t="shared" si="358"/>
        <v>103.63033668184774</v>
      </c>
      <c r="O275" s="225">
        <f t="shared" si="358"/>
        <v>0</v>
      </c>
      <c r="P275" s="225">
        <f t="shared" si="358"/>
        <v>0</v>
      </c>
      <c r="Q275" s="225">
        <f t="shared" si="358"/>
        <v>120.59139846017857</v>
      </c>
      <c r="R275" s="225">
        <f t="shared" si="358"/>
        <v>144.49082798355639</v>
      </c>
      <c r="S275" s="225">
        <f t="shared" si="358"/>
        <v>1469.7096595375069</v>
      </c>
      <c r="T275" s="225">
        <f t="shared" si="358"/>
        <v>420.54940679418991</v>
      </c>
      <c r="U275" s="225">
        <f t="shared" si="358"/>
        <v>7113.1883895686251</v>
      </c>
      <c r="V275" s="225">
        <f t="shared" si="358"/>
        <v>0</v>
      </c>
      <c r="W275" s="225">
        <f t="shared" si="358"/>
        <v>0</v>
      </c>
      <c r="X275" s="225">
        <f t="shared" si="358"/>
        <v>928.13432715253987</v>
      </c>
      <c r="Y275" s="225">
        <f t="shared" si="358"/>
        <v>0</v>
      </c>
      <c r="Z275" s="225">
        <f t="shared" si="358"/>
        <v>243.28377385550485</v>
      </c>
      <c r="AA275" s="225">
        <f t="shared" si="358"/>
        <v>0</v>
      </c>
      <c r="AB275" s="225">
        <f t="shared" si="358"/>
        <v>0</v>
      </c>
      <c r="AC275" s="225">
        <f t="shared" si="358"/>
        <v>0</v>
      </c>
      <c r="AD275" s="225">
        <f t="shared" si="358"/>
        <v>704.07432437000534</v>
      </c>
      <c r="AE275" s="225">
        <f t="shared" si="358"/>
        <v>0</v>
      </c>
      <c r="AF275" s="225">
        <f t="shared" si="358"/>
        <v>0</v>
      </c>
    </row>
    <row r="276" spans="1:32" x14ac:dyDescent="0.25">
      <c r="A276" t="str">
        <f t="shared" si="355"/>
        <v>I-NM-HTH_BIO00</v>
      </c>
      <c r="B276" t="str">
        <f t="shared" si="355"/>
        <v>IND Non-metallic minerals technology: High temperature heat using Biomass - Existing</v>
      </c>
      <c r="C276" s="9" t="s">
        <v>117</v>
      </c>
      <c r="D276" t="s">
        <v>104</v>
      </c>
      <c r="E276" s="225">
        <f t="shared" si="356"/>
        <v>0</v>
      </c>
      <c r="F276" s="225">
        <f t="shared" si="358"/>
        <v>0</v>
      </c>
      <c r="G276" s="225">
        <f t="shared" si="358"/>
        <v>0</v>
      </c>
      <c r="H276" s="225">
        <f t="shared" si="358"/>
        <v>0</v>
      </c>
      <c r="I276" s="225">
        <f t="shared" si="358"/>
        <v>865.08368404765008</v>
      </c>
      <c r="J276" s="225">
        <f t="shared" si="358"/>
        <v>7.8754692335658127E-2</v>
      </c>
      <c r="K276" s="225">
        <f t="shared" si="358"/>
        <v>2801.8416069979176</v>
      </c>
      <c r="L276" s="225">
        <f t="shared" si="358"/>
        <v>0</v>
      </c>
      <c r="M276" s="225">
        <f t="shared" si="358"/>
        <v>746.78648993602224</v>
      </c>
      <c r="N276" s="225">
        <f t="shared" si="358"/>
        <v>138.3734553381897</v>
      </c>
      <c r="O276" s="225">
        <f t="shared" si="358"/>
        <v>0</v>
      </c>
      <c r="P276" s="225">
        <f t="shared" si="358"/>
        <v>0</v>
      </c>
      <c r="Q276" s="225">
        <f t="shared" si="358"/>
        <v>60.202793684280202</v>
      </c>
      <c r="R276" s="225">
        <f t="shared" si="358"/>
        <v>2556.2442624271903</v>
      </c>
      <c r="S276" s="225">
        <f t="shared" si="358"/>
        <v>844.90459515506154</v>
      </c>
      <c r="T276" s="225">
        <f t="shared" si="358"/>
        <v>7524.2765883698012</v>
      </c>
      <c r="U276" s="225">
        <f t="shared" si="358"/>
        <v>2009.1459359979854</v>
      </c>
      <c r="V276" s="225">
        <f t="shared" si="358"/>
        <v>0</v>
      </c>
      <c r="W276" s="225">
        <f t="shared" si="358"/>
        <v>0</v>
      </c>
      <c r="X276" s="225">
        <f t="shared" si="358"/>
        <v>1020.0554848933864</v>
      </c>
      <c r="Y276" s="225">
        <f t="shared" si="358"/>
        <v>0</v>
      </c>
      <c r="Z276" s="225">
        <f t="shared" si="358"/>
        <v>0</v>
      </c>
      <c r="AA276" s="225">
        <f t="shared" si="358"/>
        <v>0</v>
      </c>
      <c r="AB276" s="225">
        <f t="shared" si="358"/>
        <v>0</v>
      </c>
      <c r="AC276" s="225">
        <f t="shared" si="358"/>
        <v>0</v>
      </c>
      <c r="AD276" s="225">
        <f t="shared" si="358"/>
        <v>15.697776018158667</v>
      </c>
      <c r="AE276" s="225">
        <f t="shared" si="358"/>
        <v>0</v>
      </c>
      <c r="AF276" s="225">
        <f t="shared" si="358"/>
        <v>4743.9924667897712</v>
      </c>
    </row>
    <row r="277" spans="1:32" x14ac:dyDescent="0.25">
      <c r="C277" s="9" t="s">
        <v>139</v>
      </c>
      <c r="D277" t="s">
        <v>104</v>
      </c>
      <c r="E277" s="225">
        <f t="shared" si="356"/>
        <v>0</v>
      </c>
      <c r="F277" s="225">
        <f t="shared" si="358"/>
        <v>0</v>
      </c>
      <c r="G277" s="225">
        <f t="shared" si="358"/>
        <v>0</v>
      </c>
      <c r="H277" s="225">
        <f t="shared" si="358"/>
        <v>0</v>
      </c>
      <c r="I277" s="225">
        <f t="shared" si="358"/>
        <v>0</v>
      </c>
      <c r="J277" s="225">
        <f t="shared" si="358"/>
        <v>0</v>
      </c>
      <c r="K277" s="225">
        <f t="shared" si="358"/>
        <v>0</v>
      </c>
      <c r="L277" s="225">
        <f t="shared" si="358"/>
        <v>0</v>
      </c>
      <c r="M277" s="225">
        <f t="shared" si="358"/>
        <v>0</v>
      </c>
      <c r="N277" s="225">
        <f t="shared" si="358"/>
        <v>833.6850929304137</v>
      </c>
      <c r="O277" s="225">
        <f t="shared" si="358"/>
        <v>0</v>
      </c>
      <c r="P277" s="225">
        <f t="shared" si="358"/>
        <v>0</v>
      </c>
      <c r="Q277" s="225">
        <f t="shared" si="358"/>
        <v>3.1587885575085295</v>
      </c>
      <c r="R277" s="225">
        <f t="shared" si="358"/>
        <v>1760.6871961853835</v>
      </c>
      <c r="S277" s="225">
        <f t="shared" si="358"/>
        <v>14312.814711918014</v>
      </c>
      <c r="T277" s="225">
        <f t="shared" si="358"/>
        <v>6595.145198304981</v>
      </c>
      <c r="U277" s="225">
        <f t="shared" si="358"/>
        <v>17676.661337538302</v>
      </c>
      <c r="V277" s="225">
        <f t="shared" si="358"/>
        <v>0</v>
      </c>
      <c r="W277" s="225">
        <f t="shared" si="358"/>
        <v>0</v>
      </c>
      <c r="X277" s="225">
        <f t="shared" si="358"/>
        <v>4012.0386632273135</v>
      </c>
      <c r="Y277" s="225">
        <f t="shared" si="358"/>
        <v>0</v>
      </c>
      <c r="Z277" s="225">
        <f t="shared" si="358"/>
        <v>2277.0025810654879</v>
      </c>
      <c r="AA277" s="225">
        <f t="shared" si="358"/>
        <v>0</v>
      </c>
      <c r="AB277" s="225">
        <f t="shared" si="358"/>
        <v>0</v>
      </c>
      <c r="AC277" s="225">
        <f t="shared" si="358"/>
        <v>0</v>
      </c>
      <c r="AD277" s="225">
        <f t="shared" si="358"/>
        <v>884.59874857883005</v>
      </c>
      <c r="AE277" s="225">
        <f t="shared" si="358"/>
        <v>0</v>
      </c>
      <c r="AF277" s="225">
        <f t="shared" si="358"/>
        <v>1.5774248179521375</v>
      </c>
    </row>
    <row r="280" spans="1:32" x14ac:dyDescent="0.25">
      <c r="A280" t="str">
        <f>'INM_BY Techs'!AO12</f>
        <v>I-NM-LTH_ELC00</v>
      </c>
      <c r="B280" t="str">
        <f>'INM_BY Techs'!AP12</f>
        <v>IND Non-metallic minerals technology: Low temperature heat using Electricity - Existing</v>
      </c>
      <c r="C280" s="9" t="s">
        <v>790</v>
      </c>
      <c r="E280" s="225">
        <f>SUM(E251)</f>
        <v>0</v>
      </c>
      <c r="F280" s="225">
        <f t="shared" ref="F280:AF282" si="359">SUM(F251)</f>
        <v>0</v>
      </c>
      <c r="G280" s="225">
        <f t="shared" si="359"/>
        <v>0</v>
      </c>
      <c r="H280" s="225">
        <f t="shared" si="359"/>
        <v>0</v>
      </c>
      <c r="I280" s="225">
        <f t="shared" si="359"/>
        <v>1294.9982546719787</v>
      </c>
      <c r="J280" s="225">
        <f t="shared" si="359"/>
        <v>0</v>
      </c>
      <c r="K280" s="225">
        <f t="shared" si="359"/>
        <v>0</v>
      </c>
      <c r="L280" s="225">
        <f t="shared" si="359"/>
        <v>0</v>
      </c>
      <c r="M280" s="225">
        <f t="shared" si="359"/>
        <v>0</v>
      </c>
      <c r="N280" s="225">
        <f t="shared" si="359"/>
        <v>155.22872556173098</v>
      </c>
      <c r="O280" s="225">
        <f t="shared" si="359"/>
        <v>34.44320047105721</v>
      </c>
      <c r="P280" s="225">
        <f t="shared" si="359"/>
        <v>0</v>
      </c>
      <c r="Q280" s="225">
        <f t="shared" si="359"/>
        <v>1521.4708781047602</v>
      </c>
      <c r="R280" s="225">
        <f t="shared" si="359"/>
        <v>4006.6632746587647</v>
      </c>
      <c r="S280" s="225">
        <f t="shared" si="359"/>
        <v>5578.2309251009401</v>
      </c>
      <c r="T280" s="225">
        <f t="shared" si="359"/>
        <v>10804.32078391476</v>
      </c>
      <c r="U280" s="225">
        <f t="shared" si="359"/>
        <v>8111.6907828767044</v>
      </c>
      <c r="V280" s="225">
        <f t="shared" si="359"/>
        <v>0</v>
      </c>
      <c r="W280" s="225">
        <f t="shared" si="359"/>
        <v>0</v>
      </c>
      <c r="X280" s="225">
        <f t="shared" si="359"/>
        <v>6733.8886960099617</v>
      </c>
      <c r="Y280" s="225">
        <f t="shared" si="359"/>
        <v>0</v>
      </c>
      <c r="Z280" s="225">
        <f t="shared" si="359"/>
        <v>2817.3131293747419</v>
      </c>
      <c r="AA280" s="225">
        <f t="shared" si="359"/>
        <v>0</v>
      </c>
      <c r="AB280" s="225">
        <f t="shared" si="359"/>
        <v>3344.798449907039</v>
      </c>
      <c r="AC280" s="225">
        <f t="shared" si="359"/>
        <v>0</v>
      </c>
      <c r="AD280" s="225">
        <f t="shared" si="359"/>
        <v>5960.6075868312882</v>
      </c>
      <c r="AE280" s="225">
        <f t="shared" si="359"/>
        <v>4291.9425112612225</v>
      </c>
      <c r="AF280" s="225">
        <f t="shared" si="359"/>
        <v>12098.908726086338</v>
      </c>
    </row>
    <row r="281" spans="1:32" x14ac:dyDescent="0.25">
      <c r="A281" t="str">
        <f>'INM_BY Techs'!AO13</f>
        <v>I-NM-MDR_ELC00</v>
      </c>
      <c r="B281" t="str">
        <f>'INM_BY Techs'!AP13</f>
        <v>IND Non-metallic minerals technology: Machine drive using Electricity - Existing</v>
      </c>
      <c r="C281" s="9" t="s">
        <v>790</v>
      </c>
      <c r="E281" s="225">
        <f t="shared" ref="E281:T282" si="360">SUM(E252)</f>
        <v>0</v>
      </c>
      <c r="F281" s="225">
        <f t="shared" si="360"/>
        <v>0</v>
      </c>
      <c r="G281" s="225">
        <f t="shared" si="360"/>
        <v>0</v>
      </c>
      <c r="H281" s="225">
        <f t="shared" si="360"/>
        <v>0</v>
      </c>
      <c r="I281" s="225">
        <f t="shared" si="360"/>
        <v>4532.4938913519245</v>
      </c>
      <c r="J281" s="225">
        <f t="shared" si="360"/>
        <v>0</v>
      </c>
      <c r="K281" s="225">
        <f t="shared" si="360"/>
        <v>0</v>
      </c>
      <c r="L281" s="225">
        <f t="shared" si="360"/>
        <v>0</v>
      </c>
      <c r="M281" s="225">
        <f t="shared" si="360"/>
        <v>0</v>
      </c>
      <c r="N281" s="225">
        <f t="shared" si="360"/>
        <v>543.30053946605847</v>
      </c>
      <c r="O281" s="225">
        <f t="shared" si="360"/>
        <v>120.55120164870023</v>
      </c>
      <c r="P281" s="225">
        <f t="shared" si="360"/>
        <v>0</v>
      </c>
      <c r="Q281" s="225">
        <f t="shared" si="360"/>
        <v>5325.1480733666594</v>
      </c>
      <c r="R281" s="225">
        <f t="shared" si="360"/>
        <v>14023.321461305675</v>
      </c>
      <c r="S281" s="225">
        <f t="shared" si="360"/>
        <v>19523.808237853285</v>
      </c>
      <c r="T281" s="225">
        <f t="shared" si="360"/>
        <v>37815.12274370165</v>
      </c>
      <c r="U281" s="225">
        <f t="shared" si="359"/>
        <v>28390.917740068464</v>
      </c>
      <c r="V281" s="225">
        <f t="shared" si="359"/>
        <v>0</v>
      </c>
      <c r="W281" s="225">
        <f t="shared" si="359"/>
        <v>0</v>
      </c>
      <c r="X281" s="225">
        <f t="shared" si="359"/>
        <v>23568.610436034862</v>
      </c>
      <c r="Y281" s="225">
        <f t="shared" si="359"/>
        <v>0</v>
      </c>
      <c r="Z281" s="225">
        <f t="shared" si="359"/>
        <v>9860.5959528115964</v>
      </c>
      <c r="AA281" s="225">
        <f t="shared" si="359"/>
        <v>0</v>
      </c>
      <c r="AB281" s="225">
        <f t="shared" si="359"/>
        <v>11706.794574674634</v>
      </c>
      <c r="AC281" s="225">
        <f t="shared" si="359"/>
        <v>0</v>
      </c>
      <c r="AD281" s="225">
        <f t="shared" si="359"/>
        <v>20862.126553909504</v>
      </c>
      <c r="AE281" s="225">
        <f t="shared" si="359"/>
        <v>15021.798789414279</v>
      </c>
      <c r="AF281" s="225">
        <f t="shared" si="359"/>
        <v>42346.180541302179</v>
      </c>
    </row>
    <row r="282" spans="1:32" x14ac:dyDescent="0.25">
      <c r="A282" t="str">
        <f>'INM_BY Techs'!AO14</f>
        <v>I-NM-OTS_ELC00</v>
      </c>
      <c r="B282" t="str">
        <f>'INM_BY Techs'!AP14</f>
        <v>IND Non-metallic minerals technology: Other services using Electricity - Existing</v>
      </c>
      <c r="C282" s="9" t="s">
        <v>790</v>
      </c>
      <c r="E282" s="225">
        <f t="shared" si="360"/>
        <v>0</v>
      </c>
      <c r="F282" s="225">
        <f t="shared" si="359"/>
        <v>0</v>
      </c>
      <c r="G282" s="225">
        <f t="shared" si="359"/>
        <v>0</v>
      </c>
      <c r="H282" s="225">
        <f t="shared" si="359"/>
        <v>0</v>
      </c>
      <c r="I282" s="225">
        <f t="shared" si="359"/>
        <v>647.4991273359899</v>
      </c>
      <c r="J282" s="225">
        <f t="shared" si="359"/>
        <v>0</v>
      </c>
      <c r="K282" s="225">
        <f t="shared" si="359"/>
        <v>0</v>
      </c>
      <c r="L282" s="225">
        <f t="shared" si="359"/>
        <v>0</v>
      </c>
      <c r="M282" s="225">
        <f t="shared" si="359"/>
        <v>0</v>
      </c>
      <c r="N282" s="225">
        <f t="shared" si="359"/>
        <v>77.614362780865562</v>
      </c>
      <c r="O282" s="225">
        <f t="shared" si="359"/>
        <v>17.221600235528619</v>
      </c>
      <c r="P282" s="225">
        <f t="shared" si="359"/>
        <v>0</v>
      </c>
      <c r="Q282" s="225">
        <f t="shared" si="359"/>
        <v>760.73543905238068</v>
      </c>
      <c r="R282" s="225">
        <f t="shared" si="359"/>
        <v>2003.3316373293837</v>
      </c>
      <c r="S282" s="225">
        <f t="shared" si="359"/>
        <v>2789.1154625504723</v>
      </c>
      <c r="T282" s="225">
        <f t="shared" si="359"/>
        <v>5402.1603919573845</v>
      </c>
      <c r="U282" s="225">
        <f t="shared" si="359"/>
        <v>4055.8453914383558</v>
      </c>
      <c r="V282" s="225">
        <f t="shared" si="359"/>
        <v>0</v>
      </c>
      <c r="W282" s="225">
        <f t="shared" si="359"/>
        <v>0</v>
      </c>
      <c r="X282" s="225">
        <f t="shared" si="359"/>
        <v>3366.9443480049836</v>
      </c>
      <c r="Y282" s="225">
        <f t="shared" si="359"/>
        <v>0</v>
      </c>
      <c r="Z282" s="225">
        <f t="shared" si="359"/>
        <v>1408.6565646873723</v>
      </c>
      <c r="AA282" s="225">
        <f t="shared" si="359"/>
        <v>0</v>
      </c>
      <c r="AB282" s="225">
        <f t="shared" si="359"/>
        <v>1672.3992249535208</v>
      </c>
      <c r="AC282" s="225">
        <f t="shared" si="359"/>
        <v>0</v>
      </c>
      <c r="AD282" s="225">
        <f t="shared" si="359"/>
        <v>2980.3037934156464</v>
      </c>
      <c r="AE282" s="225">
        <f t="shared" si="359"/>
        <v>2145.9712556306131</v>
      </c>
      <c r="AF282" s="225">
        <f t="shared" si="359"/>
        <v>6049.4543630431745</v>
      </c>
    </row>
    <row r="283" spans="1:32" x14ac:dyDescent="0.25">
      <c r="A283" t="str">
        <f>'INM_BY Techs'!AO15</f>
        <v>I-NM-HTH_GAS00</v>
      </c>
      <c r="B283" t="str">
        <f>'INM_BY Techs'!AP15</f>
        <v>IND Non-metallic minerals technology: High temperature heat using Gas - Existing</v>
      </c>
      <c r="C283" s="9" t="s">
        <v>790</v>
      </c>
      <c r="E283" s="225">
        <f>SUM(E254:E258)</f>
        <v>0</v>
      </c>
      <c r="F283" s="225">
        <f t="shared" ref="F283:AF283" si="361">SUM(F254:F258)</f>
        <v>0</v>
      </c>
      <c r="G283" s="225">
        <f t="shared" si="361"/>
        <v>0</v>
      </c>
      <c r="H283" s="225">
        <f t="shared" si="361"/>
        <v>0</v>
      </c>
      <c r="I283" s="225">
        <f t="shared" si="361"/>
        <v>1119.9239888958116</v>
      </c>
      <c r="J283" s="225">
        <f t="shared" si="361"/>
        <v>374.43721584257804</v>
      </c>
      <c r="K283" s="225">
        <f t="shared" si="361"/>
        <v>424.42593827823379</v>
      </c>
      <c r="L283" s="225">
        <f t="shared" si="361"/>
        <v>0</v>
      </c>
      <c r="M283" s="225">
        <f t="shared" si="361"/>
        <v>464.76900531046806</v>
      </c>
      <c r="N283" s="225">
        <f t="shared" si="361"/>
        <v>411.18930194246161</v>
      </c>
      <c r="O283" s="225">
        <f t="shared" si="361"/>
        <v>5.0297355338285561</v>
      </c>
      <c r="P283" s="225">
        <f t="shared" si="361"/>
        <v>0</v>
      </c>
      <c r="Q283" s="225">
        <f t="shared" si="361"/>
        <v>504.85338120380055</v>
      </c>
      <c r="R283" s="225">
        <f t="shared" si="361"/>
        <v>860.27245006604414</v>
      </c>
      <c r="S283" s="225">
        <f t="shared" si="361"/>
        <v>1749.716911692715</v>
      </c>
      <c r="T283" s="225">
        <f t="shared" si="361"/>
        <v>4381.5421161195572</v>
      </c>
      <c r="U283" s="225">
        <f t="shared" si="361"/>
        <v>3125.0608444776276</v>
      </c>
      <c r="V283" s="225">
        <f t="shared" si="361"/>
        <v>0</v>
      </c>
      <c r="W283" s="225">
        <f t="shared" si="361"/>
        <v>0</v>
      </c>
      <c r="X283" s="225">
        <f t="shared" si="361"/>
        <v>539.12769137619023</v>
      </c>
      <c r="Y283" s="225">
        <f t="shared" si="361"/>
        <v>0</v>
      </c>
      <c r="Z283" s="225">
        <f t="shared" si="361"/>
        <v>513.32714740500978</v>
      </c>
      <c r="AA283" s="225">
        <f t="shared" si="361"/>
        <v>0</v>
      </c>
      <c r="AB283" s="225">
        <f t="shared" si="361"/>
        <v>452.67752287145782</v>
      </c>
      <c r="AC283" s="225">
        <f t="shared" si="361"/>
        <v>0</v>
      </c>
      <c r="AD283" s="225">
        <f t="shared" si="361"/>
        <v>7439.4158821390029</v>
      </c>
      <c r="AE283" s="225">
        <f t="shared" si="361"/>
        <v>0</v>
      </c>
      <c r="AF283" s="225">
        <f t="shared" si="361"/>
        <v>6753.6485858409869</v>
      </c>
    </row>
    <row r="284" spans="1:32" x14ac:dyDescent="0.25">
      <c r="A284" t="str">
        <f>'INM_BY Techs'!AO16</f>
        <v>I-NM-LTH_GAS00</v>
      </c>
      <c r="B284" t="str">
        <f>'INM_BY Techs'!AP16</f>
        <v>IND Non-metallic minerals technology: Low temperature heat using Gas - Existing</v>
      </c>
      <c r="C284" s="9" t="s">
        <v>790</v>
      </c>
      <c r="E284" s="225">
        <f>SUM(E259:E263)</f>
        <v>0</v>
      </c>
      <c r="F284" s="225">
        <f t="shared" ref="F284:AE284" si="362">SUM(F259:F263)</f>
        <v>0</v>
      </c>
      <c r="G284" s="225">
        <f t="shared" si="362"/>
        <v>0</v>
      </c>
      <c r="H284" s="225">
        <f t="shared" si="362"/>
        <v>0</v>
      </c>
      <c r="I284" s="225">
        <f t="shared" si="362"/>
        <v>20158.631800124607</v>
      </c>
      <c r="J284" s="225">
        <f t="shared" si="362"/>
        <v>6739.8698851664049</v>
      </c>
      <c r="K284" s="225">
        <f t="shared" si="362"/>
        <v>7639.6668890082092</v>
      </c>
      <c r="L284" s="225">
        <f t="shared" si="362"/>
        <v>0</v>
      </c>
      <c r="M284" s="225">
        <f t="shared" si="362"/>
        <v>8365.8420955884249</v>
      </c>
      <c r="N284" s="225">
        <f t="shared" si="362"/>
        <v>7401.4074349643079</v>
      </c>
      <c r="O284" s="225">
        <f t="shared" si="362"/>
        <v>90.535239608913997</v>
      </c>
      <c r="P284" s="225">
        <f t="shared" si="362"/>
        <v>0</v>
      </c>
      <c r="Q284" s="225">
        <f t="shared" si="362"/>
        <v>9087.3608616684105</v>
      </c>
      <c r="R284" s="225">
        <f t="shared" si="362"/>
        <v>15484.904101188795</v>
      </c>
      <c r="S284" s="225">
        <f t="shared" si="362"/>
        <v>31494.904410468869</v>
      </c>
      <c r="T284" s="225">
        <f t="shared" si="362"/>
        <v>78867.758090152056</v>
      </c>
      <c r="U284" s="225">
        <f t="shared" si="362"/>
        <v>56251.095200597294</v>
      </c>
      <c r="V284" s="225">
        <f t="shared" si="362"/>
        <v>0</v>
      </c>
      <c r="W284" s="225">
        <f t="shared" si="362"/>
        <v>0</v>
      </c>
      <c r="X284" s="225">
        <f t="shared" si="362"/>
        <v>9704.2984447714225</v>
      </c>
      <c r="Y284" s="225">
        <f t="shared" si="362"/>
        <v>0</v>
      </c>
      <c r="Z284" s="225">
        <f t="shared" si="362"/>
        <v>9239.8886532901761</v>
      </c>
      <c r="AA284" s="225">
        <f t="shared" si="362"/>
        <v>0</v>
      </c>
      <c r="AB284" s="225">
        <f t="shared" si="362"/>
        <v>8148.1954116862407</v>
      </c>
      <c r="AC284" s="225">
        <f t="shared" si="362"/>
        <v>0</v>
      </c>
      <c r="AD284" s="225">
        <f t="shared" si="362"/>
        <v>133909.48587850202</v>
      </c>
      <c r="AE284" s="225">
        <f t="shared" si="362"/>
        <v>0</v>
      </c>
      <c r="AF284" s="225">
        <f>SUM(AF259:AF263)</f>
        <v>121565.67454513776</v>
      </c>
    </row>
    <row r="285" spans="1:32" x14ac:dyDescent="0.25">
      <c r="A285" t="str">
        <f>'INM_BY Techs'!AO17</f>
        <v>I-NM-OTS_GAS00</v>
      </c>
      <c r="B285" t="str">
        <f>'INM_BY Techs'!AP17</f>
        <v>IND Non-metallic minerals technology: Other services using Gas - Existing</v>
      </c>
      <c r="C285" s="9" t="s">
        <v>790</v>
      </c>
      <c r="E285" s="225">
        <f>SUM(E264:E268)</f>
        <v>0</v>
      </c>
      <c r="F285" s="225">
        <f t="shared" ref="F285:AF285" si="363">SUM(F264:F268)</f>
        <v>0</v>
      </c>
      <c r="G285" s="225">
        <f t="shared" si="363"/>
        <v>0</v>
      </c>
      <c r="H285" s="225">
        <f t="shared" si="363"/>
        <v>0</v>
      </c>
      <c r="I285" s="225">
        <f t="shared" si="363"/>
        <v>1119.92398889581</v>
      </c>
      <c r="J285" s="225">
        <f t="shared" si="363"/>
        <v>374.43721584257753</v>
      </c>
      <c r="K285" s="225">
        <f t="shared" si="363"/>
        <v>424.42593827823322</v>
      </c>
      <c r="L285" s="225">
        <f t="shared" si="363"/>
        <v>0</v>
      </c>
      <c r="M285" s="225">
        <f t="shared" si="363"/>
        <v>464.76900531046749</v>
      </c>
      <c r="N285" s="225">
        <f t="shared" si="363"/>
        <v>411.18930194246099</v>
      </c>
      <c r="O285" s="225">
        <f t="shared" si="363"/>
        <v>5.029735533828549</v>
      </c>
      <c r="P285" s="225">
        <f t="shared" si="363"/>
        <v>0</v>
      </c>
      <c r="Q285" s="225">
        <f t="shared" si="363"/>
        <v>504.85338120379987</v>
      </c>
      <c r="R285" s="225">
        <f t="shared" si="363"/>
        <v>860.27245006604289</v>
      </c>
      <c r="S285" s="225">
        <f t="shared" si="363"/>
        <v>1749.7169116927125</v>
      </c>
      <c r="T285" s="225">
        <f t="shared" si="363"/>
        <v>4381.5421161195518</v>
      </c>
      <c r="U285" s="225">
        <f t="shared" si="363"/>
        <v>3125.0608444776235</v>
      </c>
      <c r="V285" s="225">
        <f t="shared" si="363"/>
        <v>0</v>
      </c>
      <c r="W285" s="225">
        <f t="shared" si="363"/>
        <v>0</v>
      </c>
      <c r="X285" s="225">
        <f t="shared" si="363"/>
        <v>539.12769137618943</v>
      </c>
      <c r="Y285" s="225">
        <f t="shared" si="363"/>
        <v>0</v>
      </c>
      <c r="Z285" s="225">
        <f t="shared" si="363"/>
        <v>513.3271474050091</v>
      </c>
      <c r="AA285" s="225">
        <f t="shared" si="363"/>
        <v>0</v>
      </c>
      <c r="AB285" s="225">
        <f t="shared" si="363"/>
        <v>452.6775228714572</v>
      </c>
      <c r="AC285" s="225">
        <f t="shared" si="363"/>
        <v>0</v>
      </c>
      <c r="AD285" s="225">
        <f t="shared" si="363"/>
        <v>7439.415882138991</v>
      </c>
      <c r="AE285" s="225">
        <f t="shared" si="363"/>
        <v>0</v>
      </c>
      <c r="AF285" s="225">
        <f t="shared" si="363"/>
        <v>6753.6485858409778</v>
      </c>
    </row>
    <row r="286" spans="1:32" x14ac:dyDescent="0.25">
      <c r="A286" t="str">
        <f>'INM_BY Techs'!AO18</f>
        <v>I-NM-HTH_HET00</v>
      </c>
      <c r="B286" t="str">
        <f>'INM_BY Techs'!AP18</f>
        <v>IND Non-metallic minerals technology: High temperature heat using Heat - Existing</v>
      </c>
      <c r="C286" s="9" t="s">
        <v>790</v>
      </c>
      <c r="E286" s="225">
        <f>SUM(E269)</f>
        <v>0</v>
      </c>
      <c r="F286" s="225">
        <f t="shared" ref="F286:AF288" si="364">SUM(F269)</f>
        <v>0</v>
      </c>
      <c r="G286" s="225">
        <f t="shared" si="364"/>
        <v>0</v>
      </c>
      <c r="H286" s="225">
        <f t="shared" si="364"/>
        <v>0</v>
      </c>
      <c r="I286" s="225">
        <f t="shared" si="364"/>
        <v>0</v>
      </c>
      <c r="J286" s="225">
        <f t="shared" si="364"/>
        <v>431.77260073024559</v>
      </c>
      <c r="K286" s="225">
        <f t="shared" si="364"/>
        <v>0</v>
      </c>
      <c r="L286" s="225">
        <f t="shared" si="364"/>
        <v>0</v>
      </c>
      <c r="M286" s="225">
        <f t="shared" si="364"/>
        <v>0</v>
      </c>
      <c r="N286" s="225">
        <f t="shared" si="364"/>
        <v>0</v>
      </c>
      <c r="O286" s="225">
        <f t="shared" si="364"/>
        <v>0</v>
      </c>
      <c r="P286" s="225">
        <f t="shared" si="364"/>
        <v>0</v>
      </c>
      <c r="Q286" s="225">
        <f t="shared" si="364"/>
        <v>2529.3534846520502</v>
      </c>
      <c r="R286" s="225">
        <f t="shared" si="364"/>
        <v>19.294027475549068</v>
      </c>
      <c r="S286" s="225">
        <f t="shared" si="364"/>
        <v>1086.6175032738179</v>
      </c>
      <c r="T286" s="225">
        <f t="shared" si="364"/>
        <v>4212.9061372048109</v>
      </c>
      <c r="U286" s="225">
        <f t="shared" si="364"/>
        <v>1250.7016045089645</v>
      </c>
      <c r="V286" s="225">
        <f t="shared" si="364"/>
        <v>0</v>
      </c>
      <c r="W286" s="225">
        <f t="shared" si="364"/>
        <v>0</v>
      </c>
      <c r="X286" s="225">
        <f t="shared" si="364"/>
        <v>0</v>
      </c>
      <c r="Y286" s="225">
        <f t="shared" si="364"/>
        <v>0</v>
      </c>
      <c r="Z286" s="225">
        <f t="shared" si="364"/>
        <v>0</v>
      </c>
      <c r="AA286" s="225">
        <f t="shared" si="364"/>
        <v>0</v>
      </c>
      <c r="AB286" s="225">
        <f t="shared" si="364"/>
        <v>0</v>
      </c>
      <c r="AC286" s="225">
        <f t="shared" si="364"/>
        <v>0</v>
      </c>
      <c r="AD286" s="225">
        <f t="shared" si="364"/>
        <v>64405.213356724031</v>
      </c>
      <c r="AE286" s="225">
        <f t="shared" si="364"/>
        <v>0</v>
      </c>
      <c r="AF286" s="225">
        <f t="shared" si="364"/>
        <v>83.941534955310175</v>
      </c>
    </row>
    <row r="287" spans="1:32" x14ac:dyDescent="0.25">
      <c r="A287" t="str">
        <f>'INM_BY Techs'!AO19</f>
        <v>I-NM-HTH_OIL00</v>
      </c>
      <c r="B287" t="str">
        <f>'INM_BY Techs'!AP19</f>
        <v>IND Non-metallic minerals technology: High temperature heat using Liquid - Existing</v>
      </c>
      <c r="C287" s="9" t="s">
        <v>790</v>
      </c>
      <c r="E287" s="225">
        <f t="shared" ref="E287:T288" si="365">SUM(E270)</f>
        <v>0</v>
      </c>
      <c r="F287" s="225">
        <f t="shared" si="365"/>
        <v>0</v>
      </c>
      <c r="G287" s="225">
        <f t="shared" si="365"/>
        <v>0</v>
      </c>
      <c r="H287" s="225">
        <f t="shared" si="365"/>
        <v>0</v>
      </c>
      <c r="I287" s="225">
        <f t="shared" si="365"/>
        <v>296.78959031842476</v>
      </c>
      <c r="J287" s="225">
        <f t="shared" si="365"/>
        <v>97.439243092293012</v>
      </c>
      <c r="K287" s="225">
        <f t="shared" si="365"/>
        <v>668.62129257904849</v>
      </c>
      <c r="L287" s="225">
        <f t="shared" si="365"/>
        <v>473.6516784497606</v>
      </c>
      <c r="M287" s="225">
        <f t="shared" si="365"/>
        <v>4565.7214234698777</v>
      </c>
      <c r="N287" s="225">
        <f t="shared" si="365"/>
        <v>1104.000034010716</v>
      </c>
      <c r="O287" s="225">
        <f t="shared" si="365"/>
        <v>506.09628018347905</v>
      </c>
      <c r="P287" s="225">
        <f t="shared" si="365"/>
        <v>0</v>
      </c>
      <c r="Q287" s="225">
        <f t="shared" si="365"/>
        <v>1125.671464686488</v>
      </c>
      <c r="R287" s="225">
        <f t="shared" si="365"/>
        <v>666.43714681377105</v>
      </c>
      <c r="S287" s="225">
        <f t="shared" si="365"/>
        <v>2329.4362726432469</v>
      </c>
      <c r="T287" s="225">
        <f t="shared" si="365"/>
        <v>11674.727489646961</v>
      </c>
      <c r="U287" s="225">
        <f t="shared" si="364"/>
        <v>3576.7942056043062</v>
      </c>
      <c r="V287" s="225">
        <f t="shared" si="364"/>
        <v>0</v>
      </c>
      <c r="W287" s="225">
        <f t="shared" si="364"/>
        <v>0</v>
      </c>
      <c r="X287" s="225">
        <f t="shared" si="364"/>
        <v>4377.9219088650088</v>
      </c>
      <c r="Y287" s="225">
        <f t="shared" si="364"/>
        <v>0</v>
      </c>
      <c r="Z287" s="225">
        <f t="shared" si="364"/>
        <v>5012.9165464395555</v>
      </c>
      <c r="AA287" s="225">
        <f t="shared" si="364"/>
        <v>0</v>
      </c>
      <c r="AB287" s="225">
        <f t="shared" si="364"/>
        <v>5777.0177503770301</v>
      </c>
      <c r="AC287" s="225">
        <f t="shared" si="364"/>
        <v>0</v>
      </c>
      <c r="AD287" s="225">
        <f t="shared" si="364"/>
        <v>2324.4627188666391</v>
      </c>
      <c r="AE287" s="225">
        <f t="shared" si="364"/>
        <v>0</v>
      </c>
      <c r="AF287" s="225">
        <f t="shared" si="364"/>
        <v>3829.2776168197111</v>
      </c>
    </row>
    <row r="288" spans="1:32" x14ac:dyDescent="0.25">
      <c r="A288" t="str">
        <f>'INM_BY Techs'!AO20</f>
        <v>I-NM-LTH_OIL00</v>
      </c>
      <c r="B288" t="str">
        <f>'INM_BY Techs'!AP20</f>
        <v>IND Non-metallic minerals technology: Low temperature heat using Liquid - Existing</v>
      </c>
      <c r="C288" s="9" t="s">
        <v>790</v>
      </c>
      <c r="E288" s="225">
        <f t="shared" si="365"/>
        <v>0</v>
      </c>
      <c r="F288" s="225">
        <f t="shared" si="364"/>
        <v>0</v>
      </c>
      <c r="G288" s="225">
        <f t="shared" si="364"/>
        <v>0</v>
      </c>
      <c r="H288" s="225">
        <f t="shared" si="364"/>
        <v>0</v>
      </c>
      <c r="I288" s="225">
        <f t="shared" si="364"/>
        <v>398.54602128474181</v>
      </c>
      <c r="J288" s="225">
        <f t="shared" si="364"/>
        <v>130.8469835810792</v>
      </c>
      <c r="K288" s="225">
        <f t="shared" si="364"/>
        <v>897.86287860615084</v>
      </c>
      <c r="L288" s="225">
        <f t="shared" si="364"/>
        <v>636.04653963253566</v>
      </c>
      <c r="M288" s="225">
        <f t="shared" si="364"/>
        <v>6131.1116258024076</v>
      </c>
      <c r="N288" s="225">
        <f t="shared" si="364"/>
        <v>1482.5143313858187</v>
      </c>
      <c r="O288" s="225">
        <f t="shared" si="364"/>
        <v>679.61500481781468</v>
      </c>
      <c r="P288" s="225">
        <f t="shared" si="364"/>
        <v>0</v>
      </c>
      <c r="Q288" s="225">
        <f t="shared" si="364"/>
        <v>1511.6159668647124</v>
      </c>
      <c r="R288" s="225">
        <f t="shared" si="364"/>
        <v>894.92988286420677</v>
      </c>
      <c r="S288" s="225">
        <f t="shared" si="364"/>
        <v>3128.100137549503</v>
      </c>
      <c r="T288" s="225">
        <f t="shared" si="364"/>
        <v>15677.491200383063</v>
      </c>
      <c r="U288" s="225">
        <f t="shared" si="364"/>
        <v>4803.1236475257829</v>
      </c>
      <c r="V288" s="225">
        <f t="shared" si="364"/>
        <v>0</v>
      </c>
      <c r="W288" s="225">
        <f t="shared" si="364"/>
        <v>0</v>
      </c>
      <c r="X288" s="225">
        <f t="shared" si="364"/>
        <v>5878.9237061901549</v>
      </c>
      <c r="Y288" s="225">
        <f t="shared" si="364"/>
        <v>0</v>
      </c>
      <c r="Z288" s="225">
        <f t="shared" si="364"/>
        <v>6731.6307909331172</v>
      </c>
      <c r="AA288" s="225">
        <f t="shared" si="364"/>
        <v>0</v>
      </c>
      <c r="AB288" s="225">
        <f t="shared" si="364"/>
        <v>7757.7095505062971</v>
      </c>
      <c r="AC288" s="225">
        <f t="shared" si="364"/>
        <v>0</v>
      </c>
      <c r="AD288" s="225">
        <f t="shared" si="364"/>
        <v>3121.4213653352012</v>
      </c>
      <c r="AE288" s="225">
        <f t="shared" si="364"/>
        <v>0</v>
      </c>
      <c r="AF288" s="225">
        <f t="shared" si="364"/>
        <v>5142.1727997293265</v>
      </c>
    </row>
    <row r="289" spans="1:32" x14ac:dyDescent="0.25">
      <c r="A289" t="str">
        <f>'INM_BY Techs'!AO21</f>
        <v>I-NM-MDR_OIL00</v>
      </c>
      <c r="B289" t="str">
        <f>'INM_BY Techs'!AP21</f>
        <v>IND Non-metallic minerals technology: Machine drive using Liquid - Existing</v>
      </c>
      <c r="C289" s="9" t="s">
        <v>790</v>
      </c>
      <c r="E289" s="225">
        <f>SUM(E272)</f>
        <v>0</v>
      </c>
      <c r="F289" s="225">
        <f t="shared" ref="F289:AF290" si="366">SUM(F272)</f>
        <v>0</v>
      </c>
      <c r="G289" s="225">
        <f t="shared" si="366"/>
        <v>0</v>
      </c>
      <c r="H289" s="225">
        <f t="shared" si="366"/>
        <v>0</v>
      </c>
      <c r="I289" s="225">
        <f t="shared" si="366"/>
        <v>67.837620644211384</v>
      </c>
      <c r="J289" s="225">
        <f t="shared" si="366"/>
        <v>22.271826992524122</v>
      </c>
      <c r="K289" s="225">
        <f t="shared" si="366"/>
        <v>152.82772401806824</v>
      </c>
      <c r="L289" s="225">
        <f t="shared" si="366"/>
        <v>108.26324078851673</v>
      </c>
      <c r="M289" s="225">
        <f t="shared" si="366"/>
        <v>1043.5934682216864</v>
      </c>
      <c r="N289" s="225">
        <f t="shared" si="366"/>
        <v>252.34286491673512</v>
      </c>
      <c r="O289" s="225">
        <f t="shared" si="366"/>
        <v>115.67914975622378</v>
      </c>
      <c r="P289" s="225">
        <f t="shared" si="366"/>
        <v>0</v>
      </c>
      <c r="Q289" s="225">
        <f t="shared" si="366"/>
        <v>257.296334785483</v>
      </c>
      <c r="R289" s="225">
        <f t="shared" si="366"/>
        <v>152.32849070029053</v>
      </c>
      <c r="S289" s="225">
        <f t="shared" si="366"/>
        <v>532.44257660417077</v>
      </c>
      <c r="T289" s="225">
        <f t="shared" si="366"/>
        <v>2668.5091404907344</v>
      </c>
      <c r="U289" s="225">
        <f t="shared" si="366"/>
        <v>817.55296128098439</v>
      </c>
      <c r="V289" s="225">
        <f t="shared" si="366"/>
        <v>0</v>
      </c>
      <c r="W289" s="225">
        <f t="shared" si="366"/>
        <v>0</v>
      </c>
      <c r="X289" s="225">
        <f t="shared" si="366"/>
        <v>1000.6678648834306</v>
      </c>
      <c r="Y289" s="225">
        <f t="shared" si="366"/>
        <v>0</v>
      </c>
      <c r="Z289" s="225">
        <f t="shared" si="366"/>
        <v>1145.8094963290412</v>
      </c>
      <c r="AA289" s="225">
        <f t="shared" si="366"/>
        <v>0</v>
      </c>
      <c r="AB289" s="225">
        <f t="shared" si="366"/>
        <v>1320.4612000861785</v>
      </c>
      <c r="AC289" s="225">
        <f t="shared" si="366"/>
        <v>0</v>
      </c>
      <c r="AD289" s="225">
        <f t="shared" si="366"/>
        <v>531.30576431237466</v>
      </c>
      <c r="AE289" s="225">
        <f t="shared" si="366"/>
        <v>0</v>
      </c>
      <c r="AF289" s="225">
        <f t="shared" si="366"/>
        <v>875.26345527307683</v>
      </c>
    </row>
    <row r="290" spans="1:32" x14ac:dyDescent="0.25">
      <c r="A290" t="str">
        <f>'INM_BY Techs'!AO22</f>
        <v>I-NM-OTS_OIL00</v>
      </c>
      <c r="B290" t="str">
        <f>'INM_BY Techs'!AP22</f>
        <v>IND Non-metallic minerals technology: Other services using Liquid - Existing</v>
      </c>
      <c r="C290" s="9" t="s">
        <v>790</v>
      </c>
      <c r="E290" s="225">
        <f t="shared" ref="E290:T290" si="367">SUM(E273)</f>
        <v>0</v>
      </c>
      <c r="F290" s="225">
        <f t="shared" si="367"/>
        <v>0</v>
      </c>
      <c r="G290" s="225">
        <f t="shared" si="367"/>
        <v>0</v>
      </c>
      <c r="H290" s="225">
        <f t="shared" si="367"/>
        <v>0</v>
      </c>
      <c r="I290" s="225">
        <f t="shared" si="367"/>
        <v>84.797025805264298</v>
      </c>
      <c r="J290" s="225">
        <f t="shared" si="367"/>
        <v>27.839783740655175</v>
      </c>
      <c r="K290" s="225">
        <f t="shared" si="367"/>
        <v>191.03465502258547</v>
      </c>
      <c r="L290" s="225">
        <f t="shared" si="367"/>
        <v>135.32905098564601</v>
      </c>
      <c r="M290" s="225">
        <f t="shared" si="367"/>
        <v>1304.4918352771092</v>
      </c>
      <c r="N290" s="225">
        <f t="shared" si="367"/>
        <v>315.42858114591917</v>
      </c>
      <c r="O290" s="225">
        <f t="shared" si="367"/>
        <v>144.59893719527986</v>
      </c>
      <c r="P290" s="225">
        <f t="shared" si="367"/>
        <v>0</v>
      </c>
      <c r="Q290" s="225">
        <f t="shared" si="367"/>
        <v>321.62041848185402</v>
      </c>
      <c r="R290" s="225">
        <f t="shared" si="367"/>
        <v>190.41061337536337</v>
      </c>
      <c r="S290" s="225">
        <f t="shared" si="367"/>
        <v>665.55322075521406</v>
      </c>
      <c r="T290" s="225">
        <f t="shared" si="367"/>
        <v>3335.6364256134207</v>
      </c>
      <c r="U290" s="225">
        <f t="shared" si="366"/>
        <v>1021.9412016012313</v>
      </c>
      <c r="V290" s="225">
        <f t="shared" si="366"/>
        <v>0</v>
      </c>
      <c r="W290" s="225">
        <f t="shared" si="366"/>
        <v>0</v>
      </c>
      <c r="X290" s="225">
        <f t="shared" si="366"/>
        <v>1250.8348311042894</v>
      </c>
      <c r="Y290" s="225">
        <f t="shared" si="366"/>
        <v>0</v>
      </c>
      <c r="Z290" s="225">
        <f t="shared" si="366"/>
        <v>1432.2618704113029</v>
      </c>
      <c r="AA290" s="225">
        <f t="shared" si="366"/>
        <v>0</v>
      </c>
      <c r="AB290" s="225">
        <f t="shared" si="366"/>
        <v>1650.5765001077243</v>
      </c>
      <c r="AC290" s="225">
        <f t="shared" si="366"/>
        <v>0</v>
      </c>
      <c r="AD290" s="225">
        <f t="shared" si="366"/>
        <v>664.13220539046893</v>
      </c>
      <c r="AE290" s="225">
        <f t="shared" si="366"/>
        <v>0</v>
      </c>
      <c r="AF290" s="225">
        <f t="shared" si="366"/>
        <v>1094.0793190913471</v>
      </c>
    </row>
    <row r="291" spans="1:32" x14ac:dyDescent="0.25">
      <c r="A291" t="str">
        <f>'INM_BY Techs'!AO23</f>
        <v>I-NM-LTH_COA00</v>
      </c>
      <c r="B291" t="str">
        <f>'INM_BY Techs'!AP23</f>
        <v>IND Non-metallic minerals technology: Low temperature heat using Solid - Existing</v>
      </c>
      <c r="C291" s="9" t="s">
        <v>790</v>
      </c>
      <c r="E291" s="225">
        <f>SUM(E274:E275)</f>
        <v>0</v>
      </c>
      <c r="F291" s="225">
        <f t="shared" ref="F291:AF291" si="368">SUM(F274:F275)</f>
        <v>0</v>
      </c>
      <c r="G291" s="225">
        <f t="shared" si="368"/>
        <v>0</v>
      </c>
      <c r="H291" s="225">
        <f t="shared" si="368"/>
        <v>0</v>
      </c>
      <c r="I291" s="225">
        <f t="shared" si="368"/>
        <v>6237.5585514138011</v>
      </c>
      <c r="J291" s="225">
        <f t="shared" si="368"/>
        <v>4493.8214993649863</v>
      </c>
      <c r="K291" s="225">
        <f t="shared" si="368"/>
        <v>51753.552160048253</v>
      </c>
      <c r="L291" s="225">
        <f t="shared" si="368"/>
        <v>9717.9919387673381</v>
      </c>
      <c r="M291" s="225">
        <f t="shared" si="368"/>
        <v>543.03807890130759</v>
      </c>
      <c r="N291" s="225">
        <f t="shared" si="368"/>
        <v>1549.812650752084</v>
      </c>
      <c r="O291" s="225">
        <f t="shared" si="368"/>
        <v>15.732822048942403</v>
      </c>
      <c r="P291" s="225">
        <f t="shared" si="368"/>
        <v>0</v>
      </c>
      <c r="Q291" s="225">
        <f t="shared" si="368"/>
        <v>11201.435847108482</v>
      </c>
      <c r="R291" s="225">
        <f t="shared" si="368"/>
        <v>4765.4104083775583</v>
      </c>
      <c r="S291" s="225">
        <f t="shared" si="368"/>
        <v>9383.1800862080891</v>
      </c>
      <c r="T291" s="225">
        <f t="shared" si="368"/>
        <v>5039.7509714414355</v>
      </c>
      <c r="U291" s="225">
        <f t="shared" si="368"/>
        <v>20095.707025806489</v>
      </c>
      <c r="V291" s="225">
        <f t="shared" si="368"/>
        <v>0</v>
      </c>
      <c r="W291" s="225">
        <f t="shared" si="368"/>
        <v>0</v>
      </c>
      <c r="X291" s="225">
        <f t="shared" si="368"/>
        <v>22258.556828554105</v>
      </c>
      <c r="Y291" s="225">
        <f t="shared" si="368"/>
        <v>0</v>
      </c>
      <c r="Z291" s="225">
        <f t="shared" si="368"/>
        <v>7974.8399530766419</v>
      </c>
      <c r="AA291" s="225">
        <f t="shared" si="368"/>
        <v>0</v>
      </c>
      <c r="AB291" s="225">
        <f t="shared" si="368"/>
        <v>525.93136885036404</v>
      </c>
      <c r="AC291" s="225">
        <f t="shared" si="368"/>
        <v>0</v>
      </c>
      <c r="AD291" s="225">
        <f t="shared" si="368"/>
        <v>9393.3747495326097</v>
      </c>
      <c r="AE291" s="225">
        <f t="shared" si="368"/>
        <v>0</v>
      </c>
      <c r="AF291" s="225">
        <f t="shared" si="368"/>
        <v>43562.163772566237</v>
      </c>
    </row>
    <row r="292" spans="1:32" x14ac:dyDescent="0.25">
      <c r="A292" t="str">
        <f>'INM_BY Techs'!AO24</f>
        <v>I-NM-HTH_BIO00</v>
      </c>
      <c r="B292" t="str">
        <f>'INM_BY Techs'!AP24</f>
        <v>IND Non-metallic minerals technology: High temperature heat using Biomass - Existing</v>
      </c>
      <c r="C292" s="9" t="s">
        <v>790</v>
      </c>
      <c r="E292" s="225">
        <f>SUM(E276:E277)</f>
        <v>0</v>
      </c>
      <c r="F292" s="225">
        <f t="shared" ref="F292:AF292" si="369">SUM(F276:F277)</f>
        <v>0</v>
      </c>
      <c r="G292" s="225">
        <f t="shared" si="369"/>
        <v>0</v>
      </c>
      <c r="H292" s="225">
        <f t="shared" si="369"/>
        <v>0</v>
      </c>
      <c r="I292" s="225">
        <f t="shared" si="369"/>
        <v>865.08368404765008</v>
      </c>
      <c r="J292" s="225">
        <f t="shared" si="369"/>
        <v>7.8754692335658127E-2</v>
      </c>
      <c r="K292" s="225">
        <f t="shared" si="369"/>
        <v>2801.8416069979176</v>
      </c>
      <c r="L292" s="225">
        <f t="shared" si="369"/>
        <v>0</v>
      </c>
      <c r="M292" s="225">
        <f t="shared" si="369"/>
        <v>746.78648993602224</v>
      </c>
      <c r="N292" s="225">
        <f t="shared" si="369"/>
        <v>972.05854826860343</v>
      </c>
      <c r="O292" s="225">
        <f t="shared" si="369"/>
        <v>0</v>
      </c>
      <c r="P292" s="225">
        <f t="shared" si="369"/>
        <v>0</v>
      </c>
      <c r="Q292" s="225">
        <f t="shared" si="369"/>
        <v>63.361582241788732</v>
      </c>
      <c r="R292" s="225">
        <f t="shared" si="369"/>
        <v>4316.9314586125738</v>
      </c>
      <c r="S292" s="225">
        <f t="shared" si="369"/>
        <v>15157.719307073075</v>
      </c>
      <c r="T292" s="225">
        <f t="shared" si="369"/>
        <v>14119.421786674782</v>
      </c>
      <c r="U292" s="225">
        <f t="shared" si="369"/>
        <v>19685.807273536288</v>
      </c>
      <c r="V292" s="225">
        <f t="shared" si="369"/>
        <v>0</v>
      </c>
      <c r="W292" s="225">
        <f t="shared" si="369"/>
        <v>0</v>
      </c>
      <c r="X292" s="225">
        <f t="shared" si="369"/>
        <v>5032.0941481207001</v>
      </c>
      <c r="Y292" s="225">
        <f t="shared" si="369"/>
        <v>0</v>
      </c>
      <c r="Z292" s="225">
        <f t="shared" si="369"/>
        <v>2277.0025810654879</v>
      </c>
      <c r="AA292" s="225">
        <f t="shared" si="369"/>
        <v>0</v>
      </c>
      <c r="AB292" s="225">
        <f t="shared" si="369"/>
        <v>0</v>
      </c>
      <c r="AC292" s="225">
        <f t="shared" si="369"/>
        <v>0</v>
      </c>
      <c r="AD292" s="225">
        <f t="shared" si="369"/>
        <v>900.29652459698877</v>
      </c>
      <c r="AE292" s="225">
        <f t="shared" si="369"/>
        <v>0</v>
      </c>
      <c r="AF292" s="225">
        <f t="shared" si="369"/>
        <v>4745.5698916077235</v>
      </c>
    </row>
    <row r="295" spans="1:32" x14ac:dyDescent="0.25">
      <c r="C295" s="9" t="s">
        <v>790</v>
      </c>
      <c r="D295" t="s">
        <v>104</v>
      </c>
      <c r="E295" s="225">
        <f>SUMIF($D$251:$D$277,$D295,E$251:E$277)</f>
        <v>0</v>
      </c>
      <c r="F295" s="225">
        <f t="shared" ref="F295:AF298" si="370">SUMIF($D$251:$D$277,$D295,F$251:F$277)</f>
        <v>0</v>
      </c>
      <c r="G295" s="225">
        <f t="shared" si="370"/>
        <v>0</v>
      </c>
      <c r="H295" s="225">
        <f t="shared" si="370"/>
        <v>0</v>
      </c>
      <c r="I295" s="225">
        <f>SUMIF($D$251:$D$277,$D295,I$251:I$277)</f>
        <v>2281.7972632618862</v>
      </c>
      <c r="J295" s="225">
        <f t="shared" si="370"/>
        <v>903.72781435745242</v>
      </c>
      <c r="K295" s="225">
        <f t="shared" si="370"/>
        <v>3894.8888378552001</v>
      </c>
      <c r="L295" s="225">
        <f t="shared" si="370"/>
        <v>473.6516784497606</v>
      </c>
      <c r="M295" s="225">
        <f t="shared" si="370"/>
        <v>5777.2769187163676</v>
      </c>
      <c r="N295" s="225">
        <f t="shared" si="370"/>
        <v>2487.2478842217811</v>
      </c>
      <c r="O295" s="225">
        <f t="shared" si="370"/>
        <v>511.12601571730761</v>
      </c>
      <c r="P295" s="225">
        <f t="shared" si="370"/>
        <v>0</v>
      </c>
      <c r="Q295" s="225">
        <f t="shared" si="370"/>
        <v>4223.2399127841272</v>
      </c>
      <c r="R295" s="225">
        <f t="shared" si="370"/>
        <v>5862.9350829679388</v>
      </c>
      <c r="S295" s="225">
        <f t="shared" si="370"/>
        <v>20323.489994682855</v>
      </c>
      <c r="T295" s="225">
        <f t="shared" si="370"/>
        <v>34388.597529646111</v>
      </c>
      <c r="U295" s="225">
        <f t="shared" si="370"/>
        <v>27638.363928127186</v>
      </c>
      <c r="V295" s="225">
        <f t="shared" si="370"/>
        <v>0</v>
      </c>
      <c r="W295" s="225">
        <f t="shared" si="370"/>
        <v>0</v>
      </c>
      <c r="X295" s="225">
        <f t="shared" si="370"/>
        <v>9949.1437483618993</v>
      </c>
      <c r="Y295" s="225">
        <f t="shared" si="370"/>
        <v>0</v>
      </c>
      <c r="Z295" s="225">
        <f t="shared" si="370"/>
        <v>7803.2462749100532</v>
      </c>
      <c r="AA295" s="225">
        <f t="shared" si="370"/>
        <v>0</v>
      </c>
      <c r="AB295" s="225">
        <f t="shared" si="370"/>
        <v>6229.6952732484879</v>
      </c>
      <c r="AC295" s="225">
        <f t="shared" si="370"/>
        <v>0</v>
      </c>
      <c r="AD295" s="225">
        <f t="shared" si="370"/>
        <v>75069.388482326671</v>
      </c>
      <c r="AE295" s="225">
        <f t="shared" si="370"/>
        <v>0</v>
      </c>
      <c r="AF295" s="225">
        <f t="shared" si="370"/>
        <v>15412.437629223732</v>
      </c>
    </row>
    <row r="296" spans="1:32" x14ac:dyDescent="0.25">
      <c r="C296" s="9" t="s">
        <v>790</v>
      </c>
      <c r="D296" t="s">
        <v>106</v>
      </c>
      <c r="E296" s="225">
        <f t="shared" ref="E296:T298" si="371">SUMIF($D$251:$D$277,$D296,E$251:E$277)</f>
        <v>0</v>
      </c>
      <c r="F296" s="225">
        <f t="shared" si="371"/>
        <v>0</v>
      </c>
      <c r="G296" s="225">
        <f t="shared" si="371"/>
        <v>0</v>
      </c>
      <c r="H296" s="225">
        <f t="shared" si="371"/>
        <v>0</v>
      </c>
      <c r="I296" s="225">
        <f t="shared" si="371"/>
        <v>28089.734627495134</v>
      </c>
      <c r="J296" s="225">
        <f t="shared" si="371"/>
        <v>11364.538368112471</v>
      </c>
      <c r="K296" s="225">
        <f t="shared" si="371"/>
        <v>60291.081927662613</v>
      </c>
      <c r="L296" s="225">
        <f t="shared" si="371"/>
        <v>10354.038478399874</v>
      </c>
      <c r="M296" s="225">
        <f t="shared" si="371"/>
        <v>15039.99180029214</v>
      </c>
      <c r="N296" s="225">
        <f t="shared" si="371"/>
        <v>10588.963142663943</v>
      </c>
      <c r="O296" s="225">
        <f t="shared" si="371"/>
        <v>820.32626694672831</v>
      </c>
      <c r="P296" s="225">
        <f t="shared" si="371"/>
        <v>0</v>
      </c>
      <c r="Q296" s="225">
        <f t="shared" si="371"/>
        <v>23321.883553746364</v>
      </c>
      <c r="R296" s="225">
        <f t="shared" si="371"/>
        <v>25151.907667089323</v>
      </c>
      <c r="S296" s="225">
        <f t="shared" si="371"/>
        <v>49584.415559327397</v>
      </c>
      <c r="T296" s="225">
        <f t="shared" si="371"/>
        <v>110389.32104589132</v>
      </c>
      <c r="U296" s="225">
        <f t="shared" si="370"/>
        <v>89261.616656806262</v>
      </c>
      <c r="V296" s="225">
        <f t="shared" si="370"/>
        <v>0</v>
      </c>
      <c r="W296" s="225">
        <f t="shared" si="370"/>
        <v>0</v>
      </c>
      <c r="X296" s="225">
        <f t="shared" si="370"/>
        <v>44575.667675525649</v>
      </c>
      <c r="Y296" s="225">
        <f t="shared" si="370"/>
        <v>0</v>
      </c>
      <c r="Z296" s="225">
        <f t="shared" si="370"/>
        <v>26763.672526674676</v>
      </c>
      <c r="AA296" s="225">
        <f t="shared" si="370"/>
        <v>0</v>
      </c>
      <c r="AB296" s="225">
        <f t="shared" si="370"/>
        <v>19776.634780949938</v>
      </c>
      <c r="AC296" s="225">
        <f t="shared" si="370"/>
        <v>0</v>
      </c>
      <c r="AD296" s="225">
        <f t="shared" si="370"/>
        <v>152384.88958020112</v>
      </c>
      <c r="AE296" s="225">
        <f t="shared" si="370"/>
        <v>4291.9425112612225</v>
      </c>
      <c r="AF296" s="225">
        <f t="shared" si="370"/>
        <v>182368.91984351966</v>
      </c>
    </row>
    <row r="297" spans="1:32" x14ac:dyDescent="0.25">
      <c r="C297" s="9" t="s">
        <v>790</v>
      </c>
      <c r="D297" t="s">
        <v>108</v>
      </c>
      <c r="E297" s="225">
        <f t="shared" si="371"/>
        <v>0</v>
      </c>
      <c r="F297" s="225">
        <f t="shared" si="370"/>
        <v>0</v>
      </c>
      <c r="G297" s="225">
        <f t="shared" si="370"/>
        <v>0</v>
      </c>
      <c r="H297" s="225">
        <f t="shared" si="370"/>
        <v>0</v>
      </c>
      <c r="I297" s="225">
        <f t="shared" si="370"/>
        <v>4600.3315119961362</v>
      </c>
      <c r="J297" s="225">
        <f t="shared" si="370"/>
        <v>22.271826992524122</v>
      </c>
      <c r="K297" s="225">
        <f t="shared" si="370"/>
        <v>152.82772401806824</v>
      </c>
      <c r="L297" s="225">
        <f t="shared" si="370"/>
        <v>108.26324078851673</v>
      </c>
      <c r="M297" s="225">
        <f t="shared" si="370"/>
        <v>1043.5934682216864</v>
      </c>
      <c r="N297" s="225">
        <f t="shared" si="370"/>
        <v>795.64340438279362</v>
      </c>
      <c r="O297" s="225">
        <f t="shared" si="370"/>
        <v>236.23035140492402</v>
      </c>
      <c r="P297" s="225">
        <f t="shared" si="370"/>
        <v>0</v>
      </c>
      <c r="Q297" s="225">
        <f t="shared" si="370"/>
        <v>5582.4444081521424</v>
      </c>
      <c r="R297" s="225">
        <f t="shared" si="370"/>
        <v>14175.649952005966</v>
      </c>
      <c r="S297" s="225">
        <f t="shared" si="370"/>
        <v>20056.250814457457</v>
      </c>
      <c r="T297" s="225">
        <f t="shared" si="370"/>
        <v>40483.631884192386</v>
      </c>
      <c r="U297" s="225">
        <f t="shared" si="370"/>
        <v>29208.470701349448</v>
      </c>
      <c r="V297" s="225">
        <f t="shared" si="370"/>
        <v>0</v>
      </c>
      <c r="W297" s="225">
        <f t="shared" si="370"/>
        <v>0</v>
      </c>
      <c r="X297" s="225">
        <f t="shared" si="370"/>
        <v>24569.278300918293</v>
      </c>
      <c r="Y297" s="225">
        <f t="shared" si="370"/>
        <v>0</v>
      </c>
      <c r="Z297" s="225">
        <f t="shared" si="370"/>
        <v>11006.405449140637</v>
      </c>
      <c r="AA297" s="225">
        <f t="shared" si="370"/>
        <v>0</v>
      </c>
      <c r="AB297" s="225">
        <f t="shared" si="370"/>
        <v>13027.255774760812</v>
      </c>
      <c r="AC297" s="225">
        <f t="shared" si="370"/>
        <v>0</v>
      </c>
      <c r="AD297" s="225">
        <f t="shared" si="370"/>
        <v>21393.43231822188</v>
      </c>
      <c r="AE297" s="225">
        <f t="shared" si="370"/>
        <v>15021.798789414279</v>
      </c>
      <c r="AF297" s="225">
        <f t="shared" si="370"/>
        <v>43221.443996575254</v>
      </c>
    </row>
    <row r="298" spans="1:32" x14ac:dyDescent="0.25">
      <c r="C298" s="9" t="s">
        <v>790</v>
      </c>
      <c r="D298" t="s">
        <v>110</v>
      </c>
      <c r="E298" s="225">
        <f t="shared" si="371"/>
        <v>0</v>
      </c>
      <c r="F298" s="225">
        <f t="shared" si="370"/>
        <v>0</v>
      </c>
      <c r="G298" s="225">
        <f t="shared" si="370"/>
        <v>0</v>
      </c>
      <c r="H298" s="225">
        <f t="shared" si="370"/>
        <v>0</v>
      </c>
      <c r="I298" s="225">
        <f t="shared" si="370"/>
        <v>1852.2201420370643</v>
      </c>
      <c r="J298" s="225">
        <f t="shared" si="370"/>
        <v>402.27699958323268</v>
      </c>
      <c r="K298" s="225">
        <f t="shared" si="370"/>
        <v>615.46059330081869</v>
      </c>
      <c r="L298" s="225">
        <f t="shared" si="370"/>
        <v>135.32905098564601</v>
      </c>
      <c r="M298" s="225">
        <f t="shared" si="370"/>
        <v>1769.2608405875767</v>
      </c>
      <c r="N298" s="225">
        <f t="shared" si="370"/>
        <v>804.23224586924573</v>
      </c>
      <c r="O298" s="225">
        <f t="shared" si="370"/>
        <v>166.85027296463704</v>
      </c>
      <c r="P298" s="225">
        <f t="shared" si="370"/>
        <v>0</v>
      </c>
      <c r="Q298" s="225">
        <f t="shared" si="370"/>
        <v>1587.2092387380344</v>
      </c>
      <c r="R298" s="225">
        <f t="shared" si="370"/>
        <v>3054.0147007707901</v>
      </c>
      <c r="S298" s="225">
        <f t="shared" si="370"/>
        <v>5204.385594998399</v>
      </c>
      <c r="T298" s="225">
        <f t="shared" si="370"/>
        <v>13119.338933690356</v>
      </c>
      <c r="U298" s="225">
        <f t="shared" si="370"/>
        <v>8202.8474375172118</v>
      </c>
      <c r="V298" s="225">
        <f t="shared" si="370"/>
        <v>0</v>
      </c>
      <c r="W298" s="225">
        <f t="shared" si="370"/>
        <v>0</v>
      </c>
      <c r="X298" s="225">
        <f t="shared" si="370"/>
        <v>5156.9068704854626</v>
      </c>
      <c r="Y298" s="225">
        <f t="shared" si="370"/>
        <v>0</v>
      </c>
      <c r="Z298" s="225">
        <f t="shared" si="370"/>
        <v>3354.2455825036841</v>
      </c>
      <c r="AA298" s="225">
        <f t="shared" si="370"/>
        <v>0</v>
      </c>
      <c r="AB298" s="225">
        <f t="shared" si="370"/>
        <v>3775.6532479327025</v>
      </c>
      <c r="AC298" s="225">
        <f t="shared" si="370"/>
        <v>0</v>
      </c>
      <c r="AD298" s="225">
        <f t="shared" si="370"/>
        <v>11083.851880945107</v>
      </c>
      <c r="AE298" s="225">
        <f t="shared" si="370"/>
        <v>2145.9712556306131</v>
      </c>
      <c r="AF298" s="225">
        <f t="shared" si="370"/>
        <v>13897.182267975501</v>
      </c>
    </row>
    <row r="300" spans="1:32" x14ac:dyDescent="0.25">
      <c r="D300" t="s">
        <v>104</v>
      </c>
      <c r="E300" s="101" t="str">
        <f>IFERROR(E295/SUM(E$295:E$298),"")</f>
        <v/>
      </c>
      <c r="F300" s="101" t="str">
        <f t="shared" ref="F300:AF303" si="372">IFERROR(F295/SUM(F$295:F$298),"")</f>
        <v/>
      </c>
      <c r="G300" s="101" t="str">
        <f t="shared" si="372"/>
        <v/>
      </c>
      <c r="H300" s="101" t="str">
        <f t="shared" si="372"/>
        <v/>
      </c>
      <c r="I300" s="101">
        <f t="shared" si="372"/>
        <v>6.1964807908565296E-2</v>
      </c>
      <c r="J300" s="101">
        <f t="shared" si="372"/>
        <v>7.1199951603596226E-2</v>
      </c>
      <c r="K300" s="101">
        <f t="shared" si="372"/>
        <v>5.9963563480695183E-2</v>
      </c>
      <c r="L300" s="101">
        <f t="shared" si="372"/>
        <v>4.278200656949524E-2</v>
      </c>
      <c r="M300" s="101">
        <f t="shared" si="372"/>
        <v>0.24448780532861644</v>
      </c>
      <c r="N300" s="101">
        <f t="shared" si="372"/>
        <v>0.16947623293179284</v>
      </c>
      <c r="O300" s="101">
        <f t="shared" si="372"/>
        <v>0.2946764593768571</v>
      </c>
      <c r="P300" s="101" t="str">
        <f t="shared" si="372"/>
        <v/>
      </c>
      <c r="Q300" s="101">
        <f t="shared" si="372"/>
        <v>0.12165539473250517</v>
      </c>
      <c r="R300" s="101">
        <f t="shared" si="372"/>
        <v>0.12152544193297189</v>
      </c>
      <c r="S300" s="101">
        <f t="shared" si="372"/>
        <v>0.21355260441506776</v>
      </c>
      <c r="T300" s="101">
        <f t="shared" si="372"/>
        <v>0.17334632199096642</v>
      </c>
      <c r="U300" s="101">
        <f t="shared" si="372"/>
        <v>0.17910784340942362</v>
      </c>
      <c r="V300" s="101" t="str">
        <f t="shared" si="372"/>
        <v/>
      </c>
      <c r="W300" s="101" t="str">
        <f t="shared" si="372"/>
        <v/>
      </c>
      <c r="X300" s="101">
        <f t="shared" si="372"/>
        <v>0.11808933010197704</v>
      </c>
      <c r="Y300" s="101" t="str">
        <f t="shared" si="372"/>
        <v/>
      </c>
      <c r="Z300" s="101">
        <f t="shared" si="372"/>
        <v>0.15948567037986211</v>
      </c>
      <c r="AA300" s="101" t="str">
        <f t="shared" si="372"/>
        <v/>
      </c>
      <c r="AB300" s="101">
        <f t="shared" si="372"/>
        <v>0.1455222145401604</v>
      </c>
      <c r="AC300" s="101" t="str">
        <f t="shared" si="372"/>
        <v/>
      </c>
      <c r="AD300" s="101">
        <f t="shared" si="372"/>
        <v>0.28880443694155178</v>
      </c>
      <c r="AE300" s="101">
        <f t="shared" si="372"/>
        <v>0</v>
      </c>
      <c r="AF300" s="101">
        <f t="shared" si="372"/>
        <v>6.0464647361877233E-2</v>
      </c>
    </row>
    <row r="301" spans="1:32" x14ac:dyDescent="0.25">
      <c r="D301" t="s">
        <v>106</v>
      </c>
      <c r="E301" s="101" t="str">
        <f t="shared" ref="E301:T303" si="373">IFERROR(E296/SUM(E$295:E$298),"")</f>
        <v/>
      </c>
      <c r="F301" s="101" t="str">
        <f t="shared" si="373"/>
        <v/>
      </c>
      <c r="G301" s="101" t="str">
        <f t="shared" si="373"/>
        <v/>
      </c>
      <c r="H301" s="101" t="str">
        <f t="shared" si="373"/>
        <v/>
      </c>
      <c r="I301" s="101">
        <f t="shared" si="373"/>
        <v>0.76280879043001193</v>
      </c>
      <c r="J301" s="101">
        <f t="shared" si="373"/>
        <v>0.89535208383746245</v>
      </c>
      <c r="K301" s="101">
        <f t="shared" si="373"/>
        <v>0.92820829271215144</v>
      </c>
      <c r="L301" s="101">
        <f t="shared" si="373"/>
        <v>0.9352158186233358</v>
      </c>
      <c r="M301" s="101">
        <f t="shared" si="373"/>
        <v>0.63647539128707931</v>
      </c>
      <c r="N301" s="101">
        <f t="shared" si="373"/>
        <v>0.72151135214807005</v>
      </c>
      <c r="O301" s="101">
        <f t="shared" si="373"/>
        <v>0.47293785181029085</v>
      </c>
      <c r="P301" s="101" t="str">
        <f t="shared" si="373"/>
        <v/>
      </c>
      <c r="Q301" s="101">
        <f t="shared" si="373"/>
        <v>0.6718142961871465</v>
      </c>
      <c r="R301" s="101">
        <f t="shared" si="373"/>
        <v>0.52134240810202215</v>
      </c>
      <c r="S301" s="101">
        <f t="shared" si="373"/>
        <v>0.52101686687983695</v>
      </c>
      <c r="T301" s="101">
        <f t="shared" si="373"/>
        <v>0.55645138694268137</v>
      </c>
      <c r="U301" s="101">
        <f t="shared" si="372"/>
        <v>0.57845159359700882</v>
      </c>
      <c r="V301" s="101" t="str">
        <f t="shared" si="372"/>
        <v/>
      </c>
      <c r="W301" s="101" t="str">
        <f t="shared" si="372"/>
        <v/>
      </c>
      <c r="X301" s="101">
        <f t="shared" si="372"/>
        <v>0.52908178510516202</v>
      </c>
      <c r="Y301" s="101" t="str">
        <f t="shared" si="372"/>
        <v/>
      </c>
      <c r="Z301" s="101">
        <f t="shared" si="372"/>
        <v>0.54700596448790284</v>
      </c>
      <c r="AA301" s="101" t="str">
        <f t="shared" si="372"/>
        <v/>
      </c>
      <c r="AB301" s="101">
        <f t="shared" si="372"/>
        <v>0.46197118209524995</v>
      </c>
      <c r="AC301" s="101" t="str">
        <f t="shared" si="372"/>
        <v/>
      </c>
      <c r="AD301" s="101">
        <f t="shared" si="372"/>
        <v>0.5862500431047406</v>
      </c>
      <c r="AE301" s="101">
        <f t="shared" si="372"/>
        <v>0.2</v>
      </c>
      <c r="AF301" s="101">
        <f t="shared" si="372"/>
        <v>0.71545285005382075</v>
      </c>
    </row>
    <row r="302" spans="1:32" x14ac:dyDescent="0.25">
      <c r="D302" t="s">
        <v>108</v>
      </c>
      <c r="E302" s="101" t="str">
        <f t="shared" si="373"/>
        <v/>
      </c>
      <c r="F302" s="101" t="str">
        <f t="shared" si="372"/>
        <v/>
      </c>
      <c r="G302" s="101" t="str">
        <f t="shared" si="372"/>
        <v/>
      </c>
      <c r="H302" s="101" t="str">
        <f t="shared" si="372"/>
        <v/>
      </c>
      <c r="I302" s="101">
        <f t="shared" si="372"/>
        <v>0.12492725056960663</v>
      </c>
      <c r="J302" s="101">
        <f t="shared" si="372"/>
        <v>1.754679870198364E-3</v>
      </c>
      <c r="K302" s="101">
        <f t="shared" si="372"/>
        <v>2.35285147080449E-3</v>
      </c>
      <c r="L302" s="101">
        <f t="shared" si="372"/>
        <v>9.7787443587417696E-3</v>
      </c>
      <c r="M302" s="101">
        <f t="shared" si="372"/>
        <v>4.416369169949521E-2</v>
      </c>
      <c r="N302" s="101">
        <f t="shared" si="372"/>
        <v>5.4213593983622195E-2</v>
      </c>
      <c r="O302" s="101">
        <f t="shared" si="372"/>
        <v>0.13619248758383365</v>
      </c>
      <c r="P302" s="101" t="str">
        <f t="shared" si="372"/>
        <v/>
      </c>
      <c r="Q302" s="101">
        <f t="shared" si="372"/>
        <v>0.1608088794553712</v>
      </c>
      <c r="R302" s="101">
        <f t="shared" si="372"/>
        <v>0.2938293023419542</v>
      </c>
      <c r="S302" s="101">
        <f t="shared" si="372"/>
        <v>0.21074454226856576</v>
      </c>
      <c r="T302" s="101">
        <f t="shared" si="372"/>
        <v>0.20407022071519723</v>
      </c>
      <c r="U302" s="101">
        <f t="shared" si="372"/>
        <v>0.1892827741254989</v>
      </c>
      <c r="V302" s="101" t="str">
        <f t="shared" si="372"/>
        <v/>
      </c>
      <c r="W302" s="101" t="str">
        <f t="shared" si="372"/>
        <v/>
      </c>
      <c r="X302" s="101">
        <f t="shared" si="372"/>
        <v>0.2916200317361165</v>
      </c>
      <c r="Y302" s="101" t="str">
        <f t="shared" si="372"/>
        <v/>
      </c>
      <c r="Z302" s="101">
        <f t="shared" si="372"/>
        <v>0.22495303745222314</v>
      </c>
      <c r="AA302" s="101" t="str">
        <f t="shared" si="372"/>
        <v/>
      </c>
      <c r="AB302" s="101">
        <f t="shared" si="372"/>
        <v>0.30430944477573796</v>
      </c>
      <c r="AC302" s="101" t="str">
        <f t="shared" si="372"/>
        <v/>
      </c>
      <c r="AD302" s="101">
        <f t="shared" si="372"/>
        <v>8.2304096247778208E-2</v>
      </c>
      <c r="AE302" s="101">
        <f t="shared" si="372"/>
        <v>0.7</v>
      </c>
      <c r="AF302" s="101">
        <f t="shared" si="372"/>
        <v>0.16956236466896082</v>
      </c>
    </row>
    <row r="303" spans="1:32" x14ac:dyDescent="0.25">
      <c r="D303" t="s">
        <v>110</v>
      </c>
      <c r="E303" s="101" t="str">
        <f t="shared" si="373"/>
        <v/>
      </c>
      <c r="F303" s="101" t="str">
        <f t="shared" si="372"/>
        <v/>
      </c>
      <c r="G303" s="101" t="str">
        <f t="shared" si="372"/>
        <v/>
      </c>
      <c r="H303" s="101" t="str">
        <f t="shared" si="372"/>
        <v/>
      </c>
      <c r="I303" s="101">
        <f t="shared" si="372"/>
        <v>5.0299151091816152E-2</v>
      </c>
      <c r="J303" s="101">
        <f t="shared" si="372"/>
        <v>3.1693284688742829E-2</v>
      </c>
      <c r="K303" s="101">
        <f t="shared" si="372"/>
        <v>9.4752923363488253E-3</v>
      </c>
      <c r="L303" s="101">
        <f t="shared" si="372"/>
        <v>1.2223430448427221E-2</v>
      </c>
      <c r="M303" s="101">
        <f t="shared" si="372"/>
        <v>7.4873111684808979E-2</v>
      </c>
      <c r="N303" s="101">
        <f t="shared" si="372"/>
        <v>5.4798820936515003E-2</v>
      </c>
      <c r="O303" s="101">
        <f t="shared" si="372"/>
        <v>9.6193201229018394E-2</v>
      </c>
      <c r="P303" s="101" t="str">
        <f t="shared" si="372"/>
        <v/>
      </c>
      <c r="Q303" s="101">
        <f t="shared" si="372"/>
        <v>4.5721429624977272E-2</v>
      </c>
      <c r="R303" s="101">
        <f t="shared" si="372"/>
        <v>6.3302847623051661E-2</v>
      </c>
      <c r="S303" s="101">
        <f t="shared" si="372"/>
        <v>5.4685986436529527E-2</v>
      </c>
      <c r="T303" s="101">
        <f t="shared" si="372"/>
        <v>6.6132070351154967E-2</v>
      </c>
      <c r="U303" s="101">
        <f t="shared" si="372"/>
        <v>5.3157788868068476E-2</v>
      </c>
      <c r="V303" s="101" t="str">
        <f t="shared" si="372"/>
        <v/>
      </c>
      <c r="W303" s="101" t="str">
        <f t="shared" si="372"/>
        <v/>
      </c>
      <c r="X303" s="101">
        <f t="shared" si="372"/>
        <v>6.120885305674445E-2</v>
      </c>
      <c r="Y303" s="101" t="str">
        <f t="shared" si="372"/>
        <v/>
      </c>
      <c r="Z303" s="101">
        <f t="shared" si="372"/>
        <v>6.8555327680011935E-2</v>
      </c>
      <c r="AA303" s="101" t="str">
        <f t="shared" si="372"/>
        <v/>
      </c>
      <c r="AB303" s="101">
        <f t="shared" si="372"/>
        <v>8.8197158588851618E-2</v>
      </c>
      <c r="AC303" s="101" t="str">
        <f t="shared" si="372"/>
        <v/>
      </c>
      <c r="AD303" s="101">
        <f t="shared" si="372"/>
        <v>4.2641423705929445E-2</v>
      </c>
      <c r="AE303" s="101">
        <f t="shared" si="372"/>
        <v>0.10000000000000009</v>
      </c>
      <c r="AF303" s="101">
        <f t="shared" si="372"/>
        <v>5.4520137915341174E-2</v>
      </c>
    </row>
    <row r="306" spans="1:32" x14ac:dyDescent="0.25">
      <c r="A306" s="93" t="s">
        <v>791</v>
      </c>
    </row>
    <row r="307" spans="1:32" ht="15.75" x14ac:dyDescent="0.25">
      <c r="A307" s="158" t="s">
        <v>358</v>
      </c>
      <c r="B307" s="91" t="s">
        <v>435</v>
      </c>
      <c r="C307" s="158"/>
      <c r="D307" s="158" t="s">
        <v>342</v>
      </c>
      <c r="E307" s="91" t="s">
        <v>162</v>
      </c>
      <c r="F307" s="91" t="s">
        <v>164</v>
      </c>
      <c r="G307" s="91" t="s">
        <v>166</v>
      </c>
      <c r="H307" s="91" t="s">
        <v>168</v>
      </c>
      <c r="I307" s="91" t="s">
        <v>170</v>
      </c>
      <c r="J307" s="91" t="s">
        <v>173</v>
      </c>
      <c r="K307" s="91" t="s">
        <v>175</v>
      </c>
      <c r="L307" s="91" t="s">
        <v>177</v>
      </c>
      <c r="M307" s="91" t="s">
        <v>179</v>
      </c>
      <c r="N307" s="91" t="s">
        <v>181</v>
      </c>
      <c r="O307" s="91" t="s">
        <v>183</v>
      </c>
      <c r="P307" s="91" t="s">
        <v>185</v>
      </c>
      <c r="Q307" s="91" t="s">
        <v>188</v>
      </c>
      <c r="R307" s="91" t="s">
        <v>190</v>
      </c>
      <c r="S307" s="91" t="s">
        <v>192</v>
      </c>
      <c r="T307" s="91" t="s">
        <v>194</v>
      </c>
      <c r="U307" s="91" t="s">
        <v>196</v>
      </c>
      <c r="V307" s="91" t="s">
        <v>198</v>
      </c>
      <c r="W307" s="91" t="s">
        <v>9</v>
      </c>
      <c r="X307" s="91" t="s">
        <v>201</v>
      </c>
      <c r="Y307" s="91" t="s">
        <v>203</v>
      </c>
      <c r="Z307" s="91" t="s">
        <v>205</v>
      </c>
      <c r="AA307" s="91" t="s">
        <v>207</v>
      </c>
      <c r="AB307" s="91" t="s">
        <v>210</v>
      </c>
      <c r="AC307" s="91" t="s">
        <v>212</v>
      </c>
      <c r="AD307" s="91" t="s">
        <v>214</v>
      </c>
      <c r="AE307" s="91" t="s">
        <v>217</v>
      </c>
      <c r="AF307" s="91" t="s">
        <v>219</v>
      </c>
    </row>
    <row r="308" spans="1:32" x14ac:dyDescent="0.25">
      <c r="A308" t="s">
        <v>367</v>
      </c>
      <c r="B308" t="s">
        <v>368</v>
      </c>
      <c r="C308" t="s">
        <v>113</v>
      </c>
      <c r="D308" s="159" t="s">
        <v>363</v>
      </c>
      <c r="E308" s="191">
        <f t="shared" ref="E308:AF308" si="374">E81-E7</f>
        <v>0</v>
      </c>
      <c r="F308" s="191">
        <f t="shared" si="374"/>
        <v>0</v>
      </c>
      <c r="G308" s="191">
        <f t="shared" si="374"/>
        <v>0</v>
      </c>
      <c r="H308" s="191">
        <f t="shared" si="374"/>
        <v>0</v>
      </c>
      <c r="I308" s="191">
        <f t="shared" si="374"/>
        <v>0</v>
      </c>
      <c r="J308" s="191">
        <f t="shared" si="374"/>
        <v>0</v>
      </c>
      <c r="K308" s="191">
        <f t="shared" si="374"/>
        <v>0</v>
      </c>
      <c r="L308" s="191">
        <f t="shared" si="374"/>
        <v>0</v>
      </c>
      <c r="M308" s="191">
        <f t="shared" si="374"/>
        <v>0</v>
      </c>
      <c r="N308" s="191">
        <f t="shared" si="374"/>
        <v>0</v>
      </c>
      <c r="O308" s="191">
        <f t="shared" si="374"/>
        <v>0</v>
      </c>
      <c r="P308" s="191">
        <f t="shared" si="374"/>
        <v>0</v>
      </c>
      <c r="Q308" s="191">
        <f t="shared" si="374"/>
        <v>0</v>
      </c>
      <c r="R308" s="191">
        <f t="shared" si="374"/>
        <v>0</v>
      </c>
      <c r="S308" s="191">
        <f t="shared" si="374"/>
        <v>0</v>
      </c>
      <c r="T308" s="191">
        <f t="shared" si="374"/>
        <v>0</v>
      </c>
      <c r="U308" s="191">
        <f t="shared" si="374"/>
        <v>0</v>
      </c>
      <c r="V308" s="191">
        <f t="shared" si="374"/>
        <v>0</v>
      </c>
      <c r="W308" s="191">
        <f t="shared" si="374"/>
        <v>0</v>
      </c>
      <c r="X308" s="191">
        <f t="shared" si="374"/>
        <v>0</v>
      </c>
      <c r="Y308" s="191">
        <f t="shared" si="374"/>
        <v>0</v>
      </c>
      <c r="Z308" s="191">
        <f t="shared" si="374"/>
        <v>0</v>
      </c>
      <c r="AA308" s="191">
        <f t="shared" si="374"/>
        <v>0</v>
      </c>
      <c r="AB308" s="191">
        <f t="shared" si="374"/>
        <v>0</v>
      </c>
      <c r="AC308" s="191">
        <f t="shared" si="374"/>
        <v>0</v>
      </c>
      <c r="AD308" s="191">
        <f t="shared" si="374"/>
        <v>0</v>
      </c>
      <c r="AE308" s="191">
        <f t="shared" si="374"/>
        <v>0</v>
      </c>
      <c r="AF308" s="191">
        <f t="shared" si="374"/>
        <v>0</v>
      </c>
    </row>
    <row r="309" spans="1:32" x14ac:dyDescent="0.25">
      <c r="A309" t="s">
        <v>367</v>
      </c>
      <c r="B309" t="s">
        <v>368</v>
      </c>
      <c r="C309" t="s">
        <v>115</v>
      </c>
      <c r="D309" s="159" t="s">
        <v>363</v>
      </c>
      <c r="E309" s="191">
        <f t="shared" ref="E309:AF309" si="375">E82-E8</f>
        <v>0</v>
      </c>
      <c r="F309" s="191">
        <f t="shared" si="375"/>
        <v>0</v>
      </c>
      <c r="G309" s="191">
        <f t="shared" si="375"/>
        <v>0</v>
      </c>
      <c r="H309" s="191">
        <f t="shared" si="375"/>
        <v>0</v>
      </c>
      <c r="I309" s="191">
        <f t="shared" si="375"/>
        <v>0</v>
      </c>
      <c r="J309" s="191">
        <f t="shared" si="375"/>
        <v>0</v>
      </c>
      <c r="K309" s="191">
        <f t="shared" si="375"/>
        <v>0</v>
      </c>
      <c r="L309" s="191">
        <f t="shared" si="375"/>
        <v>0</v>
      </c>
      <c r="M309" s="191">
        <f t="shared" si="375"/>
        <v>0</v>
      </c>
      <c r="N309" s="191">
        <f t="shared" si="375"/>
        <v>0</v>
      </c>
      <c r="O309" s="191">
        <f t="shared" si="375"/>
        <v>0</v>
      </c>
      <c r="P309" s="191">
        <f t="shared" si="375"/>
        <v>0</v>
      </c>
      <c r="Q309" s="191">
        <f t="shared" si="375"/>
        <v>0</v>
      </c>
      <c r="R309" s="191">
        <f t="shared" si="375"/>
        <v>0</v>
      </c>
      <c r="S309" s="191">
        <f t="shared" si="375"/>
        <v>0</v>
      </c>
      <c r="T309" s="191">
        <f t="shared" si="375"/>
        <v>0</v>
      </c>
      <c r="U309" s="191">
        <f t="shared" si="375"/>
        <v>0</v>
      </c>
      <c r="V309" s="191">
        <f t="shared" si="375"/>
        <v>0</v>
      </c>
      <c r="W309" s="191">
        <f t="shared" si="375"/>
        <v>0</v>
      </c>
      <c r="X309" s="191">
        <f t="shared" si="375"/>
        <v>0</v>
      </c>
      <c r="Y309" s="191">
        <f t="shared" si="375"/>
        <v>0</v>
      </c>
      <c r="Z309" s="191">
        <f t="shared" si="375"/>
        <v>0</v>
      </c>
      <c r="AA309" s="191">
        <f t="shared" si="375"/>
        <v>0</v>
      </c>
      <c r="AB309" s="191">
        <f t="shared" si="375"/>
        <v>0</v>
      </c>
      <c r="AC309" s="191">
        <f t="shared" si="375"/>
        <v>0</v>
      </c>
      <c r="AD309" s="191">
        <f t="shared" si="375"/>
        <v>0</v>
      </c>
      <c r="AE309" s="191">
        <f t="shared" si="375"/>
        <v>0</v>
      </c>
      <c r="AF309" s="191">
        <f t="shared" si="375"/>
        <v>0</v>
      </c>
    </row>
    <row r="310" spans="1:32" x14ac:dyDescent="0.25">
      <c r="A310" t="s">
        <v>367</v>
      </c>
      <c r="B310" t="s">
        <v>368</v>
      </c>
      <c r="C310" t="s">
        <v>117</v>
      </c>
      <c r="D310" s="159" t="s">
        <v>363</v>
      </c>
      <c r="E310" s="191">
        <f t="shared" ref="E310:AF310" si="376">E83-E9</f>
        <v>0</v>
      </c>
      <c r="F310" s="191">
        <f t="shared" si="376"/>
        <v>1096.225537916489</v>
      </c>
      <c r="G310" s="191">
        <f t="shared" si="376"/>
        <v>725.36973880786854</v>
      </c>
      <c r="H310" s="191">
        <f t="shared" si="376"/>
        <v>60.957149892803955</v>
      </c>
      <c r="I310" s="191">
        <f t="shared" si="376"/>
        <v>0</v>
      </c>
      <c r="J310" s="191">
        <f t="shared" si="376"/>
        <v>0</v>
      </c>
      <c r="K310" s="191">
        <f t="shared" si="376"/>
        <v>0</v>
      </c>
      <c r="L310" s="191">
        <f t="shared" si="376"/>
        <v>0</v>
      </c>
      <c r="M310" s="191">
        <f t="shared" si="376"/>
        <v>0</v>
      </c>
      <c r="N310" s="191">
        <f t="shared" si="376"/>
        <v>0</v>
      </c>
      <c r="O310" s="191">
        <f t="shared" si="376"/>
        <v>0</v>
      </c>
      <c r="P310" s="191">
        <f t="shared" si="376"/>
        <v>0</v>
      </c>
      <c r="Q310" s="191">
        <f t="shared" si="376"/>
        <v>0</v>
      </c>
      <c r="R310" s="191">
        <f t="shared" si="376"/>
        <v>0</v>
      </c>
      <c r="S310" s="191">
        <f t="shared" si="376"/>
        <v>0</v>
      </c>
      <c r="T310" s="191">
        <f t="shared" si="376"/>
        <v>0</v>
      </c>
      <c r="U310" s="191">
        <f t="shared" si="376"/>
        <v>0</v>
      </c>
      <c r="V310" s="191">
        <f t="shared" si="376"/>
        <v>0</v>
      </c>
      <c r="W310" s="191">
        <f t="shared" si="376"/>
        <v>42445.03588204363</v>
      </c>
      <c r="X310" s="191">
        <f t="shared" si="376"/>
        <v>0</v>
      </c>
      <c r="Y310" s="191">
        <f t="shared" si="376"/>
        <v>678.84176166605653</v>
      </c>
      <c r="Z310" s="191">
        <f t="shared" si="376"/>
        <v>0</v>
      </c>
      <c r="AA310" s="191">
        <f t="shared" si="376"/>
        <v>0</v>
      </c>
      <c r="AB310" s="191">
        <f t="shared" si="376"/>
        <v>0</v>
      </c>
      <c r="AC310" s="191">
        <f t="shared" si="376"/>
        <v>0</v>
      </c>
      <c r="AD310" s="191">
        <f t="shared" si="376"/>
        <v>0</v>
      </c>
      <c r="AE310" s="191">
        <f t="shared" si="376"/>
        <v>0</v>
      </c>
      <c r="AF310" s="191">
        <f t="shared" si="376"/>
        <v>0</v>
      </c>
    </row>
    <row r="311" spans="1:32" x14ac:dyDescent="0.25">
      <c r="A311" t="s">
        <v>367</v>
      </c>
      <c r="B311" t="s">
        <v>368</v>
      </c>
      <c r="C311" t="s">
        <v>119</v>
      </c>
      <c r="D311" s="159" t="s">
        <v>363</v>
      </c>
      <c r="E311" s="191">
        <f t="shared" ref="E311:AF311" si="377">E84-E10</f>
        <v>0</v>
      </c>
      <c r="F311" s="191">
        <f t="shared" si="377"/>
        <v>0</v>
      </c>
      <c r="G311" s="191">
        <f t="shared" si="377"/>
        <v>0</v>
      </c>
      <c r="H311" s="191">
        <f t="shared" si="377"/>
        <v>0</v>
      </c>
      <c r="I311" s="191">
        <f t="shared" si="377"/>
        <v>0</v>
      </c>
      <c r="J311" s="191">
        <f t="shared" si="377"/>
        <v>0</v>
      </c>
      <c r="K311" s="191">
        <f t="shared" si="377"/>
        <v>0</v>
      </c>
      <c r="L311" s="191">
        <f t="shared" si="377"/>
        <v>0</v>
      </c>
      <c r="M311" s="191">
        <f t="shared" si="377"/>
        <v>0</v>
      </c>
      <c r="N311" s="191">
        <f t="shared" si="377"/>
        <v>0</v>
      </c>
      <c r="O311" s="191">
        <f t="shared" si="377"/>
        <v>0</v>
      </c>
      <c r="P311" s="191">
        <f t="shared" si="377"/>
        <v>0</v>
      </c>
      <c r="Q311" s="191">
        <f t="shared" si="377"/>
        <v>0</v>
      </c>
      <c r="R311" s="191">
        <f t="shared" si="377"/>
        <v>0</v>
      </c>
      <c r="S311" s="191">
        <f t="shared" si="377"/>
        <v>0</v>
      </c>
      <c r="T311" s="191">
        <f t="shared" si="377"/>
        <v>0</v>
      </c>
      <c r="U311" s="191">
        <f t="shared" si="377"/>
        <v>0</v>
      </c>
      <c r="V311" s="191">
        <f t="shared" si="377"/>
        <v>306.04942129880482</v>
      </c>
      <c r="W311" s="191">
        <f t="shared" si="377"/>
        <v>0</v>
      </c>
      <c r="X311" s="191">
        <f t="shared" si="377"/>
        <v>0</v>
      </c>
      <c r="Y311" s="191">
        <f t="shared" si="377"/>
        <v>0</v>
      </c>
      <c r="Z311" s="191">
        <f t="shared" si="377"/>
        <v>0</v>
      </c>
      <c r="AA311" s="191">
        <f t="shared" si="377"/>
        <v>0</v>
      </c>
      <c r="AB311" s="191">
        <f t="shared" si="377"/>
        <v>0</v>
      </c>
      <c r="AC311" s="191">
        <f t="shared" si="377"/>
        <v>0</v>
      </c>
      <c r="AD311" s="191">
        <f t="shared" si="377"/>
        <v>0</v>
      </c>
      <c r="AE311" s="191">
        <f t="shared" si="377"/>
        <v>0</v>
      </c>
      <c r="AF311" s="191">
        <f t="shared" si="377"/>
        <v>0</v>
      </c>
    </row>
    <row r="312" spans="1:32" x14ac:dyDescent="0.25">
      <c r="A312" t="s">
        <v>367</v>
      </c>
      <c r="B312" t="s">
        <v>368</v>
      </c>
      <c r="C312" t="s">
        <v>120</v>
      </c>
      <c r="D312" s="159" t="s">
        <v>363</v>
      </c>
      <c r="E312" s="191">
        <f t="shared" ref="E312:AF312" si="378">E85-E11</f>
        <v>19414</v>
      </c>
      <c r="F312" s="191">
        <f t="shared" si="378"/>
        <v>0</v>
      </c>
      <c r="G312" s="191">
        <f t="shared" si="378"/>
        <v>169.33927007541206</v>
      </c>
      <c r="H312" s="191">
        <f t="shared" si="378"/>
        <v>1946.4510479789387</v>
      </c>
      <c r="I312" s="191">
        <f t="shared" si="378"/>
        <v>0</v>
      </c>
      <c r="J312" s="191">
        <f t="shared" si="378"/>
        <v>0</v>
      </c>
      <c r="K312" s="191">
        <f t="shared" si="378"/>
        <v>0</v>
      </c>
      <c r="L312" s="191">
        <f t="shared" si="378"/>
        <v>0</v>
      </c>
      <c r="M312" s="191">
        <f t="shared" si="378"/>
        <v>0</v>
      </c>
      <c r="N312" s="191">
        <f t="shared" si="378"/>
        <v>0</v>
      </c>
      <c r="O312" s="191">
        <f t="shared" si="378"/>
        <v>0</v>
      </c>
      <c r="P312" s="191">
        <f t="shared" si="378"/>
        <v>4942826.0295491498</v>
      </c>
      <c r="Q312" s="191">
        <f t="shared" si="378"/>
        <v>0</v>
      </c>
      <c r="R312" s="191">
        <f t="shared" si="378"/>
        <v>0</v>
      </c>
      <c r="S312" s="191">
        <f t="shared" si="378"/>
        <v>0</v>
      </c>
      <c r="T312" s="191">
        <f t="shared" si="378"/>
        <v>0</v>
      </c>
      <c r="U312" s="191">
        <f t="shared" si="378"/>
        <v>0</v>
      </c>
      <c r="V312" s="191">
        <f t="shared" si="378"/>
        <v>444187.01366931538</v>
      </c>
      <c r="W312" s="191">
        <f t="shared" si="378"/>
        <v>721565.60999474162</v>
      </c>
      <c r="X312" s="191">
        <f t="shared" si="378"/>
        <v>0</v>
      </c>
      <c r="Y312" s="191">
        <f t="shared" si="378"/>
        <v>15494.224280255592</v>
      </c>
      <c r="Z312" s="191">
        <f t="shared" si="378"/>
        <v>0</v>
      </c>
      <c r="AA312" s="191">
        <f t="shared" si="378"/>
        <v>61654</v>
      </c>
      <c r="AB312" s="191">
        <f t="shared" si="378"/>
        <v>0</v>
      </c>
      <c r="AC312" s="191">
        <f t="shared" si="378"/>
        <v>0</v>
      </c>
      <c r="AD312" s="191">
        <f t="shared" si="378"/>
        <v>0</v>
      </c>
      <c r="AE312" s="191">
        <f t="shared" si="378"/>
        <v>0</v>
      </c>
      <c r="AF312" s="191">
        <f t="shared" si="378"/>
        <v>0</v>
      </c>
    </row>
    <row r="313" spans="1:32" x14ac:dyDescent="0.25">
      <c r="A313" t="s">
        <v>367</v>
      </c>
      <c r="B313" t="s">
        <v>368</v>
      </c>
      <c r="C313" t="s">
        <v>122</v>
      </c>
      <c r="D313" s="159" t="s">
        <v>363</v>
      </c>
      <c r="E313" s="191">
        <f t="shared" ref="E313:AF313" si="379">E86-E12</f>
        <v>0</v>
      </c>
      <c r="F313" s="191">
        <f t="shared" si="379"/>
        <v>0</v>
      </c>
      <c r="G313" s="191">
        <f t="shared" si="379"/>
        <v>0</v>
      </c>
      <c r="H313" s="191">
        <f t="shared" si="379"/>
        <v>0</v>
      </c>
      <c r="I313" s="191">
        <f t="shared" si="379"/>
        <v>0</v>
      </c>
      <c r="J313" s="191">
        <f t="shared" si="379"/>
        <v>0</v>
      </c>
      <c r="K313" s="191">
        <f t="shared" si="379"/>
        <v>0</v>
      </c>
      <c r="L313" s="191">
        <f t="shared" si="379"/>
        <v>0</v>
      </c>
      <c r="M313" s="191">
        <f t="shared" si="379"/>
        <v>0</v>
      </c>
      <c r="N313" s="191">
        <f t="shared" si="379"/>
        <v>0</v>
      </c>
      <c r="O313" s="191">
        <f t="shared" si="379"/>
        <v>0</v>
      </c>
      <c r="P313" s="191">
        <f t="shared" si="379"/>
        <v>0</v>
      </c>
      <c r="Q313" s="191">
        <f t="shared" si="379"/>
        <v>0</v>
      </c>
      <c r="R313" s="191">
        <f t="shared" si="379"/>
        <v>0</v>
      </c>
      <c r="S313" s="191">
        <f t="shared" si="379"/>
        <v>0</v>
      </c>
      <c r="T313" s="191">
        <f t="shared" si="379"/>
        <v>0</v>
      </c>
      <c r="U313" s="191">
        <f t="shared" si="379"/>
        <v>0</v>
      </c>
      <c r="V313" s="191">
        <f t="shared" si="379"/>
        <v>0</v>
      </c>
      <c r="W313" s="191">
        <f t="shared" si="379"/>
        <v>0</v>
      </c>
      <c r="X313" s="191">
        <f t="shared" si="379"/>
        <v>0</v>
      </c>
      <c r="Y313" s="191">
        <f t="shared" si="379"/>
        <v>0</v>
      </c>
      <c r="Z313" s="191">
        <f t="shared" si="379"/>
        <v>0</v>
      </c>
      <c r="AA313" s="191">
        <f t="shared" si="379"/>
        <v>0</v>
      </c>
      <c r="AB313" s="191">
        <f t="shared" si="379"/>
        <v>0</v>
      </c>
      <c r="AC313" s="191">
        <f t="shared" si="379"/>
        <v>0</v>
      </c>
      <c r="AD313" s="191">
        <f t="shared" si="379"/>
        <v>0</v>
      </c>
      <c r="AE313" s="191">
        <f t="shared" si="379"/>
        <v>0</v>
      </c>
      <c r="AF313" s="191">
        <f t="shared" si="379"/>
        <v>0</v>
      </c>
    </row>
    <row r="314" spans="1:32" x14ac:dyDescent="0.25">
      <c r="A314" t="s">
        <v>367</v>
      </c>
      <c r="B314" t="s">
        <v>368</v>
      </c>
      <c r="C314" t="s">
        <v>124</v>
      </c>
      <c r="D314" s="159" t="s">
        <v>363</v>
      </c>
      <c r="E314" s="191">
        <f t="shared" ref="E314:AF314" si="380">E87-E13</f>
        <v>0</v>
      </c>
      <c r="F314" s="191">
        <f t="shared" si="380"/>
        <v>0</v>
      </c>
      <c r="G314" s="191">
        <f t="shared" si="380"/>
        <v>0</v>
      </c>
      <c r="H314" s="191">
        <f t="shared" si="380"/>
        <v>0</v>
      </c>
      <c r="I314" s="191">
        <f t="shared" si="380"/>
        <v>0</v>
      </c>
      <c r="J314" s="191">
        <f t="shared" si="380"/>
        <v>0</v>
      </c>
      <c r="K314" s="191">
        <f t="shared" si="380"/>
        <v>0</v>
      </c>
      <c r="L314" s="191">
        <f t="shared" si="380"/>
        <v>0</v>
      </c>
      <c r="M314" s="191">
        <f t="shared" si="380"/>
        <v>0</v>
      </c>
      <c r="N314" s="191">
        <f t="shared" si="380"/>
        <v>0</v>
      </c>
      <c r="O314" s="191">
        <f t="shared" si="380"/>
        <v>0</v>
      </c>
      <c r="P314" s="191">
        <f t="shared" si="380"/>
        <v>0</v>
      </c>
      <c r="Q314" s="191">
        <f t="shared" si="380"/>
        <v>0</v>
      </c>
      <c r="R314" s="191">
        <f t="shared" si="380"/>
        <v>0</v>
      </c>
      <c r="S314" s="191">
        <f t="shared" si="380"/>
        <v>0</v>
      </c>
      <c r="T314" s="191">
        <f t="shared" si="380"/>
        <v>0</v>
      </c>
      <c r="U314" s="191">
        <f t="shared" si="380"/>
        <v>0</v>
      </c>
      <c r="V314" s="191">
        <f t="shared" si="380"/>
        <v>0</v>
      </c>
      <c r="W314" s="191">
        <f t="shared" si="380"/>
        <v>0</v>
      </c>
      <c r="X314" s="191">
        <f t="shared" si="380"/>
        <v>0</v>
      </c>
      <c r="Y314" s="191">
        <f t="shared" si="380"/>
        <v>1</v>
      </c>
      <c r="Z314" s="191">
        <f t="shared" si="380"/>
        <v>0</v>
      </c>
      <c r="AA314" s="191">
        <f t="shared" si="380"/>
        <v>0</v>
      </c>
      <c r="AB314" s="191">
        <f t="shared" si="380"/>
        <v>0</v>
      </c>
      <c r="AC314" s="191">
        <f t="shared" si="380"/>
        <v>0</v>
      </c>
      <c r="AD314" s="191">
        <f t="shared" si="380"/>
        <v>0</v>
      </c>
      <c r="AE314" s="191">
        <f t="shared" si="380"/>
        <v>0</v>
      </c>
      <c r="AF314" s="191">
        <f t="shared" si="380"/>
        <v>0</v>
      </c>
    </row>
    <row r="315" spans="1:32" x14ac:dyDescent="0.25">
      <c r="A315" t="s">
        <v>367</v>
      </c>
      <c r="B315" t="s">
        <v>368</v>
      </c>
      <c r="C315" t="s">
        <v>126</v>
      </c>
      <c r="D315" s="159" t="s">
        <v>363</v>
      </c>
      <c r="E315" s="191">
        <f t="shared" ref="E315:AF315" si="381">E88-E14</f>
        <v>10792.689922484182</v>
      </c>
      <c r="F315" s="191">
        <f t="shared" si="381"/>
        <v>11029.519291903714</v>
      </c>
      <c r="G315" s="191">
        <f t="shared" si="381"/>
        <v>8792.5161937411303</v>
      </c>
      <c r="H315" s="191">
        <f t="shared" si="381"/>
        <v>423.06931045411147</v>
      </c>
      <c r="I315" s="191">
        <f t="shared" si="381"/>
        <v>0</v>
      </c>
      <c r="J315" s="191">
        <f t="shared" si="381"/>
        <v>1165.4375765434052</v>
      </c>
      <c r="K315" s="191">
        <f t="shared" si="381"/>
        <v>3293.2183845197578</v>
      </c>
      <c r="L315" s="191">
        <f t="shared" si="381"/>
        <v>36498.913514248954</v>
      </c>
      <c r="M315" s="191">
        <f t="shared" si="381"/>
        <v>2048.8602026406152</v>
      </c>
      <c r="N315" s="191">
        <f t="shared" si="381"/>
        <v>0</v>
      </c>
      <c r="O315" s="191">
        <f t="shared" si="381"/>
        <v>0</v>
      </c>
      <c r="P315" s="191">
        <f t="shared" si="381"/>
        <v>969959.05376968172</v>
      </c>
      <c r="Q315" s="191">
        <f t="shared" si="381"/>
        <v>0</v>
      </c>
      <c r="R315" s="191">
        <f t="shared" si="381"/>
        <v>0</v>
      </c>
      <c r="S315" s="191">
        <f t="shared" si="381"/>
        <v>0</v>
      </c>
      <c r="T315" s="191">
        <f t="shared" si="381"/>
        <v>0</v>
      </c>
      <c r="U315" s="191">
        <f t="shared" si="381"/>
        <v>0</v>
      </c>
      <c r="V315" s="191">
        <f t="shared" si="381"/>
        <v>64736.805736910668</v>
      </c>
      <c r="W315" s="191">
        <f t="shared" si="381"/>
        <v>125251.57593029141</v>
      </c>
      <c r="X315" s="191">
        <f t="shared" si="381"/>
        <v>0</v>
      </c>
      <c r="Y315" s="191">
        <f t="shared" si="381"/>
        <v>7572.6802054207001</v>
      </c>
      <c r="Z315" s="191">
        <f t="shared" si="381"/>
        <v>0</v>
      </c>
      <c r="AA315" s="191">
        <f t="shared" si="381"/>
        <v>64782.627556349456</v>
      </c>
      <c r="AB315" s="191">
        <f t="shared" si="381"/>
        <v>0</v>
      </c>
      <c r="AC315" s="191">
        <f t="shared" si="381"/>
        <v>9464.3120083397316</v>
      </c>
      <c r="AD315" s="191">
        <f t="shared" si="381"/>
        <v>0</v>
      </c>
      <c r="AE315" s="191">
        <f t="shared" si="381"/>
        <v>0</v>
      </c>
      <c r="AF315" s="191">
        <f t="shared" si="381"/>
        <v>0</v>
      </c>
    </row>
    <row r="316" spans="1:32" x14ac:dyDescent="0.25">
      <c r="A316" t="s">
        <v>367</v>
      </c>
      <c r="B316" t="s">
        <v>368</v>
      </c>
      <c r="C316" t="s">
        <v>128</v>
      </c>
      <c r="D316" s="159" t="s">
        <v>363</v>
      </c>
      <c r="E316" s="191">
        <f t="shared" ref="E316:AF316" si="382">E89-E15</f>
        <v>1542.8510550913829</v>
      </c>
      <c r="F316" s="191">
        <f t="shared" si="382"/>
        <v>44532.649620599463</v>
      </c>
      <c r="G316" s="191">
        <f t="shared" si="382"/>
        <v>0</v>
      </c>
      <c r="H316" s="191">
        <f t="shared" si="382"/>
        <v>747.29477917650001</v>
      </c>
      <c r="I316" s="191">
        <f t="shared" si="382"/>
        <v>0</v>
      </c>
      <c r="J316" s="191">
        <f t="shared" si="382"/>
        <v>0</v>
      </c>
      <c r="K316" s="191">
        <f t="shared" si="382"/>
        <v>0</v>
      </c>
      <c r="L316" s="191">
        <f t="shared" si="382"/>
        <v>0</v>
      </c>
      <c r="M316" s="191">
        <f t="shared" si="382"/>
        <v>0</v>
      </c>
      <c r="N316" s="191">
        <f t="shared" si="382"/>
        <v>0</v>
      </c>
      <c r="O316" s="191">
        <f t="shared" si="382"/>
        <v>0</v>
      </c>
      <c r="P316" s="191">
        <f t="shared" si="382"/>
        <v>0</v>
      </c>
      <c r="Q316" s="191">
        <f t="shared" si="382"/>
        <v>0</v>
      </c>
      <c r="R316" s="191">
        <f t="shared" si="382"/>
        <v>0</v>
      </c>
      <c r="S316" s="191">
        <f t="shared" si="382"/>
        <v>0</v>
      </c>
      <c r="T316" s="191">
        <f t="shared" si="382"/>
        <v>0</v>
      </c>
      <c r="U316" s="191">
        <f t="shared" si="382"/>
        <v>0</v>
      </c>
      <c r="V316" s="191">
        <f t="shared" si="382"/>
        <v>52174.139440462917</v>
      </c>
      <c r="W316" s="191">
        <f t="shared" si="382"/>
        <v>0</v>
      </c>
      <c r="X316" s="191">
        <f t="shared" si="382"/>
        <v>0</v>
      </c>
      <c r="Y316" s="191">
        <f t="shared" si="382"/>
        <v>34993.451938456594</v>
      </c>
      <c r="Z316" s="191">
        <f t="shared" si="382"/>
        <v>0</v>
      </c>
      <c r="AA316" s="191">
        <f t="shared" si="382"/>
        <v>390627.09430436027</v>
      </c>
      <c r="AB316" s="191">
        <f t="shared" si="382"/>
        <v>0</v>
      </c>
      <c r="AC316" s="191">
        <f t="shared" si="382"/>
        <v>40629.551615588149</v>
      </c>
      <c r="AD316" s="191">
        <f t="shared" si="382"/>
        <v>0</v>
      </c>
      <c r="AE316" s="191">
        <f t="shared" si="382"/>
        <v>0</v>
      </c>
      <c r="AF316" s="191">
        <f t="shared" si="382"/>
        <v>0</v>
      </c>
    </row>
    <row r="317" spans="1:32" x14ac:dyDescent="0.25">
      <c r="A317" t="s">
        <v>367</v>
      </c>
      <c r="B317" t="s">
        <v>368</v>
      </c>
      <c r="C317" t="s">
        <v>130</v>
      </c>
      <c r="D317" s="159" t="s">
        <v>363</v>
      </c>
      <c r="E317" s="191">
        <f t="shared" ref="E317:AF317" si="383">E90-E16</f>
        <v>0</v>
      </c>
      <c r="F317" s="191">
        <f t="shared" si="383"/>
        <v>0</v>
      </c>
      <c r="G317" s="191">
        <f t="shared" si="383"/>
        <v>0</v>
      </c>
      <c r="H317" s="191">
        <f t="shared" si="383"/>
        <v>0</v>
      </c>
      <c r="I317" s="191">
        <f t="shared" si="383"/>
        <v>0</v>
      </c>
      <c r="J317" s="191">
        <f t="shared" si="383"/>
        <v>0</v>
      </c>
      <c r="K317" s="191">
        <f t="shared" si="383"/>
        <v>0</v>
      </c>
      <c r="L317" s="191">
        <f t="shared" si="383"/>
        <v>0</v>
      </c>
      <c r="M317" s="191">
        <f t="shared" si="383"/>
        <v>0</v>
      </c>
      <c r="N317" s="191">
        <f t="shared" si="383"/>
        <v>0</v>
      </c>
      <c r="O317" s="191">
        <f t="shared" si="383"/>
        <v>0</v>
      </c>
      <c r="P317" s="191">
        <f t="shared" si="383"/>
        <v>0</v>
      </c>
      <c r="Q317" s="191">
        <f t="shared" si="383"/>
        <v>0</v>
      </c>
      <c r="R317" s="191">
        <f t="shared" si="383"/>
        <v>0</v>
      </c>
      <c r="S317" s="191">
        <f t="shared" si="383"/>
        <v>0</v>
      </c>
      <c r="T317" s="191">
        <f t="shared" si="383"/>
        <v>0</v>
      </c>
      <c r="U317" s="191">
        <f t="shared" si="383"/>
        <v>0</v>
      </c>
      <c r="V317" s="191">
        <f t="shared" si="383"/>
        <v>0</v>
      </c>
      <c r="W317" s="191">
        <f t="shared" si="383"/>
        <v>0</v>
      </c>
      <c r="X317" s="191">
        <f t="shared" si="383"/>
        <v>0</v>
      </c>
      <c r="Y317" s="191">
        <f t="shared" si="383"/>
        <v>0</v>
      </c>
      <c r="Z317" s="191">
        <f t="shared" si="383"/>
        <v>0</v>
      </c>
      <c r="AA317" s="191">
        <f t="shared" si="383"/>
        <v>0</v>
      </c>
      <c r="AB317" s="191">
        <f t="shared" si="383"/>
        <v>0</v>
      </c>
      <c r="AC317" s="191">
        <f t="shared" si="383"/>
        <v>0</v>
      </c>
      <c r="AD317" s="191">
        <f t="shared" si="383"/>
        <v>0</v>
      </c>
      <c r="AE317" s="191">
        <f t="shared" si="383"/>
        <v>0</v>
      </c>
      <c r="AF317" s="191">
        <f t="shared" si="383"/>
        <v>0</v>
      </c>
    </row>
    <row r="318" spans="1:32" x14ac:dyDescent="0.25">
      <c r="A318" t="s">
        <v>367</v>
      </c>
      <c r="B318" t="s">
        <v>368</v>
      </c>
      <c r="C318" t="s">
        <v>132</v>
      </c>
      <c r="D318" s="159" t="s">
        <v>363</v>
      </c>
      <c r="E318" s="191">
        <f t="shared" ref="E318:AF318" si="384">E91-E17</f>
        <v>0</v>
      </c>
      <c r="F318" s="191">
        <f t="shared" si="384"/>
        <v>1091.4577453460925</v>
      </c>
      <c r="G318" s="191">
        <f t="shared" si="384"/>
        <v>0</v>
      </c>
      <c r="H318" s="191">
        <f t="shared" si="384"/>
        <v>0</v>
      </c>
      <c r="I318" s="191">
        <f t="shared" si="384"/>
        <v>0</v>
      </c>
      <c r="J318" s="191">
        <f t="shared" si="384"/>
        <v>0</v>
      </c>
      <c r="K318" s="191">
        <f t="shared" si="384"/>
        <v>0</v>
      </c>
      <c r="L318" s="191">
        <f t="shared" si="384"/>
        <v>0</v>
      </c>
      <c r="M318" s="191">
        <f t="shared" si="384"/>
        <v>0</v>
      </c>
      <c r="N318" s="191">
        <f t="shared" si="384"/>
        <v>0</v>
      </c>
      <c r="O318" s="191">
        <f t="shared" si="384"/>
        <v>0</v>
      </c>
      <c r="P318" s="191">
        <f t="shared" si="384"/>
        <v>0</v>
      </c>
      <c r="Q318" s="191">
        <f t="shared" si="384"/>
        <v>0</v>
      </c>
      <c r="R318" s="191">
        <f t="shared" si="384"/>
        <v>0</v>
      </c>
      <c r="S318" s="191">
        <f t="shared" si="384"/>
        <v>0</v>
      </c>
      <c r="T318" s="191">
        <f t="shared" si="384"/>
        <v>0</v>
      </c>
      <c r="U318" s="191">
        <f t="shared" si="384"/>
        <v>0</v>
      </c>
      <c r="V318" s="191">
        <f t="shared" si="384"/>
        <v>21394.311926983119</v>
      </c>
      <c r="W318" s="191">
        <f t="shared" si="384"/>
        <v>0</v>
      </c>
      <c r="X318" s="191">
        <f t="shared" si="384"/>
        <v>0</v>
      </c>
      <c r="Y318" s="191">
        <f t="shared" si="384"/>
        <v>609.86853454490642</v>
      </c>
      <c r="Z318" s="191">
        <f t="shared" si="384"/>
        <v>0</v>
      </c>
      <c r="AA318" s="191">
        <f t="shared" si="384"/>
        <v>0</v>
      </c>
      <c r="AB318" s="191">
        <f t="shared" si="384"/>
        <v>0</v>
      </c>
      <c r="AC318" s="191">
        <f t="shared" si="384"/>
        <v>0</v>
      </c>
      <c r="AD318" s="191">
        <f t="shared" si="384"/>
        <v>0</v>
      </c>
      <c r="AE318" s="191">
        <f t="shared" si="384"/>
        <v>0</v>
      </c>
      <c r="AF318" s="191">
        <f t="shared" si="384"/>
        <v>0</v>
      </c>
    </row>
    <row r="319" spans="1:32" x14ac:dyDescent="0.25">
      <c r="A319" t="s">
        <v>367</v>
      </c>
      <c r="B319" t="s">
        <v>368</v>
      </c>
      <c r="C319" t="s">
        <v>134</v>
      </c>
      <c r="D319" s="159" t="s">
        <v>363</v>
      </c>
      <c r="E319" s="191">
        <f t="shared" ref="E319:AF319" si="385">E92-E18</f>
        <v>18447.108058521109</v>
      </c>
      <c r="F319" s="191">
        <f t="shared" si="385"/>
        <v>25727.008709858099</v>
      </c>
      <c r="G319" s="191">
        <f t="shared" si="385"/>
        <v>32757.556738731204</v>
      </c>
      <c r="H319" s="191">
        <f t="shared" si="385"/>
        <v>90.296338859901198</v>
      </c>
      <c r="I319" s="191">
        <f t="shared" si="385"/>
        <v>0</v>
      </c>
      <c r="J319" s="191">
        <f t="shared" si="385"/>
        <v>0</v>
      </c>
      <c r="K319" s="191">
        <f t="shared" si="385"/>
        <v>0</v>
      </c>
      <c r="L319" s="191">
        <f t="shared" si="385"/>
        <v>0</v>
      </c>
      <c r="M319" s="191">
        <f t="shared" si="385"/>
        <v>0</v>
      </c>
      <c r="N319" s="191">
        <f t="shared" si="385"/>
        <v>0</v>
      </c>
      <c r="O319" s="191">
        <f t="shared" si="385"/>
        <v>0</v>
      </c>
      <c r="P319" s="191">
        <f t="shared" si="385"/>
        <v>0</v>
      </c>
      <c r="Q319" s="191">
        <f t="shared" si="385"/>
        <v>0</v>
      </c>
      <c r="R319" s="191">
        <f t="shared" si="385"/>
        <v>0</v>
      </c>
      <c r="S319" s="191">
        <f t="shared" si="385"/>
        <v>0</v>
      </c>
      <c r="T319" s="191">
        <f t="shared" si="385"/>
        <v>0</v>
      </c>
      <c r="U319" s="191">
        <f t="shared" si="385"/>
        <v>0</v>
      </c>
      <c r="V319" s="191">
        <f t="shared" si="385"/>
        <v>45987.568995637077</v>
      </c>
      <c r="W319" s="191">
        <f t="shared" si="385"/>
        <v>84890.071764087261</v>
      </c>
      <c r="X319" s="191">
        <f t="shared" si="385"/>
        <v>0</v>
      </c>
      <c r="Y319" s="191">
        <f t="shared" si="385"/>
        <v>25204.269258007647</v>
      </c>
      <c r="Z319" s="191">
        <f t="shared" si="385"/>
        <v>0</v>
      </c>
      <c r="AA319" s="191">
        <f t="shared" si="385"/>
        <v>0</v>
      </c>
      <c r="AB319" s="191">
        <f t="shared" si="385"/>
        <v>0</v>
      </c>
      <c r="AC319" s="191">
        <f t="shared" si="385"/>
        <v>17412.664978109209</v>
      </c>
      <c r="AD319" s="191">
        <f t="shared" si="385"/>
        <v>0</v>
      </c>
      <c r="AE319" s="191">
        <f t="shared" si="385"/>
        <v>0</v>
      </c>
      <c r="AF319" s="191">
        <f t="shared" si="385"/>
        <v>0</v>
      </c>
    </row>
    <row r="320" spans="1:32" x14ac:dyDescent="0.25">
      <c r="A320" t="s">
        <v>367</v>
      </c>
      <c r="B320" t="s">
        <v>368</v>
      </c>
      <c r="C320" t="s">
        <v>1701</v>
      </c>
      <c r="D320" s="159" t="s">
        <v>363</v>
      </c>
      <c r="E320" s="191">
        <f t="shared" ref="E320:AF320" si="386">E93-E19</f>
        <v>0</v>
      </c>
      <c r="F320" s="191">
        <f t="shared" si="386"/>
        <v>0</v>
      </c>
      <c r="G320" s="191">
        <f t="shared" si="386"/>
        <v>0</v>
      </c>
      <c r="H320" s="191">
        <f t="shared" si="386"/>
        <v>0</v>
      </c>
      <c r="I320" s="191">
        <f t="shared" si="386"/>
        <v>0</v>
      </c>
      <c r="J320" s="191">
        <f t="shared" si="386"/>
        <v>0</v>
      </c>
      <c r="K320" s="191">
        <f t="shared" si="386"/>
        <v>0</v>
      </c>
      <c r="L320" s="191">
        <f t="shared" si="386"/>
        <v>0</v>
      </c>
      <c r="M320" s="191">
        <f t="shared" si="386"/>
        <v>0</v>
      </c>
      <c r="N320" s="191">
        <f t="shared" si="386"/>
        <v>0</v>
      </c>
      <c r="O320" s="191">
        <f t="shared" si="386"/>
        <v>0</v>
      </c>
      <c r="P320" s="191">
        <f t="shared" si="386"/>
        <v>0</v>
      </c>
      <c r="Q320" s="191">
        <f t="shared" si="386"/>
        <v>0</v>
      </c>
      <c r="R320" s="191">
        <f t="shared" si="386"/>
        <v>0</v>
      </c>
      <c r="S320" s="191">
        <f t="shared" si="386"/>
        <v>-10</v>
      </c>
      <c r="T320" s="191">
        <f t="shared" si="386"/>
        <v>0</v>
      </c>
      <c r="U320" s="191">
        <f t="shared" si="386"/>
        <v>0</v>
      </c>
      <c r="V320" s="191">
        <f t="shared" si="386"/>
        <v>0</v>
      </c>
      <c r="W320" s="191">
        <f t="shared" si="386"/>
        <v>0</v>
      </c>
      <c r="X320" s="191">
        <f t="shared" si="386"/>
        <v>0</v>
      </c>
      <c r="Y320" s="191">
        <f t="shared" si="386"/>
        <v>0</v>
      </c>
      <c r="Z320" s="191">
        <f t="shared" si="386"/>
        <v>0</v>
      </c>
      <c r="AA320" s="191">
        <f t="shared" si="386"/>
        <v>0</v>
      </c>
      <c r="AB320" s="191">
        <f t="shared" si="386"/>
        <v>0</v>
      </c>
      <c r="AC320" s="191">
        <f t="shared" si="386"/>
        <v>0</v>
      </c>
      <c r="AD320" s="191">
        <f t="shared" si="386"/>
        <v>0</v>
      </c>
      <c r="AE320" s="191">
        <f t="shared" si="386"/>
        <v>0</v>
      </c>
      <c r="AF320" s="191">
        <f t="shared" si="386"/>
        <v>0</v>
      </c>
    </row>
    <row r="321" spans="1:32" x14ac:dyDescent="0.25">
      <c r="A321" t="s">
        <v>367</v>
      </c>
      <c r="B321" t="s">
        <v>368</v>
      </c>
      <c r="C321" t="s">
        <v>137</v>
      </c>
      <c r="D321" s="159" t="s">
        <v>363</v>
      </c>
      <c r="E321" s="191">
        <f t="shared" ref="E321:AF321" si="387">E94-E20</f>
        <v>0</v>
      </c>
      <c r="F321" s="191">
        <f t="shared" si="387"/>
        <v>0</v>
      </c>
      <c r="G321" s="191">
        <f t="shared" si="387"/>
        <v>0</v>
      </c>
      <c r="H321" s="191">
        <f t="shared" si="387"/>
        <v>0</v>
      </c>
      <c r="I321" s="191">
        <f t="shared" si="387"/>
        <v>0</v>
      </c>
      <c r="J321" s="191">
        <f t="shared" si="387"/>
        <v>0</v>
      </c>
      <c r="K321" s="191">
        <f t="shared" si="387"/>
        <v>0</v>
      </c>
      <c r="L321" s="191">
        <f t="shared" si="387"/>
        <v>0</v>
      </c>
      <c r="M321" s="191">
        <f t="shared" si="387"/>
        <v>0</v>
      </c>
      <c r="N321" s="191">
        <f t="shared" si="387"/>
        <v>0</v>
      </c>
      <c r="O321" s="191">
        <f t="shared" si="387"/>
        <v>0</v>
      </c>
      <c r="P321" s="191">
        <f t="shared" si="387"/>
        <v>0</v>
      </c>
      <c r="Q321" s="191">
        <f t="shared" si="387"/>
        <v>0</v>
      </c>
      <c r="R321" s="191">
        <f t="shared" si="387"/>
        <v>0</v>
      </c>
      <c r="S321" s="191">
        <f t="shared" si="387"/>
        <v>0</v>
      </c>
      <c r="T321" s="191">
        <f t="shared" si="387"/>
        <v>0</v>
      </c>
      <c r="U321" s="191">
        <f t="shared" si="387"/>
        <v>0</v>
      </c>
      <c r="V321" s="191">
        <f t="shared" si="387"/>
        <v>0</v>
      </c>
      <c r="W321" s="191">
        <f t="shared" si="387"/>
        <v>0</v>
      </c>
      <c r="X321" s="191">
        <f t="shared" si="387"/>
        <v>0</v>
      </c>
      <c r="Y321" s="191">
        <f t="shared" si="387"/>
        <v>0</v>
      </c>
      <c r="Z321" s="191">
        <f t="shared" si="387"/>
        <v>0</v>
      </c>
      <c r="AA321" s="191">
        <f t="shared" si="387"/>
        <v>0</v>
      </c>
      <c r="AB321" s="191">
        <f t="shared" si="387"/>
        <v>0</v>
      </c>
      <c r="AC321" s="191">
        <f t="shared" si="387"/>
        <v>0</v>
      </c>
      <c r="AD321" s="191">
        <f t="shared" si="387"/>
        <v>0</v>
      </c>
      <c r="AE321" s="191">
        <f t="shared" si="387"/>
        <v>0</v>
      </c>
      <c r="AF321" s="191">
        <f t="shared" si="387"/>
        <v>0</v>
      </c>
    </row>
    <row r="322" spans="1:32" x14ac:dyDescent="0.25">
      <c r="A322" t="s">
        <v>367</v>
      </c>
      <c r="B322" t="s">
        <v>368</v>
      </c>
      <c r="C322" t="s">
        <v>139</v>
      </c>
      <c r="D322" s="159" t="s">
        <v>363</v>
      </c>
      <c r="E322" s="191">
        <f t="shared" ref="E322:AF322" si="388">E95-E21</f>
        <v>0</v>
      </c>
      <c r="F322" s="191">
        <f t="shared" si="388"/>
        <v>0</v>
      </c>
      <c r="G322" s="191">
        <f t="shared" si="388"/>
        <v>0</v>
      </c>
      <c r="H322" s="191">
        <f t="shared" si="388"/>
        <v>0</v>
      </c>
      <c r="I322" s="191">
        <f t="shared" si="388"/>
        <v>0</v>
      </c>
      <c r="J322" s="191">
        <f t="shared" si="388"/>
        <v>0</v>
      </c>
      <c r="K322" s="191">
        <f t="shared" si="388"/>
        <v>0</v>
      </c>
      <c r="L322" s="191">
        <f t="shared" si="388"/>
        <v>0</v>
      </c>
      <c r="M322" s="191">
        <f t="shared" si="388"/>
        <v>0</v>
      </c>
      <c r="N322" s="191">
        <f t="shared" si="388"/>
        <v>0</v>
      </c>
      <c r="O322" s="191">
        <f t="shared" si="388"/>
        <v>0</v>
      </c>
      <c r="P322" s="191">
        <f t="shared" si="388"/>
        <v>0</v>
      </c>
      <c r="Q322" s="191">
        <f t="shared" si="388"/>
        <v>0</v>
      </c>
      <c r="R322" s="191">
        <f t="shared" si="388"/>
        <v>0</v>
      </c>
      <c r="S322" s="191">
        <f t="shared" si="388"/>
        <v>0</v>
      </c>
      <c r="T322" s="191">
        <f t="shared" si="388"/>
        <v>0</v>
      </c>
      <c r="U322" s="191">
        <f t="shared" si="388"/>
        <v>0</v>
      </c>
      <c r="V322" s="191">
        <f t="shared" si="388"/>
        <v>0</v>
      </c>
      <c r="W322" s="191">
        <f t="shared" si="388"/>
        <v>0</v>
      </c>
      <c r="X322" s="191">
        <f t="shared" si="388"/>
        <v>0</v>
      </c>
      <c r="Y322" s="191">
        <f t="shared" si="388"/>
        <v>28.31532481815637</v>
      </c>
      <c r="Z322" s="191">
        <f t="shared" si="388"/>
        <v>0</v>
      </c>
      <c r="AA322" s="191">
        <f t="shared" si="388"/>
        <v>0</v>
      </c>
      <c r="AB322" s="191">
        <f t="shared" si="388"/>
        <v>0</v>
      </c>
      <c r="AC322" s="191">
        <f t="shared" si="388"/>
        <v>0</v>
      </c>
      <c r="AD322" s="191">
        <f t="shared" si="388"/>
        <v>0</v>
      </c>
      <c r="AE322" s="191">
        <f t="shared" si="388"/>
        <v>0</v>
      </c>
      <c r="AF322" s="191">
        <f t="shared" si="388"/>
        <v>0</v>
      </c>
    </row>
  </sheetData>
  <conditionalFormatting sqref="E64:AF64">
    <cfRule type="cellIs" dxfId="6" priority="2" operator="lessThan">
      <formula>1</formula>
    </cfRule>
  </conditionalFormatting>
  <conditionalFormatting sqref="E74:AF74">
    <cfRule type="cellIs" dxfId="5" priority="1" operator="lessThan">
      <formula>1</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86A6-7E26-4010-AFFC-1EC25A268385}">
  <sheetPr>
    <tabColor theme="4"/>
  </sheetPr>
  <dimension ref="A1:AQ498"/>
  <sheetViews>
    <sheetView showGridLines="0" topLeftCell="A380" zoomScale="70" zoomScaleNormal="70" workbookViewId="0">
      <selection activeCell="J393" sqref="J393"/>
    </sheetView>
  </sheetViews>
  <sheetFormatPr defaultColWidth="9.28515625" defaultRowHeight="15" x14ac:dyDescent="0.25"/>
  <cols>
    <col min="1" max="2" width="9.28515625" style="9" customWidth="1"/>
    <col min="3" max="3" width="13.42578125" style="9" customWidth="1"/>
    <col min="4" max="4" width="16.5703125" style="9" customWidth="1"/>
    <col min="5" max="5" width="23" style="9" customWidth="1"/>
    <col min="6" max="6" width="8.5703125" style="9" bestFit="1" customWidth="1"/>
    <col min="7" max="7" width="17.28515625" style="9" bestFit="1" customWidth="1"/>
    <col min="8" max="8" width="9" style="9" bestFit="1" customWidth="1"/>
    <col min="9" max="9" width="22.42578125" style="9" bestFit="1" customWidth="1"/>
    <col min="10" max="10" width="16.42578125" style="9" customWidth="1"/>
    <col min="11" max="11" width="19" style="375" customWidth="1"/>
    <col min="12" max="12" width="12.42578125" style="375" customWidth="1"/>
    <col min="13" max="16" width="8.7109375" style="9" customWidth="1"/>
    <col min="17" max="35" width="8.7109375" style="375" customWidth="1"/>
    <col min="36" max="37" width="10.5703125" style="375" bestFit="1" customWidth="1"/>
    <col min="38" max="38" width="11.5703125" style="375" bestFit="1" customWidth="1"/>
    <col min="39" max="39" width="9.5703125" style="375" bestFit="1" customWidth="1"/>
    <col min="40" max="16384" width="9.28515625" style="9"/>
  </cols>
  <sheetData>
    <row r="1" spans="1:43" s="1" customFormat="1" ht="23.25" x14ac:dyDescent="0.25">
      <c r="A1" s="378"/>
      <c r="B1" s="378"/>
      <c r="C1" s="378"/>
      <c r="D1" s="378"/>
      <c r="E1" s="379" t="s">
        <v>792</v>
      </c>
      <c r="F1" s="380"/>
      <c r="G1" s="380"/>
      <c r="H1" s="380"/>
      <c r="I1" s="380"/>
      <c r="J1" s="380"/>
      <c r="K1" s="380"/>
      <c r="L1" s="380"/>
      <c r="M1" s="380"/>
      <c r="N1" s="380"/>
      <c r="O1" s="380"/>
      <c r="P1" s="380"/>
      <c r="Q1" s="381"/>
      <c r="R1" s="382"/>
      <c r="S1" s="383"/>
      <c r="T1" s="383"/>
      <c r="U1" s="383"/>
      <c r="V1" s="383"/>
      <c r="W1" s="383"/>
      <c r="X1" s="383"/>
      <c r="Y1" s="383"/>
      <c r="Z1" s="383"/>
      <c r="AA1" s="383"/>
      <c r="AB1" s="383"/>
      <c r="AC1" s="383"/>
      <c r="AD1" s="383"/>
      <c r="AE1" s="383"/>
      <c r="AF1" s="383"/>
      <c r="AG1" s="383"/>
      <c r="AH1" s="383"/>
      <c r="AI1" s="383"/>
      <c r="AJ1" s="375"/>
      <c r="AK1" s="375"/>
      <c r="AL1" s="375"/>
      <c r="AM1" s="375"/>
    </row>
    <row r="2" spans="1:43" x14ac:dyDescent="0.25">
      <c r="A2" s="384"/>
      <c r="B2" s="384"/>
      <c r="C2" s="384"/>
      <c r="D2" s="384"/>
      <c r="E2" s="5" t="s">
        <v>7</v>
      </c>
      <c r="F2" t="s">
        <v>90</v>
      </c>
      <c r="J2" s="13"/>
      <c r="K2" s="385"/>
      <c r="L2" s="385"/>
      <c r="M2" s="13"/>
      <c r="N2" s="13"/>
      <c r="O2" s="13"/>
      <c r="P2" s="13"/>
      <c r="Q2" s="386"/>
      <c r="R2" s="386"/>
      <c r="S2" s="386"/>
      <c r="T2" s="386"/>
      <c r="U2" s="386"/>
      <c r="V2" s="386"/>
      <c r="W2" s="386"/>
      <c r="X2" s="386"/>
      <c r="Y2" s="386"/>
      <c r="Z2" s="386"/>
      <c r="AA2" s="386"/>
      <c r="AB2" s="386"/>
      <c r="AC2" s="386"/>
      <c r="AD2" s="386"/>
      <c r="AE2" s="386"/>
      <c r="AF2" s="386"/>
      <c r="AG2" s="386"/>
      <c r="AH2" s="386"/>
      <c r="AI2" s="386"/>
      <c r="AJ2" s="386"/>
      <c r="AK2" s="386"/>
      <c r="AL2" s="386"/>
      <c r="AM2" s="386"/>
    </row>
    <row r="3" spans="1:43" x14ac:dyDescent="0.25">
      <c r="A3" s="384"/>
      <c r="B3" s="384"/>
      <c r="C3" s="384"/>
      <c r="D3" s="384"/>
      <c r="E3" s="12" t="s">
        <v>541</v>
      </c>
      <c r="F3" s="9" t="s">
        <v>91</v>
      </c>
      <c r="J3" s="13"/>
      <c r="K3" s="385"/>
      <c r="L3" s="385"/>
      <c r="M3" s="13"/>
      <c r="N3" s="13"/>
      <c r="O3" s="13"/>
      <c r="P3" s="13"/>
      <c r="Q3" s="386"/>
      <c r="R3" s="386"/>
      <c r="S3" s="386"/>
      <c r="T3" s="386"/>
      <c r="U3" s="386"/>
      <c r="V3" s="386"/>
      <c r="W3" s="386"/>
      <c r="X3" s="386"/>
      <c r="Y3" s="386"/>
      <c r="Z3" s="386"/>
      <c r="AA3" s="386"/>
      <c r="AB3" s="386"/>
      <c r="AC3" s="386"/>
      <c r="AD3" s="386"/>
      <c r="AE3" s="386"/>
      <c r="AF3" s="386"/>
      <c r="AG3" s="386"/>
      <c r="AH3" s="386"/>
      <c r="AI3" s="386"/>
      <c r="AJ3" s="386"/>
      <c r="AK3" s="386"/>
      <c r="AL3" s="386"/>
      <c r="AM3" s="386"/>
    </row>
    <row r="4" spans="1:43" x14ac:dyDescent="0.25">
      <c r="A4" s="384"/>
      <c r="B4" s="384"/>
      <c r="C4" s="384"/>
      <c r="D4" s="384"/>
    </row>
    <row r="5" spans="1:43" x14ac:dyDescent="0.25">
      <c r="A5" s="384"/>
      <c r="B5" s="384"/>
      <c r="C5" s="384"/>
      <c r="D5" s="384"/>
      <c r="E5" s="387" t="s">
        <v>793</v>
      </c>
      <c r="F5" s="387"/>
      <c r="G5" s="387"/>
      <c r="H5" s="387"/>
      <c r="I5" s="387"/>
      <c r="J5" s="387"/>
      <c r="K5" s="388"/>
      <c r="L5" s="388"/>
      <c r="M5" s="389"/>
      <c r="N5" s="389"/>
      <c r="O5" s="389"/>
      <c r="P5" s="389"/>
      <c r="AN5" s="375"/>
      <c r="AO5" s="375"/>
      <c r="AP5" s="375"/>
      <c r="AQ5" s="375"/>
    </row>
    <row r="6" spans="1:43" ht="30" x14ac:dyDescent="0.25">
      <c r="A6" s="384"/>
      <c r="B6" s="384"/>
      <c r="C6" s="384"/>
      <c r="D6" s="384"/>
      <c r="E6" s="363" t="s">
        <v>765</v>
      </c>
      <c r="F6" s="390" t="s">
        <v>85</v>
      </c>
      <c r="G6" s="390" t="s">
        <v>794</v>
      </c>
      <c r="H6" s="390" t="s">
        <v>795</v>
      </c>
      <c r="I6" s="390" t="s">
        <v>796</v>
      </c>
      <c r="J6" s="390" t="s">
        <v>85</v>
      </c>
      <c r="K6" s="391" t="s">
        <v>797</v>
      </c>
      <c r="L6" s="392" t="s">
        <v>798</v>
      </c>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row>
    <row r="7" spans="1:43" x14ac:dyDescent="0.25">
      <c r="A7" s="384"/>
      <c r="B7" s="384"/>
      <c r="C7" s="384"/>
      <c r="D7" s="384"/>
      <c r="E7" s="12" t="s">
        <v>799</v>
      </c>
      <c r="F7" s="12"/>
      <c r="G7" s="12"/>
      <c r="H7" s="12"/>
      <c r="I7" s="12"/>
      <c r="J7" s="12"/>
      <c r="K7" s="393"/>
      <c r="L7" s="393"/>
      <c r="M7" s="394"/>
      <c r="N7" s="394"/>
      <c r="O7" s="394"/>
      <c r="P7" s="394"/>
      <c r="Q7" s="394"/>
      <c r="R7" s="394"/>
      <c r="S7" s="394"/>
      <c r="T7" s="394"/>
      <c r="U7" s="394"/>
      <c r="V7" s="394"/>
      <c r="W7" s="394"/>
      <c r="X7" s="394"/>
      <c r="Y7" s="394"/>
      <c r="Z7" s="394"/>
      <c r="AA7" s="394"/>
      <c r="AB7" s="394"/>
      <c r="AC7" s="394"/>
      <c r="AD7" s="394"/>
      <c r="AE7" s="394"/>
      <c r="AF7" s="394"/>
      <c r="AG7" s="394"/>
      <c r="AH7" s="394"/>
      <c r="AI7" s="394"/>
      <c r="AJ7" s="9"/>
      <c r="AK7" s="9"/>
      <c r="AL7" s="9"/>
      <c r="AM7" s="9"/>
    </row>
    <row r="8" spans="1:43" x14ac:dyDescent="0.25">
      <c r="A8" s="395" t="s">
        <v>103</v>
      </c>
      <c r="B8" s="384" t="s">
        <v>104</v>
      </c>
      <c r="C8" s="384" t="s">
        <v>800</v>
      </c>
      <c r="D8" s="384"/>
      <c r="E8" s="9" t="s">
        <v>103</v>
      </c>
      <c r="F8" s="9" t="s">
        <v>104</v>
      </c>
      <c r="G8" s="9" t="s">
        <v>801</v>
      </c>
      <c r="H8" s="9">
        <v>2020</v>
      </c>
      <c r="I8" t="s">
        <v>125</v>
      </c>
      <c r="J8" t="s">
        <v>350</v>
      </c>
      <c r="K8" s="396">
        <v>25</v>
      </c>
      <c r="L8" s="397">
        <v>0.9</v>
      </c>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row>
    <row r="9" spans="1:43" x14ac:dyDescent="0.25">
      <c r="A9" s="395" t="s">
        <v>103</v>
      </c>
      <c r="B9" s="384" t="s">
        <v>104</v>
      </c>
      <c r="C9" s="384" t="s">
        <v>800</v>
      </c>
      <c r="D9" s="384"/>
      <c r="F9" s="9" t="s">
        <v>104</v>
      </c>
      <c r="H9" s="9">
        <v>2020</v>
      </c>
      <c r="I9" s="9" t="s">
        <v>766</v>
      </c>
      <c r="J9" s="9" t="s">
        <v>767</v>
      </c>
      <c r="K9" s="396">
        <v>25</v>
      </c>
      <c r="L9" s="397">
        <v>0.9</v>
      </c>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row>
    <row r="10" spans="1:43" x14ac:dyDescent="0.25">
      <c r="A10" s="395" t="s">
        <v>103</v>
      </c>
      <c r="B10" s="384" t="s">
        <v>104</v>
      </c>
      <c r="C10" s="384" t="s">
        <v>800</v>
      </c>
      <c r="D10" s="384"/>
      <c r="F10" s="9" t="s">
        <v>104</v>
      </c>
      <c r="H10" s="9">
        <v>2020</v>
      </c>
      <c r="I10" s="9" t="s">
        <v>129</v>
      </c>
      <c r="J10" s="9" t="s">
        <v>768</v>
      </c>
      <c r="K10" s="396">
        <v>25</v>
      </c>
      <c r="L10" s="397">
        <v>0.9</v>
      </c>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row>
    <row r="11" spans="1:43" x14ac:dyDescent="0.25">
      <c r="A11" s="395" t="s">
        <v>103</v>
      </c>
      <c r="B11" s="384" t="s">
        <v>104</v>
      </c>
      <c r="C11" s="384" t="s">
        <v>800</v>
      </c>
      <c r="D11" s="384"/>
      <c r="F11" s="9" t="s">
        <v>104</v>
      </c>
      <c r="H11" s="9">
        <v>2020</v>
      </c>
      <c r="I11" t="s">
        <v>769</v>
      </c>
      <c r="J11" t="s">
        <v>770</v>
      </c>
      <c r="K11" s="396">
        <v>25</v>
      </c>
      <c r="L11" s="397">
        <v>0.9</v>
      </c>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row>
    <row r="12" spans="1:43" x14ac:dyDescent="0.25">
      <c r="A12" s="395" t="s">
        <v>103</v>
      </c>
      <c r="B12" s="384" t="s">
        <v>104</v>
      </c>
      <c r="C12" s="384" t="s">
        <v>800</v>
      </c>
      <c r="D12" s="384"/>
      <c r="F12" s="9" t="s">
        <v>104</v>
      </c>
      <c r="H12" s="9">
        <v>2020</v>
      </c>
      <c r="I12" s="9" t="s">
        <v>771</v>
      </c>
      <c r="J12" s="9" t="s">
        <v>331</v>
      </c>
      <c r="K12" s="396">
        <v>25</v>
      </c>
      <c r="L12" s="397">
        <v>0.9</v>
      </c>
      <c r="M12" s="398"/>
      <c r="N12" s="398"/>
      <c r="O12" s="398"/>
      <c r="P12" s="398"/>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row>
    <row r="13" spans="1:43" x14ac:dyDescent="0.25">
      <c r="A13" s="395" t="s">
        <v>103</v>
      </c>
      <c r="B13" s="384" t="s">
        <v>104</v>
      </c>
      <c r="C13" s="384" t="s">
        <v>800</v>
      </c>
      <c r="D13" s="384"/>
      <c r="F13" s="9" t="s">
        <v>104</v>
      </c>
      <c r="H13" s="9">
        <v>2020</v>
      </c>
      <c r="I13" s="9" t="s">
        <v>116</v>
      </c>
      <c r="J13" s="9" t="s">
        <v>772</v>
      </c>
      <c r="K13" s="396">
        <v>25</v>
      </c>
      <c r="L13" s="397">
        <v>0.9</v>
      </c>
      <c r="M13" s="398"/>
      <c r="N13" s="398"/>
      <c r="O13" s="398"/>
      <c r="P13" s="398"/>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c r="AN13" s="398"/>
      <c r="AO13" s="398"/>
      <c r="AP13" s="398"/>
      <c r="AQ13" s="398"/>
    </row>
    <row r="14" spans="1:43" x14ac:dyDescent="0.25">
      <c r="A14" s="395" t="s">
        <v>103</v>
      </c>
      <c r="B14" s="384" t="s">
        <v>104</v>
      </c>
      <c r="C14" s="384" t="s">
        <v>802</v>
      </c>
      <c r="D14" s="384"/>
      <c r="E14" s="9" t="s">
        <v>103</v>
      </c>
      <c r="F14" s="9" t="s">
        <v>104</v>
      </c>
      <c r="G14" s="9" t="s">
        <v>803</v>
      </c>
      <c r="H14" s="9">
        <v>2025</v>
      </c>
      <c r="I14" t="s">
        <v>125</v>
      </c>
      <c r="J14" t="s">
        <v>350</v>
      </c>
      <c r="K14" s="396">
        <v>25</v>
      </c>
      <c r="L14" s="397">
        <v>0.9</v>
      </c>
      <c r="M14" s="398"/>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row>
    <row r="15" spans="1:43" x14ac:dyDescent="0.25">
      <c r="A15" s="395" t="s">
        <v>103</v>
      </c>
      <c r="B15" s="384" t="s">
        <v>104</v>
      </c>
      <c r="C15" s="384" t="s">
        <v>802</v>
      </c>
      <c r="D15" s="384"/>
      <c r="F15" s="9" t="s">
        <v>104</v>
      </c>
      <c r="H15" s="9">
        <v>2025</v>
      </c>
      <c r="I15" s="9" t="s">
        <v>766</v>
      </c>
      <c r="J15" s="9" t="s">
        <v>767</v>
      </c>
      <c r="K15" s="396">
        <v>25</v>
      </c>
      <c r="L15" s="397">
        <v>0.9</v>
      </c>
      <c r="M15" s="398"/>
      <c r="N15" s="398"/>
      <c r="O15" s="398"/>
      <c r="P15" s="398"/>
      <c r="Q15" s="398"/>
      <c r="R15" s="398"/>
      <c r="S15" s="398"/>
      <c r="T15" s="398"/>
      <c r="U15" s="398"/>
      <c r="V15" s="398"/>
      <c r="W15" s="398"/>
      <c r="X15" s="398"/>
      <c r="Y15" s="398"/>
      <c r="Z15" s="398"/>
      <c r="AA15" s="398"/>
      <c r="AB15" s="398"/>
      <c r="AC15" s="398"/>
      <c r="AD15" s="398"/>
      <c r="AE15" s="398"/>
      <c r="AF15" s="398"/>
      <c r="AG15" s="398"/>
      <c r="AH15" s="398"/>
      <c r="AI15" s="398"/>
      <c r="AJ15" s="398"/>
      <c r="AK15" s="398"/>
      <c r="AL15" s="398"/>
      <c r="AM15" s="398"/>
      <c r="AN15" s="398"/>
      <c r="AO15" s="398"/>
      <c r="AP15" s="398"/>
      <c r="AQ15" s="398"/>
    </row>
    <row r="16" spans="1:43" x14ac:dyDescent="0.25">
      <c r="A16" s="395" t="s">
        <v>103</v>
      </c>
      <c r="B16" s="384" t="s">
        <v>104</v>
      </c>
      <c r="C16" s="384" t="s">
        <v>802</v>
      </c>
      <c r="D16" s="384"/>
      <c r="F16" s="9" t="s">
        <v>104</v>
      </c>
      <c r="H16" s="9">
        <v>2025</v>
      </c>
      <c r="I16" s="9" t="s">
        <v>129</v>
      </c>
      <c r="J16" s="9" t="s">
        <v>768</v>
      </c>
      <c r="K16" s="396">
        <v>25</v>
      </c>
      <c r="L16" s="397">
        <v>0.9</v>
      </c>
      <c r="M16" s="398"/>
      <c r="N16" s="398"/>
      <c r="O16" s="398"/>
      <c r="P16" s="398"/>
      <c r="Q16" s="398"/>
      <c r="R16" s="398"/>
      <c r="S16" s="398"/>
      <c r="T16" s="398"/>
      <c r="U16" s="398"/>
      <c r="V16" s="398"/>
      <c r="W16" s="398"/>
      <c r="X16" s="398"/>
      <c r="Y16" s="398"/>
      <c r="Z16" s="398"/>
      <c r="AA16" s="398"/>
      <c r="AB16" s="398"/>
      <c r="AC16" s="398"/>
      <c r="AD16" s="398"/>
      <c r="AE16" s="398"/>
      <c r="AF16" s="398"/>
      <c r="AG16" s="398"/>
      <c r="AH16" s="398"/>
      <c r="AI16" s="398"/>
      <c r="AJ16" s="398"/>
      <c r="AK16" s="398"/>
      <c r="AL16" s="398"/>
      <c r="AM16" s="398"/>
      <c r="AN16" s="398"/>
      <c r="AO16" s="398"/>
      <c r="AP16" s="398"/>
      <c r="AQ16" s="398"/>
    </row>
    <row r="17" spans="1:43" x14ac:dyDescent="0.25">
      <c r="A17" s="395" t="s">
        <v>103</v>
      </c>
      <c r="B17" s="384" t="s">
        <v>104</v>
      </c>
      <c r="C17" s="384" t="s">
        <v>802</v>
      </c>
      <c r="D17" s="384"/>
      <c r="F17" s="9" t="s">
        <v>104</v>
      </c>
      <c r="H17" s="9">
        <v>2025</v>
      </c>
      <c r="I17" t="s">
        <v>769</v>
      </c>
      <c r="J17" t="s">
        <v>770</v>
      </c>
      <c r="K17" s="396">
        <v>25</v>
      </c>
      <c r="L17" s="397">
        <v>0.9</v>
      </c>
      <c r="M17" s="398"/>
      <c r="N17" s="398"/>
      <c r="O17" s="398"/>
      <c r="P17" s="398"/>
      <c r="Q17" s="398"/>
      <c r="R17" s="398"/>
      <c r="S17" s="398"/>
      <c r="T17" s="398"/>
      <c r="U17" s="398"/>
      <c r="V17" s="398"/>
      <c r="W17" s="398"/>
      <c r="X17" s="398"/>
      <c r="Y17" s="398"/>
      <c r="Z17" s="398"/>
      <c r="AA17" s="398"/>
      <c r="AB17" s="398"/>
      <c r="AC17" s="398"/>
      <c r="AD17" s="398"/>
      <c r="AE17" s="398"/>
      <c r="AF17" s="398"/>
      <c r="AG17" s="398"/>
      <c r="AH17" s="398"/>
      <c r="AI17" s="398"/>
      <c r="AJ17" s="398"/>
      <c r="AK17" s="398"/>
      <c r="AL17" s="398"/>
      <c r="AM17" s="398"/>
      <c r="AN17" s="398"/>
      <c r="AO17" s="398"/>
      <c r="AP17" s="398"/>
      <c r="AQ17" s="398"/>
    </row>
    <row r="18" spans="1:43" x14ac:dyDescent="0.25">
      <c r="A18" s="395" t="s">
        <v>103</v>
      </c>
      <c r="B18" s="384" t="s">
        <v>104</v>
      </c>
      <c r="C18" s="384" t="s">
        <v>802</v>
      </c>
      <c r="D18" s="384"/>
      <c r="F18" s="9" t="s">
        <v>104</v>
      </c>
      <c r="H18" s="9">
        <v>2025</v>
      </c>
      <c r="I18" s="9" t="s">
        <v>771</v>
      </c>
      <c r="J18" s="9" t="s">
        <v>331</v>
      </c>
      <c r="K18" s="396">
        <v>25</v>
      </c>
      <c r="L18" s="397">
        <v>0.9</v>
      </c>
      <c r="M18" s="398"/>
      <c r="N18" s="398"/>
      <c r="O18" s="398"/>
      <c r="P18" s="398"/>
      <c r="Q18" s="398"/>
      <c r="R18" s="398"/>
      <c r="S18" s="398"/>
      <c r="T18" s="398"/>
      <c r="U18" s="398"/>
      <c r="V18" s="398"/>
      <c r="W18" s="398"/>
      <c r="X18" s="398"/>
      <c r="Y18" s="398"/>
      <c r="Z18" s="398"/>
      <c r="AA18" s="398"/>
      <c r="AB18" s="398"/>
      <c r="AC18" s="398"/>
      <c r="AD18" s="398"/>
      <c r="AE18" s="398"/>
      <c r="AF18" s="398"/>
      <c r="AG18" s="398"/>
      <c r="AH18" s="398"/>
      <c r="AI18" s="398"/>
      <c r="AJ18" s="398"/>
      <c r="AK18" s="398"/>
      <c r="AL18" s="398"/>
      <c r="AM18" s="398"/>
      <c r="AN18" s="398"/>
      <c r="AO18" s="398"/>
      <c r="AP18" s="398"/>
      <c r="AQ18" s="398"/>
    </row>
    <row r="19" spans="1:43" x14ac:dyDescent="0.25">
      <c r="A19" s="395" t="s">
        <v>103</v>
      </c>
      <c r="B19" s="384" t="s">
        <v>104</v>
      </c>
      <c r="C19" s="384" t="s">
        <v>802</v>
      </c>
      <c r="D19" s="384"/>
      <c r="F19" s="9" t="s">
        <v>104</v>
      </c>
      <c r="H19" s="9">
        <v>2025</v>
      </c>
      <c r="I19" s="9" t="s">
        <v>116</v>
      </c>
      <c r="J19" s="9" t="s">
        <v>772</v>
      </c>
      <c r="K19" s="396">
        <v>25</v>
      </c>
      <c r="L19" s="397">
        <v>0.9</v>
      </c>
      <c r="M19" s="398"/>
      <c r="N19" s="398"/>
      <c r="O19" s="398"/>
      <c r="P19" s="398"/>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c r="AQ19" s="398"/>
    </row>
    <row r="20" spans="1:43" x14ac:dyDescent="0.25">
      <c r="A20" s="395" t="s">
        <v>103</v>
      </c>
      <c r="B20" s="384" t="s">
        <v>104</v>
      </c>
      <c r="C20" s="384" t="s">
        <v>804</v>
      </c>
      <c r="D20" s="384"/>
      <c r="E20" s="9" t="s">
        <v>103</v>
      </c>
      <c r="F20" s="9" t="s">
        <v>104</v>
      </c>
      <c r="G20" s="9" t="s">
        <v>805</v>
      </c>
      <c r="H20" s="9">
        <v>2030</v>
      </c>
      <c r="I20" t="s">
        <v>125</v>
      </c>
      <c r="J20" t="s">
        <v>350</v>
      </c>
      <c r="K20" s="396">
        <v>25</v>
      </c>
      <c r="L20" s="397">
        <v>0.9</v>
      </c>
      <c r="M20" s="398"/>
      <c r="N20" s="398"/>
      <c r="O20" s="398"/>
      <c r="P20" s="398"/>
      <c r="Q20" s="398"/>
      <c r="R20" s="398"/>
      <c r="S20" s="398"/>
      <c r="T20" s="398"/>
      <c r="U20" s="398"/>
      <c r="V20" s="398"/>
      <c r="W20" s="398"/>
      <c r="X20" s="398"/>
      <c r="Y20" s="398"/>
      <c r="Z20" s="398"/>
      <c r="AA20" s="398"/>
      <c r="AB20" s="398"/>
      <c r="AC20" s="398"/>
      <c r="AD20" s="398"/>
      <c r="AE20" s="398"/>
      <c r="AF20" s="398"/>
      <c r="AG20" s="398"/>
      <c r="AH20" s="398"/>
      <c r="AI20" s="398"/>
      <c r="AJ20" s="398"/>
      <c r="AK20" s="398"/>
      <c r="AL20" s="398"/>
      <c r="AM20" s="398"/>
      <c r="AN20" s="398"/>
      <c r="AO20" s="398"/>
      <c r="AP20" s="398"/>
      <c r="AQ20" s="398"/>
    </row>
    <row r="21" spans="1:43" x14ac:dyDescent="0.25">
      <c r="A21" s="395" t="s">
        <v>103</v>
      </c>
      <c r="B21" s="384" t="s">
        <v>104</v>
      </c>
      <c r="C21" s="384" t="s">
        <v>804</v>
      </c>
      <c r="D21" s="384"/>
      <c r="F21" s="9" t="s">
        <v>104</v>
      </c>
      <c r="H21" s="9">
        <v>2030</v>
      </c>
      <c r="I21" s="9" t="s">
        <v>766</v>
      </c>
      <c r="J21" s="9" t="s">
        <v>767</v>
      </c>
      <c r="K21" s="396">
        <v>25</v>
      </c>
      <c r="L21" s="397">
        <v>0.9</v>
      </c>
      <c r="M21" s="398"/>
      <c r="N21" s="398"/>
      <c r="O21" s="398"/>
      <c r="P21" s="398"/>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398"/>
      <c r="AQ21" s="398"/>
    </row>
    <row r="22" spans="1:43" x14ac:dyDescent="0.25">
      <c r="A22" s="395" t="s">
        <v>103</v>
      </c>
      <c r="B22" s="384" t="s">
        <v>104</v>
      </c>
      <c r="C22" s="384" t="s">
        <v>804</v>
      </c>
      <c r="D22" s="384"/>
      <c r="F22" s="9" t="s">
        <v>104</v>
      </c>
      <c r="H22" s="9">
        <v>2030</v>
      </c>
      <c r="I22" s="9" t="s">
        <v>129</v>
      </c>
      <c r="J22" s="9" t="s">
        <v>768</v>
      </c>
      <c r="K22" s="396">
        <v>25</v>
      </c>
      <c r="L22" s="397">
        <v>0.9</v>
      </c>
      <c r="M22" s="398"/>
      <c r="N22" s="398"/>
      <c r="O22" s="398"/>
      <c r="P22" s="398"/>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row>
    <row r="23" spans="1:43" x14ac:dyDescent="0.25">
      <c r="A23" s="395" t="s">
        <v>103</v>
      </c>
      <c r="B23" s="384" t="s">
        <v>104</v>
      </c>
      <c r="C23" s="384" t="s">
        <v>804</v>
      </c>
      <c r="D23" s="384"/>
      <c r="F23" s="9" t="s">
        <v>104</v>
      </c>
      <c r="H23" s="9">
        <v>2030</v>
      </c>
      <c r="I23" t="s">
        <v>769</v>
      </c>
      <c r="J23" t="s">
        <v>770</v>
      </c>
      <c r="K23" s="396">
        <v>25</v>
      </c>
      <c r="L23" s="397">
        <v>0.9</v>
      </c>
      <c r="M23" s="398"/>
      <c r="N23" s="398"/>
      <c r="O23" s="398"/>
      <c r="P23" s="398"/>
      <c r="Q23" s="398"/>
      <c r="R23" s="398"/>
      <c r="S23" s="398"/>
      <c r="T23" s="398"/>
      <c r="U23" s="398"/>
      <c r="V23" s="398"/>
      <c r="W23" s="398"/>
      <c r="X23" s="398"/>
      <c r="Y23" s="398"/>
      <c r="Z23" s="398"/>
      <c r="AA23" s="398"/>
      <c r="AB23" s="398"/>
      <c r="AC23" s="398"/>
      <c r="AD23" s="398"/>
      <c r="AE23" s="398"/>
      <c r="AF23" s="398"/>
      <c r="AG23" s="398"/>
      <c r="AH23" s="398"/>
      <c r="AI23" s="398"/>
      <c r="AJ23" s="398"/>
      <c r="AK23" s="398"/>
      <c r="AL23" s="398"/>
      <c r="AM23" s="398"/>
      <c r="AN23" s="398"/>
      <c r="AO23" s="398"/>
      <c r="AP23" s="398"/>
      <c r="AQ23" s="398"/>
    </row>
    <row r="24" spans="1:43" x14ac:dyDescent="0.25">
      <c r="A24" s="395" t="s">
        <v>103</v>
      </c>
      <c r="B24" s="384" t="s">
        <v>104</v>
      </c>
      <c r="C24" s="384" t="s">
        <v>804</v>
      </c>
      <c r="D24" s="384"/>
      <c r="F24" s="9" t="s">
        <v>104</v>
      </c>
      <c r="H24" s="9">
        <v>2030</v>
      </c>
      <c r="I24" s="9" t="s">
        <v>771</v>
      </c>
      <c r="J24" s="9" t="s">
        <v>331</v>
      </c>
      <c r="K24" s="396">
        <v>25</v>
      </c>
      <c r="L24" s="397">
        <v>0.9</v>
      </c>
      <c r="M24" s="398"/>
      <c r="N24" s="398"/>
      <c r="O24" s="398"/>
      <c r="P24" s="398"/>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c r="AQ24" s="398"/>
    </row>
    <row r="25" spans="1:43" x14ac:dyDescent="0.25">
      <c r="A25" s="395" t="s">
        <v>103</v>
      </c>
      <c r="B25" s="384" t="s">
        <v>104</v>
      </c>
      <c r="C25" s="384" t="s">
        <v>804</v>
      </c>
      <c r="D25" s="384"/>
      <c r="F25" s="9" t="s">
        <v>104</v>
      </c>
      <c r="H25" s="9">
        <v>2030</v>
      </c>
      <c r="I25" s="9" t="s">
        <v>116</v>
      </c>
      <c r="J25" s="9" t="s">
        <v>772</v>
      </c>
      <c r="K25" s="396">
        <v>25</v>
      </c>
      <c r="L25" s="397">
        <v>0.9</v>
      </c>
      <c r="M25" s="398"/>
      <c r="N25" s="398"/>
      <c r="O25" s="398"/>
      <c r="P25" s="398"/>
      <c r="Q25" s="398"/>
      <c r="R25" s="398"/>
      <c r="S25" s="398"/>
      <c r="T25" s="398"/>
      <c r="U25" s="398"/>
      <c r="V25" s="398"/>
      <c r="W25" s="398"/>
      <c r="X25" s="398"/>
      <c r="Y25" s="398"/>
      <c r="Z25" s="398"/>
      <c r="AA25" s="398"/>
      <c r="AB25" s="398"/>
      <c r="AC25" s="398"/>
      <c r="AD25" s="398"/>
      <c r="AE25" s="398"/>
      <c r="AF25" s="398"/>
      <c r="AG25" s="398"/>
      <c r="AH25" s="398"/>
      <c r="AI25" s="398"/>
      <c r="AJ25" s="398"/>
      <c r="AK25" s="398"/>
      <c r="AL25" s="398"/>
      <c r="AM25" s="398"/>
      <c r="AN25" s="398"/>
      <c r="AO25" s="398"/>
      <c r="AP25" s="398"/>
      <c r="AQ25" s="398"/>
    </row>
    <row r="26" spans="1:43" x14ac:dyDescent="0.25">
      <c r="A26" s="395" t="s">
        <v>103</v>
      </c>
      <c r="B26" s="384" t="s">
        <v>104</v>
      </c>
      <c r="C26" s="384" t="s">
        <v>804</v>
      </c>
      <c r="D26" s="384"/>
      <c r="F26" s="9" t="s">
        <v>104</v>
      </c>
      <c r="H26" s="9">
        <v>2030</v>
      </c>
      <c r="I26" s="9" t="s">
        <v>140</v>
      </c>
      <c r="J26" s="9" t="s">
        <v>806</v>
      </c>
      <c r="K26" s="396">
        <v>25</v>
      </c>
      <c r="L26" s="397">
        <v>0.9</v>
      </c>
      <c r="M26" s="398"/>
      <c r="N26" s="398"/>
      <c r="O26" s="398"/>
      <c r="P26" s="398"/>
      <c r="Q26" s="398"/>
      <c r="R26" s="398"/>
      <c r="S26" s="398"/>
      <c r="T26" s="398"/>
      <c r="U26" s="398"/>
      <c r="V26" s="398"/>
      <c r="W26" s="398"/>
      <c r="X26" s="398"/>
      <c r="Y26" s="398"/>
      <c r="Z26" s="398"/>
      <c r="AA26" s="398"/>
      <c r="AB26" s="398"/>
      <c r="AC26" s="398"/>
      <c r="AD26" s="398"/>
      <c r="AE26" s="398"/>
      <c r="AF26" s="398"/>
      <c r="AG26" s="398"/>
      <c r="AH26" s="398"/>
      <c r="AI26" s="398"/>
      <c r="AJ26" s="398"/>
      <c r="AK26" s="398"/>
      <c r="AL26" s="398"/>
      <c r="AM26" s="398"/>
      <c r="AN26" s="398"/>
      <c r="AO26" s="398"/>
      <c r="AP26" s="398"/>
      <c r="AQ26" s="398"/>
    </row>
    <row r="27" spans="1:43" x14ac:dyDescent="0.25">
      <c r="A27" s="395" t="s">
        <v>105</v>
      </c>
      <c r="B27" s="384" t="s">
        <v>106</v>
      </c>
      <c r="C27" s="384" t="s">
        <v>800</v>
      </c>
      <c r="D27" s="384"/>
      <c r="E27" s="70" t="s">
        <v>105</v>
      </c>
      <c r="F27" s="70" t="s">
        <v>106</v>
      </c>
      <c r="G27" s="70" t="s">
        <v>801</v>
      </c>
      <c r="H27" s="70">
        <v>2020</v>
      </c>
      <c r="I27" s="215" t="s">
        <v>125</v>
      </c>
      <c r="J27" s="215" t="s">
        <v>350</v>
      </c>
      <c r="K27" s="399">
        <v>25</v>
      </c>
      <c r="L27" s="400">
        <v>0.9</v>
      </c>
      <c r="M27" s="398"/>
      <c r="N27" s="398"/>
      <c r="O27" s="398"/>
      <c r="P27" s="398"/>
      <c r="Q27" s="398"/>
      <c r="R27" s="398"/>
      <c r="S27" s="398"/>
      <c r="T27" s="398"/>
      <c r="U27" s="398"/>
      <c r="V27" s="398"/>
      <c r="W27" s="398"/>
      <c r="X27" s="398"/>
      <c r="Y27" s="398"/>
      <c r="Z27" s="398"/>
      <c r="AA27" s="398"/>
      <c r="AB27" s="398"/>
      <c r="AC27" s="398"/>
      <c r="AD27" s="398"/>
      <c r="AE27" s="398"/>
      <c r="AF27" s="398"/>
      <c r="AG27" s="398"/>
      <c r="AH27" s="398"/>
      <c r="AI27" s="398"/>
      <c r="AJ27" s="398"/>
      <c r="AK27" s="398"/>
      <c r="AL27" s="398"/>
      <c r="AM27" s="398"/>
      <c r="AN27" s="398"/>
      <c r="AO27" s="398"/>
      <c r="AP27" s="398"/>
      <c r="AQ27" s="398"/>
    </row>
    <row r="28" spans="1:43" x14ac:dyDescent="0.25">
      <c r="A28" s="395" t="s">
        <v>105</v>
      </c>
      <c r="B28" s="384" t="s">
        <v>106</v>
      </c>
      <c r="C28" s="384" t="s">
        <v>800</v>
      </c>
      <c r="D28" s="384"/>
      <c r="F28" s="9" t="s">
        <v>106</v>
      </c>
      <c r="H28" s="9">
        <v>2020</v>
      </c>
      <c r="I28" s="9" t="s">
        <v>766</v>
      </c>
      <c r="J28" s="9" t="s">
        <v>767</v>
      </c>
      <c r="K28" s="401">
        <v>25</v>
      </c>
      <c r="L28" s="367">
        <v>0.9</v>
      </c>
      <c r="M28" s="398"/>
      <c r="N28" s="398"/>
      <c r="O28" s="398"/>
      <c r="P28" s="398"/>
      <c r="Q28" s="398"/>
      <c r="R28" s="398"/>
      <c r="S28" s="398"/>
      <c r="T28" s="398"/>
      <c r="U28" s="398"/>
      <c r="V28" s="398"/>
      <c r="W28" s="398"/>
      <c r="X28" s="398"/>
      <c r="Y28" s="398"/>
      <c r="Z28" s="398"/>
      <c r="AA28" s="398"/>
      <c r="AB28" s="398"/>
      <c r="AC28" s="398"/>
      <c r="AD28" s="398"/>
      <c r="AE28" s="398"/>
      <c r="AF28" s="398"/>
      <c r="AG28" s="398"/>
      <c r="AH28" s="398"/>
      <c r="AI28" s="398"/>
      <c r="AJ28" s="398"/>
      <c r="AK28" s="398"/>
      <c r="AL28" s="398"/>
      <c r="AM28" s="398"/>
      <c r="AN28" s="398"/>
      <c r="AO28" s="398"/>
      <c r="AP28" s="398"/>
      <c r="AQ28" s="398"/>
    </row>
    <row r="29" spans="1:43" x14ac:dyDescent="0.25">
      <c r="A29" s="395" t="s">
        <v>105</v>
      </c>
      <c r="B29" s="384" t="s">
        <v>106</v>
      </c>
      <c r="C29" s="384" t="s">
        <v>800</v>
      </c>
      <c r="D29" s="384"/>
      <c r="F29" s="9" t="s">
        <v>106</v>
      </c>
      <c r="H29" s="9">
        <v>2020</v>
      </c>
      <c r="I29" s="9" t="s">
        <v>129</v>
      </c>
      <c r="J29" s="9" t="s">
        <v>768</v>
      </c>
      <c r="K29" s="401">
        <v>25</v>
      </c>
      <c r="L29" s="367">
        <v>0.9</v>
      </c>
      <c r="M29" s="398"/>
      <c r="N29" s="398"/>
      <c r="O29" s="398"/>
      <c r="P29" s="398"/>
      <c r="Q29" s="398"/>
      <c r="R29" s="398"/>
      <c r="S29" s="398"/>
      <c r="T29" s="398"/>
      <c r="U29" s="398"/>
      <c r="V29" s="398"/>
      <c r="W29" s="398"/>
      <c r="X29" s="398"/>
      <c r="Y29" s="398"/>
      <c r="Z29" s="398"/>
      <c r="AA29" s="398"/>
      <c r="AB29" s="398"/>
      <c r="AC29" s="398"/>
      <c r="AD29" s="398"/>
      <c r="AE29" s="398"/>
      <c r="AF29" s="398"/>
      <c r="AG29" s="398"/>
      <c r="AH29" s="398"/>
      <c r="AI29" s="398"/>
      <c r="AJ29" s="398"/>
      <c r="AK29" s="398"/>
      <c r="AL29" s="398"/>
      <c r="AM29" s="398"/>
      <c r="AN29" s="398"/>
      <c r="AO29" s="398"/>
      <c r="AP29" s="398"/>
      <c r="AQ29" s="398"/>
    </row>
    <row r="30" spans="1:43" x14ac:dyDescent="0.25">
      <c r="A30" s="395" t="s">
        <v>105</v>
      </c>
      <c r="B30" s="384" t="s">
        <v>106</v>
      </c>
      <c r="C30" s="384" t="s">
        <v>800</v>
      </c>
      <c r="D30" s="384"/>
      <c r="F30" s="9" t="s">
        <v>106</v>
      </c>
      <c r="H30" s="9">
        <v>2020</v>
      </c>
      <c r="I30" t="s">
        <v>769</v>
      </c>
      <c r="J30" t="s">
        <v>770</v>
      </c>
      <c r="K30" s="396">
        <v>25</v>
      </c>
      <c r="L30" s="397">
        <v>0.9</v>
      </c>
      <c r="M30" s="398"/>
      <c r="N30" s="398"/>
      <c r="O30" s="398"/>
      <c r="P30" s="398"/>
      <c r="Q30" s="398"/>
      <c r="R30" s="398"/>
      <c r="S30" s="398"/>
      <c r="T30" s="398"/>
      <c r="U30" s="398"/>
      <c r="V30" s="398"/>
      <c r="W30" s="398"/>
      <c r="X30" s="398"/>
      <c r="Y30" s="398"/>
      <c r="Z30" s="398"/>
      <c r="AA30" s="398"/>
      <c r="AB30" s="398"/>
      <c r="AC30" s="398"/>
      <c r="AD30" s="398"/>
      <c r="AE30" s="398"/>
      <c r="AF30" s="398"/>
      <c r="AG30" s="398"/>
      <c r="AH30" s="398"/>
      <c r="AI30" s="398"/>
      <c r="AJ30" s="398"/>
      <c r="AK30" s="398"/>
      <c r="AL30" s="398"/>
      <c r="AM30" s="398"/>
      <c r="AN30" s="398"/>
      <c r="AO30" s="398"/>
      <c r="AP30" s="398"/>
      <c r="AQ30" s="398"/>
    </row>
    <row r="31" spans="1:43" x14ac:dyDescent="0.25">
      <c r="A31" s="395" t="s">
        <v>105</v>
      </c>
      <c r="B31" s="384" t="s">
        <v>106</v>
      </c>
      <c r="C31" s="384" t="s">
        <v>800</v>
      </c>
      <c r="D31" s="384"/>
      <c r="F31" s="9" t="s">
        <v>106</v>
      </c>
      <c r="H31" s="9">
        <v>2020</v>
      </c>
      <c r="I31" s="9" t="s">
        <v>771</v>
      </c>
      <c r="J31" s="9" t="s">
        <v>331</v>
      </c>
      <c r="K31" s="401">
        <v>25</v>
      </c>
      <c r="L31" s="367">
        <v>0.9</v>
      </c>
      <c r="M31" s="398"/>
      <c r="N31" s="398"/>
      <c r="O31" s="398"/>
      <c r="P31" s="398"/>
      <c r="Q31" s="398"/>
      <c r="R31" s="398"/>
      <c r="S31" s="398"/>
      <c r="T31" s="398"/>
      <c r="U31" s="398"/>
      <c r="V31" s="398"/>
      <c r="W31" s="398"/>
      <c r="X31" s="398"/>
      <c r="Y31" s="398"/>
      <c r="Z31" s="398"/>
      <c r="AA31" s="398"/>
      <c r="AB31" s="398"/>
      <c r="AC31" s="398"/>
      <c r="AD31" s="398"/>
      <c r="AE31" s="398"/>
      <c r="AF31" s="398"/>
      <c r="AG31" s="398"/>
      <c r="AH31" s="398"/>
      <c r="AI31" s="398"/>
      <c r="AJ31" s="398"/>
      <c r="AK31" s="398"/>
      <c r="AL31" s="398"/>
      <c r="AM31" s="398"/>
      <c r="AN31" s="398"/>
      <c r="AO31" s="398"/>
      <c r="AP31" s="398"/>
      <c r="AQ31" s="398"/>
    </row>
    <row r="32" spans="1:43" x14ac:dyDescent="0.25">
      <c r="A32" s="395" t="s">
        <v>105</v>
      </c>
      <c r="B32" s="384" t="s">
        <v>106</v>
      </c>
      <c r="C32" s="384" t="s">
        <v>800</v>
      </c>
      <c r="D32" s="384"/>
      <c r="F32" s="9" t="s">
        <v>106</v>
      </c>
      <c r="H32" s="9">
        <v>2020</v>
      </c>
      <c r="I32" s="9" t="s">
        <v>116</v>
      </c>
      <c r="J32" s="9" t="s">
        <v>772</v>
      </c>
      <c r="K32" s="401">
        <v>25</v>
      </c>
      <c r="L32" s="367">
        <v>0.9</v>
      </c>
      <c r="M32" s="398"/>
      <c r="N32" s="398"/>
      <c r="O32" s="398"/>
      <c r="P32" s="398"/>
      <c r="Q32" s="398"/>
      <c r="R32" s="398"/>
      <c r="S32" s="398"/>
      <c r="T32" s="398"/>
      <c r="U32" s="398"/>
      <c r="V32" s="398"/>
      <c r="W32" s="398"/>
      <c r="X32" s="398"/>
      <c r="Y32" s="398"/>
      <c r="Z32" s="398"/>
      <c r="AA32" s="398"/>
      <c r="AB32" s="398"/>
      <c r="AC32" s="398"/>
      <c r="AD32" s="398"/>
      <c r="AE32" s="398"/>
      <c r="AF32" s="398"/>
      <c r="AG32" s="398"/>
      <c r="AH32" s="398"/>
      <c r="AI32" s="398"/>
      <c r="AJ32" s="398"/>
      <c r="AK32" s="398"/>
      <c r="AL32" s="398"/>
      <c r="AM32" s="398"/>
      <c r="AN32" s="398"/>
      <c r="AO32" s="398"/>
      <c r="AP32" s="398"/>
      <c r="AQ32" s="398"/>
    </row>
    <row r="33" spans="1:43" x14ac:dyDescent="0.25">
      <c r="A33" s="395" t="s">
        <v>105</v>
      </c>
      <c r="B33" s="384" t="s">
        <v>106</v>
      </c>
      <c r="C33" s="384" t="s">
        <v>802</v>
      </c>
      <c r="D33" s="384"/>
      <c r="E33" s="9" t="s">
        <v>105</v>
      </c>
      <c r="F33" s="9" t="s">
        <v>106</v>
      </c>
      <c r="G33" s="9" t="s">
        <v>803</v>
      </c>
      <c r="H33" s="9">
        <v>2025</v>
      </c>
      <c r="I33" t="s">
        <v>125</v>
      </c>
      <c r="J33" t="s">
        <v>350</v>
      </c>
      <c r="K33" s="396">
        <v>25</v>
      </c>
      <c r="L33" s="397">
        <v>0.9</v>
      </c>
      <c r="M33" s="398"/>
      <c r="N33" s="398"/>
      <c r="O33" s="398"/>
      <c r="P33" s="398"/>
      <c r="Q33" s="398"/>
      <c r="R33" s="398"/>
      <c r="S33" s="398"/>
      <c r="T33" s="398"/>
      <c r="U33" s="398"/>
      <c r="V33" s="398"/>
      <c r="W33" s="398"/>
      <c r="X33" s="398"/>
      <c r="Y33" s="398"/>
      <c r="Z33" s="398"/>
      <c r="AA33" s="398"/>
      <c r="AB33" s="398"/>
      <c r="AC33" s="398"/>
      <c r="AD33" s="398"/>
      <c r="AE33" s="398"/>
      <c r="AF33" s="398"/>
      <c r="AG33" s="398"/>
      <c r="AH33" s="398"/>
      <c r="AI33" s="398"/>
      <c r="AJ33" s="398"/>
      <c r="AK33" s="398"/>
      <c r="AL33" s="398"/>
      <c r="AM33" s="398"/>
      <c r="AN33" s="398"/>
      <c r="AO33" s="398"/>
      <c r="AP33" s="398"/>
      <c r="AQ33" s="398"/>
    </row>
    <row r="34" spans="1:43" x14ac:dyDescent="0.25">
      <c r="A34" s="395" t="s">
        <v>105</v>
      </c>
      <c r="B34" s="384" t="s">
        <v>106</v>
      </c>
      <c r="C34" s="384" t="s">
        <v>802</v>
      </c>
      <c r="D34" s="384"/>
      <c r="F34" s="9" t="s">
        <v>106</v>
      </c>
      <c r="H34" s="9">
        <v>2025</v>
      </c>
      <c r="I34" s="9" t="s">
        <v>766</v>
      </c>
      <c r="J34" s="9" t="s">
        <v>767</v>
      </c>
      <c r="K34" s="401">
        <v>25</v>
      </c>
      <c r="L34" s="367">
        <v>0.9</v>
      </c>
      <c r="M34" s="398"/>
      <c r="N34" s="398"/>
      <c r="O34" s="398"/>
      <c r="P34" s="398"/>
      <c r="Q34" s="398"/>
      <c r="R34" s="398"/>
      <c r="S34" s="398"/>
      <c r="T34" s="398"/>
      <c r="U34" s="398"/>
      <c r="V34" s="398"/>
      <c r="W34" s="398"/>
      <c r="X34" s="398"/>
      <c r="Y34" s="398"/>
      <c r="Z34" s="398"/>
      <c r="AA34" s="398"/>
      <c r="AB34" s="398"/>
      <c r="AC34" s="398"/>
      <c r="AD34" s="398"/>
      <c r="AE34" s="398"/>
      <c r="AF34" s="398"/>
      <c r="AG34" s="398"/>
      <c r="AH34" s="398"/>
      <c r="AI34" s="398"/>
      <c r="AJ34" s="398"/>
      <c r="AK34" s="398"/>
      <c r="AL34" s="398"/>
      <c r="AM34" s="398"/>
      <c r="AN34" s="398"/>
      <c r="AO34" s="398"/>
      <c r="AP34" s="398"/>
      <c r="AQ34" s="398"/>
    </row>
    <row r="35" spans="1:43" x14ac:dyDescent="0.25">
      <c r="A35" s="395" t="s">
        <v>105</v>
      </c>
      <c r="B35" s="384" t="s">
        <v>106</v>
      </c>
      <c r="C35" s="384" t="s">
        <v>802</v>
      </c>
      <c r="D35" s="384"/>
      <c r="F35" s="9" t="s">
        <v>106</v>
      </c>
      <c r="H35" s="9">
        <v>2025</v>
      </c>
      <c r="I35" s="9" t="s">
        <v>129</v>
      </c>
      <c r="J35" s="9" t="s">
        <v>768</v>
      </c>
      <c r="K35" s="401">
        <v>25</v>
      </c>
      <c r="L35" s="367">
        <v>0.9</v>
      </c>
      <c r="M35" s="398"/>
      <c r="N35" s="398"/>
      <c r="O35" s="398"/>
      <c r="P35" s="398"/>
      <c r="Q35" s="398"/>
      <c r="R35" s="398"/>
      <c r="S35" s="398"/>
      <c r="T35" s="398"/>
      <c r="U35" s="398"/>
      <c r="V35" s="398"/>
      <c r="W35" s="398"/>
      <c r="X35" s="398"/>
      <c r="Y35" s="398"/>
      <c r="Z35" s="398"/>
      <c r="AA35" s="398"/>
      <c r="AB35" s="398"/>
      <c r="AC35" s="398"/>
      <c r="AD35" s="398"/>
      <c r="AE35" s="398"/>
      <c r="AF35" s="398"/>
      <c r="AG35" s="398"/>
      <c r="AH35" s="398"/>
      <c r="AI35" s="398"/>
      <c r="AJ35" s="398"/>
      <c r="AK35" s="398"/>
      <c r="AL35" s="398"/>
      <c r="AM35" s="398"/>
      <c r="AN35" s="398"/>
      <c r="AO35" s="398"/>
      <c r="AP35" s="398"/>
      <c r="AQ35" s="398"/>
    </row>
    <row r="36" spans="1:43" x14ac:dyDescent="0.25">
      <c r="A36" s="395" t="s">
        <v>105</v>
      </c>
      <c r="B36" s="384" t="s">
        <v>106</v>
      </c>
      <c r="C36" s="384" t="s">
        <v>802</v>
      </c>
      <c r="D36" s="384"/>
      <c r="F36" s="9" t="s">
        <v>106</v>
      </c>
      <c r="H36" s="9">
        <v>2025</v>
      </c>
      <c r="I36" t="s">
        <v>769</v>
      </c>
      <c r="J36" t="s">
        <v>770</v>
      </c>
      <c r="K36" s="396">
        <v>25</v>
      </c>
      <c r="L36" s="397">
        <v>0.9</v>
      </c>
      <c r="M36" s="398"/>
      <c r="N36" s="398"/>
      <c r="O36" s="398"/>
      <c r="P36" s="398"/>
      <c r="Q36" s="398"/>
      <c r="R36" s="398"/>
      <c r="S36" s="398"/>
      <c r="T36" s="398"/>
      <c r="U36" s="398"/>
      <c r="V36" s="398"/>
      <c r="W36" s="398"/>
      <c r="X36" s="398"/>
      <c r="Y36" s="398"/>
      <c r="Z36" s="398"/>
      <c r="AA36" s="398"/>
      <c r="AB36" s="398"/>
      <c r="AC36" s="398"/>
      <c r="AD36" s="398"/>
      <c r="AE36" s="398"/>
      <c r="AF36" s="398"/>
      <c r="AG36" s="398"/>
      <c r="AH36" s="398"/>
      <c r="AI36" s="398"/>
      <c r="AJ36" s="398"/>
      <c r="AK36" s="398"/>
      <c r="AL36" s="398"/>
      <c r="AM36" s="398"/>
      <c r="AN36" s="398"/>
      <c r="AO36" s="398"/>
      <c r="AP36" s="398"/>
      <c r="AQ36" s="398"/>
    </row>
    <row r="37" spans="1:43" x14ac:dyDescent="0.25">
      <c r="A37" s="395" t="s">
        <v>105</v>
      </c>
      <c r="B37" s="384" t="s">
        <v>106</v>
      </c>
      <c r="C37" s="384" t="s">
        <v>802</v>
      </c>
      <c r="D37" s="384"/>
      <c r="F37" s="9" t="s">
        <v>106</v>
      </c>
      <c r="H37" s="9">
        <v>2025</v>
      </c>
      <c r="I37" s="9" t="s">
        <v>771</v>
      </c>
      <c r="J37" s="9" t="s">
        <v>331</v>
      </c>
      <c r="K37" s="401">
        <v>25</v>
      </c>
      <c r="L37" s="367">
        <v>0.9</v>
      </c>
      <c r="M37" s="398"/>
      <c r="N37" s="398"/>
      <c r="O37" s="398"/>
      <c r="P37" s="398"/>
      <c r="Q37" s="398"/>
      <c r="R37" s="398"/>
      <c r="S37" s="398"/>
      <c r="T37" s="398"/>
      <c r="U37" s="398"/>
      <c r="V37" s="398"/>
      <c r="W37" s="398"/>
      <c r="X37" s="398"/>
      <c r="Y37" s="398"/>
      <c r="Z37" s="398"/>
      <c r="AA37" s="398"/>
      <c r="AB37" s="398"/>
      <c r="AC37" s="398"/>
      <c r="AD37" s="398"/>
      <c r="AE37" s="398"/>
      <c r="AF37" s="398"/>
      <c r="AG37" s="398"/>
      <c r="AH37" s="398"/>
      <c r="AI37" s="398"/>
      <c r="AJ37" s="398"/>
      <c r="AK37" s="398"/>
      <c r="AL37" s="398"/>
      <c r="AM37" s="398"/>
      <c r="AN37" s="398"/>
      <c r="AO37" s="398"/>
      <c r="AP37" s="398"/>
      <c r="AQ37" s="398"/>
    </row>
    <row r="38" spans="1:43" x14ac:dyDescent="0.25">
      <c r="A38" s="395" t="s">
        <v>105</v>
      </c>
      <c r="B38" s="384" t="s">
        <v>106</v>
      </c>
      <c r="C38" s="384" t="s">
        <v>802</v>
      </c>
      <c r="D38" s="384"/>
      <c r="F38" s="9" t="s">
        <v>106</v>
      </c>
      <c r="H38" s="9">
        <v>2025</v>
      </c>
      <c r="I38" s="9" t="s">
        <v>116</v>
      </c>
      <c r="J38" s="9" t="s">
        <v>772</v>
      </c>
      <c r="K38" s="401">
        <v>25</v>
      </c>
      <c r="L38" s="367">
        <v>0.9</v>
      </c>
      <c r="M38" s="398"/>
      <c r="N38" s="398"/>
      <c r="O38" s="398"/>
      <c r="P38" s="398"/>
      <c r="Q38" s="398"/>
      <c r="R38" s="398"/>
      <c r="S38" s="398"/>
      <c r="T38" s="398"/>
      <c r="U38" s="398"/>
      <c r="V38" s="398"/>
      <c r="W38" s="398"/>
      <c r="X38" s="398"/>
      <c r="Y38" s="398"/>
      <c r="Z38" s="398"/>
      <c r="AA38" s="398"/>
      <c r="AB38" s="398"/>
      <c r="AC38" s="398"/>
      <c r="AD38" s="398"/>
      <c r="AE38" s="398"/>
      <c r="AF38" s="398"/>
      <c r="AG38" s="398"/>
      <c r="AH38" s="398"/>
      <c r="AI38" s="398"/>
      <c r="AJ38" s="398"/>
      <c r="AK38" s="398"/>
      <c r="AL38" s="398"/>
      <c r="AM38" s="398"/>
      <c r="AN38" s="398"/>
      <c r="AO38" s="398"/>
      <c r="AP38" s="398"/>
      <c r="AQ38" s="398"/>
    </row>
    <row r="39" spans="1:43" x14ac:dyDescent="0.25">
      <c r="A39" s="395" t="s">
        <v>105</v>
      </c>
      <c r="B39" s="384" t="s">
        <v>106</v>
      </c>
      <c r="C39" s="384" t="s">
        <v>804</v>
      </c>
      <c r="D39" s="384"/>
      <c r="E39" s="9" t="s">
        <v>105</v>
      </c>
      <c r="F39" s="9" t="s">
        <v>106</v>
      </c>
      <c r="G39" s="9" t="s">
        <v>805</v>
      </c>
      <c r="H39" s="9">
        <v>2030</v>
      </c>
      <c r="I39" t="s">
        <v>125</v>
      </c>
      <c r="J39" t="s">
        <v>350</v>
      </c>
      <c r="K39" s="396">
        <v>25</v>
      </c>
      <c r="L39" s="397">
        <v>0.9</v>
      </c>
      <c r="M39" s="398"/>
      <c r="N39" s="398"/>
      <c r="O39" s="398"/>
      <c r="P39" s="398"/>
      <c r="Q39" s="398"/>
      <c r="R39" s="398"/>
      <c r="S39" s="398"/>
      <c r="T39" s="398"/>
      <c r="U39" s="398"/>
      <c r="V39" s="398"/>
      <c r="W39" s="398"/>
      <c r="X39" s="398"/>
      <c r="Y39" s="398"/>
      <c r="Z39" s="398"/>
      <c r="AA39" s="398"/>
      <c r="AB39" s="398"/>
      <c r="AC39" s="398"/>
      <c r="AD39" s="398"/>
      <c r="AE39" s="398"/>
      <c r="AF39" s="398"/>
      <c r="AG39" s="398"/>
      <c r="AH39" s="398"/>
      <c r="AI39" s="398"/>
      <c r="AJ39" s="398"/>
      <c r="AK39" s="398"/>
      <c r="AL39" s="398"/>
      <c r="AM39" s="398"/>
      <c r="AN39" s="398"/>
      <c r="AO39" s="398"/>
      <c r="AP39" s="398"/>
      <c r="AQ39" s="398"/>
    </row>
    <row r="40" spans="1:43" x14ac:dyDescent="0.25">
      <c r="A40" s="395" t="s">
        <v>105</v>
      </c>
      <c r="B40" s="384" t="s">
        <v>106</v>
      </c>
      <c r="C40" s="384" t="s">
        <v>804</v>
      </c>
      <c r="D40" s="384"/>
      <c r="F40" s="9" t="s">
        <v>106</v>
      </c>
      <c r="H40" s="9">
        <v>2030</v>
      </c>
      <c r="I40" s="9" t="s">
        <v>766</v>
      </c>
      <c r="J40" s="9" t="s">
        <v>767</v>
      </c>
      <c r="K40" s="401">
        <v>25</v>
      </c>
      <c r="L40" s="367">
        <v>0.9</v>
      </c>
      <c r="M40" s="398"/>
      <c r="N40" s="398"/>
      <c r="O40" s="398"/>
      <c r="P40" s="398"/>
      <c r="Q40" s="398"/>
      <c r="R40" s="398"/>
      <c r="S40" s="398"/>
      <c r="T40" s="398"/>
      <c r="U40" s="398"/>
      <c r="V40" s="398"/>
      <c r="W40" s="398"/>
      <c r="X40" s="398"/>
      <c r="Y40" s="398"/>
      <c r="Z40" s="398"/>
      <c r="AA40" s="398"/>
      <c r="AB40" s="398"/>
      <c r="AC40" s="398"/>
      <c r="AD40" s="398"/>
      <c r="AE40" s="398"/>
      <c r="AF40" s="398"/>
      <c r="AG40" s="398"/>
      <c r="AH40" s="398"/>
      <c r="AI40" s="398"/>
      <c r="AJ40" s="398"/>
      <c r="AK40" s="398"/>
      <c r="AL40" s="398"/>
      <c r="AM40" s="398"/>
      <c r="AN40" s="398"/>
      <c r="AO40" s="398"/>
      <c r="AP40" s="398"/>
      <c r="AQ40" s="398"/>
    </row>
    <row r="41" spans="1:43" x14ac:dyDescent="0.25">
      <c r="A41" s="395" t="s">
        <v>105</v>
      </c>
      <c r="B41" s="384" t="s">
        <v>106</v>
      </c>
      <c r="C41" s="384" t="s">
        <v>804</v>
      </c>
      <c r="D41" s="384"/>
      <c r="F41" s="9" t="s">
        <v>106</v>
      </c>
      <c r="H41" s="9">
        <v>2030</v>
      </c>
      <c r="I41" s="9" t="s">
        <v>129</v>
      </c>
      <c r="J41" s="9" t="s">
        <v>768</v>
      </c>
      <c r="K41" s="401">
        <v>25</v>
      </c>
      <c r="L41" s="367">
        <v>0.9</v>
      </c>
      <c r="M41" s="398"/>
      <c r="N41" s="398"/>
      <c r="O41" s="398"/>
      <c r="P41" s="398"/>
      <c r="Q41" s="398"/>
      <c r="R41" s="398"/>
      <c r="S41" s="398"/>
      <c r="T41" s="398"/>
      <c r="U41" s="398"/>
      <c r="V41" s="398"/>
      <c r="W41" s="398"/>
      <c r="X41" s="398"/>
      <c r="Y41" s="398"/>
      <c r="Z41" s="398"/>
      <c r="AA41" s="398"/>
      <c r="AB41" s="398"/>
      <c r="AC41" s="398"/>
      <c r="AD41" s="398"/>
      <c r="AE41" s="398"/>
      <c r="AF41" s="398"/>
      <c r="AG41" s="398"/>
      <c r="AH41" s="398"/>
      <c r="AI41" s="398"/>
      <c r="AJ41" s="398"/>
      <c r="AK41" s="398"/>
      <c r="AL41" s="398"/>
      <c r="AM41" s="398"/>
      <c r="AN41" s="398"/>
      <c r="AO41" s="398"/>
      <c r="AP41" s="398"/>
      <c r="AQ41" s="398"/>
    </row>
    <row r="42" spans="1:43" x14ac:dyDescent="0.25">
      <c r="A42" s="395" t="s">
        <v>105</v>
      </c>
      <c r="B42" s="384" t="s">
        <v>106</v>
      </c>
      <c r="C42" s="384" t="s">
        <v>804</v>
      </c>
      <c r="D42" s="384"/>
      <c r="F42" s="9" t="s">
        <v>106</v>
      </c>
      <c r="H42" s="9">
        <v>2030</v>
      </c>
      <c r="I42" t="s">
        <v>769</v>
      </c>
      <c r="J42" t="s">
        <v>770</v>
      </c>
      <c r="K42" s="396">
        <v>25</v>
      </c>
      <c r="L42" s="397">
        <v>0.9</v>
      </c>
      <c r="M42" s="398"/>
      <c r="N42" s="398"/>
      <c r="O42" s="398"/>
      <c r="P42" s="398"/>
      <c r="Q42" s="398"/>
      <c r="R42" s="398"/>
      <c r="S42" s="398"/>
      <c r="T42" s="398"/>
      <c r="U42" s="398"/>
      <c r="V42" s="398"/>
      <c r="W42" s="398"/>
      <c r="X42" s="398"/>
      <c r="Y42" s="398"/>
      <c r="Z42" s="398"/>
      <c r="AA42" s="398"/>
      <c r="AB42" s="398"/>
      <c r="AC42" s="398"/>
      <c r="AD42" s="398"/>
      <c r="AE42" s="398"/>
      <c r="AF42" s="398"/>
      <c r="AG42" s="398"/>
      <c r="AH42" s="398"/>
      <c r="AI42" s="398"/>
      <c r="AJ42" s="398"/>
      <c r="AK42" s="398"/>
      <c r="AL42" s="398"/>
      <c r="AM42" s="398"/>
      <c r="AN42" s="398"/>
      <c r="AO42" s="398"/>
      <c r="AP42" s="398"/>
      <c r="AQ42" s="398"/>
    </row>
    <row r="43" spans="1:43" x14ac:dyDescent="0.25">
      <c r="A43" s="395" t="s">
        <v>105</v>
      </c>
      <c r="B43" s="384" t="s">
        <v>106</v>
      </c>
      <c r="C43" s="384" t="s">
        <v>804</v>
      </c>
      <c r="D43" s="384"/>
      <c r="F43" s="9" t="s">
        <v>106</v>
      </c>
      <c r="H43" s="9">
        <v>2030</v>
      </c>
      <c r="I43" s="9" t="s">
        <v>771</v>
      </c>
      <c r="J43" s="9" t="s">
        <v>331</v>
      </c>
      <c r="K43" s="401">
        <v>25</v>
      </c>
      <c r="L43" s="367">
        <v>0.9</v>
      </c>
      <c r="M43" s="398"/>
      <c r="N43" s="398"/>
      <c r="O43" s="398"/>
      <c r="P43" s="398"/>
      <c r="Q43" s="398"/>
      <c r="R43" s="398"/>
      <c r="S43" s="398"/>
      <c r="T43" s="398"/>
      <c r="U43" s="398"/>
      <c r="V43" s="398"/>
      <c r="W43" s="398"/>
      <c r="X43" s="398"/>
      <c r="Y43" s="398"/>
      <c r="Z43" s="398"/>
      <c r="AA43" s="398"/>
      <c r="AB43" s="398"/>
      <c r="AC43" s="398"/>
      <c r="AD43" s="398"/>
      <c r="AE43" s="398"/>
      <c r="AF43" s="398"/>
      <c r="AG43" s="398"/>
      <c r="AH43" s="398"/>
      <c r="AI43" s="398"/>
      <c r="AJ43" s="398"/>
      <c r="AK43" s="398"/>
      <c r="AL43" s="398"/>
      <c r="AM43" s="398"/>
      <c r="AN43" s="398"/>
      <c r="AO43" s="398"/>
      <c r="AP43" s="398"/>
      <c r="AQ43" s="398"/>
    </row>
    <row r="44" spans="1:43" x14ac:dyDescent="0.25">
      <c r="A44" s="395" t="s">
        <v>105</v>
      </c>
      <c r="B44" s="384" t="s">
        <v>106</v>
      </c>
      <c r="C44" s="384" t="s">
        <v>804</v>
      </c>
      <c r="D44" s="384"/>
      <c r="F44" s="9" t="s">
        <v>106</v>
      </c>
      <c r="H44" s="9">
        <v>2030</v>
      </c>
      <c r="I44" s="9" t="s">
        <v>116</v>
      </c>
      <c r="J44" s="9" t="s">
        <v>772</v>
      </c>
      <c r="K44" s="401">
        <v>25</v>
      </c>
      <c r="L44" s="367">
        <v>0.9</v>
      </c>
      <c r="M44" s="398"/>
      <c r="N44" s="398"/>
      <c r="O44" s="398"/>
      <c r="P44" s="398"/>
      <c r="Q44" s="398"/>
      <c r="R44" s="398"/>
      <c r="S44" s="398"/>
      <c r="T44" s="398"/>
      <c r="U44" s="398"/>
      <c r="V44" s="398"/>
      <c r="W44" s="398"/>
      <c r="X44" s="398"/>
      <c r="Y44" s="398"/>
      <c r="Z44" s="398"/>
      <c r="AA44" s="398"/>
      <c r="AB44" s="398"/>
      <c r="AC44" s="398"/>
      <c r="AD44" s="398"/>
      <c r="AE44" s="398"/>
      <c r="AF44" s="398"/>
      <c r="AG44" s="398"/>
      <c r="AH44" s="398"/>
      <c r="AI44" s="398"/>
      <c r="AJ44" s="398"/>
      <c r="AK44" s="398"/>
      <c r="AL44" s="398"/>
      <c r="AM44" s="398"/>
      <c r="AN44" s="398"/>
      <c r="AO44" s="398"/>
      <c r="AP44" s="398"/>
      <c r="AQ44" s="398"/>
    </row>
    <row r="45" spans="1:43" x14ac:dyDescent="0.25">
      <c r="A45" s="395" t="s">
        <v>105</v>
      </c>
      <c r="B45" s="384" t="s">
        <v>106</v>
      </c>
      <c r="C45" s="384" t="s">
        <v>804</v>
      </c>
      <c r="D45" s="384"/>
      <c r="F45" s="9" t="s">
        <v>106</v>
      </c>
      <c r="H45" s="9">
        <v>2030</v>
      </c>
      <c r="I45" s="9" t="s">
        <v>140</v>
      </c>
      <c r="J45" s="9" t="s">
        <v>806</v>
      </c>
      <c r="K45" s="401">
        <v>25</v>
      </c>
      <c r="L45" s="367">
        <v>0.9</v>
      </c>
      <c r="M45" s="398"/>
      <c r="N45" s="398"/>
      <c r="O45" s="398"/>
      <c r="P45" s="398"/>
      <c r="Q45" s="398"/>
      <c r="R45" s="398"/>
      <c r="S45" s="398"/>
      <c r="T45" s="398"/>
      <c r="U45" s="398"/>
      <c r="V45" s="398"/>
      <c r="W45" s="398"/>
      <c r="X45" s="398"/>
      <c r="Y45" s="398"/>
      <c r="Z45" s="398"/>
      <c r="AA45" s="398"/>
      <c r="AB45" s="398"/>
      <c r="AC45" s="398"/>
      <c r="AD45" s="398"/>
      <c r="AE45" s="398"/>
      <c r="AF45" s="398"/>
      <c r="AG45" s="398"/>
      <c r="AH45" s="398"/>
      <c r="AI45" s="398"/>
      <c r="AJ45" s="398"/>
      <c r="AK45" s="398"/>
      <c r="AL45" s="398"/>
      <c r="AM45" s="398"/>
      <c r="AN45" s="398"/>
      <c r="AO45" s="398"/>
      <c r="AP45" s="398"/>
      <c r="AQ45" s="398"/>
    </row>
    <row r="46" spans="1:43" x14ac:dyDescent="0.25">
      <c r="A46" s="395" t="s">
        <v>107</v>
      </c>
      <c r="B46" s="384" t="s">
        <v>108</v>
      </c>
      <c r="C46" s="384" t="s">
        <v>800</v>
      </c>
      <c r="D46" s="384"/>
      <c r="E46" s="70" t="s">
        <v>107</v>
      </c>
      <c r="F46" s="70" t="s">
        <v>108</v>
      </c>
      <c r="G46" s="70" t="s">
        <v>801</v>
      </c>
      <c r="H46" s="70">
        <v>2020</v>
      </c>
      <c r="I46" s="215" t="s">
        <v>125</v>
      </c>
      <c r="J46" s="215" t="s">
        <v>350</v>
      </c>
      <c r="K46" s="399">
        <v>15</v>
      </c>
      <c r="L46" s="400">
        <v>0.9</v>
      </c>
      <c r="M46" s="398"/>
      <c r="N46" s="398"/>
      <c r="O46" s="398"/>
      <c r="P46" s="398"/>
      <c r="Q46" s="398"/>
      <c r="R46" s="398"/>
      <c r="S46" s="398"/>
      <c r="T46" s="398"/>
      <c r="U46" s="398"/>
      <c r="V46" s="398"/>
      <c r="W46" s="398"/>
      <c r="X46" s="398"/>
      <c r="Y46" s="398"/>
      <c r="Z46" s="398"/>
      <c r="AA46" s="398"/>
      <c r="AB46" s="398"/>
      <c r="AC46" s="398"/>
      <c r="AD46" s="398"/>
      <c r="AE46" s="398"/>
      <c r="AF46" s="398"/>
      <c r="AG46" s="398"/>
      <c r="AH46" s="398"/>
      <c r="AI46" s="398"/>
      <c r="AJ46" s="398"/>
      <c r="AK46" s="398"/>
      <c r="AL46" s="398"/>
      <c r="AM46" s="398"/>
      <c r="AN46" s="398"/>
      <c r="AO46" s="398"/>
      <c r="AP46" s="398"/>
      <c r="AQ46" s="398"/>
    </row>
    <row r="47" spans="1:43" x14ac:dyDescent="0.25">
      <c r="A47" s="395" t="s">
        <v>107</v>
      </c>
      <c r="B47" s="384" t="s">
        <v>108</v>
      </c>
      <c r="C47" s="384" t="s">
        <v>802</v>
      </c>
      <c r="D47" s="384"/>
      <c r="E47" s="9" t="s">
        <v>107</v>
      </c>
      <c r="F47" s="9" t="s">
        <v>108</v>
      </c>
      <c r="G47" s="9" t="s">
        <v>803</v>
      </c>
      <c r="H47" s="9">
        <v>2025</v>
      </c>
      <c r="I47" t="s">
        <v>125</v>
      </c>
      <c r="J47" t="s">
        <v>350</v>
      </c>
      <c r="K47" s="396">
        <v>15</v>
      </c>
      <c r="L47" s="402">
        <v>0.9</v>
      </c>
      <c r="M47" s="398"/>
      <c r="N47" s="398"/>
      <c r="O47" s="398"/>
      <c r="P47" s="398"/>
      <c r="Q47" s="398"/>
      <c r="R47" s="398"/>
      <c r="S47" s="398"/>
      <c r="T47" s="398"/>
      <c r="U47" s="398"/>
      <c r="V47" s="398"/>
      <c r="W47" s="398"/>
      <c r="X47" s="398"/>
      <c r="Y47" s="398"/>
      <c r="Z47" s="398"/>
      <c r="AA47" s="398"/>
      <c r="AB47" s="398"/>
      <c r="AC47" s="398"/>
      <c r="AD47" s="398"/>
      <c r="AE47" s="398"/>
      <c r="AF47" s="398"/>
      <c r="AG47" s="398"/>
      <c r="AH47" s="398"/>
      <c r="AI47" s="398"/>
      <c r="AJ47" s="398"/>
      <c r="AK47" s="398"/>
      <c r="AL47" s="398"/>
      <c r="AM47" s="398"/>
      <c r="AN47" s="398"/>
      <c r="AO47" s="398"/>
      <c r="AP47" s="398"/>
      <c r="AQ47" s="398"/>
    </row>
    <row r="48" spans="1:43" x14ac:dyDescent="0.25">
      <c r="A48" s="395" t="s">
        <v>107</v>
      </c>
      <c r="B48" s="384" t="s">
        <v>108</v>
      </c>
      <c r="C48" s="384" t="s">
        <v>804</v>
      </c>
      <c r="D48" s="384"/>
      <c r="E48" s="47" t="s">
        <v>107</v>
      </c>
      <c r="F48" s="47" t="s">
        <v>108</v>
      </c>
      <c r="G48" s="47" t="s">
        <v>805</v>
      </c>
      <c r="H48" s="47">
        <v>2030</v>
      </c>
      <c r="I48" s="216" t="s">
        <v>125</v>
      </c>
      <c r="J48" s="216" t="s">
        <v>350</v>
      </c>
      <c r="K48" s="403">
        <v>15</v>
      </c>
      <c r="L48" s="404">
        <v>0.9</v>
      </c>
      <c r="M48" s="398"/>
      <c r="N48" s="398"/>
      <c r="O48" s="398"/>
      <c r="P48" s="398"/>
      <c r="Q48" s="398"/>
      <c r="R48" s="398"/>
      <c r="S48" s="398"/>
      <c r="T48" s="398"/>
      <c r="U48" s="398"/>
      <c r="V48" s="398"/>
      <c r="W48" s="398"/>
      <c r="X48" s="398"/>
      <c r="Y48" s="398"/>
      <c r="Z48" s="398"/>
      <c r="AA48" s="398"/>
      <c r="AB48" s="398"/>
      <c r="AC48" s="398"/>
      <c r="AD48" s="398"/>
      <c r="AE48" s="398"/>
      <c r="AF48" s="398"/>
      <c r="AG48" s="398"/>
      <c r="AH48" s="398"/>
      <c r="AI48" s="398"/>
      <c r="AJ48" s="398"/>
      <c r="AK48" s="398"/>
      <c r="AL48" s="398"/>
      <c r="AM48" s="398"/>
      <c r="AN48" s="398"/>
      <c r="AO48" s="398"/>
      <c r="AP48" s="398"/>
      <c r="AQ48" s="398"/>
    </row>
    <row r="49" spans="1:43" x14ac:dyDescent="0.25">
      <c r="A49" s="395" t="s">
        <v>109</v>
      </c>
      <c r="B49" s="384" t="s">
        <v>110</v>
      </c>
      <c r="C49" s="384" t="s">
        <v>800</v>
      </c>
      <c r="D49" s="384"/>
      <c r="E49" s="9" t="s">
        <v>109</v>
      </c>
      <c r="F49" s="9" t="s">
        <v>110</v>
      </c>
      <c r="G49" s="9" t="s">
        <v>801</v>
      </c>
      <c r="H49" s="9">
        <v>2020</v>
      </c>
      <c r="I49" t="s">
        <v>125</v>
      </c>
      <c r="J49" t="s">
        <v>350</v>
      </c>
      <c r="K49" s="396">
        <v>20</v>
      </c>
      <c r="L49" s="397">
        <v>0.9</v>
      </c>
      <c r="M49" s="398"/>
      <c r="N49" s="398"/>
      <c r="O49" s="398"/>
      <c r="P49" s="398"/>
      <c r="Q49" s="398"/>
      <c r="R49" s="398"/>
      <c r="S49" s="398"/>
      <c r="T49" s="398"/>
      <c r="U49" s="398"/>
      <c r="V49" s="398"/>
      <c r="W49" s="398"/>
      <c r="X49" s="398"/>
      <c r="Y49" s="398"/>
      <c r="Z49" s="398"/>
      <c r="AA49" s="398"/>
      <c r="AB49" s="398"/>
      <c r="AC49" s="398"/>
      <c r="AD49" s="398"/>
      <c r="AE49" s="398"/>
      <c r="AF49" s="398"/>
      <c r="AG49" s="398"/>
      <c r="AH49" s="398"/>
      <c r="AI49" s="398"/>
      <c r="AJ49" s="398"/>
      <c r="AK49" s="398"/>
      <c r="AL49" s="398"/>
      <c r="AM49" s="398"/>
      <c r="AN49" s="398"/>
      <c r="AO49" s="398"/>
      <c r="AP49" s="398"/>
      <c r="AQ49" s="398"/>
    </row>
    <row r="50" spans="1:43" x14ac:dyDescent="0.25">
      <c r="A50" s="395" t="s">
        <v>109</v>
      </c>
      <c r="B50" s="384" t="s">
        <v>110</v>
      </c>
      <c r="C50" s="384" t="s">
        <v>800</v>
      </c>
      <c r="D50" s="384"/>
      <c r="F50" s="9" t="s">
        <v>110</v>
      </c>
      <c r="H50" s="9">
        <v>2020</v>
      </c>
      <c r="I50" t="s">
        <v>766</v>
      </c>
      <c r="J50" t="s">
        <v>767</v>
      </c>
      <c r="K50" s="396">
        <v>20</v>
      </c>
      <c r="L50" s="397">
        <v>0.9</v>
      </c>
      <c r="M50" s="398"/>
      <c r="N50" s="398"/>
      <c r="O50" s="398"/>
      <c r="P50" s="398"/>
      <c r="Q50" s="398"/>
      <c r="R50" s="398"/>
      <c r="S50" s="398"/>
      <c r="T50" s="398"/>
      <c r="U50" s="398"/>
      <c r="V50" s="398"/>
      <c r="W50" s="398"/>
      <c r="X50" s="398"/>
      <c r="Y50" s="398"/>
      <c r="Z50" s="398"/>
      <c r="AA50" s="398"/>
      <c r="AB50" s="398"/>
      <c r="AC50" s="398"/>
      <c r="AD50" s="398"/>
      <c r="AE50" s="398"/>
      <c r="AF50" s="398"/>
      <c r="AG50" s="398"/>
      <c r="AH50" s="398"/>
      <c r="AI50" s="398"/>
      <c r="AJ50" s="398"/>
      <c r="AK50" s="398"/>
      <c r="AL50" s="398"/>
      <c r="AM50" s="398"/>
      <c r="AN50" s="398"/>
      <c r="AO50" s="398"/>
      <c r="AP50" s="398"/>
      <c r="AQ50" s="398"/>
    </row>
    <row r="51" spans="1:43" x14ac:dyDescent="0.25">
      <c r="A51" s="395" t="s">
        <v>109</v>
      </c>
      <c r="B51" s="384" t="s">
        <v>110</v>
      </c>
      <c r="C51" s="384" t="s">
        <v>800</v>
      </c>
      <c r="D51" s="384"/>
      <c r="F51" s="9" t="s">
        <v>110</v>
      </c>
      <c r="H51" s="9">
        <v>2020</v>
      </c>
      <c r="I51" t="s">
        <v>129</v>
      </c>
      <c r="J51" t="s">
        <v>768</v>
      </c>
      <c r="K51" s="396">
        <v>20</v>
      </c>
      <c r="L51" s="397">
        <v>0.9</v>
      </c>
      <c r="M51" s="398"/>
      <c r="N51" s="398"/>
      <c r="O51" s="398"/>
      <c r="P51" s="398"/>
      <c r="Q51" s="398"/>
      <c r="R51" s="398"/>
      <c r="S51" s="398"/>
      <c r="T51" s="398"/>
      <c r="U51" s="398"/>
      <c r="V51" s="398"/>
      <c r="W51" s="398"/>
      <c r="X51" s="398"/>
      <c r="Y51" s="398"/>
      <c r="Z51" s="398"/>
      <c r="AA51" s="398"/>
      <c r="AB51" s="398"/>
      <c r="AC51" s="398"/>
      <c r="AD51" s="398"/>
      <c r="AE51" s="398"/>
      <c r="AF51" s="398"/>
      <c r="AG51" s="398"/>
      <c r="AH51" s="398"/>
      <c r="AI51" s="398"/>
      <c r="AJ51" s="398"/>
      <c r="AK51" s="398"/>
      <c r="AL51" s="398"/>
      <c r="AM51" s="398"/>
      <c r="AN51" s="398"/>
      <c r="AO51" s="398"/>
      <c r="AP51" s="398"/>
      <c r="AQ51" s="398"/>
    </row>
    <row r="52" spans="1:43" x14ac:dyDescent="0.25">
      <c r="A52" s="395" t="s">
        <v>109</v>
      </c>
      <c r="B52" s="384" t="s">
        <v>110</v>
      </c>
      <c r="C52" s="384" t="s">
        <v>800</v>
      </c>
      <c r="D52" s="384"/>
      <c r="F52" s="9" t="s">
        <v>110</v>
      </c>
      <c r="H52" s="9">
        <v>2020</v>
      </c>
      <c r="I52" t="s">
        <v>769</v>
      </c>
      <c r="J52" t="s">
        <v>770</v>
      </c>
      <c r="K52" s="396">
        <v>20</v>
      </c>
      <c r="L52" s="397">
        <v>0.9</v>
      </c>
      <c r="M52" s="398"/>
      <c r="N52" s="398"/>
      <c r="O52" s="398"/>
      <c r="P52" s="398"/>
      <c r="Q52" s="398"/>
      <c r="R52" s="398"/>
      <c r="S52" s="398"/>
      <c r="T52" s="398"/>
      <c r="U52" s="398"/>
      <c r="V52" s="398"/>
      <c r="W52" s="398"/>
      <c r="X52" s="398"/>
      <c r="Y52" s="398"/>
      <c r="Z52" s="398"/>
      <c r="AA52" s="398"/>
      <c r="AB52" s="398"/>
      <c r="AC52" s="398"/>
      <c r="AD52" s="398"/>
      <c r="AE52" s="398"/>
      <c r="AF52" s="398"/>
      <c r="AG52" s="398"/>
      <c r="AH52" s="398"/>
      <c r="AI52" s="398"/>
      <c r="AJ52" s="398"/>
      <c r="AK52" s="398"/>
      <c r="AL52" s="398"/>
      <c r="AM52" s="398"/>
      <c r="AN52" s="398"/>
      <c r="AO52" s="398"/>
      <c r="AP52" s="398"/>
      <c r="AQ52" s="398"/>
    </row>
    <row r="53" spans="1:43" x14ac:dyDescent="0.25">
      <c r="A53" s="395" t="s">
        <v>109</v>
      </c>
      <c r="B53" s="384" t="s">
        <v>110</v>
      </c>
      <c r="C53" s="384" t="s">
        <v>800</v>
      </c>
      <c r="D53" s="384"/>
      <c r="F53" s="9" t="s">
        <v>110</v>
      </c>
      <c r="H53" s="9">
        <v>2020</v>
      </c>
      <c r="I53" t="s">
        <v>771</v>
      </c>
      <c r="J53" t="s">
        <v>331</v>
      </c>
      <c r="K53" s="396">
        <v>20</v>
      </c>
      <c r="L53" s="397">
        <v>0.9</v>
      </c>
      <c r="M53" s="398"/>
      <c r="N53" s="398"/>
      <c r="O53" s="398"/>
      <c r="P53" s="398"/>
      <c r="Q53" s="398"/>
      <c r="R53" s="398"/>
      <c r="S53" s="398"/>
      <c r="T53" s="398"/>
      <c r="U53" s="398"/>
      <c r="V53" s="398"/>
      <c r="W53" s="398"/>
      <c r="X53" s="398"/>
      <c r="Y53" s="398"/>
      <c r="Z53" s="398"/>
      <c r="AA53" s="398"/>
      <c r="AB53" s="398"/>
      <c r="AC53" s="398"/>
      <c r="AD53" s="398"/>
      <c r="AE53" s="398"/>
      <c r="AF53" s="398"/>
      <c r="AG53" s="398"/>
      <c r="AH53" s="398"/>
      <c r="AI53" s="398"/>
      <c r="AJ53" s="398"/>
      <c r="AK53" s="398"/>
      <c r="AL53" s="398"/>
      <c r="AM53" s="398"/>
      <c r="AN53" s="398"/>
      <c r="AO53" s="398"/>
      <c r="AP53" s="398"/>
      <c r="AQ53" s="398"/>
    </row>
    <row r="54" spans="1:43" x14ac:dyDescent="0.25">
      <c r="A54" s="395" t="s">
        <v>109</v>
      </c>
      <c r="B54" s="384" t="s">
        <v>110</v>
      </c>
      <c r="C54" s="384" t="s">
        <v>800</v>
      </c>
      <c r="D54" s="384"/>
      <c r="F54" s="9" t="s">
        <v>110</v>
      </c>
      <c r="H54" s="9">
        <v>2020</v>
      </c>
      <c r="I54" t="s">
        <v>116</v>
      </c>
      <c r="J54" t="s">
        <v>772</v>
      </c>
      <c r="K54" s="396">
        <v>20</v>
      </c>
      <c r="L54" s="397">
        <v>0.9</v>
      </c>
      <c r="M54" s="398"/>
      <c r="N54" s="398"/>
      <c r="O54" s="398"/>
      <c r="P54" s="398"/>
      <c r="Q54" s="398"/>
      <c r="R54" s="398"/>
      <c r="S54" s="398"/>
      <c r="T54" s="398"/>
      <c r="U54" s="398"/>
      <c r="V54" s="398"/>
      <c r="W54" s="398"/>
      <c r="X54" s="398"/>
      <c r="Y54" s="398"/>
      <c r="Z54" s="398"/>
      <c r="AA54" s="398"/>
      <c r="AB54" s="398"/>
      <c r="AC54" s="398"/>
      <c r="AD54" s="398"/>
      <c r="AE54" s="398"/>
      <c r="AF54" s="398"/>
      <c r="AG54" s="398"/>
      <c r="AH54" s="398"/>
      <c r="AI54" s="398"/>
      <c r="AJ54" s="398"/>
      <c r="AK54" s="398"/>
      <c r="AL54" s="398"/>
      <c r="AM54" s="398"/>
      <c r="AN54" s="398"/>
      <c r="AO54" s="398"/>
      <c r="AP54" s="398"/>
      <c r="AQ54" s="398"/>
    </row>
    <row r="55" spans="1:43" x14ac:dyDescent="0.25">
      <c r="A55" s="395" t="s">
        <v>109</v>
      </c>
      <c r="B55" s="384" t="s">
        <v>110</v>
      </c>
      <c r="C55" s="384" t="s">
        <v>802</v>
      </c>
      <c r="D55" s="384"/>
      <c r="E55" s="9" t="s">
        <v>109</v>
      </c>
      <c r="F55" s="9" t="s">
        <v>110</v>
      </c>
      <c r="G55" s="9" t="s">
        <v>803</v>
      </c>
      <c r="H55" s="9">
        <v>2025</v>
      </c>
      <c r="I55" t="s">
        <v>125</v>
      </c>
      <c r="J55" t="s">
        <v>350</v>
      </c>
      <c r="K55" s="396">
        <v>20</v>
      </c>
      <c r="L55" s="397">
        <v>0.9</v>
      </c>
      <c r="M55" s="398"/>
      <c r="N55" s="398"/>
      <c r="O55" s="398"/>
      <c r="P55" s="398"/>
      <c r="Q55" s="398"/>
      <c r="R55" s="398"/>
      <c r="S55" s="398"/>
      <c r="T55" s="398"/>
      <c r="U55" s="398"/>
      <c r="V55" s="398"/>
      <c r="W55" s="398"/>
      <c r="X55" s="398"/>
      <c r="Y55" s="398"/>
      <c r="Z55" s="398"/>
      <c r="AA55" s="398"/>
      <c r="AB55" s="398"/>
      <c r="AC55" s="398"/>
      <c r="AD55" s="398"/>
      <c r="AE55" s="398"/>
      <c r="AF55" s="398"/>
      <c r="AG55" s="398"/>
      <c r="AH55" s="398"/>
      <c r="AI55" s="398"/>
      <c r="AJ55" s="398"/>
      <c r="AK55" s="398"/>
      <c r="AL55" s="398"/>
      <c r="AM55" s="398"/>
      <c r="AN55" s="398"/>
      <c r="AO55" s="398"/>
      <c r="AP55" s="398"/>
      <c r="AQ55" s="398"/>
    </row>
    <row r="56" spans="1:43" x14ac:dyDescent="0.25">
      <c r="A56" s="395" t="s">
        <v>109</v>
      </c>
      <c r="B56" s="384" t="s">
        <v>110</v>
      </c>
      <c r="C56" s="384" t="s">
        <v>802</v>
      </c>
      <c r="D56" s="384"/>
      <c r="F56" s="9" t="s">
        <v>110</v>
      </c>
      <c r="H56" s="9">
        <v>2025</v>
      </c>
      <c r="I56" t="s">
        <v>766</v>
      </c>
      <c r="J56" t="s">
        <v>767</v>
      </c>
      <c r="K56" s="396">
        <v>20</v>
      </c>
      <c r="L56" s="397">
        <v>0.9</v>
      </c>
      <c r="M56" s="398"/>
      <c r="N56" s="398"/>
      <c r="O56" s="398"/>
      <c r="P56" s="398"/>
      <c r="Q56" s="398"/>
      <c r="R56" s="398"/>
      <c r="S56" s="398"/>
      <c r="T56" s="398"/>
      <c r="U56" s="398"/>
      <c r="V56" s="398"/>
      <c r="W56" s="398"/>
      <c r="X56" s="398"/>
      <c r="Y56" s="398"/>
      <c r="Z56" s="398"/>
      <c r="AA56" s="398"/>
      <c r="AB56" s="398"/>
      <c r="AC56" s="398"/>
      <c r="AD56" s="398"/>
      <c r="AE56" s="398"/>
      <c r="AF56" s="398"/>
      <c r="AG56" s="398"/>
      <c r="AH56" s="398"/>
      <c r="AI56" s="398"/>
      <c r="AJ56" s="398"/>
      <c r="AK56" s="398"/>
      <c r="AL56" s="398"/>
      <c r="AM56" s="398"/>
      <c r="AN56" s="398"/>
      <c r="AO56" s="398"/>
      <c r="AP56" s="398"/>
      <c r="AQ56" s="398"/>
    </row>
    <row r="57" spans="1:43" x14ac:dyDescent="0.25">
      <c r="A57" s="395" t="s">
        <v>109</v>
      </c>
      <c r="B57" s="384" t="s">
        <v>110</v>
      </c>
      <c r="C57" s="384" t="s">
        <v>802</v>
      </c>
      <c r="D57" s="384"/>
      <c r="F57" s="9" t="s">
        <v>110</v>
      </c>
      <c r="H57" s="9">
        <v>2025</v>
      </c>
      <c r="I57" t="s">
        <v>129</v>
      </c>
      <c r="J57" t="s">
        <v>768</v>
      </c>
      <c r="K57" s="396">
        <v>20</v>
      </c>
      <c r="L57" s="397">
        <v>0.9</v>
      </c>
      <c r="M57" s="398"/>
      <c r="N57" s="398"/>
      <c r="O57" s="398"/>
      <c r="P57" s="398"/>
      <c r="Q57" s="398"/>
      <c r="R57" s="398"/>
      <c r="S57" s="398"/>
      <c r="T57" s="398"/>
      <c r="U57" s="398"/>
      <c r="V57" s="398"/>
      <c r="W57" s="398"/>
      <c r="X57" s="398"/>
      <c r="Y57" s="398"/>
      <c r="Z57" s="398"/>
      <c r="AA57" s="398"/>
      <c r="AB57" s="398"/>
      <c r="AC57" s="398"/>
      <c r="AD57" s="398"/>
      <c r="AE57" s="398"/>
      <c r="AF57" s="398"/>
      <c r="AG57" s="398"/>
      <c r="AH57" s="398"/>
      <c r="AI57" s="398"/>
      <c r="AJ57" s="398"/>
      <c r="AK57" s="398"/>
      <c r="AL57" s="398"/>
      <c r="AM57" s="398"/>
      <c r="AN57" s="398"/>
      <c r="AO57" s="398"/>
      <c r="AP57" s="398"/>
      <c r="AQ57" s="398"/>
    </row>
    <row r="58" spans="1:43" x14ac:dyDescent="0.25">
      <c r="A58" s="395" t="s">
        <v>109</v>
      </c>
      <c r="B58" s="384" t="s">
        <v>110</v>
      </c>
      <c r="C58" s="384" t="s">
        <v>802</v>
      </c>
      <c r="D58" s="384"/>
      <c r="F58" s="9" t="s">
        <v>110</v>
      </c>
      <c r="H58" s="9">
        <v>2025</v>
      </c>
      <c r="I58" t="s">
        <v>769</v>
      </c>
      <c r="J58" t="s">
        <v>770</v>
      </c>
      <c r="K58" s="396">
        <v>20</v>
      </c>
      <c r="L58" s="397">
        <v>0.9</v>
      </c>
      <c r="M58" s="398"/>
      <c r="N58" s="398"/>
      <c r="O58" s="398"/>
      <c r="P58" s="398"/>
      <c r="Q58" s="398"/>
      <c r="R58" s="398"/>
      <c r="S58" s="398"/>
      <c r="T58" s="398"/>
      <c r="U58" s="398"/>
      <c r="V58" s="398"/>
      <c r="W58" s="398"/>
      <c r="X58" s="398"/>
      <c r="Y58" s="398"/>
      <c r="Z58" s="398"/>
      <c r="AA58" s="398"/>
      <c r="AB58" s="398"/>
      <c r="AC58" s="398"/>
      <c r="AD58" s="398"/>
      <c r="AE58" s="398"/>
      <c r="AF58" s="398"/>
      <c r="AG58" s="398"/>
      <c r="AH58" s="398"/>
      <c r="AI58" s="398"/>
      <c r="AJ58" s="398"/>
      <c r="AK58" s="398"/>
      <c r="AL58" s="398"/>
      <c r="AM58" s="398"/>
      <c r="AN58" s="398"/>
      <c r="AO58" s="398"/>
      <c r="AP58" s="398"/>
      <c r="AQ58" s="398"/>
    </row>
    <row r="59" spans="1:43" x14ac:dyDescent="0.25">
      <c r="A59" s="395" t="s">
        <v>109</v>
      </c>
      <c r="B59" s="384" t="s">
        <v>110</v>
      </c>
      <c r="C59" s="384" t="s">
        <v>802</v>
      </c>
      <c r="D59" s="384"/>
      <c r="F59" s="9" t="s">
        <v>110</v>
      </c>
      <c r="H59" s="9">
        <v>2025</v>
      </c>
      <c r="I59" t="s">
        <v>771</v>
      </c>
      <c r="J59" t="s">
        <v>331</v>
      </c>
      <c r="K59" s="396">
        <v>20</v>
      </c>
      <c r="L59" s="397">
        <v>0.9</v>
      </c>
      <c r="M59" s="398"/>
      <c r="N59" s="398"/>
      <c r="O59" s="398"/>
      <c r="P59" s="398"/>
      <c r="Q59" s="398"/>
      <c r="R59" s="398"/>
      <c r="S59" s="398"/>
      <c r="T59" s="398"/>
      <c r="U59" s="398"/>
      <c r="V59" s="398"/>
      <c r="W59" s="398"/>
      <c r="X59" s="398"/>
      <c r="Y59" s="398"/>
      <c r="Z59" s="398"/>
      <c r="AA59" s="398"/>
      <c r="AB59" s="398"/>
      <c r="AC59" s="398"/>
      <c r="AD59" s="398"/>
      <c r="AE59" s="398"/>
      <c r="AF59" s="398"/>
      <c r="AG59" s="398"/>
      <c r="AH59" s="398"/>
      <c r="AI59" s="398"/>
      <c r="AJ59" s="398"/>
      <c r="AK59" s="398"/>
      <c r="AL59" s="398"/>
      <c r="AM59" s="398"/>
      <c r="AN59" s="398"/>
      <c r="AO59" s="398"/>
      <c r="AP59" s="398"/>
      <c r="AQ59" s="398"/>
    </row>
    <row r="60" spans="1:43" x14ac:dyDescent="0.25">
      <c r="A60" s="395" t="s">
        <v>109</v>
      </c>
      <c r="B60" s="384" t="s">
        <v>110</v>
      </c>
      <c r="C60" s="384" t="s">
        <v>802</v>
      </c>
      <c r="D60" s="384"/>
      <c r="F60" s="9" t="s">
        <v>110</v>
      </c>
      <c r="H60" s="9">
        <v>2025</v>
      </c>
      <c r="I60" t="s">
        <v>116</v>
      </c>
      <c r="J60" t="s">
        <v>772</v>
      </c>
      <c r="K60" s="396">
        <v>20</v>
      </c>
      <c r="L60" s="397">
        <v>0.9</v>
      </c>
      <c r="M60" s="398"/>
      <c r="N60" s="398"/>
      <c r="O60" s="398"/>
      <c r="P60" s="398"/>
      <c r="Q60" s="398"/>
      <c r="R60" s="398"/>
      <c r="S60" s="398"/>
      <c r="T60" s="398"/>
      <c r="U60" s="398"/>
      <c r="V60" s="398"/>
      <c r="W60" s="398"/>
      <c r="X60" s="398"/>
      <c r="Y60" s="398"/>
      <c r="Z60" s="398"/>
      <c r="AA60" s="398"/>
      <c r="AB60" s="398"/>
      <c r="AC60" s="398"/>
      <c r="AD60" s="398"/>
      <c r="AE60" s="398"/>
      <c r="AF60" s="398"/>
      <c r="AG60" s="398"/>
      <c r="AH60" s="398"/>
      <c r="AI60" s="398"/>
      <c r="AJ60" s="398"/>
      <c r="AK60" s="398"/>
      <c r="AL60" s="398"/>
      <c r="AM60" s="398"/>
      <c r="AN60" s="398"/>
      <c r="AO60" s="398"/>
      <c r="AP60" s="398"/>
      <c r="AQ60" s="398"/>
    </row>
    <row r="61" spans="1:43" x14ac:dyDescent="0.25">
      <c r="A61" s="395" t="s">
        <v>109</v>
      </c>
      <c r="B61" s="384" t="s">
        <v>110</v>
      </c>
      <c r="C61" s="384" t="s">
        <v>804</v>
      </c>
      <c r="D61" s="384"/>
      <c r="E61" s="405" t="s">
        <v>109</v>
      </c>
      <c r="F61" s="9" t="s">
        <v>110</v>
      </c>
      <c r="G61" s="9" t="s">
        <v>805</v>
      </c>
      <c r="H61" s="9">
        <v>2030</v>
      </c>
      <c r="I61" t="s">
        <v>125</v>
      </c>
      <c r="J61" t="s">
        <v>350</v>
      </c>
      <c r="K61" s="396">
        <v>20</v>
      </c>
      <c r="L61" s="397">
        <v>0.9</v>
      </c>
      <c r="M61" s="398"/>
      <c r="N61" s="398"/>
      <c r="O61" s="398"/>
      <c r="P61" s="398"/>
      <c r="Q61" s="398"/>
      <c r="R61" s="398"/>
      <c r="S61" s="398"/>
      <c r="T61" s="398"/>
      <c r="U61" s="398"/>
      <c r="V61" s="398"/>
      <c r="W61" s="398"/>
      <c r="X61" s="398"/>
      <c r="Y61" s="398"/>
      <c r="Z61" s="398"/>
      <c r="AA61" s="398"/>
      <c r="AB61" s="398"/>
      <c r="AC61" s="398"/>
      <c r="AD61" s="398"/>
      <c r="AE61" s="398"/>
      <c r="AF61" s="398"/>
      <c r="AG61" s="398"/>
      <c r="AH61" s="398"/>
      <c r="AI61" s="398"/>
      <c r="AJ61" s="398"/>
      <c r="AK61" s="398"/>
      <c r="AL61" s="398"/>
      <c r="AM61" s="398"/>
      <c r="AN61" s="398"/>
      <c r="AO61" s="398"/>
      <c r="AP61" s="398"/>
      <c r="AQ61" s="398"/>
    </row>
    <row r="62" spans="1:43" x14ac:dyDescent="0.25">
      <c r="A62" s="395" t="s">
        <v>109</v>
      </c>
      <c r="B62" s="384" t="s">
        <v>110</v>
      </c>
      <c r="C62" s="384" t="s">
        <v>804</v>
      </c>
      <c r="D62" s="384"/>
      <c r="F62" s="9" t="s">
        <v>110</v>
      </c>
      <c r="H62" s="9">
        <v>2030</v>
      </c>
      <c r="I62" t="s">
        <v>766</v>
      </c>
      <c r="J62" t="s">
        <v>767</v>
      </c>
      <c r="K62" s="396">
        <v>20</v>
      </c>
      <c r="L62" s="397">
        <v>0.9</v>
      </c>
      <c r="M62" s="398"/>
      <c r="N62" s="398"/>
      <c r="O62" s="398"/>
      <c r="P62" s="398"/>
      <c r="Q62" s="398"/>
      <c r="R62" s="398"/>
      <c r="S62" s="398"/>
      <c r="T62" s="398"/>
      <c r="U62" s="398"/>
      <c r="V62" s="398"/>
      <c r="W62" s="398"/>
      <c r="X62" s="398"/>
      <c r="Y62" s="398"/>
      <c r="Z62" s="398"/>
      <c r="AA62" s="398"/>
      <c r="AB62" s="398"/>
      <c r="AC62" s="398"/>
      <c r="AD62" s="398"/>
      <c r="AE62" s="398"/>
      <c r="AF62" s="398"/>
      <c r="AG62" s="398"/>
      <c r="AH62" s="398"/>
      <c r="AI62" s="398"/>
      <c r="AJ62" s="398"/>
      <c r="AK62" s="398"/>
      <c r="AL62" s="398"/>
      <c r="AM62" s="398"/>
      <c r="AN62" s="398"/>
      <c r="AO62" s="398"/>
      <c r="AP62" s="398"/>
      <c r="AQ62" s="398"/>
    </row>
    <row r="63" spans="1:43" x14ac:dyDescent="0.25">
      <c r="A63" s="395" t="s">
        <v>109</v>
      </c>
      <c r="B63" s="384" t="s">
        <v>110</v>
      </c>
      <c r="C63" s="384" t="s">
        <v>804</v>
      </c>
      <c r="D63" s="384"/>
      <c r="F63" s="9" t="s">
        <v>110</v>
      </c>
      <c r="H63" s="9">
        <v>2030</v>
      </c>
      <c r="I63" t="s">
        <v>129</v>
      </c>
      <c r="J63" t="s">
        <v>768</v>
      </c>
      <c r="K63" s="396">
        <v>20</v>
      </c>
      <c r="L63" s="397">
        <v>0.9</v>
      </c>
      <c r="M63" s="398"/>
      <c r="N63" s="398"/>
      <c r="O63" s="398"/>
      <c r="P63" s="398"/>
      <c r="Q63" s="398"/>
      <c r="R63" s="398"/>
      <c r="S63" s="398"/>
      <c r="T63" s="398"/>
      <c r="U63" s="398"/>
      <c r="V63" s="398"/>
      <c r="W63" s="398"/>
      <c r="X63" s="398"/>
      <c r="Y63" s="398"/>
      <c r="Z63" s="398"/>
      <c r="AA63" s="398"/>
      <c r="AB63" s="398"/>
      <c r="AC63" s="398"/>
      <c r="AD63" s="398"/>
      <c r="AE63" s="398"/>
      <c r="AF63" s="398"/>
      <c r="AG63" s="398"/>
      <c r="AH63" s="398"/>
      <c r="AI63" s="398"/>
      <c r="AJ63" s="398"/>
      <c r="AK63" s="398"/>
      <c r="AL63" s="398"/>
      <c r="AM63" s="398"/>
      <c r="AN63" s="398"/>
      <c r="AO63" s="398"/>
      <c r="AP63" s="398"/>
      <c r="AQ63" s="398"/>
    </row>
    <row r="64" spans="1:43" x14ac:dyDescent="0.25">
      <c r="A64" s="395" t="s">
        <v>109</v>
      </c>
      <c r="B64" s="384" t="s">
        <v>110</v>
      </c>
      <c r="C64" s="384" t="s">
        <v>804</v>
      </c>
      <c r="D64" s="384"/>
      <c r="F64" s="9" t="s">
        <v>110</v>
      </c>
      <c r="H64" s="9">
        <v>2030</v>
      </c>
      <c r="I64" t="s">
        <v>769</v>
      </c>
      <c r="J64" t="s">
        <v>770</v>
      </c>
      <c r="K64" s="396">
        <v>20</v>
      </c>
      <c r="L64" s="397">
        <v>0.9</v>
      </c>
      <c r="M64" s="398"/>
      <c r="N64" s="398"/>
      <c r="O64" s="398"/>
      <c r="P64" s="398"/>
      <c r="Q64" s="398"/>
      <c r="R64" s="398"/>
      <c r="S64" s="398"/>
      <c r="T64" s="398"/>
      <c r="U64" s="398"/>
      <c r="V64" s="398"/>
      <c r="W64" s="398"/>
      <c r="X64" s="398"/>
      <c r="Y64" s="398"/>
      <c r="Z64" s="398"/>
      <c r="AA64" s="398"/>
      <c r="AB64" s="398"/>
      <c r="AC64" s="398"/>
      <c r="AD64" s="398"/>
      <c r="AE64" s="398"/>
      <c r="AF64" s="398"/>
      <c r="AG64" s="398"/>
      <c r="AH64" s="398"/>
      <c r="AI64" s="398"/>
      <c r="AJ64" s="398"/>
      <c r="AK64" s="398"/>
      <c r="AL64" s="398"/>
      <c r="AM64" s="398"/>
      <c r="AN64" s="398"/>
      <c r="AO64" s="398"/>
      <c r="AP64" s="398"/>
      <c r="AQ64" s="398"/>
    </row>
    <row r="65" spans="1:43" x14ac:dyDescent="0.25">
      <c r="A65" s="395" t="s">
        <v>109</v>
      </c>
      <c r="B65" s="384" t="s">
        <v>110</v>
      </c>
      <c r="C65" s="384" t="s">
        <v>804</v>
      </c>
      <c r="D65" s="384"/>
      <c r="F65" s="9" t="s">
        <v>110</v>
      </c>
      <c r="H65" s="9">
        <v>2030</v>
      </c>
      <c r="I65" t="s">
        <v>771</v>
      </c>
      <c r="J65" t="s">
        <v>331</v>
      </c>
      <c r="K65" s="396">
        <v>20</v>
      </c>
      <c r="L65" s="397">
        <v>0.9</v>
      </c>
      <c r="M65" s="398"/>
      <c r="N65" s="398"/>
      <c r="O65" s="398"/>
      <c r="P65" s="398"/>
      <c r="Q65" s="398"/>
      <c r="R65" s="398"/>
      <c r="S65" s="398"/>
      <c r="T65" s="398"/>
      <c r="U65" s="398"/>
      <c r="V65" s="398"/>
      <c r="W65" s="398"/>
      <c r="X65" s="398"/>
      <c r="Y65" s="398"/>
      <c r="Z65" s="398"/>
      <c r="AA65" s="398"/>
      <c r="AB65" s="398"/>
      <c r="AC65" s="398"/>
      <c r="AD65" s="398"/>
      <c r="AE65" s="398"/>
      <c r="AF65" s="398"/>
      <c r="AG65" s="398"/>
      <c r="AH65" s="398"/>
      <c r="AI65" s="398"/>
      <c r="AJ65" s="398"/>
      <c r="AK65" s="398"/>
      <c r="AL65" s="398"/>
      <c r="AM65" s="398"/>
      <c r="AN65" s="398"/>
      <c r="AO65" s="398"/>
      <c r="AP65" s="398"/>
      <c r="AQ65" s="398"/>
    </row>
    <row r="66" spans="1:43" x14ac:dyDescent="0.25">
      <c r="A66" s="395" t="s">
        <v>109</v>
      </c>
      <c r="B66" s="384" t="s">
        <v>110</v>
      </c>
      <c r="C66" s="384" t="s">
        <v>804</v>
      </c>
      <c r="D66" s="384"/>
      <c r="F66" s="9" t="s">
        <v>110</v>
      </c>
      <c r="H66" s="9">
        <v>2030</v>
      </c>
      <c r="I66" t="s">
        <v>116</v>
      </c>
      <c r="J66" t="s">
        <v>772</v>
      </c>
      <c r="K66" s="396">
        <v>20</v>
      </c>
      <c r="L66" s="397">
        <v>0.9</v>
      </c>
      <c r="M66" s="398"/>
      <c r="N66" s="398"/>
      <c r="O66" s="398"/>
      <c r="P66" s="398"/>
      <c r="Q66" s="398"/>
      <c r="R66" s="398"/>
      <c r="S66" s="398"/>
      <c r="T66" s="398"/>
      <c r="U66" s="398"/>
      <c r="V66" s="398"/>
      <c r="W66" s="398"/>
      <c r="X66" s="398"/>
      <c r="Y66" s="398"/>
      <c r="Z66" s="398"/>
      <c r="AA66" s="398"/>
      <c r="AB66" s="398"/>
      <c r="AC66" s="398"/>
      <c r="AD66" s="398"/>
      <c r="AE66" s="398"/>
      <c r="AF66" s="398"/>
      <c r="AG66" s="398"/>
      <c r="AH66" s="398"/>
      <c r="AI66" s="398"/>
      <c r="AJ66" s="398"/>
      <c r="AK66" s="398"/>
      <c r="AL66" s="398"/>
      <c r="AM66" s="398"/>
      <c r="AN66" s="398"/>
      <c r="AO66" s="398"/>
      <c r="AP66" s="398"/>
      <c r="AQ66" s="398"/>
    </row>
    <row r="67" spans="1:43" x14ac:dyDescent="0.25">
      <c r="A67" s="395"/>
      <c r="B67" s="384"/>
      <c r="C67" s="384"/>
      <c r="D67" s="384"/>
      <c r="E67" s="70"/>
      <c r="F67" s="70"/>
      <c r="G67" s="70"/>
      <c r="H67" s="70"/>
      <c r="I67" s="215"/>
      <c r="J67" s="215"/>
      <c r="K67" s="406"/>
      <c r="L67" s="407"/>
      <c r="M67" s="398"/>
      <c r="N67" s="398"/>
      <c r="O67" s="398"/>
      <c r="P67" s="398"/>
      <c r="Q67" s="398"/>
      <c r="R67" s="398"/>
      <c r="S67" s="398"/>
      <c r="T67" s="398"/>
      <c r="U67" s="398"/>
      <c r="V67" s="398"/>
      <c r="W67" s="398"/>
      <c r="X67" s="398"/>
      <c r="Y67" s="398"/>
      <c r="Z67" s="398"/>
      <c r="AA67" s="398"/>
      <c r="AB67" s="398"/>
      <c r="AC67" s="398"/>
      <c r="AD67" s="398"/>
      <c r="AE67" s="398"/>
      <c r="AF67" s="398"/>
      <c r="AG67" s="398"/>
      <c r="AH67" s="398"/>
      <c r="AI67" s="398"/>
      <c r="AJ67" s="9"/>
      <c r="AK67" s="9"/>
      <c r="AL67" s="9"/>
      <c r="AM67" s="9"/>
    </row>
    <row r="68" spans="1:43" x14ac:dyDescent="0.25">
      <c r="A68" s="395"/>
      <c r="B68" s="384"/>
      <c r="C68" s="384"/>
      <c r="D68" s="384"/>
      <c r="I68"/>
      <c r="J68"/>
      <c r="K68" s="210"/>
      <c r="L68" s="408"/>
      <c r="M68" s="398"/>
      <c r="N68" s="398"/>
      <c r="O68" s="398"/>
      <c r="P68" s="398"/>
      <c r="Q68" s="398"/>
      <c r="R68" s="398"/>
      <c r="S68" s="398"/>
      <c r="T68" s="398"/>
      <c r="U68" s="398"/>
      <c r="V68" s="398"/>
      <c r="W68" s="398"/>
      <c r="X68" s="398"/>
      <c r="Y68" s="398"/>
      <c r="Z68" s="398"/>
      <c r="AA68" s="398"/>
      <c r="AB68" s="398"/>
      <c r="AC68" s="398"/>
      <c r="AD68" s="398"/>
      <c r="AE68" s="398"/>
      <c r="AF68" s="398"/>
      <c r="AG68" s="398"/>
      <c r="AH68" s="398"/>
      <c r="AI68" s="398"/>
      <c r="AJ68" s="9"/>
      <c r="AK68" s="9"/>
      <c r="AL68" s="9"/>
      <c r="AM68" s="9"/>
    </row>
    <row r="69" spans="1:43" x14ac:dyDescent="0.25">
      <c r="A69" s="395"/>
      <c r="B69" s="384"/>
      <c r="C69" s="384"/>
      <c r="D69" s="384"/>
      <c r="I69"/>
      <c r="J69"/>
      <c r="K69" s="210"/>
      <c r="L69" s="409"/>
      <c r="M69" s="398"/>
      <c r="N69" s="398"/>
      <c r="O69" s="398"/>
      <c r="P69" s="398"/>
      <c r="Q69" s="398"/>
      <c r="R69" s="398"/>
      <c r="S69" s="398"/>
      <c r="T69" s="398"/>
      <c r="U69" s="398"/>
      <c r="V69" s="398"/>
      <c r="W69" s="398"/>
      <c r="X69" s="398"/>
      <c r="Y69" s="398"/>
      <c r="Z69" s="398"/>
      <c r="AA69" s="398"/>
      <c r="AB69" s="398"/>
      <c r="AC69" s="398"/>
      <c r="AD69" s="398"/>
      <c r="AE69" s="398"/>
      <c r="AF69" s="398"/>
      <c r="AG69" s="398"/>
      <c r="AH69" s="398"/>
      <c r="AI69" s="398"/>
      <c r="AJ69" s="9"/>
      <c r="AK69" s="9"/>
      <c r="AL69" s="9"/>
      <c r="AM69" s="9"/>
    </row>
    <row r="70" spans="1:43" x14ac:dyDescent="0.25">
      <c r="A70" s="384"/>
      <c r="B70" s="384"/>
      <c r="C70" s="384"/>
      <c r="D70" s="384"/>
    </row>
    <row r="71" spans="1:43" x14ac:dyDescent="0.25">
      <c r="A71" s="384"/>
      <c r="B71" s="384"/>
      <c r="C71" s="384"/>
      <c r="D71" s="384"/>
    </row>
    <row r="72" spans="1:43" x14ac:dyDescent="0.25">
      <c r="A72" s="384"/>
      <c r="B72" s="384"/>
      <c r="C72" s="384"/>
      <c r="D72" s="384"/>
      <c r="E72" s="387" t="s">
        <v>807</v>
      </c>
      <c r="F72" s="387"/>
      <c r="G72" s="387"/>
      <c r="H72" s="387"/>
      <c r="I72" s="387"/>
      <c r="J72" s="387"/>
      <c r="K72" s="388"/>
      <c r="L72" s="388"/>
      <c r="M72" s="387"/>
      <c r="N72" s="387"/>
      <c r="O72" s="387"/>
      <c r="P72" s="387"/>
      <c r="Q72" s="410"/>
      <c r="R72" s="410"/>
      <c r="S72" s="410"/>
      <c r="T72" s="410"/>
      <c r="U72" s="410"/>
      <c r="V72" s="410"/>
      <c r="W72" s="410"/>
      <c r="X72" s="410"/>
      <c r="Y72" s="410"/>
      <c r="Z72" s="410"/>
      <c r="AA72" s="410"/>
      <c r="AB72" s="410"/>
      <c r="AC72" s="410"/>
      <c r="AD72" s="410"/>
      <c r="AE72" s="410"/>
      <c r="AF72" s="410"/>
      <c r="AG72" s="410"/>
      <c r="AH72" s="410"/>
      <c r="AI72" s="410"/>
      <c r="AJ72" s="410"/>
      <c r="AK72" s="410"/>
      <c r="AL72" s="410"/>
      <c r="AM72" s="410"/>
      <c r="AN72" s="410"/>
      <c r="AO72" s="375"/>
      <c r="AP72" s="375"/>
      <c r="AQ72" s="375"/>
    </row>
    <row r="73" spans="1:43" ht="15.75" thickBot="1" x14ac:dyDescent="0.3">
      <c r="A73" s="384"/>
      <c r="B73" s="384"/>
      <c r="C73" s="384"/>
      <c r="D73" s="384"/>
      <c r="E73" s="363" t="s">
        <v>765</v>
      </c>
      <c r="F73" s="390" t="s">
        <v>85</v>
      </c>
      <c r="G73" s="390" t="s">
        <v>794</v>
      </c>
      <c r="H73" s="390" t="s">
        <v>582</v>
      </c>
      <c r="I73" s="390" t="s">
        <v>808</v>
      </c>
      <c r="J73" s="390" t="s">
        <v>224</v>
      </c>
      <c r="K73" s="391"/>
      <c r="L73" s="391"/>
      <c r="M73" s="54" t="s">
        <v>162</v>
      </c>
      <c r="N73" s="54" t="s">
        <v>164</v>
      </c>
      <c r="O73" s="54" t="s">
        <v>166</v>
      </c>
      <c r="P73" s="54" t="s">
        <v>168</v>
      </c>
      <c r="Q73" s="54" t="s">
        <v>170</v>
      </c>
      <c r="R73" s="54" t="s">
        <v>173</v>
      </c>
      <c r="S73" s="54" t="s">
        <v>175</v>
      </c>
      <c r="T73" s="54" t="s">
        <v>177</v>
      </c>
      <c r="U73" s="54" t="s">
        <v>179</v>
      </c>
      <c r="V73" s="54" t="s">
        <v>181</v>
      </c>
      <c r="W73" s="54" t="s">
        <v>183</v>
      </c>
      <c r="X73" s="54" t="s">
        <v>185</v>
      </c>
      <c r="Y73" s="54" t="s">
        <v>188</v>
      </c>
      <c r="Z73" s="54" t="s">
        <v>190</v>
      </c>
      <c r="AA73" s="54" t="s">
        <v>192</v>
      </c>
      <c r="AB73" s="54" t="s">
        <v>194</v>
      </c>
      <c r="AC73" s="54" t="s">
        <v>196</v>
      </c>
      <c r="AD73" s="54" t="s">
        <v>198</v>
      </c>
      <c r="AE73" s="54" t="s">
        <v>9</v>
      </c>
      <c r="AF73" s="54" t="s">
        <v>201</v>
      </c>
      <c r="AG73" s="54" t="s">
        <v>203</v>
      </c>
      <c r="AH73" s="54" t="s">
        <v>205</v>
      </c>
      <c r="AI73" s="54" t="s">
        <v>207</v>
      </c>
      <c r="AJ73" s="54" t="s">
        <v>210</v>
      </c>
      <c r="AK73" s="54" t="s">
        <v>212</v>
      </c>
      <c r="AL73" s="54" t="s">
        <v>214</v>
      </c>
      <c r="AM73" s="54" t="s">
        <v>217</v>
      </c>
      <c r="AN73" s="54" t="s">
        <v>219</v>
      </c>
      <c r="AO73" s="370"/>
      <c r="AP73" s="370"/>
      <c r="AQ73" s="370"/>
    </row>
    <row r="74" spans="1:43" x14ac:dyDescent="0.25">
      <c r="A74" s="384"/>
      <c r="B74" s="384"/>
      <c r="C74" s="384"/>
      <c r="D74" s="384"/>
      <c r="E74" s="12" t="s">
        <v>799</v>
      </c>
      <c r="F74" s="12"/>
      <c r="G74" s="12"/>
      <c r="H74" s="12"/>
      <c r="I74" s="12"/>
      <c r="J74" s="12"/>
      <c r="K74" s="393"/>
      <c r="L74" s="393"/>
      <c r="M74" s="394"/>
      <c r="N74" s="394"/>
      <c r="O74" s="394"/>
      <c r="P74" s="394"/>
      <c r="Q74" s="394"/>
      <c r="R74" s="394"/>
      <c r="S74" s="394"/>
      <c r="T74" s="394"/>
      <c r="U74" s="394"/>
      <c r="V74" s="394"/>
      <c r="W74" s="394"/>
      <c r="X74" s="394"/>
      <c r="Y74" s="394"/>
      <c r="Z74" s="394"/>
      <c r="AA74" s="394"/>
      <c r="AB74" s="394"/>
      <c r="AC74" s="394"/>
      <c r="AD74" s="394"/>
      <c r="AE74" s="394"/>
      <c r="AF74" s="394"/>
      <c r="AG74" s="394"/>
      <c r="AH74" s="394"/>
      <c r="AI74" s="394"/>
    </row>
    <row r="75" spans="1:43" x14ac:dyDescent="0.25">
      <c r="A75" s="384"/>
      <c r="B75" s="384"/>
      <c r="C75" s="384"/>
      <c r="D75" s="384"/>
      <c r="E75" s="9" t="s">
        <v>103</v>
      </c>
      <c r="F75" s="9" t="s">
        <v>104</v>
      </c>
      <c r="G75" s="9" t="s">
        <v>801</v>
      </c>
      <c r="H75" s="9">
        <v>2020</v>
      </c>
      <c r="I75" s="411">
        <v>1</v>
      </c>
      <c r="J75" t="s">
        <v>809</v>
      </c>
      <c r="K75" s="210"/>
      <c r="L75" s="210"/>
      <c r="M75" s="412">
        <v>1</v>
      </c>
      <c r="N75" s="412">
        <v>1</v>
      </c>
      <c r="O75" s="412">
        <v>1</v>
      </c>
      <c r="P75" s="412">
        <v>1</v>
      </c>
      <c r="Q75" s="412">
        <v>1</v>
      </c>
      <c r="R75" s="412">
        <v>1</v>
      </c>
      <c r="S75" s="412">
        <v>1</v>
      </c>
      <c r="T75" s="412">
        <v>1</v>
      </c>
      <c r="U75" s="412">
        <v>1</v>
      </c>
      <c r="V75" s="412">
        <v>1</v>
      </c>
      <c r="W75" s="412">
        <v>1</v>
      </c>
      <c r="X75" s="412">
        <v>1</v>
      </c>
      <c r="Y75" s="412">
        <v>1</v>
      </c>
      <c r="Z75" s="412">
        <v>1</v>
      </c>
      <c r="AA75" s="412">
        <v>1</v>
      </c>
      <c r="AB75" s="412">
        <v>1</v>
      </c>
      <c r="AC75" s="412">
        <v>1</v>
      </c>
      <c r="AD75" s="412">
        <v>1</v>
      </c>
      <c r="AE75" s="412">
        <v>1</v>
      </c>
      <c r="AF75" s="412">
        <v>1</v>
      </c>
      <c r="AG75" s="412">
        <v>1</v>
      </c>
      <c r="AH75" s="412">
        <v>1</v>
      </c>
      <c r="AI75" s="412">
        <v>1</v>
      </c>
      <c r="AJ75" s="412">
        <v>1</v>
      </c>
      <c r="AK75" s="412">
        <v>1</v>
      </c>
      <c r="AL75" s="412">
        <v>1</v>
      </c>
      <c r="AM75" s="412">
        <v>1</v>
      </c>
      <c r="AN75" s="412">
        <v>1</v>
      </c>
      <c r="AO75" s="412"/>
      <c r="AP75" s="412"/>
      <c r="AQ75" s="412"/>
    </row>
    <row r="76" spans="1:43" x14ac:dyDescent="0.25">
      <c r="A76" s="384"/>
      <c r="B76" s="384"/>
      <c r="C76" s="384"/>
      <c r="D76" s="384"/>
      <c r="E76" s="9" t="s">
        <v>103</v>
      </c>
      <c r="F76" s="9" t="s">
        <v>104</v>
      </c>
      <c r="G76" s="9" t="s">
        <v>803</v>
      </c>
      <c r="H76" s="9">
        <v>2025</v>
      </c>
      <c r="I76" s="411">
        <v>1</v>
      </c>
      <c r="J76" t="s">
        <v>809</v>
      </c>
      <c r="K76" s="210"/>
      <c r="L76" s="210"/>
      <c r="M76" s="412">
        <v>1</v>
      </c>
      <c r="N76" s="412">
        <v>1</v>
      </c>
      <c r="O76" s="412">
        <v>1</v>
      </c>
      <c r="P76" s="412">
        <v>1</v>
      </c>
      <c r="Q76" s="412">
        <v>1</v>
      </c>
      <c r="R76" s="412">
        <v>1</v>
      </c>
      <c r="S76" s="412">
        <v>1</v>
      </c>
      <c r="T76" s="412">
        <v>1</v>
      </c>
      <c r="U76" s="412">
        <v>1</v>
      </c>
      <c r="V76" s="412">
        <v>1</v>
      </c>
      <c r="W76" s="412">
        <v>1</v>
      </c>
      <c r="X76" s="412">
        <v>1</v>
      </c>
      <c r="Y76" s="412">
        <v>1</v>
      </c>
      <c r="Z76" s="412">
        <v>1</v>
      </c>
      <c r="AA76" s="412">
        <v>1</v>
      </c>
      <c r="AB76" s="412">
        <v>1</v>
      </c>
      <c r="AC76" s="412">
        <v>1</v>
      </c>
      <c r="AD76" s="412">
        <v>1</v>
      </c>
      <c r="AE76" s="412">
        <v>1</v>
      </c>
      <c r="AF76" s="412">
        <v>1</v>
      </c>
      <c r="AG76" s="412">
        <v>1</v>
      </c>
      <c r="AH76" s="412">
        <v>1</v>
      </c>
      <c r="AI76" s="412">
        <v>1</v>
      </c>
      <c r="AJ76" s="412">
        <v>1</v>
      </c>
      <c r="AK76" s="412">
        <v>1</v>
      </c>
      <c r="AL76" s="412">
        <v>1</v>
      </c>
      <c r="AM76" s="412">
        <v>1</v>
      </c>
      <c r="AN76" s="412">
        <v>1</v>
      </c>
      <c r="AO76" s="412"/>
      <c r="AP76" s="412"/>
      <c r="AQ76" s="412"/>
    </row>
    <row r="77" spans="1:43" x14ac:dyDescent="0.25">
      <c r="A77" s="384"/>
      <c r="B77" s="384"/>
      <c r="C77" s="384"/>
      <c r="D77" s="384"/>
      <c r="F77" s="9" t="s">
        <v>104</v>
      </c>
      <c r="G77" s="9" t="s">
        <v>803</v>
      </c>
      <c r="H77" s="9">
        <v>2030</v>
      </c>
      <c r="I77" s="411">
        <v>1.020761</v>
      </c>
      <c r="J77" t="s">
        <v>809</v>
      </c>
      <c r="M77" s="412">
        <v>1.020761</v>
      </c>
      <c r="N77" s="412">
        <v>1.020761</v>
      </c>
      <c r="O77" s="412">
        <v>1.020761</v>
      </c>
      <c r="P77" s="412">
        <v>1.020761</v>
      </c>
      <c r="Q77" s="412">
        <v>1.020761</v>
      </c>
      <c r="R77" s="412">
        <v>1.020761</v>
      </c>
      <c r="S77" s="412">
        <v>1.020761</v>
      </c>
      <c r="T77" s="412">
        <v>1.020761</v>
      </c>
      <c r="U77" s="412">
        <v>1.020761</v>
      </c>
      <c r="V77" s="412">
        <v>1.020761</v>
      </c>
      <c r="W77" s="412">
        <v>1.020761</v>
      </c>
      <c r="X77" s="412">
        <v>1.020761</v>
      </c>
      <c r="Y77" s="412">
        <v>1.020761</v>
      </c>
      <c r="Z77" s="412">
        <v>1.020761</v>
      </c>
      <c r="AA77" s="412">
        <v>1.020761</v>
      </c>
      <c r="AB77" s="412">
        <v>1.020761</v>
      </c>
      <c r="AC77" s="412">
        <v>1.020761</v>
      </c>
      <c r="AD77" s="412">
        <v>1.020761</v>
      </c>
      <c r="AE77" s="412">
        <v>1.020761</v>
      </c>
      <c r="AF77" s="412">
        <v>1.020761</v>
      </c>
      <c r="AG77" s="412">
        <v>1.020761</v>
      </c>
      <c r="AH77" s="412">
        <v>1.020761</v>
      </c>
      <c r="AI77" s="412">
        <v>1.020761</v>
      </c>
      <c r="AJ77" s="412">
        <v>1.020761</v>
      </c>
      <c r="AK77" s="412">
        <v>1.020761</v>
      </c>
      <c r="AL77" s="412">
        <v>1.020761</v>
      </c>
      <c r="AM77" s="412">
        <v>1.020761</v>
      </c>
      <c r="AN77" s="412">
        <v>1.020761</v>
      </c>
      <c r="AO77" s="412"/>
      <c r="AP77" s="412"/>
      <c r="AQ77" s="412"/>
    </row>
    <row r="78" spans="1:43" x14ac:dyDescent="0.25">
      <c r="A78" s="384"/>
      <c r="B78" s="384"/>
      <c r="C78" s="384"/>
      <c r="D78" s="384"/>
      <c r="F78" s="9" t="s">
        <v>104</v>
      </c>
      <c r="G78" s="9" t="s">
        <v>803</v>
      </c>
      <c r="H78" s="9">
        <v>2050</v>
      </c>
      <c r="I78" s="411">
        <v>1.0352937</v>
      </c>
      <c r="J78" t="s">
        <v>809</v>
      </c>
      <c r="M78" s="412">
        <v>1.0352937</v>
      </c>
      <c r="N78" s="412">
        <v>1.0352937</v>
      </c>
      <c r="O78" s="412">
        <v>1.0352937</v>
      </c>
      <c r="P78" s="412">
        <v>1.0352937</v>
      </c>
      <c r="Q78" s="412">
        <v>1.0352937</v>
      </c>
      <c r="R78" s="412">
        <v>1.0352937</v>
      </c>
      <c r="S78" s="412">
        <v>1.0352937</v>
      </c>
      <c r="T78" s="412">
        <v>1.0352937</v>
      </c>
      <c r="U78" s="412">
        <v>1.0352937</v>
      </c>
      <c r="V78" s="412">
        <v>1.0352937</v>
      </c>
      <c r="W78" s="412">
        <v>1.0352937</v>
      </c>
      <c r="X78" s="412">
        <v>1.0352937</v>
      </c>
      <c r="Y78" s="412">
        <v>1.0352937</v>
      </c>
      <c r="Z78" s="412">
        <v>1.0352937</v>
      </c>
      <c r="AA78" s="412">
        <v>1.0352937</v>
      </c>
      <c r="AB78" s="412">
        <v>1.0352937</v>
      </c>
      <c r="AC78" s="412">
        <v>1.0352937</v>
      </c>
      <c r="AD78" s="412">
        <v>1.0352937</v>
      </c>
      <c r="AE78" s="412">
        <v>1.0352937</v>
      </c>
      <c r="AF78" s="412">
        <v>1.0352937</v>
      </c>
      <c r="AG78" s="412">
        <v>1.0352937</v>
      </c>
      <c r="AH78" s="412">
        <v>1.0352937</v>
      </c>
      <c r="AI78" s="412">
        <v>1.0352937</v>
      </c>
      <c r="AJ78" s="412">
        <v>1.0352937</v>
      </c>
      <c r="AK78" s="412">
        <v>1.0352937</v>
      </c>
      <c r="AL78" s="412">
        <v>1.0352937</v>
      </c>
      <c r="AM78" s="412">
        <v>1.0352937</v>
      </c>
      <c r="AN78" s="412">
        <v>1.0352937</v>
      </c>
      <c r="AO78" s="412"/>
      <c r="AP78" s="412"/>
      <c r="AQ78" s="412"/>
    </row>
    <row r="79" spans="1:43" x14ac:dyDescent="0.25">
      <c r="A79" s="384"/>
      <c r="B79" s="384"/>
      <c r="C79" s="384"/>
      <c r="D79" s="384"/>
      <c r="E79" s="9" t="s">
        <v>103</v>
      </c>
      <c r="F79" s="9" t="s">
        <v>104</v>
      </c>
      <c r="G79" s="9" t="s">
        <v>805</v>
      </c>
      <c r="H79" s="9">
        <v>2030</v>
      </c>
      <c r="I79" s="411">
        <v>1.1000000000000001</v>
      </c>
      <c r="J79" t="s">
        <v>809</v>
      </c>
      <c r="K79" s="210"/>
      <c r="L79" s="210"/>
      <c r="M79" s="412">
        <v>1.1000000000000001</v>
      </c>
      <c r="N79" s="412">
        <v>1.1000000000000001</v>
      </c>
      <c r="O79" s="412">
        <v>1.1000000000000001</v>
      </c>
      <c r="P79" s="412">
        <v>1.1000000000000001</v>
      </c>
      <c r="Q79" s="412">
        <v>1.1000000000000001</v>
      </c>
      <c r="R79" s="412">
        <v>1.1000000000000001</v>
      </c>
      <c r="S79" s="412">
        <v>1.1000000000000001</v>
      </c>
      <c r="T79" s="412">
        <v>1.1000000000000001</v>
      </c>
      <c r="U79" s="412">
        <v>1.1000000000000001</v>
      </c>
      <c r="V79" s="412">
        <v>1.1000000000000001</v>
      </c>
      <c r="W79" s="412">
        <v>1.1000000000000001</v>
      </c>
      <c r="X79" s="412">
        <v>1.1000000000000001</v>
      </c>
      <c r="Y79" s="412">
        <v>1.1000000000000001</v>
      </c>
      <c r="Z79" s="412">
        <v>1.1000000000000001</v>
      </c>
      <c r="AA79" s="412">
        <v>1.1000000000000001</v>
      </c>
      <c r="AB79" s="412">
        <v>1.1000000000000001</v>
      </c>
      <c r="AC79" s="412">
        <v>1.1000000000000001</v>
      </c>
      <c r="AD79" s="412">
        <v>1.1000000000000001</v>
      </c>
      <c r="AE79" s="412">
        <v>1.1000000000000001</v>
      </c>
      <c r="AF79" s="412">
        <v>1.1000000000000001</v>
      </c>
      <c r="AG79" s="412">
        <v>1.1000000000000001</v>
      </c>
      <c r="AH79" s="412">
        <v>1.1000000000000001</v>
      </c>
      <c r="AI79" s="412">
        <v>1.1000000000000001</v>
      </c>
      <c r="AJ79" s="412">
        <v>1.1000000000000001</v>
      </c>
      <c r="AK79" s="412">
        <v>1.1000000000000001</v>
      </c>
      <c r="AL79" s="412">
        <v>1.1000000000000001</v>
      </c>
      <c r="AM79" s="412">
        <v>1.1000000000000001</v>
      </c>
      <c r="AN79" s="412">
        <v>1.1000000000000001</v>
      </c>
      <c r="AO79" s="412"/>
      <c r="AP79" s="412"/>
      <c r="AQ79" s="412"/>
    </row>
    <row r="80" spans="1:43" x14ac:dyDescent="0.25">
      <c r="A80" s="384"/>
      <c r="B80" s="384"/>
      <c r="C80" s="384"/>
      <c r="D80" s="384"/>
      <c r="F80" s="9" t="s">
        <v>104</v>
      </c>
      <c r="G80" s="9" t="s">
        <v>805</v>
      </c>
      <c r="H80" s="9">
        <v>2050</v>
      </c>
      <c r="I80" s="411">
        <v>1.1599999999999999</v>
      </c>
      <c r="J80" t="s">
        <v>809</v>
      </c>
      <c r="M80" s="412">
        <v>1.1599999999999999</v>
      </c>
      <c r="N80" s="412">
        <v>1.1599999999999999</v>
      </c>
      <c r="O80" s="412">
        <v>1.1599999999999999</v>
      </c>
      <c r="P80" s="412">
        <v>1.1599999999999999</v>
      </c>
      <c r="Q80" s="412">
        <v>1.1599999999999999</v>
      </c>
      <c r="R80" s="412">
        <v>1.1599999999999999</v>
      </c>
      <c r="S80" s="412">
        <v>1.1599999999999999</v>
      </c>
      <c r="T80" s="412">
        <v>1.1599999999999999</v>
      </c>
      <c r="U80" s="412">
        <v>1.1599999999999999</v>
      </c>
      <c r="V80" s="412">
        <v>1.1599999999999999</v>
      </c>
      <c r="W80" s="412">
        <v>1.1599999999999999</v>
      </c>
      <c r="X80" s="412">
        <v>1.1599999999999999</v>
      </c>
      <c r="Y80" s="412">
        <v>1.1599999999999999</v>
      </c>
      <c r="Z80" s="412">
        <v>1.1599999999999999</v>
      </c>
      <c r="AA80" s="412">
        <v>1.1599999999999999</v>
      </c>
      <c r="AB80" s="412">
        <v>1.1599999999999999</v>
      </c>
      <c r="AC80" s="412">
        <v>1.1599999999999999</v>
      </c>
      <c r="AD80" s="412">
        <v>1.1599999999999999</v>
      </c>
      <c r="AE80" s="412">
        <v>1.1599999999999999</v>
      </c>
      <c r="AF80" s="412">
        <v>1.1599999999999999</v>
      </c>
      <c r="AG80" s="412">
        <v>1.1599999999999999</v>
      </c>
      <c r="AH80" s="412">
        <v>1.1599999999999999</v>
      </c>
      <c r="AI80" s="412">
        <v>1.1599999999999999</v>
      </c>
      <c r="AJ80" s="412">
        <v>1.1599999999999999</v>
      </c>
      <c r="AK80" s="412">
        <v>1.1599999999999999</v>
      </c>
      <c r="AL80" s="412">
        <v>1.1599999999999999</v>
      </c>
      <c r="AM80" s="412">
        <v>1.1599999999999999</v>
      </c>
      <c r="AN80" s="412">
        <v>1.1599999999999999</v>
      </c>
      <c r="AO80" s="412"/>
      <c r="AP80" s="412"/>
      <c r="AQ80" s="412"/>
    </row>
    <row r="81" spans="1:43" x14ac:dyDescent="0.25">
      <c r="A81" s="384"/>
      <c r="B81" s="384"/>
      <c r="C81" s="384"/>
      <c r="D81" s="384"/>
      <c r="E81" s="9" t="s">
        <v>105</v>
      </c>
      <c r="F81" s="9" t="s">
        <v>106</v>
      </c>
      <c r="G81" s="9" t="s">
        <v>801</v>
      </c>
      <c r="H81" s="9">
        <v>2020</v>
      </c>
      <c r="I81" s="411">
        <v>1</v>
      </c>
      <c r="J81" t="s">
        <v>809</v>
      </c>
      <c r="K81" s="210"/>
      <c r="L81" s="210"/>
      <c r="M81" s="412">
        <v>1</v>
      </c>
      <c r="N81" s="412">
        <v>1</v>
      </c>
      <c r="O81" s="412">
        <v>1</v>
      </c>
      <c r="P81" s="412">
        <v>1</v>
      </c>
      <c r="Q81" s="412">
        <v>1</v>
      </c>
      <c r="R81" s="412">
        <v>1</v>
      </c>
      <c r="S81" s="412">
        <v>1</v>
      </c>
      <c r="T81" s="412">
        <v>1</v>
      </c>
      <c r="U81" s="412">
        <v>1</v>
      </c>
      <c r="V81" s="412">
        <v>1</v>
      </c>
      <c r="W81" s="412">
        <v>1</v>
      </c>
      <c r="X81" s="412">
        <v>1</v>
      </c>
      <c r="Y81" s="412">
        <v>1</v>
      </c>
      <c r="Z81" s="412">
        <v>1</v>
      </c>
      <c r="AA81" s="412">
        <v>1</v>
      </c>
      <c r="AB81" s="412">
        <v>1</v>
      </c>
      <c r="AC81" s="412">
        <v>1</v>
      </c>
      <c r="AD81" s="412">
        <v>1</v>
      </c>
      <c r="AE81" s="412">
        <v>1</v>
      </c>
      <c r="AF81" s="412">
        <v>1</v>
      </c>
      <c r="AG81" s="412">
        <v>1</v>
      </c>
      <c r="AH81" s="412">
        <v>1</v>
      </c>
      <c r="AI81" s="412">
        <v>1</v>
      </c>
      <c r="AJ81" s="412">
        <v>1</v>
      </c>
      <c r="AK81" s="412">
        <v>1</v>
      </c>
      <c r="AL81" s="412">
        <v>1</v>
      </c>
      <c r="AM81" s="412">
        <v>1</v>
      </c>
      <c r="AN81" s="412">
        <v>1</v>
      </c>
      <c r="AO81" s="412"/>
      <c r="AP81" s="412"/>
      <c r="AQ81" s="412"/>
    </row>
    <row r="82" spans="1:43" x14ac:dyDescent="0.25">
      <c r="A82" s="384"/>
      <c r="B82" s="384"/>
      <c r="C82" s="384"/>
      <c r="D82" s="384"/>
      <c r="E82" s="9" t="s">
        <v>105</v>
      </c>
      <c r="F82" s="9" t="s">
        <v>106</v>
      </c>
      <c r="G82" s="9" t="s">
        <v>803</v>
      </c>
      <c r="H82" s="9">
        <v>2025</v>
      </c>
      <c r="I82" s="411">
        <v>1</v>
      </c>
      <c r="J82" t="s">
        <v>809</v>
      </c>
      <c r="M82" s="412">
        <v>1</v>
      </c>
      <c r="N82" s="412">
        <v>1</v>
      </c>
      <c r="O82" s="412">
        <v>1</v>
      </c>
      <c r="P82" s="412">
        <v>1</v>
      </c>
      <c r="Q82" s="412">
        <v>1</v>
      </c>
      <c r="R82" s="412">
        <v>1</v>
      </c>
      <c r="S82" s="412">
        <v>1</v>
      </c>
      <c r="T82" s="412">
        <v>1</v>
      </c>
      <c r="U82" s="412">
        <v>1</v>
      </c>
      <c r="V82" s="412">
        <v>1</v>
      </c>
      <c r="W82" s="412">
        <v>1</v>
      </c>
      <c r="X82" s="412">
        <v>1</v>
      </c>
      <c r="Y82" s="412">
        <v>1</v>
      </c>
      <c r="Z82" s="412">
        <v>1</v>
      </c>
      <c r="AA82" s="412">
        <v>1</v>
      </c>
      <c r="AB82" s="412">
        <v>1</v>
      </c>
      <c r="AC82" s="412">
        <v>1</v>
      </c>
      <c r="AD82" s="412">
        <v>1</v>
      </c>
      <c r="AE82" s="412">
        <v>1</v>
      </c>
      <c r="AF82" s="412">
        <v>1</v>
      </c>
      <c r="AG82" s="412">
        <v>1</v>
      </c>
      <c r="AH82" s="412">
        <v>1</v>
      </c>
      <c r="AI82" s="412">
        <v>1</v>
      </c>
      <c r="AJ82" s="412">
        <v>1</v>
      </c>
      <c r="AK82" s="412">
        <v>1</v>
      </c>
      <c r="AL82" s="412">
        <v>1</v>
      </c>
      <c r="AM82" s="412">
        <v>1</v>
      </c>
      <c r="AN82" s="412">
        <v>1</v>
      </c>
      <c r="AO82" s="412"/>
      <c r="AP82" s="412"/>
      <c r="AQ82" s="412"/>
    </row>
    <row r="83" spans="1:43" x14ac:dyDescent="0.25">
      <c r="A83" s="384"/>
      <c r="B83" s="384"/>
      <c r="C83" s="384"/>
      <c r="D83" s="384"/>
      <c r="F83" s="9" t="s">
        <v>106</v>
      </c>
      <c r="G83" s="9" t="s">
        <v>803</v>
      </c>
      <c r="H83" s="9">
        <v>2030</v>
      </c>
      <c r="I83" s="411">
        <v>1.0225</v>
      </c>
      <c r="J83" t="s">
        <v>809</v>
      </c>
      <c r="M83" s="412">
        <v>1.0225</v>
      </c>
      <c r="N83" s="412">
        <v>1.0225</v>
      </c>
      <c r="O83" s="412">
        <v>1.0225</v>
      </c>
      <c r="P83" s="412">
        <v>1.0225</v>
      </c>
      <c r="Q83" s="412">
        <v>1.0225</v>
      </c>
      <c r="R83" s="412">
        <v>1.0225</v>
      </c>
      <c r="S83" s="412">
        <v>1.0225</v>
      </c>
      <c r="T83" s="412">
        <v>1.0225</v>
      </c>
      <c r="U83" s="412">
        <v>1.0225</v>
      </c>
      <c r="V83" s="412">
        <v>1.0225</v>
      </c>
      <c r="W83" s="412">
        <v>1.0225</v>
      </c>
      <c r="X83" s="412">
        <v>1.0225</v>
      </c>
      <c r="Y83" s="412">
        <v>1.0225</v>
      </c>
      <c r="Z83" s="412">
        <v>1.0225</v>
      </c>
      <c r="AA83" s="412">
        <v>1.0225</v>
      </c>
      <c r="AB83" s="412">
        <v>1.0225</v>
      </c>
      <c r="AC83" s="412">
        <v>1.0225</v>
      </c>
      <c r="AD83" s="412">
        <v>1.0225</v>
      </c>
      <c r="AE83" s="412">
        <v>1.0225</v>
      </c>
      <c r="AF83" s="412">
        <v>1.0225</v>
      </c>
      <c r="AG83" s="412">
        <v>1.0225</v>
      </c>
      <c r="AH83" s="412">
        <v>1.0225</v>
      </c>
      <c r="AI83" s="412">
        <v>1.0225</v>
      </c>
      <c r="AJ83" s="412">
        <v>1.0225</v>
      </c>
      <c r="AK83" s="412">
        <v>1.0225</v>
      </c>
      <c r="AL83" s="412">
        <v>1.0225</v>
      </c>
      <c r="AM83" s="412">
        <v>1.0225</v>
      </c>
      <c r="AN83" s="412">
        <v>1.0225</v>
      </c>
      <c r="AO83" s="412"/>
      <c r="AP83" s="412"/>
      <c r="AQ83" s="412"/>
    </row>
    <row r="84" spans="1:43" x14ac:dyDescent="0.25">
      <c r="A84" s="384"/>
      <c r="B84" s="384"/>
      <c r="C84" s="384"/>
      <c r="D84" s="384"/>
      <c r="F84" s="9" t="s">
        <v>106</v>
      </c>
      <c r="G84" s="9" t="s">
        <v>803</v>
      </c>
      <c r="H84" s="9">
        <v>2050</v>
      </c>
      <c r="I84" s="411">
        <v>1.0382499999999999</v>
      </c>
      <c r="J84" t="s">
        <v>809</v>
      </c>
      <c r="K84" s="210"/>
      <c r="L84" s="210"/>
      <c r="M84" s="412">
        <v>1.0382499999999999</v>
      </c>
      <c r="N84" s="412">
        <v>1.0382499999999999</v>
      </c>
      <c r="O84" s="412">
        <v>1.0382499999999999</v>
      </c>
      <c r="P84" s="412">
        <v>1.0382499999999999</v>
      </c>
      <c r="Q84" s="412">
        <v>1.0382499999999999</v>
      </c>
      <c r="R84" s="412">
        <v>1.0382499999999999</v>
      </c>
      <c r="S84" s="412">
        <v>1.0382499999999999</v>
      </c>
      <c r="T84" s="412">
        <v>1.0382499999999999</v>
      </c>
      <c r="U84" s="412">
        <v>1.0382499999999999</v>
      </c>
      <c r="V84" s="412">
        <v>1.0382499999999999</v>
      </c>
      <c r="W84" s="412">
        <v>1.0382499999999999</v>
      </c>
      <c r="X84" s="412">
        <v>1.0382499999999999</v>
      </c>
      <c r="Y84" s="412">
        <v>1.0382499999999999</v>
      </c>
      <c r="Z84" s="412">
        <v>1.0382499999999999</v>
      </c>
      <c r="AA84" s="412">
        <v>1.0382499999999999</v>
      </c>
      <c r="AB84" s="412">
        <v>1.0382499999999999</v>
      </c>
      <c r="AC84" s="412">
        <v>1.0382499999999999</v>
      </c>
      <c r="AD84" s="412">
        <v>1.0382499999999999</v>
      </c>
      <c r="AE84" s="412">
        <v>1.0382499999999999</v>
      </c>
      <c r="AF84" s="412">
        <v>1.0382499999999999</v>
      </c>
      <c r="AG84" s="412">
        <v>1.0382499999999999</v>
      </c>
      <c r="AH84" s="412">
        <v>1.0382499999999999</v>
      </c>
      <c r="AI84" s="412">
        <v>1.0382499999999999</v>
      </c>
      <c r="AJ84" s="412">
        <v>1.0382499999999999</v>
      </c>
      <c r="AK84" s="412">
        <v>1.0382499999999999</v>
      </c>
      <c r="AL84" s="412">
        <v>1.0382499999999999</v>
      </c>
      <c r="AM84" s="412">
        <v>1.0382499999999999</v>
      </c>
      <c r="AN84" s="412">
        <v>1.0382499999999999</v>
      </c>
      <c r="AO84" s="412"/>
      <c r="AP84" s="412"/>
      <c r="AQ84" s="412"/>
    </row>
    <row r="85" spans="1:43" s="375" customFormat="1" x14ac:dyDescent="0.25">
      <c r="A85" s="384"/>
      <c r="B85" s="384"/>
      <c r="C85" s="384"/>
      <c r="D85" s="384"/>
      <c r="E85" s="9" t="s">
        <v>105</v>
      </c>
      <c r="F85" s="9" t="s">
        <v>106</v>
      </c>
      <c r="G85" s="9" t="s">
        <v>805</v>
      </c>
      <c r="H85" s="9">
        <v>2030</v>
      </c>
      <c r="I85" s="411">
        <v>1.095</v>
      </c>
      <c r="J85" t="s">
        <v>809</v>
      </c>
      <c r="K85" s="210"/>
      <c r="L85" s="210"/>
      <c r="M85" s="412">
        <v>1.095</v>
      </c>
      <c r="N85" s="412">
        <v>1.095</v>
      </c>
      <c r="O85" s="412">
        <v>1.095</v>
      </c>
      <c r="P85" s="412">
        <v>1.095</v>
      </c>
      <c r="Q85" s="412">
        <v>1.095</v>
      </c>
      <c r="R85" s="412">
        <v>1.095</v>
      </c>
      <c r="S85" s="412">
        <v>1.095</v>
      </c>
      <c r="T85" s="412">
        <v>1.095</v>
      </c>
      <c r="U85" s="412">
        <v>1.095</v>
      </c>
      <c r="V85" s="412">
        <v>1.095</v>
      </c>
      <c r="W85" s="412">
        <v>1.095</v>
      </c>
      <c r="X85" s="412">
        <v>1.095</v>
      </c>
      <c r="Y85" s="412">
        <v>1.095</v>
      </c>
      <c r="Z85" s="412">
        <v>1.095</v>
      </c>
      <c r="AA85" s="412">
        <v>1.095</v>
      </c>
      <c r="AB85" s="412">
        <v>1.095</v>
      </c>
      <c r="AC85" s="412">
        <v>1.095</v>
      </c>
      <c r="AD85" s="412">
        <v>1.095</v>
      </c>
      <c r="AE85" s="412">
        <v>1.095</v>
      </c>
      <c r="AF85" s="412">
        <v>1.095</v>
      </c>
      <c r="AG85" s="412">
        <v>1.095</v>
      </c>
      <c r="AH85" s="412">
        <v>1.095</v>
      </c>
      <c r="AI85" s="412">
        <v>1.095</v>
      </c>
      <c r="AJ85" s="412">
        <v>1.095</v>
      </c>
      <c r="AK85" s="412">
        <v>1.095</v>
      </c>
      <c r="AL85" s="412">
        <v>1.095</v>
      </c>
      <c r="AM85" s="412">
        <v>1.095</v>
      </c>
      <c r="AN85" s="412">
        <v>1.095</v>
      </c>
      <c r="AO85" s="412"/>
      <c r="AP85" s="412"/>
      <c r="AQ85" s="412"/>
    </row>
    <row r="86" spans="1:43" s="375" customFormat="1" x14ac:dyDescent="0.25">
      <c r="A86" s="384"/>
      <c r="B86" s="384"/>
      <c r="C86" s="384"/>
      <c r="D86" s="384"/>
      <c r="E86" s="9"/>
      <c r="F86" s="9" t="s">
        <v>106</v>
      </c>
      <c r="G86" s="9" t="s">
        <v>805</v>
      </c>
      <c r="H86" s="9">
        <v>2050</v>
      </c>
      <c r="I86" s="411">
        <v>1.1399999999999999</v>
      </c>
      <c r="J86" t="s">
        <v>809</v>
      </c>
      <c r="M86" s="412">
        <v>1.1399999999999999</v>
      </c>
      <c r="N86" s="412">
        <v>1.1399999999999999</v>
      </c>
      <c r="O86" s="412">
        <v>1.1399999999999999</v>
      </c>
      <c r="P86" s="412">
        <v>1.1399999999999999</v>
      </c>
      <c r="Q86" s="412">
        <v>1.1399999999999999</v>
      </c>
      <c r="R86" s="412">
        <v>1.1399999999999999</v>
      </c>
      <c r="S86" s="412">
        <v>1.1399999999999999</v>
      </c>
      <c r="T86" s="412">
        <v>1.1399999999999999</v>
      </c>
      <c r="U86" s="412">
        <v>1.1399999999999999</v>
      </c>
      <c r="V86" s="412">
        <v>1.1399999999999999</v>
      </c>
      <c r="W86" s="412">
        <v>1.1399999999999999</v>
      </c>
      <c r="X86" s="412">
        <v>1.1399999999999999</v>
      </c>
      <c r="Y86" s="412">
        <v>1.1399999999999999</v>
      </c>
      <c r="Z86" s="412">
        <v>1.1399999999999999</v>
      </c>
      <c r="AA86" s="412">
        <v>1.1399999999999999</v>
      </c>
      <c r="AB86" s="412">
        <v>1.1399999999999999</v>
      </c>
      <c r="AC86" s="412">
        <v>1.1399999999999999</v>
      </c>
      <c r="AD86" s="412">
        <v>1.1399999999999999</v>
      </c>
      <c r="AE86" s="412">
        <v>1.1399999999999999</v>
      </c>
      <c r="AF86" s="412">
        <v>1.1399999999999999</v>
      </c>
      <c r="AG86" s="412">
        <v>1.1399999999999999</v>
      </c>
      <c r="AH86" s="412">
        <v>1.1399999999999999</v>
      </c>
      <c r="AI86" s="412">
        <v>1.1399999999999999</v>
      </c>
      <c r="AJ86" s="412">
        <v>1.1399999999999999</v>
      </c>
      <c r="AK86" s="412">
        <v>1.1399999999999999</v>
      </c>
      <c r="AL86" s="412">
        <v>1.1399999999999999</v>
      </c>
      <c r="AM86" s="412">
        <v>1.1399999999999999</v>
      </c>
      <c r="AN86" s="412">
        <v>1.1399999999999999</v>
      </c>
      <c r="AO86" s="412"/>
      <c r="AP86" s="412"/>
      <c r="AQ86" s="412"/>
    </row>
    <row r="87" spans="1:43" s="375" customFormat="1" x14ac:dyDescent="0.25">
      <c r="A87" s="384"/>
      <c r="B87" s="384"/>
      <c r="C87" s="384"/>
      <c r="D87" s="384"/>
      <c r="E87" s="9" t="s">
        <v>107</v>
      </c>
      <c r="F87" s="9" t="s">
        <v>108</v>
      </c>
      <c r="G87" s="9" t="s">
        <v>801</v>
      </c>
      <c r="H87" s="9">
        <v>2020</v>
      </c>
      <c r="I87" s="411">
        <v>1</v>
      </c>
      <c r="J87" t="s">
        <v>809</v>
      </c>
      <c r="K87" s="210"/>
      <c r="L87" s="210"/>
      <c r="M87" s="412">
        <v>1</v>
      </c>
      <c r="N87" s="412">
        <v>1</v>
      </c>
      <c r="O87" s="412">
        <v>1</v>
      </c>
      <c r="P87" s="412">
        <v>1</v>
      </c>
      <c r="Q87" s="412">
        <v>1</v>
      </c>
      <c r="R87" s="412">
        <v>1</v>
      </c>
      <c r="S87" s="412">
        <v>1</v>
      </c>
      <c r="T87" s="412">
        <v>1</v>
      </c>
      <c r="U87" s="412">
        <v>1</v>
      </c>
      <c r="V87" s="412">
        <v>1</v>
      </c>
      <c r="W87" s="412">
        <v>1</v>
      </c>
      <c r="X87" s="412">
        <v>1</v>
      </c>
      <c r="Y87" s="412">
        <v>1</v>
      </c>
      <c r="Z87" s="412">
        <v>1</v>
      </c>
      <c r="AA87" s="412">
        <v>1</v>
      </c>
      <c r="AB87" s="412">
        <v>1</v>
      </c>
      <c r="AC87" s="412">
        <v>1</v>
      </c>
      <c r="AD87" s="412">
        <v>1</v>
      </c>
      <c r="AE87" s="412">
        <v>1</v>
      </c>
      <c r="AF87" s="412">
        <v>1</v>
      </c>
      <c r="AG87" s="412">
        <v>1</v>
      </c>
      <c r="AH87" s="412">
        <v>1</v>
      </c>
      <c r="AI87" s="412">
        <v>1</v>
      </c>
      <c r="AJ87" s="412">
        <v>1</v>
      </c>
      <c r="AK87" s="412">
        <v>1</v>
      </c>
      <c r="AL87" s="412">
        <v>1</v>
      </c>
      <c r="AM87" s="412">
        <v>1</v>
      </c>
      <c r="AN87" s="412">
        <v>1</v>
      </c>
      <c r="AO87" s="412"/>
      <c r="AP87" s="412"/>
      <c r="AQ87" s="412"/>
    </row>
    <row r="88" spans="1:43" s="375" customFormat="1" x14ac:dyDescent="0.25">
      <c r="A88" s="384"/>
      <c r="B88" s="384"/>
      <c r="C88" s="384"/>
      <c r="D88" s="384"/>
      <c r="E88" s="9" t="s">
        <v>107</v>
      </c>
      <c r="F88" s="9" t="s">
        <v>108</v>
      </c>
      <c r="G88" s="9" t="s">
        <v>803</v>
      </c>
      <c r="H88" s="9">
        <v>2025</v>
      </c>
      <c r="I88" s="411">
        <v>1</v>
      </c>
      <c r="J88" t="s">
        <v>809</v>
      </c>
      <c r="M88" s="412">
        <v>1</v>
      </c>
      <c r="N88" s="412">
        <v>1</v>
      </c>
      <c r="O88" s="412">
        <v>1</v>
      </c>
      <c r="P88" s="412">
        <v>1</v>
      </c>
      <c r="Q88" s="412">
        <v>1</v>
      </c>
      <c r="R88" s="412">
        <v>1</v>
      </c>
      <c r="S88" s="412">
        <v>1</v>
      </c>
      <c r="T88" s="412">
        <v>1</v>
      </c>
      <c r="U88" s="412">
        <v>1</v>
      </c>
      <c r="V88" s="412">
        <v>1</v>
      </c>
      <c r="W88" s="412">
        <v>1</v>
      </c>
      <c r="X88" s="412">
        <v>1</v>
      </c>
      <c r="Y88" s="412">
        <v>1</v>
      </c>
      <c r="Z88" s="412">
        <v>1</v>
      </c>
      <c r="AA88" s="412">
        <v>1</v>
      </c>
      <c r="AB88" s="412">
        <v>1</v>
      </c>
      <c r="AC88" s="412">
        <v>1</v>
      </c>
      <c r="AD88" s="412">
        <v>1</v>
      </c>
      <c r="AE88" s="412">
        <v>1</v>
      </c>
      <c r="AF88" s="412">
        <v>1</v>
      </c>
      <c r="AG88" s="412">
        <v>1</v>
      </c>
      <c r="AH88" s="412">
        <v>1</v>
      </c>
      <c r="AI88" s="412">
        <v>1</v>
      </c>
      <c r="AJ88" s="412">
        <v>1</v>
      </c>
      <c r="AK88" s="412">
        <v>1</v>
      </c>
      <c r="AL88" s="412">
        <v>1</v>
      </c>
      <c r="AM88" s="412">
        <v>1</v>
      </c>
      <c r="AN88" s="412">
        <v>1</v>
      </c>
      <c r="AO88" s="412"/>
      <c r="AP88" s="412"/>
      <c r="AQ88" s="412"/>
    </row>
    <row r="89" spans="1:43" s="375" customFormat="1" x14ac:dyDescent="0.25">
      <c r="A89" s="384"/>
      <c r="B89" s="384"/>
      <c r="C89" s="384"/>
      <c r="D89" s="384"/>
      <c r="E89" s="9"/>
      <c r="F89" s="9" t="s">
        <v>108</v>
      </c>
      <c r="G89" s="9" t="s">
        <v>803</v>
      </c>
      <c r="H89" s="9">
        <v>2030</v>
      </c>
      <c r="I89" s="411">
        <v>1.0325</v>
      </c>
      <c r="J89" t="s">
        <v>809</v>
      </c>
      <c r="M89" s="412">
        <v>1.0325</v>
      </c>
      <c r="N89" s="412">
        <v>1.0325</v>
      </c>
      <c r="O89" s="412">
        <v>1.0325</v>
      </c>
      <c r="P89" s="412">
        <v>1.0325</v>
      </c>
      <c r="Q89" s="412">
        <v>1.0325</v>
      </c>
      <c r="R89" s="412">
        <v>1.0325</v>
      </c>
      <c r="S89" s="412">
        <v>1.0325</v>
      </c>
      <c r="T89" s="412">
        <v>1.0325</v>
      </c>
      <c r="U89" s="412">
        <v>1.0325</v>
      </c>
      <c r="V89" s="412">
        <v>1.0325</v>
      </c>
      <c r="W89" s="412">
        <v>1.0325</v>
      </c>
      <c r="X89" s="412">
        <v>1.0325</v>
      </c>
      <c r="Y89" s="412">
        <v>1.0325</v>
      </c>
      <c r="Z89" s="412">
        <v>1.0325</v>
      </c>
      <c r="AA89" s="412">
        <v>1.0325</v>
      </c>
      <c r="AB89" s="412">
        <v>1.0325</v>
      </c>
      <c r="AC89" s="412">
        <v>1.0325</v>
      </c>
      <c r="AD89" s="412">
        <v>1.0325</v>
      </c>
      <c r="AE89" s="412">
        <v>1.0325</v>
      </c>
      <c r="AF89" s="412">
        <v>1.0325</v>
      </c>
      <c r="AG89" s="412">
        <v>1.0325</v>
      </c>
      <c r="AH89" s="412">
        <v>1.0325</v>
      </c>
      <c r="AI89" s="412">
        <v>1.0325</v>
      </c>
      <c r="AJ89" s="412">
        <v>1.0325</v>
      </c>
      <c r="AK89" s="412">
        <v>1.0325</v>
      </c>
      <c r="AL89" s="412">
        <v>1.0325</v>
      </c>
      <c r="AM89" s="412">
        <v>1.0325</v>
      </c>
      <c r="AN89" s="412">
        <v>1.0325</v>
      </c>
      <c r="AO89" s="412"/>
      <c r="AP89" s="412"/>
      <c r="AQ89" s="412"/>
    </row>
    <row r="90" spans="1:43" s="375" customFormat="1" x14ac:dyDescent="0.25">
      <c r="A90" s="384"/>
      <c r="B90" s="384"/>
      <c r="C90" s="384"/>
      <c r="D90" s="384"/>
      <c r="E90" s="9"/>
      <c r="F90" s="9" t="s">
        <v>108</v>
      </c>
      <c r="G90" s="9" t="s">
        <v>803</v>
      </c>
      <c r="H90" s="9">
        <v>2050</v>
      </c>
      <c r="I90" s="411">
        <v>1.0552499999999998</v>
      </c>
      <c r="J90" t="s">
        <v>809</v>
      </c>
      <c r="K90" s="210"/>
      <c r="L90" s="210"/>
      <c r="M90" s="412">
        <v>1.0552499999999998</v>
      </c>
      <c r="N90" s="412">
        <v>1.0552499999999998</v>
      </c>
      <c r="O90" s="412">
        <v>1.0552499999999998</v>
      </c>
      <c r="P90" s="412">
        <v>1.0552499999999998</v>
      </c>
      <c r="Q90" s="412">
        <v>1.0552499999999998</v>
      </c>
      <c r="R90" s="412">
        <v>1.0552499999999998</v>
      </c>
      <c r="S90" s="412">
        <v>1.0552499999999998</v>
      </c>
      <c r="T90" s="412">
        <v>1.0552499999999998</v>
      </c>
      <c r="U90" s="412">
        <v>1.0552499999999998</v>
      </c>
      <c r="V90" s="412">
        <v>1.0552499999999998</v>
      </c>
      <c r="W90" s="412">
        <v>1.0552499999999998</v>
      </c>
      <c r="X90" s="412">
        <v>1.0552499999999998</v>
      </c>
      <c r="Y90" s="412">
        <v>1.0552499999999998</v>
      </c>
      <c r="Z90" s="412">
        <v>1.0552499999999998</v>
      </c>
      <c r="AA90" s="412">
        <v>1.0552499999999998</v>
      </c>
      <c r="AB90" s="412">
        <v>1.0552499999999998</v>
      </c>
      <c r="AC90" s="412">
        <v>1.0552499999999998</v>
      </c>
      <c r="AD90" s="412">
        <v>1.0552499999999998</v>
      </c>
      <c r="AE90" s="412">
        <v>1.0552499999999998</v>
      </c>
      <c r="AF90" s="412">
        <v>1.0552499999999998</v>
      </c>
      <c r="AG90" s="412">
        <v>1.0552499999999998</v>
      </c>
      <c r="AH90" s="412">
        <v>1.0552499999999998</v>
      </c>
      <c r="AI90" s="412">
        <v>1.0552499999999998</v>
      </c>
      <c r="AJ90" s="412">
        <v>1.0552499999999998</v>
      </c>
      <c r="AK90" s="412">
        <v>1.0552499999999998</v>
      </c>
      <c r="AL90" s="412">
        <v>1.0552499999999998</v>
      </c>
      <c r="AM90" s="412">
        <v>1.0552499999999998</v>
      </c>
      <c r="AN90" s="412">
        <v>1.0552499999999998</v>
      </c>
      <c r="AO90" s="412"/>
      <c r="AP90" s="412"/>
      <c r="AQ90" s="412"/>
    </row>
    <row r="91" spans="1:43" s="375" customFormat="1" x14ac:dyDescent="0.25">
      <c r="A91" s="384"/>
      <c r="B91" s="384"/>
      <c r="C91" s="384"/>
      <c r="D91" s="384"/>
      <c r="E91" s="9" t="s">
        <v>107</v>
      </c>
      <c r="F91" s="9" t="s">
        <v>108</v>
      </c>
      <c r="G91" s="9" t="s">
        <v>805</v>
      </c>
      <c r="H91" s="9">
        <v>2030</v>
      </c>
      <c r="I91" s="411">
        <v>1.1200000000000001</v>
      </c>
      <c r="J91" t="s">
        <v>809</v>
      </c>
      <c r="K91" s="210"/>
      <c r="L91" s="210"/>
      <c r="M91" s="412">
        <v>1.1200000000000001</v>
      </c>
      <c r="N91" s="412">
        <v>1.1200000000000001</v>
      </c>
      <c r="O91" s="412">
        <v>1.1200000000000001</v>
      </c>
      <c r="P91" s="412">
        <v>1.1200000000000001</v>
      </c>
      <c r="Q91" s="412">
        <v>1.1200000000000001</v>
      </c>
      <c r="R91" s="412">
        <v>1.1200000000000001</v>
      </c>
      <c r="S91" s="412">
        <v>1.1200000000000001</v>
      </c>
      <c r="T91" s="412">
        <v>1.1200000000000001</v>
      </c>
      <c r="U91" s="412">
        <v>1.1200000000000001</v>
      </c>
      <c r="V91" s="412">
        <v>1.1200000000000001</v>
      </c>
      <c r="W91" s="412">
        <v>1.1200000000000001</v>
      </c>
      <c r="X91" s="412">
        <v>1.1200000000000001</v>
      </c>
      <c r="Y91" s="412">
        <v>1.1200000000000001</v>
      </c>
      <c r="Z91" s="412">
        <v>1.1200000000000001</v>
      </c>
      <c r="AA91" s="412">
        <v>1.1200000000000001</v>
      </c>
      <c r="AB91" s="412">
        <v>1.1200000000000001</v>
      </c>
      <c r="AC91" s="412">
        <v>1.1200000000000001</v>
      </c>
      <c r="AD91" s="412">
        <v>1.1200000000000001</v>
      </c>
      <c r="AE91" s="412">
        <v>1.1200000000000001</v>
      </c>
      <c r="AF91" s="412">
        <v>1.1200000000000001</v>
      </c>
      <c r="AG91" s="412">
        <v>1.1200000000000001</v>
      </c>
      <c r="AH91" s="412">
        <v>1.1200000000000001</v>
      </c>
      <c r="AI91" s="412">
        <v>1.1200000000000001</v>
      </c>
      <c r="AJ91" s="412">
        <v>1.1200000000000001</v>
      </c>
      <c r="AK91" s="412">
        <v>1.1200000000000001</v>
      </c>
      <c r="AL91" s="412">
        <v>1.1200000000000001</v>
      </c>
      <c r="AM91" s="412">
        <v>1.1200000000000001</v>
      </c>
      <c r="AN91" s="412">
        <v>1.1200000000000001</v>
      </c>
      <c r="AO91" s="412"/>
      <c r="AP91" s="412"/>
      <c r="AQ91" s="412"/>
    </row>
    <row r="92" spans="1:43" s="375" customFormat="1" x14ac:dyDescent="0.25">
      <c r="A92" s="384"/>
      <c r="B92" s="384"/>
      <c r="C92" s="384"/>
      <c r="D92" s="384"/>
      <c r="E92" s="9"/>
      <c r="F92" s="9" t="s">
        <v>108</v>
      </c>
      <c r="G92" s="9" t="s">
        <v>805</v>
      </c>
      <c r="H92" s="9">
        <v>2050</v>
      </c>
      <c r="I92" s="411">
        <v>1.27</v>
      </c>
      <c r="J92" t="s">
        <v>809</v>
      </c>
      <c r="M92" s="412">
        <v>1.27</v>
      </c>
      <c r="N92" s="412">
        <v>1.27</v>
      </c>
      <c r="O92" s="412">
        <v>1.27</v>
      </c>
      <c r="P92" s="412">
        <v>1.27</v>
      </c>
      <c r="Q92" s="412">
        <v>1.27</v>
      </c>
      <c r="R92" s="412">
        <v>1.27</v>
      </c>
      <c r="S92" s="412">
        <v>1.27</v>
      </c>
      <c r="T92" s="412">
        <v>1.27</v>
      </c>
      <c r="U92" s="412">
        <v>1.27</v>
      </c>
      <c r="V92" s="412">
        <v>1.27</v>
      </c>
      <c r="W92" s="412">
        <v>1.27</v>
      </c>
      <c r="X92" s="412">
        <v>1.27</v>
      </c>
      <c r="Y92" s="412">
        <v>1.27</v>
      </c>
      <c r="Z92" s="412">
        <v>1.27</v>
      </c>
      <c r="AA92" s="412">
        <v>1.27</v>
      </c>
      <c r="AB92" s="412">
        <v>1.27</v>
      </c>
      <c r="AC92" s="412">
        <v>1.27</v>
      </c>
      <c r="AD92" s="412">
        <v>1.27</v>
      </c>
      <c r="AE92" s="412">
        <v>1.27</v>
      </c>
      <c r="AF92" s="412">
        <v>1.27</v>
      </c>
      <c r="AG92" s="412">
        <v>1.27</v>
      </c>
      <c r="AH92" s="412">
        <v>1.27</v>
      </c>
      <c r="AI92" s="412">
        <v>1.27</v>
      </c>
      <c r="AJ92" s="412">
        <v>1.27</v>
      </c>
      <c r="AK92" s="412">
        <v>1.27</v>
      </c>
      <c r="AL92" s="412">
        <v>1.27</v>
      </c>
      <c r="AM92" s="412">
        <v>1.27</v>
      </c>
      <c r="AN92" s="412">
        <v>1.27</v>
      </c>
      <c r="AO92" s="412"/>
      <c r="AP92" s="412"/>
      <c r="AQ92" s="412"/>
    </row>
    <row r="93" spans="1:43" s="375" customFormat="1" x14ac:dyDescent="0.25">
      <c r="A93" s="384"/>
      <c r="B93" s="384"/>
      <c r="C93" s="384"/>
      <c r="D93" s="384"/>
      <c r="E93" s="9" t="s">
        <v>109</v>
      </c>
      <c r="F93" s="9" t="s">
        <v>110</v>
      </c>
      <c r="G93" s="9" t="s">
        <v>801</v>
      </c>
      <c r="H93" s="9">
        <v>2020</v>
      </c>
      <c r="I93" s="411">
        <v>1</v>
      </c>
      <c r="J93" t="s">
        <v>809</v>
      </c>
      <c r="K93" s="210"/>
      <c r="L93" s="210"/>
      <c r="M93" s="412">
        <v>1</v>
      </c>
      <c r="N93" s="412">
        <v>1</v>
      </c>
      <c r="O93" s="412">
        <v>1</v>
      </c>
      <c r="P93" s="412">
        <v>1</v>
      </c>
      <c r="Q93" s="412">
        <v>1</v>
      </c>
      <c r="R93" s="412">
        <v>1</v>
      </c>
      <c r="S93" s="412">
        <v>1</v>
      </c>
      <c r="T93" s="412">
        <v>1</v>
      </c>
      <c r="U93" s="412">
        <v>1</v>
      </c>
      <c r="V93" s="412">
        <v>1</v>
      </c>
      <c r="W93" s="412">
        <v>1</v>
      </c>
      <c r="X93" s="412">
        <v>1</v>
      </c>
      <c r="Y93" s="412">
        <v>1</v>
      </c>
      <c r="Z93" s="412">
        <v>1</v>
      </c>
      <c r="AA93" s="412">
        <v>1</v>
      </c>
      <c r="AB93" s="412">
        <v>1</v>
      </c>
      <c r="AC93" s="412">
        <v>1</v>
      </c>
      <c r="AD93" s="412">
        <v>1</v>
      </c>
      <c r="AE93" s="412">
        <v>1</v>
      </c>
      <c r="AF93" s="412">
        <v>1</v>
      </c>
      <c r="AG93" s="412">
        <v>1</v>
      </c>
      <c r="AH93" s="412">
        <v>1</v>
      </c>
      <c r="AI93" s="412">
        <v>1</v>
      </c>
      <c r="AJ93" s="412">
        <v>1</v>
      </c>
      <c r="AK93" s="412">
        <v>1</v>
      </c>
      <c r="AL93" s="412">
        <v>1</v>
      </c>
      <c r="AM93" s="412">
        <v>1</v>
      </c>
      <c r="AN93" s="412">
        <v>1</v>
      </c>
      <c r="AO93" s="412"/>
      <c r="AP93" s="412"/>
      <c r="AQ93" s="412"/>
    </row>
    <row r="94" spans="1:43" s="375" customFormat="1" x14ac:dyDescent="0.25">
      <c r="A94" s="384"/>
      <c r="B94" s="384"/>
      <c r="C94" s="384"/>
      <c r="D94" s="384"/>
      <c r="E94" s="9" t="s">
        <v>109</v>
      </c>
      <c r="F94" s="9" t="s">
        <v>110</v>
      </c>
      <c r="G94" s="9" t="s">
        <v>803</v>
      </c>
      <c r="H94" s="9">
        <v>2025</v>
      </c>
      <c r="I94" s="411">
        <v>1</v>
      </c>
      <c r="J94" t="s">
        <v>809</v>
      </c>
      <c r="M94" s="412">
        <v>1</v>
      </c>
      <c r="N94" s="412">
        <v>1</v>
      </c>
      <c r="O94" s="412">
        <v>1</v>
      </c>
      <c r="P94" s="412">
        <v>1</v>
      </c>
      <c r="Q94" s="412">
        <v>1</v>
      </c>
      <c r="R94" s="412">
        <v>1</v>
      </c>
      <c r="S94" s="412">
        <v>1</v>
      </c>
      <c r="T94" s="412">
        <v>1</v>
      </c>
      <c r="U94" s="412">
        <v>1</v>
      </c>
      <c r="V94" s="412">
        <v>1</v>
      </c>
      <c r="W94" s="412">
        <v>1</v>
      </c>
      <c r="X94" s="412">
        <v>1</v>
      </c>
      <c r="Y94" s="412">
        <v>1</v>
      </c>
      <c r="Z94" s="412">
        <v>1</v>
      </c>
      <c r="AA94" s="412">
        <v>1</v>
      </c>
      <c r="AB94" s="412">
        <v>1</v>
      </c>
      <c r="AC94" s="412">
        <v>1</v>
      </c>
      <c r="AD94" s="412">
        <v>1</v>
      </c>
      <c r="AE94" s="412">
        <v>1</v>
      </c>
      <c r="AF94" s="412">
        <v>1</v>
      </c>
      <c r="AG94" s="412">
        <v>1</v>
      </c>
      <c r="AH94" s="412">
        <v>1</v>
      </c>
      <c r="AI94" s="412">
        <v>1</v>
      </c>
      <c r="AJ94" s="412">
        <v>1</v>
      </c>
      <c r="AK94" s="412">
        <v>1</v>
      </c>
      <c r="AL94" s="412">
        <v>1</v>
      </c>
      <c r="AM94" s="412">
        <v>1</v>
      </c>
      <c r="AN94" s="412">
        <v>1</v>
      </c>
      <c r="AO94" s="412"/>
      <c r="AP94" s="412"/>
      <c r="AQ94" s="412"/>
    </row>
    <row r="95" spans="1:43" s="375" customFormat="1" x14ac:dyDescent="0.25">
      <c r="A95" s="384"/>
      <c r="B95" s="384"/>
      <c r="C95" s="384"/>
      <c r="D95" s="384"/>
      <c r="E95" s="9"/>
      <c r="F95" s="9" t="s">
        <v>110</v>
      </c>
      <c r="G95" s="9" t="s">
        <v>803</v>
      </c>
      <c r="H95" s="9">
        <v>2030</v>
      </c>
      <c r="I95" s="411">
        <v>1.0325</v>
      </c>
      <c r="J95" t="s">
        <v>809</v>
      </c>
      <c r="M95" s="412">
        <v>1.0325</v>
      </c>
      <c r="N95" s="412">
        <v>1.0325</v>
      </c>
      <c r="O95" s="412">
        <v>1.0325</v>
      </c>
      <c r="P95" s="412">
        <v>1.0325</v>
      </c>
      <c r="Q95" s="412">
        <v>1.0325</v>
      </c>
      <c r="R95" s="412">
        <v>1.0325</v>
      </c>
      <c r="S95" s="412">
        <v>1.0325</v>
      </c>
      <c r="T95" s="412">
        <v>1.0325</v>
      </c>
      <c r="U95" s="412">
        <v>1.0325</v>
      </c>
      <c r="V95" s="412">
        <v>1.0325</v>
      </c>
      <c r="W95" s="412">
        <v>1.0325</v>
      </c>
      <c r="X95" s="412">
        <v>1.0325</v>
      </c>
      <c r="Y95" s="412">
        <v>1.0325</v>
      </c>
      <c r="Z95" s="412">
        <v>1.0325</v>
      </c>
      <c r="AA95" s="412">
        <v>1.0325</v>
      </c>
      <c r="AB95" s="412">
        <v>1.0325</v>
      </c>
      <c r="AC95" s="412">
        <v>1.0325</v>
      </c>
      <c r="AD95" s="412">
        <v>1.0325</v>
      </c>
      <c r="AE95" s="412">
        <v>1.0325</v>
      </c>
      <c r="AF95" s="412">
        <v>1.0325</v>
      </c>
      <c r="AG95" s="412">
        <v>1.0325</v>
      </c>
      <c r="AH95" s="412">
        <v>1.0325</v>
      </c>
      <c r="AI95" s="412">
        <v>1.0325</v>
      </c>
      <c r="AJ95" s="412">
        <v>1.0325</v>
      </c>
      <c r="AK95" s="412">
        <v>1.0325</v>
      </c>
      <c r="AL95" s="412">
        <v>1.0325</v>
      </c>
      <c r="AM95" s="412">
        <v>1.0325</v>
      </c>
      <c r="AN95" s="412">
        <v>1.0325</v>
      </c>
      <c r="AO95" s="412"/>
      <c r="AP95" s="412"/>
      <c r="AQ95" s="412"/>
    </row>
    <row r="96" spans="1:43" s="375" customFormat="1" x14ac:dyDescent="0.25">
      <c r="A96" s="384"/>
      <c r="B96" s="384"/>
      <c r="C96" s="384"/>
      <c r="D96" s="384"/>
      <c r="E96" s="9"/>
      <c r="F96" s="9" t="s">
        <v>110</v>
      </c>
      <c r="G96" s="9" t="s">
        <v>803</v>
      </c>
      <c r="H96" s="9">
        <v>2050</v>
      </c>
      <c r="I96" s="411">
        <v>1.0552499999999998</v>
      </c>
      <c r="J96" t="s">
        <v>809</v>
      </c>
      <c r="K96" s="210"/>
      <c r="L96" s="210"/>
      <c r="M96" s="412">
        <v>1.0552499999999998</v>
      </c>
      <c r="N96" s="412">
        <v>1.0552499999999998</v>
      </c>
      <c r="O96" s="412">
        <v>1.0552499999999998</v>
      </c>
      <c r="P96" s="412">
        <v>1.0552499999999998</v>
      </c>
      <c r="Q96" s="412">
        <v>1.0552499999999998</v>
      </c>
      <c r="R96" s="412">
        <v>1.0552499999999998</v>
      </c>
      <c r="S96" s="412">
        <v>1.0552499999999998</v>
      </c>
      <c r="T96" s="412">
        <v>1.0552499999999998</v>
      </c>
      <c r="U96" s="412">
        <v>1.0552499999999998</v>
      </c>
      <c r="V96" s="412">
        <v>1.0552499999999998</v>
      </c>
      <c r="W96" s="412">
        <v>1.0552499999999998</v>
      </c>
      <c r="X96" s="412">
        <v>1.0552499999999998</v>
      </c>
      <c r="Y96" s="412">
        <v>1.0552499999999998</v>
      </c>
      <c r="Z96" s="412">
        <v>1.0552499999999998</v>
      </c>
      <c r="AA96" s="412">
        <v>1.0552499999999998</v>
      </c>
      <c r="AB96" s="412">
        <v>1.0552499999999998</v>
      </c>
      <c r="AC96" s="412">
        <v>1.0552499999999998</v>
      </c>
      <c r="AD96" s="412">
        <v>1.0552499999999998</v>
      </c>
      <c r="AE96" s="412">
        <v>1.0552499999999998</v>
      </c>
      <c r="AF96" s="412">
        <v>1.0552499999999998</v>
      </c>
      <c r="AG96" s="412">
        <v>1.0552499999999998</v>
      </c>
      <c r="AH96" s="412">
        <v>1.0552499999999998</v>
      </c>
      <c r="AI96" s="412">
        <v>1.0552499999999998</v>
      </c>
      <c r="AJ96" s="412">
        <v>1.0552499999999998</v>
      </c>
      <c r="AK96" s="412">
        <v>1.0552499999999998</v>
      </c>
      <c r="AL96" s="412">
        <v>1.0552499999999998</v>
      </c>
      <c r="AM96" s="412">
        <v>1.0552499999999998</v>
      </c>
      <c r="AN96" s="412">
        <v>1.0552499999999998</v>
      </c>
      <c r="AO96" s="412"/>
      <c r="AP96" s="412"/>
      <c r="AQ96" s="412"/>
    </row>
    <row r="97" spans="1:43" s="375" customFormat="1" x14ac:dyDescent="0.25">
      <c r="A97" s="384"/>
      <c r="B97" s="384"/>
      <c r="C97" s="384"/>
      <c r="D97" s="384"/>
      <c r="E97" s="9" t="s">
        <v>109</v>
      </c>
      <c r="F97" s="9" t="s">
        <v>110</v>
      </c>
      <c r="G97" s="9" t="s">
        <v>805</v>
      </c>
      <c r="H97" s="9">
        <v>2030</v>
      </c>
      <c r="I97" s="411">
        <v>1.1200000000000001</v>
      </c>
      <c r="J97" t="s">
        <v>809</v>
      </c>
      <c r="K97" s="210"/>
      <c r="L97" s="210"/>
      <c r="M97" s="412">
        <v>1.1200000000000001</v>
      </c>
      <c r="N97" s="412">
        <v>1.1200000000000001</v>
      </c>
      <c r="O97" s="412">
        <v>1.1200000000000001</v>
      </c>
      <c r="P97" s="412">
        <v>1.1200000000000001</v>
      </c>
      <c r="Q97" s="412">
        <v>1.1200000000000001</v>
      </c>
      <c r="R97" s="412">
        <v>1.1200000000000001</v>
      </c>
      <c r="S97" s="412">
        <v>1.1200000000000001</v>
      </c>
      <c r="T97" s="412">
        <v>1.1200000000000001</v>
      </c>
      <c r="U97" s="412">
        <v>1.1200000000000001</v>
      </c>
      <c r="V97" s="412">
        <v>1.1200000000000001</v>
      </c>
      <c r="W97" s="412">
        <v>1.1200000000000001</v>
      </c>
      <c r="X97" s="412">
        <v>1.1200000000000001</v>
      </c>
      <c r="Y97" s="412">
        <v>1.1200000000000001</v>
      </c>
      <c r="Z97" s="412">
        <v>1.1200000000000001</v>
      </c>
      <c r="AA97" s="412">
        <v>1.1200000000000001</v>
      </c>
      <c r="AB97" s="412">
        <v>1.1200000000000001</v>
      </c>
      <c r="AC97" s="412">
        <v>1.1200000000000001</v>
      </c>
      <c r="AD97" s="412">
        <v>1.1200000000000001</v>
      </c>
      <c r="AE97" s="412">
        <v>1.1200000000000001</v>
      </c>
      <c r="AF97" s="412">
        <v>1.1200000000000001</v>
      </c>
      <c r="AG97" s="412">
        <v>1.1200000000000001</v>
      </c>
      <c r="AH97" s="412">
        <v>1.1200000000000001</v>
      </c>
      <c r="AI97" s="412">
        <v>1.1200000000000001</v>
      </c>
      <c r="AJ97" s="412">
        <v>1.1200000000000001</v>
      </c>
      <c r="AK97" s="412">
        <v>1.1200000000000001</v>
      </c>
      <c r="AL97" s="412">
        <v>1.1200000000000001</v>
      </c>
      <c r="AM97" s="412">
        <v>1.1200000000000001</v>
      </c>
      <c r="AN97" s="412">
        <v>1.1200000000000001</v>
      </c>
      <c r="AO97" s="412"/>
      <c r="AP97" s="412"/>
      <c r="AQ97" s="412"/>
    </row>
    <row r="98" spans="1:43" s="375" customFormat="1" x14ac:dyDescent="0.25">
      <c r="A98" s="384"/>
      <c r="B98" s="384"/>
      <c r="C98" s="384"/>
      <c r="D98" s="384"/>
      <c r="E98" s="47"/>
      <c r="F98" s="47" t="s">
        <v>110</v>
      </c>
      <c r="G98" s="47" t="s">
        <v>805</v>
      </c>
      <c r="H98" s="47">
        <v>2050</v>
      </c>
      <c r="I98" s="413">
        <v>1.27</v>
      </c>
      <c r="J98" s="216" t="s">
        <v>809</v>
      </c>
      <c r="K98" s="414"/>
      <c r="L98" s="414"/>
      <c r="M98" s="415">
        <v>1.27</v>
      </c>
      <c r="N98" s="415">
        <v>1.27</v>
      </c>
      <c r="O98" s="415">
        <v>1.27</v>
      </c>
      <c r="P98" s="415">
        <v>1.27</v>
      </c>
      <c r="Q98" s="415">
        <v>1.27</v>
      </c>
      <c r="R98" s="415">
        <v>1.27</v>
      </c>
      <c r="S98" s="415">
        <v>1.27</v>
      </c>
      <c r="T98" s="415">
        <v>1.27</v>
      </c>
      <c r="U98" s="415">
        <v>1.27</v>
      </c>
      <c r="V98" s="415">
        <v>1.27</v>
      </c>
      <c r="W98" s="415">
        <v>1.27</v>
      </c>
      <c r="X98" s="415">
        <v>1.27</v>
      </c>
      <c r="Y98" s="415">
        <v>1.27</v>
      </c>
      <c r="Z98" s="415">
        <v>1.27</v>
      </c>
      <c r="AA98" s="415">
        <v>1.27</v>
      </c>
      <c r="AB98" s="415">
        <v>1.27</v>
      </c>
      <c r="AC98" s="415">
        <v>1.27</v>
      </c>
      <c r="AD98" s="415">
        <v>1.27</v>
      </c>
      <c r="AE98" s="415">
        <v>1.27</v>
      </c>
      <c r="AF98" s="415">
        <v>1.27</v>
      </c>
      <c r="AG98" s="415">
        <v>1.27</v>
      </c>
      <c r="AH98" s="415">
        <v>1.27</v>
      </c>
      <c r="AI98" s="415">
        <v>1.27</v>
      </c>
      <c r="AJ98" s="415">
        <v>1.27</v>
      </c>
      <c r="AK98" s="415">
        <v>1.27</v>
      </c>
      <c r="AL98" s="415">
        <v>1.27</v>
      </c>
      <c r="AM98" s="415">
        <v>1.27</v>
      </c>
      <c r="AN98" s="415">
        <v>1.27</v>
      </c>
      <c r="AO98" s="412"/>
      <c r="AP98" s="412"/>
      <c r="AQ98" s="412"/>
    </row>
    <row r="99" spans="1:43" s="375" customFormat="1" x14ac:dyDescent="0.25">
      <c r="A99" s="384"/>
      <c r="B99" s="384"/>
      <c r="C99" s="384"/>
      <c r="D99" s="384"/>
      <c r="E99" s="9"/>
      <c r="F99" s="9"/>
      <c r="G99" s="9"/>
      <c r="H99" s="9"/>
      <c r="I99" s="9"/>
      <c r="J99" s="405" t="s">
        <v>810</v>
      </c>
      <c r="K99" s="416"/>
      <c r="L99" s="416"/>
      <c r="M99" s="417">
        <v>1</v>
      </c>
      <c r="N99" s="417">
        <v>1</v>
      </c>
      <c r="O99" s="417">
        <v>1</v>
      </c>
      <c r="P99" s="417">
        <v>1</v>
      </c>
      <c r="Q99" s="417">
        <v>1</v>
      </c>
      <c r="R99" s="417">
        <v>1</v>
      </c>
      <c r="S99" s="417">
        <v>1</v>
      </c>
      <c r="T99" s="417">
        <v>1</v>
      </c>
      <c r="U99" s="417">
        <v>1</v>
      </c>
      <c r="V99" s="417">
        <v>1</v>
      </c>
      <c r="W99" s="417">
        <v>1</v>
      </c>
      <c r="X99" s="417">
        <v>1</v>
      </c>
      <c r="Y99" s="417">
        <v>1</v>
      </c>
      <c r="Z99" s="417">
        <v>1</v>
      </c>
      <c r="AA99" s="417">
        <v>1</v>
      </c>
      <c r="AB99" s="417">
        <v>1</v>
      </c>
      <c r="AC99" s="417">
        <v>1</v>
      </c>
      <c r="AD99" s="417">
        <v>1</v>
      </c>
      <c r="AE99" s="417">
        <v>1</v>
      </c>
      <c r="AF99" s="417">
        <v>1</v>
      </c>
      <c r="AG99" s="417">
        <v>1</v>
      </c>
      <c r="AH99" s="417">
        <v>1</v>
      </c>
      <c r="AI99" s="417">
        <v>1</v>
      </c>
      <c r="AJ99" s="417">
        <v>1</v>
      </c>
      <c r="AK99" s="417">
        <v>1</v>
      </c>
      <c r="AL99" s="417">
        <v>1</v>
      </c>
      <c r="AM99" s="417">
        <v>1</v>
      </c>
      <c r="AN99" s="417">
        <v>1</v>
      </c>
      <c r="AO99" s="464"/>
      <c r="AP99" s="464"/>
      <c r="AQ99" s="464"/>
    </row>
    <row r="100" spans="1:43" x14ac:dyDescent="0.25">
      <c r="A100" s="384"/>
      <c r="B100" s="384"/>
      <c r="C100" s="384"/>
      <c r="D100" s="384"/>
    </row>
    <row r="101" spans="1:43" x14ac:dyDescent="0.25">
      <c r="A101" s="384"/>
      <c r="B101" s="384"/>
      <c r="C101" s="384"/>
      <c r="D101" s="384"/>
      <c r="E101" s="387" t="s">
        <v>811</v>
      </c>
      <c r="F101" s="387"/>
      <c r="G101" s="387"/>
      <c r="H101" s="387"/>
      <c r="I101" s="387"/>
      <c r="J101" s="387"/>
      <c r="K101" s="388"/>
      <c r="L101" s="388"/>
      <c r="M101" s="387"/>
      <c r="N101" s="387"/>
      <c r="O101" s="387"/>
      <c r="P101" s="387"/>
      <c r="Q101" s="410"/>
      <c r="R101" s="410"/>
      <c r="S101" s="410"/>
      <c r="T101" s="410"/>
      <c r="U101" s="410"/>
      <c r="V101" s="410"/>
      <c r="W101" s="410"/>
      <c r="X101" s="410"/>
      <c r="Y101" s="410"/>
      <c r="Z101" s="410"/>
      <c r="AA101" s="410"/>
      <c r="AB101" s="410"/>
      <c r="AC101" s="410"/>
      <c r="AD101" s="410"/>
      <c r="AE101" s="410"/>
      <c r="AF101" s="410"/>
      <c r="AG101" s="410"/>
      <c r="AH101" s="410"/>
      <c r="AI101" s="410"/>
      <c r="AJ101" s="410"/>
      <c r="AK101" s="410"/>
      <c r="AL101" s="410"/>
      <c r="AM101" s="410"/>
      <c r="AN101" s="410"/>
      <c r="AO101" s="375"/>
      <c r="AP101" s="375"/>
      <c r="AQ101" s="375"/>
    </row>
    <row r="102" spans="1:43" ht="15.75" thickBot="1" x14ac:dyDescent="0.3">
      <c r="A102" s="384"/>
      <c r="B102" s="384"/>
      <c r="C102" s="384"/>
      <c r="D102" s="384"/>
      <c r="E102" s="363" t="s">
        <v>765</v>
      </c>
      <c r="F102" s="390" t="s">
        <v>85</v>
      </c>
      <c r="G102" s="390" t="s">
        <v>794</v>
      </c>
      <c r="H102" s="390" t="s">
        <v>582</v>
      </c>
      <c r="I102" s="390" t="s">
        <v>796</v>
      </c>
      <c r="J102" s="390" t="s">
        <v>85</v>
      </c>
      <c r="K102" s="391" t="s">
        <v>812</v>
      </c>
      <c r="L102" s="391"/>
      <c r="M102" s="54" t="s">
        <v>162</v>
      </c>
      <c r="N102" s="54" t="s">
        <v>164</v>
      </c>
      <c r="O102" s="54" t="s">
        <v>166</v>
      </c>
      <c r="P102" s="54" t="s">
        <v>168</v>
      </c>
      <c r="Q102" s="54" t="s">
        <v>170</v>
      </c>
      <c r="R102" s="54" t="s">
        <v>173</v>
      </c>
      <c r="S102" s="54" t="s">
        <v>175</v>
      </c>
      <c r="T102" s="54" t="s">
        <v>177</v>
      </c>
      <c r="U102" s="54" t="s">
        <v>179</v>
      </c>
      <c r="V102" s="54" t="s">
        <v>181</v>
      </c>
      <c r="W102" s="54" t="s">
        <v>183</v>
      </c>
      <c r="X102" s="54" t="s">
        <v>185</v>
      </c>
      <c r="Y102" s="54" t="s">
        <v>188</v>
      </c>
      <c r="Z102" s="54" t="s">
        <v>190</v>
      </c>
      <c r="AA102" s="54" t="s">
        <v>192</v>
      </c>
      <c r="AB102" s="54" t="s">
        <v>194</v>
      </c>
      <c r="AC102" s="54" t="s">
        <v>196</v>
      </c>
      <c r="AD102" s="54" t="s">
        <v>198</v>
      </c>
      <c r="AE102" s="54" t="s">
        <v>9</v>
      </c>
      <c r="AF102" s="54" t="s">
        <v>201</v>
      </c>
      <c r="AG102" s="54" t="s">
        <v>203</v>
      </c>
      <c r="AH102" s="54" t="s">
        <v>205</v>
      </c>
      <c r="AI102" s="54" t="s">
        <v>207</v>
      </c>
      <c r="AJ102" s="54" t="s">
        <v>210</v>
      </c>
      <c r="AK102" s="54" t="s">
        <v>212</v>
      </c>
      <c r="AL102" s="54" t="s">
        <v>214</v>
      </c>
      <c r="AM102" s="54" t="s">
        <v>217</v>
      </c>
      <c r="AN102" s="54" t="s">
        <v>219</v>
      </c>
      <c r="AO102" s="370"/>
      <c r="AP102" s="370"/>
      <c r="AQ102" s="370"/>
    </row>
    <row r="103" spans="1:43" x14ac:dyDescent="0.25">
      <c r="A103" s="384"/>
      <c r="B103" s="384"/>
      <c r="C103" s="384"/>
      <c r="D103" s="384"/>
      <c r="E103" s="12" t="s">
        <v>799</v>
      </c>
      <c r="F103" s="12"/>
      <c r="G103" s="12"/>
      <c r="H103" s="12"/>
      <c r="I103" s="12"/>
      <c r="J103" s="12"/>
      <c r="K103" s="393"/>
      <c r="L103" s="393"/>
      <c r="M103" s="394"/>
      <c r="N103" s="394"/>
      <c r="O103" s="394"/>
      <c r="P103" s="394"/>
      <c r="Q103" s="394"/>
      <c r="R103" s="394"/>
      <c r="S103" s="394"/>
      <c r="T103" s="394"/>
      <c r="U103" s="394"/>
      <c r="V103" s="394"/>
      <c r="W103" s="394"/>
      <c r="X103" s="394"/>
      <c r="Y103" s="394"/>
      <c r="Z103" s="394"/>
      <c r="AA103" s="394"/>
      <c r="AB103" s="394"/>
      <c r="AC103" s="394"/>
      <c r="AD103" s="394"/>
      <c r="AE103" s="394"/>
      <c r="AF103" s="394"/>
      <c r="AG103" s="394"/>
      <c r="AH103" s="394"/>
      <c r="AI103" s="394"/>
      <c r="AJ103" s="9"/>
      <c r="AK103" s="9"/>
      <c r="AL103" s="9"/>
      <c r="AM103" s="9"/>
    </row>
    <row r="104" spans="1:43" x14ac:dyDescent="0.25">
      <c r="A104" s="384" t="s">
        <v>813</v>
      </c>
      <c r="B104" s="384"/>
      <c r="C104" s="384"/>
      <c r="D104" s="384"/>
      <c r="E104" s="9" t="s">
        <v>103</v>
      </c>
      <c r="F104" s="9" t="s">
        <v>104</v>
      </c>
      <c r="G104" s="9" t="s">
        <v>801</v>
      </c>
      <c r="H104" s="9">
        <v>2020</v>
      </c>
      <c r="I104" t="s">
        <v>125</v>
      </c>
      <c r="J104" t="s">
        <v>350</v>
      </c>
      <c r="K104" s="418">
        <v>0.8</v>
      </c>
      <c r="L104" s="210"/>
      <c r="M104" s="419">
        <v>0.8</v>
      </c>
      <c r="N104" s="419">
        <v>0.8</v>
      </c>
      <c r="O104" s="419">
        <v>0.8</v>
      </c>
      <c r="P104" s="419">
        <v>0.8</v>
      </c>
      <c r="Q104" s="419">
        <v>0.8</v>
      </c>
      <c r="R104" s="419">
        <v>0.8</v>
      </c>
      <c r="S104" s="419">
        <v>0.8</v>
      </c>
      <c r="T104" s="419">
        <v>0.8</v>
      </c>
      <c r="U104" s="419">
        <v>0.8</v>
      </c>
      <c r="V104" s="419">
        <v>0.8</v>
      </c>
      <c r="W104" s="419">
        <v>0.8</v>
      </c>
      <c r="X104" s="419">
        <v>0.8</v>
      </c>
      <c r="Y104" s="419">
        <v>0.8</v>
      </c>
      <c r="Z104" s="419">
        <v>0.8</v>
      </c>
      <c r="AA104" s="419">
        <v>0.8</v>
      </c>
      <c r="AB104" s="419">
        <v>0.8</v>
      </c>
      <c r="AC104" s="419">
        <v>0.8</v>
      </c>
      <c r="AD104" s="419">
        <v>0.8</v>
      </c>
      <c r="AE104" s="419">
        <v>0.8</v>
      </c>
      <c r="AF104" s="419">
        <v>0.8</v>
      </c>
      <c r="AG104" s="419">
        <v>0.8</v>
      </c>
      <c r="AH104" s="419">
        <v>0.8</v>
      </c>
      <c r="AI104" s="419">
        <v>0.8</v>
      </c>
      <c r="AJ104" s="419">
        <v>0.8</v>
      </c>
      <c r="AK104" s="419">
        <v>0.8</v>
      </c>
      <c r="AL104" s="419">
        <v>0.8</v>
      </c>
      <c r="AM104" s="419">
        <v>0.8</v>
      </c>
      <c r="AN104" s="419">
        <v>0.8</v>
      </c>
      <c r="AO104" s="419"/>
      <c r="AP104" s="419"/>
      <c r="AQ104" s="419"/>
    </row>
    <row r="105" spans="1:43" x14ac:dyDescent="0.25">
      <c r="A105" s="384" t="s">
        <v>814</v>
      </c>
      <c r="B105" s="384"/>
      <c r="C105" s="384"/>
      <c r="D105" s="384"/>
      <c r="F105" s="9" t="s">
        <v>104</v>
      </c>
      <c r="G105" s="9" t="s">
        <v>801</v>
      </c>
      <c r="H105" s="9">
        <v>2020</v>
      </c>
      <c r="I105" t="s">
        <v>766</v>
      </c>
      <c r="J105" t="s">
        <v>767</v>
      </c>
      <c r="K105" s="418">
        <v>0.6</v>
      </c>
      <c r="L105" s="210"/>
      <c r="M105" s="419">
        <v>0.6</v>
      </c>
      <c r="N105" s="419">
        <v>0.6</v>
      </c>
      <c r="O105" s="419">
        <v>0.6</v>
      </c>
      <c r="P105" s="419">
        <v>0.6</v>
      </c>
      <c r="Q105" s="419">
        <v>0.6</v>
      </c>
      <c r="R105" s="419">
        <v>0.6</v>
      </c>
      <c r="S105" s="419">
        <v>0.6</v>
      </c>
      <c r="T105" s="419">
        <v>0.6</v>
      </c>
      <c r="U105" s="419">
        <v>0.6</v>
      </c>
      <c r="V105" s="419">
        <v>0.6</v>
      </c>
      <c r="W105" s="419">
        <v>0.6</v>
      </c>
      <c r="X105" s="419">
        <v>0.6</v>
      </c>
      <c r="Y105" s="419">
        <v>0.6</v>
      </c>
      <c r="Z105" s="419">
        <v>0.6</v>
      </c>
      <c r="AA105" s="419">
        <v>0.6</v>
      </c>
      <c r="AB105" s="419">
        <v>0.6</v>
      </c>
      <c r="AC105" s="419">
        <v>0.6</v>
      </c>
      <c r="AD105" s="419">
        <v>0.6</v>
      </c>
      <c r="AE105" s="419">
        <v>0.6</v>
      </c>
      <c r="AF105" s="419">
        <v>0.6</v>
      </c>
      <c r="AG105" s="419">
        <v>0.6</v>
      </c>
      <c r="AH105" s="419">
        <v>0.6</v>
      </c>
      <c r="AI105" s="419">
        <v>0.6</v>
      </c>
      <c r="AJ105" s="419">
        <v>0.6</v>
      </c>
      <c r="AK105" s="419">
        <v>0.6</v>
      </c>
      <c r="AL105" s="419">
        <v>0.6</v>
      </c>
      <c r="AM105" s="419">
        <v>0.6</v>
      </c>
      <c r="AN105" s="419">
        <v>0.6</v>
      </c>
      <c r="AO105" s="419"/>
      <c r="AP105" s="419"/>
      <c r="AQ105" s="419"/>
    </row>
    <row r="106" spans="1:43" x14ac:dyDescent="0.25">
      <c r="A106" s="384" t="s">
        <v>815</v>
      </c>
      <c r="B106" s="384"/>
      <c r="C106" s="384"/>
      <c r="D106" s="384"/>
      <c r="F106" s="9" t="s">
        <v>104</v>
      </c>
      <c r="G106" s="9" t="s">
        <v>801</v>
      </c>
      <c r="H106" s="9">
        <v>2020</v>
      </c>
      <c r="I106" t="s">
        <v>129</v>
      </c>
      <c r="J106" t="s">
        <v>768</v>
      </c>
      <c r="K106" s="418">
        <v>1</v>
      </c>
      <c r="L106" s="210"/>
      <c r="M106" s="419">
        <v>1</v>
      </c>
      <c r="N106" s="419">
        <v>1</v>
      </c>
      <c r="O106" s="419">
        <v>1</v>
      </c>
      <c r="P106" s="419">
        <v>1</v>
      </c>
      <c r="Q106" s="419">
        <v>1</v>
      </c>
      <c r="R106" s="419">
        <v>1</v>
      </c>
      <c r="S106" s="419">
        <v>1</v>
      </c>
      <c r="T106" s="419">
        <v>1</v>
      </c>
      <c r="U106" s="419">
        <v>1</v>
      </c>
      <c r="V106" s="419">
        <v>1</v>
      </c>
      <c r="W106" s="419">
        <v>1</v>
      </c>
      <c r="X106" s="419">
        <v>1</v>
      </c>
      <c r="Y106" s="419">
        <v>1</v>
      </c>
      <c r="Z106" s="419">
        <v>1</v>
      </c>
      <c r="AA106" s="419">
        <v>1</v>
      </c>
      <c r="AB106" s="419">
        <v>1</v>
      </c>
      <c r="AC106" s="419">
        <v>1</v>
      </c>
      <c r="AD106" s="419">
        <v>1</v>
      </c>
      <c r="AE106" s="419">
        <v>1</v>
      </c>
      <c r="AF106" s="419">
        <v>1</v>
      </c>
      <c r="AG106" s="419">
        <v>1</v>
      </c>
      <c r="AH106" s="419">
        <v>1</v>
      </c>
      <c r="AI106" s="419">
        <v>1</v>
      </c>
      <c r="AJ106" s="419">
        <v>1</v>
      </c>
      <c r="AK106" s="419">
        <v>1</v>
      </c>
      <c r="AL106" s="419">
        <v>1</v>
      </c>
      <c r="AM106" s="419">
        <v>1</v>
      </c>
      <c r="AN106" s="419">
        <v>1</v>
      </c>
      <c r="AO106" s="419"/>
      <c r="AP106" s="419"/>
      <c r="AQ106" s="419"/>
    </row>
    <row r="107" spans="1:43" x14ac:dyDescent="0.25">
      <c r="A107" s="384" t="s">
        <v>816</v>
      </c>
      <c r="B107" s="384"/>
      <c r="C107" s="384"/>
      <c r="D107" s="384"/>
      <c r="F107" s="9" t="s">
        <v>104</v>
      </c>
      <c r="G107" s="9" t="s">
        <v>801</v>
      </c>
      <c r="H107" s="9">
        <v>2020</v>
      </c>
      <c r="I107" t="s">
        <v>769</v>
      </c>
      <c r="J107" t="s">
        <v>770</v>
      </c>
      <c r="K107" s="418">
        <v>0.4</v>
      </c>
      <c r="L107" s="210"/>
      <c r="M107" s="419">
        <v>0.4</v>
      </c>
      <c r="N107" s="419">
        <v>0.4</v>
      </c>
      <c r="O107" s="419">
        <v>0.4</v>
      </c>
      <c r="P107" s="419">
        <v>0.4</v>
      </c>
      <c r="Q107" s="419">
        <v>0.4</v>
      </c>
      <c r="R107" s="419">
        <v>0.4</v>
      </c>
      <c r="S107" s="419">
        <v>0.4</v>
      </c>
      <c r="T107" s="419">
        <v>0.4</v>
      </c>
      <c r="U107" s="419">
        <v>0.4</v>
      </c>
      <c r="V107" s="419">
        <v>0.4</v>
      </c>
      <c r="W107" s="419">
        <v>0.4</v>
      </c>
      <c r="X107" s="419">
        <v>0.4</v>
      </c>
      <c r="Y107" s="419">
        <v>0.4</v>
      </c>
      <c r="Z107" s="419">
        <v>0.4</v>
      </c>
      <c r="AA107" s="419">
        <v>0.4</v>
      </c>
      <c r="AB107" s="419">
        <v>0.4</v>
      </c>
      <c r="AC107" s="419">
        <v>0.4</v>
      </c>
      <c r="AD107" s="419">
        <v>0.4</v>
      </c>
      <c r="AE107" s="419">
        <v>0.4</v>
      </c>
      <c r="AF107" s="419">
        <v>0.4</v>
      </c>
      <c r="AG107" s="419">
        <v>0.4</v>
      </c>
      <c r="AH107" s="419">
        <v>0.4</v>
      </c>
      <c r="AI107" s="419">
        <v>0.4</v>
      </c>
      <c r="AJ107" s="419">
        <v>0.4</v>
      </c>
      <c r="AK107" s="419">
        <v>0.4</v>
      </c>
      <c r="AL107" s="419">
        <v>0.4</v>
      </c>
      <c r="AM107" s="419">
        <v>0.4</v>
      </c>
      <c r="AN107" s="419">
        <v>0.4</v>
      </c>
      <c r="AO107" s="419"/>
      <c r="AP107" s="419"/>
      <c r="AQ107" s="419"/>
    </row>
    <row r="108" spans="1:43" x14ac:dyDescent="0.25">
      <c r="A108" s="384" t="s">
        <v>817</v>
      </c>
      <c r="B108" s="384"/>
      <c r="C108" s="384"/>
      <c r="D108" s="384"/>
      <c r="F108" s="9" t="s">
        <v>104</v>
      </c>
      <c r="G108" s="9" t="s">
        <v>801</v>
      </c>
      <c r="H108" s="9">
        <v>2020</v>
      </c>
      <c r="I108" t="s">
        <v>771</v>
      </c>
      <c r="J108" t="s">
        <v>331</v>
      </c>
      <c r="K108" s="418">
        <v>0.4</v>
      </c>
      <c r="L108" s="210"/>
      <c r="M108" s="419">
        <v>0.4</v>
      </c>
      <c r="N108" s="419">
        <v>0.4</v>
      </c>
      <c r="O108" s="419">
        <v>0.4</v>
      </c>
      <c r="P108" s="419">
        <v>0.4</v>
      </c>
      <c r="Q108" s="419">
        <v>0.4</v>
      </c>
      <c r="R108" s="419">
        <v>0.4</v>
      </c>
      <c r="S108" s="419">
        <v>0.4</v>
      </c>
      <c r="T108" s="419">
        <v>0.4</v>
      </c>
      <c r="U108" s="419">
        <v>0.4</v>
      </c>
      <c r="V108" s="419">
        <v>0.4</v>
      </c>
      <c r="W108" s="419">
        <v>0.4</v>
      </c>
      <c r="X108" s="419">
        <v>0.4</v>
      </c>
      <c r="Y108" s="419">
        <v>0.4</v>
      </c>
      <c r="Z108" s="419">
        <v>0.4</v>
      </c>
      <c r="AA108" s="419">
        <v>0.4</v>
      </c>
      <c r="AB108" s="419">
        <v>0.4</v>
      </c>
      <c r="AC108" s="419">
        <v>0.4</v>
      </c>
      <c r="AD108" s="419">
        <v>0.4</v>
      </c>
      <c r="AE108" s="419">
        <v>0.4</v>
      </c>
      <c r="AF108" s="419">
        <v>0.4</v>
      </c>
      <c r="AG108" s="419">
        <v>0.4</v>
      </c>
      <c r="AH108" s="419">
        <v>0.4</v>
      </c>
      <c r="AI108" s="419">
        <v>0.4</v>
      </c>
      <c r="AJ108" s="419">
        <v>0.4</v>
      </c>
      <c r="AK108" s="419">
        <v>0.4</v>
      </c>
      <c r="AL108" s="419">
        <v>0.4</v>
      </c>
      <c r="AM108" s="419">
        <v>0.4</v>
      </c>
      <c r="AN108" s="419">
        <v>0.4</v>
      </c>
      <c r="AO108" s="419"/>
      <c r="AP108" s="419"/>
      <c r="AQ108" s="419"/>
    </row>
    <row r="109" spans="1:43" x14ac:dyDescent="0.25">
      <c r="A109" s="384" t="s">
        <v>818</v>
      </c>
      <c r="B109" s="384"/>
      <c r="C109" s="384"/>
      <c r="D109" s="384"/>
      <c r="F109" s="9" t="s">
        <v>104</v>
      </c>
      <c r="G109" s="9" t="s">
        <v>801</v>
      </c>
      <c r="H109" s="9">
        <v>2020</v>
      </c>
      <c r="I109" t="s">
        <v>116</v>
      </c>
      <c r="J109" t="s">
        <v>772</v>
      </c>
      <c r="K109" s="418">
        <v>0.4</v>
      </c>
      <c r="L109" s="210"/>
      <c r="M109" s="419">
        <v>0.4</v>
      </c>
      <c r="N109" s="419">
        <v>0.4</v>
      </c>
      <c r="O109" s="419">
        <v>0.4</v>
      </c>
      <c r="P109" s="419">
        <v>0.4</v>
      </c>
      <c r="Q109" s="419">
        <v>0.4</v>
      </c>
      <c r="R109" s="419">
        <v>0.4</v>
      </c>
      <c r="S109" s="419">
        <v>0.4</v>
      </c>
      <c r="T109" s="419">
        <v>0.4</v>
      </c>
      <c r="U109" s="419">
        <v>0.4</v>
      </c>
      <c r="V109" s="419">
        <v>0.4</v>
      </c>
      <c r="W109" s="419">
        <v>0.4</v>
      </c>
      <c r="X109" s="419">
        <v>0.4</v>
      </c>
      <c r="Y109" s="419">
        <v>0.4</v>
      </c>
      <c r="Z109" s="419">
        <v>0.4</v>
      </c>
      <c r="AA109" s="419">
        <v>0.4</v>
      </c>
      <c r="AB109" s="419">
        <v>0.4</v>
      </c>
      <c r="AC109" s="419">
        <v>0.4</v>
      </c>
      <c r="AD109" s="419">
        <v>0.4</v>
      </c>
      <c r="AE109" s="419">
        <v>0.4</v>
      </c>
      <c r="AF109" s="419">
        <v>0.4</v>
      </c>
      <c r="AG109" s="419">
        <v>0.4</v>
      </c>
      <c r="AH109" s="419">
        <v>0.4</v>
      </c>
      <c r="AI109" s="419">
        <v>0.4</v>
      </c>
      <c r="AJ109" s="419">
        <v>0.4</v>
      </c>
      <c r="AK109" s="419">
        <v>0.4</v>
      </c>
      <c r="AL109" s="419">
        <v>0.4</v>
      </c>
      <c r="AM109" s="419">
        <v>0.4</v>
      </c>
      <c r="AN109" s="419">
        <v>0.4</v>
      </c>
      <c r="AO109" s="419"/>
      <c r="AP109" s="419"/>
      <c r="AQ109" s="419"/>
    </row>
    <row r="110" spans="1:43" x14ac:dyDescent="0.25">
      <c r="A110" s="384" t="s">
        <v>819</v>
      </c>
      <c r="B110" s="384"/>
      <c r="C110" s="384"/>
      <c r="D110" s="384"/>
      <c r="E110" s="9" t="s">
        <v>103</v>
      </c>
      <c r="F110" s="9" t="s">
        <v>104</v>
      </c>
      <c r="G110" s="9" t="s">
        <v>803</v>
      </c>
      <c r="H110" s="9">
        <v>2025</v>
      </c>
      <c r="I110" t="s">
        <v>125</v>
      </c>
      <c r="J110" t="s">
        <v>350</v>
      </c>
      <c r="K110" s="418">
        <v>0.8</v>
      </c>
      <c r="L110" s="210"/>
      <c r="M110" s="419">
        <v>0.8</v>
      </c>
      <c r="N110" s="419">
        <v>0.8</v>
      </c>
      <c r="O110" s="419">
        <v>0.8</v>
      </c>
      <c r="P110" s="419">
        <v>0.8</v>
      </c>
      <c r="Q110" s="419">
        <v>0.8</v>
      </c>
      <c r="R110" s="419">
        <v>0.8</v>
      </c>
      <c r="S110" s="419">
        <v>0.8</v>
      </c>
      <c r="T110" s="419">
        <v>0.8</v>
      </c>
      <c r="U110" s="419">
        <v>0.8</v>
      </c>
      <c r="V110" s="419">
        <v>0.8</v>
      </c>
      <c r="W110" s="419">
        <v>0.8</v>
      </c>
      <c r="X110" s="419">
        <v>0.8</v>
      </c>
      <c r="Y110" s="419">
        <v>0.8</v>
      </c>
      <c r="Z110" s="419">
        <v>0.8</v>
      </c>
      <c r="AA110" s="419">
        <v>0.8</v>
      </c>
      <c r="AB110" s="419">
        <v>0.8</v>
      </c>
      <c r="AC110" s="419">
        <v>0.8</v>
      </c>
      <c r="AD110" s="419">
        <v>0.8</v>
      </c>
      <c r="AE110" s="419">
        <v>0.8</v>
      </c>
      <c r="AF110" s="419">
        <v>0.8</v>
      </c>
      <c r="AG110" s="419">
        <v>0.8</v>
      </c>
      <c r="AH110" s="419">
        <v>0.8</v>
      </c>
      <c r="AI110" s="419">
        <v>0.8</v>
      </c>
      <c r="AJ110" s="419">
        <v>0.8</v>
      </c>
      <c r="AK110" s="419">
        <v>0.8</v>
      </c>
      <c r="AL110" s="419">
        <v>0.8</v>
      </c>
      <c r="AM110" s="419">
        <v>0.8</v>
      </c>
      <c r="AN110" s="419">
        <v>0.8</v>
      </c>
      <c r="AO110" s="419"/>
      <c r="AP110" s="419"/>
      <c r="AQ110" s="419"/>
    </row>
    <row r="111" spans="1:43" x14ac:dyDescent="0.25">
      <c r="A111" s="384" t="s">
        <v>820</v>
      </c>
      <c r="B111" s="384"/>
      <c r="C111" s="384"/>
      <c r="D111" s="384"/>
      <c r="F111" s="9" t="s">
        <v>104</v>
      </c>
      <c r="G111" s="9" t="s">
        <v>803</v>
      </c>
      <c r="H111" s="9">
        <v>2025</v>
      </c>
      <c r="I111" t="s">
        <v>766</v>
      </c>
      <c r="J111" t="s">
        <v>767</v>
      </c>
      <c r="K111" s="418">
        <v>0.6</v>
      </c>
      <c r="L111" s="210"/>
      <c r="M111" s="419">
        <v>0.6</v>
      </c>
      <c r="N111" s="419">
        <v>0.6</v>
      </c>
      <c r="O111" s="419">
        <v>0.6</v>
      </c>
      <c r="P111" s="419">
        <v>0.6</v>
      </c>
      <c r="Q111" s="419">
        <v>0.6</v>
      </c>
      <c r="R111" s="419">
        <v>0.6</v>
      </c>
      <c r="S111" s="419">
        <v>0.6</v>
      </c>
      <c r="T111" s="419">
        <v>0.6</v>
      </c>
      <c r="U111" s="419">
        <v>0.6</v>
      </c>
      <c r="V111" s="419">
        <v>0.6</v>
      </c>
      <c r="W111" s="419">
        <v>0.6</v>
      </c>
      <c r="X111" s="419">
        <v>0.6</v>
      </c>
      <c r="Y111" s="419">
        <v>0.6</v>
      </c>
      <c r="Z111" s="419">
        <v>0.6</v>
      </c>
      <c r="AA111" s="419">
        <v>0.6</v>
      </c>
      <c r="AB111" s="419">
        <v>0.6</v>
      </c>
      <c r="AC111" s="419">
        <v>0.6</v>
      </c>
      <c r="AD111" s="419">
        <v>0.6</v>
      </c>
      <c r="AE111" s="419">
        <v>0.6</v>
      </c>
      <c r="AF111" s="419">
        <v>0.6</v>
      </c>
      <c r="AG111" s="419">
        <v>0.6</v>
      </c>
      <c r="AH111" s="419">
        <v>0.6</v>
      </c>
      <c r="AI111" s="419">
        <v>0.6</v>
      </c>
      <c r="AJ111" s="419">
        <v>0.6</v>
      </c>
      <c r="AK111" s="419">
        <v>0.6</v>
      </c>
      <c r="AL111" s="419">
        <v>0.6</v>
      </c>
      <c r="AM111" s="419">
        <v>0.6</v>
      </c>
      <c r="AN111" s="419">
        <v>0.6</v>
      </c>
      <c r="AO111" s="419"/>
      <c r="AP111" s="419"/>
      <c r="AQ111" s="419"/>
    </row>
    <row r="112" spans="1:43" x14ac:dyDescent="0.25">
      <c r="A112" s="384" t="s">
        <v>821</v>
      </c>
      <c r="B112" s="384"/>
      <c r="C112" s="384"/>
      <c r="D112" s="384"/>
      <c r="F112" s="9" t="s">
        <v>104</v>
      </c>
      <c r="G112" s="9" t="s">
        <v>803</v>
      </c>
      <c r="H112" s="9">
        <v>2025</v>
      </c>
      <c r="I112" t="s">
        <v>129</v>
      </c>
      <c r="J112" t="s">
        <v>768</v>
      </c>
      <c r="K112" s="418">
        <v>1</v>
      </c>
      <c r="L112" s="210"/>
      <c r="M112" s="419">
        <v>1</v>
      </c>
      <c r="N112" s="419">
        <v>1</v>
      </c>
      <c r="O112" s="419">
        <v>1</v>
      </c>
      <c r="P112" s="419">
        <v>1</v>
      </c>
      <c r="Q112" s="419">
        <v>1</v>
      </c>
      <c r="R112" s="419">
        <v>1</v>
      </c>
      <c r="S112" s="419">
        <v>1</v>
      </c>
      <c r="T112" s="419">
        <v>1</v>
      </c>
      <c r="U112" s="419">
        <v>1</v>
      </c>
      <c r="V112" s="419">
        <v>1</v>
      </c>
      <c r="W112" s="419">
        <v>1</v>
      </c>
      <c r="X112" s="419">
        <v>1</v>
      </c>
      <c r="Y112" s="419">
        <v>1</v>
      </c>
      <c r="Z112" s="419">
        <v>1</v>
      </c>
      <c r="AA112" s="419">
        <v>1</v>
      </c>
      <c r="AB112" s="419">
        <v>1</v>
      </c>
      <c r="AC112" s="419">
        <v>1</v>
      </c>
      <c r="AD112" s="419">
        <v>1</v>
      </c>
      <c r="AE112" s="419">
        <v>1</v>
      </c>
      <c r="AF112" s="419">
        <v>1</v>
      </c>
      <c r="AG112" s="419">
        <v>1</v>
      </c>
      <c r="AH112" s="419">
        <v>1</v>
      </c>
      <c r="AI112" s="419">
        <v>1</v>
      </c>
      <c r="AJ112" s="419">
        <v>1</v>
      </c>
      <c r="AK112" s="419">
        <v>1</v>
      </c>
      <c r="AL112" s="419">
        <v>1</v>
      </c>
      <c r="AM112" s="419">
        <v>1</v>
      </c>
      <c r="AN112" s="419">
        <v>1</v>
      </c>
      <c r="AO112" s="419"/>
      <c r="AP112" s="419"/>
      <c r="AQ112" s="419"/>
    </row>
    <row r="113" spans="1:43" x14ac:dyDescent="0.25">
      <c r="A113" s="384" t="s">
        <v>822</v>
      </c>
      <c r="B113" s="384"/>
      <c r="C113" s="384"/>
      <c r="D113" s="384"/>
      <c r="F113" s="9" t="s">
        <v>104</v>
      </c>
      <c r="G113" s="9" t="s">
        <v>803</v>
      </c>
      <c r="H113" s="9">
        <v>2025</v>
      </c>
      <c r="I113" t="s">
        <v>769</v>
      </c>
      <c r="J113" t="s">
        <v>770</v>
      </c>
      <c r="K113" s="418">
        <v>0.4</v>
      </c>
      <c r="L113" s="210"/>
      <c r="M113" s="419">
        <v>0.4</v>
      </c>
      <c r="N113" s="419">
        <v>0.4</v>
      </c>
      <c r="O113" s="419">
        <v>0.4</v>
      </c>
      <c r="P113" s="419">
        <v>0.4</v>
      </c>
      <c r="Q113" s="419">
        <v>0.4</v>
      </c>
      <c r="R113" s="419">
        <v>0.4</v>
      </c>
      <c r="S113" s="419">
        <v>0.4</v>
      </c>
      <c r="T113" s="419">
        <v>0.4</v>
      </c>
      <c r="U113" s="419">
        <v>0.4</v>
      </c>
      <c r="V113" s="419">
        <v>0.4</v>
      </c>
      <c r="W113" s="419">
        <v>0.4</v>
      </c>
      <c r="X113" s="419">
        <v>0.4</v>
      </c>
      <c r="Y113" s="419">
        <v>0.4</v>
      </c>
      <c r="Z113" s="419">
        <v>0.4</v>
      </c>
      <c r="AA113" s="419">
        <v>0.4</v>
      </c>
      <c r="AB113" s="419">
        <v>0.4</v>
      </c>
      <c r="AC113" s="419">
        <v>0.4</v>
      </c>
      <c r="AD113" s="419">
        <v>0.4</v>
      </c>
      <c r="AE113" s="419">
        <v>0.4</v>
      </c>
      <c r="AF113" s="419">
        <v>0.4</v>
      </c>
      <c r="AG113" s="419">
        <v>0.4</v>
      </c>
      <c r="AH113" s="419">
        <v>0.4</v>
      </c>
      <c r="AI113" s="419">
        <v>0.4</v>
      </c>
      <c r="AJ113" s="419">
        <v>0.4</v>
      </c>
      <c r="AK113" s="419">
        <v>0.4</v>
      </c>
      <c r="AL113" s="419">
        <v>0.4</v>
      </c>
      <c r="AM113" s="419">
        <v>0.4</v>
      </c>
      <c r="AN113" s="419">
        <v>0.4</v>
      </c>
      <c r="AO113" s="419"/>
      <c r="AP113" s="419"/>
      <c r="AQ113" s="419"/>
    </row>
    <row r="114" spans="1:43" x14ac:dyDescent="0.25">
      <c r="A114" s="384" t="s">
        <v>823</v>
      </c>
      <c r="B114" s="384"/>
      <c r="C114" s="384"/>
      <c r="D114" s="384"/>
      <c r="F114" s="9" t="s">
        <v>104</v>
      </c>
      <c r="G114" s="9" t="s">
        <v>803</v>
      </c>
      <c r="H114" s="9">
        <v>2025</v>
      </c>
      <c r="I114" t="s">
        <v>771</v>
      </c>
      <c r="J114" t="s">
        <v>331</v>
      </c>
      <c r="K114" s="418">
        <v>0.4</v>
      </c>
      <c r="L114" s="210"/>
      <c r="M114" s="419">
        <v>0.4</v>
      </c>
      <c r="N114" s="419">
        <v>0.4</v>
      </c>
      <c r="O114" s="419">
        <v>0.4</v>
      </c>
      <c r="P114" s="419">
        <v>0.4</v>
      </c>
      <c r="Q114" s="419">
        <v>0.4</v>
      </c>
      <c r="R114" s="419">
        <v>0.4</v>
      </c>
      <c r="S114" s="419">
        <v>0.4</v>
      </c>
      <c r="T114" s="419">
        <v>0.4</v>
      </c>
      <c r="U114" s="419">
        <v>0.4</v>
      </c>
      <c r="V114" s="419">
        <v>0.4</v>
      </c>
      <c r="W114" s="419">
        <v>0.4</v>
      </c>
      <c r="X114" s="419">
        <v>0.4</v>
      </c>
      <c r="Y114" s="419">
        <v>0.4</v>
      </c>
      <c r="Z114" s="419">
        <v>0.4</v>
      </c>
      <c r="AA114" s="419">
        <v>0.4</v>
      </c>
      <c r="AB114" s="419">
        <v>0.4</v>
      </c>
      <c r="AC114" s="419">
        <v>0.4</v>
      </c>
      <c r="AD114" s="419">
        <v>0.4</v>
      </c>
      <c r="AE114" s="419">
        <v>0.4</v>
      </c>
      <c r="AF114" s="419">
        <v>0.4</v>
      </c>
      <c r="AG114" s="419">
        <v>0.4</v>
      </c>
      <c r="AH114" s="419">
        <v>0.4</v>
      </c>
      <c r="AI114" s="419">
        <v>0.4</v>
      </c>
      <c r="AJ114" s="419">
        <v>0.4</v>
      </c>
      <c r="AK114" s="419">
        <v>0.4</v>
      </c>
      <c r="AL114" s="419">
        <v>0.4</v>
      </c>
      <c r="AM114" s="419">
        <v>0.4</v>
      </c>
      <c r="AN114" s="419">
        <v>0.4</v>
      </c>
      <c r="AO114" s="419"/>
      <c r="AP114" s="419"/>
      <c r="AQ114" s="419"/>
    </row>
    <row r="115" spans="1:43" x14ac:dyDescent="0.25">
      <c r="A115" s="384" t="s">
        <v>824</v>
      </c>
      <c r="B115" s="384"/>
      <c r="C115" s="384"/>
      <c r="D115" s="384"/>
      <c r="F115" s="9" t="s">
        <v>104</v>
      </c>
      <c r="G115" s="9" t="s">
        <v>803</v>
      </c>
      <c r="H115" s="9">
        <v>2025</v>
      </c>
      <c r="I115" t="s">
        <v>116</v>
      </c>
      <c r="J115" t="s">
        <v>772</v>
      </c>
      <c r="K115" s="418">
        <v>0.4</v>
      </c>
      <c r="L115" s="210"/>
      <c r="M115" s="419">
        <v>0.4</v>
      </c>
      <c r="N115" s="419">
        <v>0.4</v>
      </c>
      <c r="O115" s="419">
        <v>0.4</v>
      </c>
      <c r="P115" s="419">
        <v>0.4</v>
      </c>
      <c r="Q115" s="419">
        <v>0.4</v>
      </c>
      <c r="R115" s="419">
        <v>0.4</v>
      </c>
      <c r="S115" s="419">
        <v>0.4</v>
      </c>
      <c r="T115" s="419">
        <v>0.4</v>
      </c>
      <c r="U115" s="419">
        <v>0.4</v>
      </c>
      <c r="V115" s="419">
        <v>0.4</v>
      </c>
      <c r="W115" s="419">
        <v>0.4</v>
      </c>
      <c r="X115" s="419">
        <v>0.4</v>
      </c>
      <c r="Y115" s="419">
        <v>0.4</v>
      </c>
      <c r="Z115" s="419">
        <v>0.4</v>
      </c>
      <c r="AA115" s="419">
        <v>0.4</v>
      </c>
      <c r="AB115" s="419">
        <v>0.4</v>
      </c>
      <c r="AC115" s="419">
        <v>0.4</v>
      </c>
      <c r="AD115" s="419">
        <v>0.4</v>
      </c>
      <c r="AE115" s="419">
        <v>0.4</v>
      </c>
      <c r="AF115" s="419">
        <v>0.4</v>
      </c>
      <c r="AG115" s="419">
        <v>0.4</v>
      </c>
      <c r="AH115" s="419">
        <v>0.4</v>
      </c>
      <c r="AI115" s="419">
        <v>0.4</v>
      </c>
      <c r="AJ115" s="419">
        <v>0.4</v>
      </c>
      <c r="AK115" s="419">
        <v>0.4</v>
      </c>
      <c r="AL115" s="419">
        <v>0.4</v>
      </c>
      <c r="AM115" s="419">
        <v>0.4</v>
      </c>
      <c r="AN115" s="419">
        <v>0.4</v>
      </c>
      <c r="AO115" s="419"/>
      <c r="AP115" s="419"/>
      <c r="AQ115" s="419"/>
    </row>
    <row r="116" spans="1:43" x14ac:dyDescent="0.25">
      <c r="A116" s="384" t="s">
        <v>819</v>
      </c>
      <c r="B116" s="384"/>
      <c r="C116" s="384"/>
      <c r="D116" s="384"/>
      <c r="E116" s="9" t="s">
        <v>103</v>
      </c>
      <c r="F116" s="9" t="s">
        <v>104</v>
      </c>
      <c r="G116" s="9" t="s">
        <v>803</v>
      </c>
      <c r="H116" s="9">
        <v>2030</v>
      </c>
      <c r="I116" t="s">
        <v>125</v>
      </c>
      <c r="J116" t="s">
        <v>350</v>
      </c>
      <c r="K116" s="418">
        <v>0.8</v>
      </c>
      <c r="L116" s="210"/>
      <c r="M116" s="419">
        <v>0.81660880000000002</v>
      </c>
      <c r="N116" s="419">
        <v>0.81660880000000002</v>
      </c>
      <c r="O116" s="419">
        <v>0.81660880000000002</v>
      </c>
      <c r="P116" s="419">
        <v>0.81660880000000002</v>
      </c>
      <c r="Q116" s="419">
        <v>0.81660880000000002</v>
      </c>
      <c r="R116" s="419">
        <v>0.81660880000000002</v>
      </c>
      <c r="S116" s="419">
        <v>0.81660880000000002</v>
      </c>
      <c r="T116" s="419">
        <v>0.81660880000000002</v>
      </c>
      <c r="U116" s="419">
        <v>0.81660880000000002</v>
      </c>
      <c r="V116" s="419">
        <v>0.81660880000000002</v>
      </c>
      <c r="W116" s="419">
        <v>0.81660880000000002</v>
      </c>
      <c r="X116" s="419">
        <v>0.81660880000000002</v>
      </c>
      <c r="Y116" s="419">
        <v>0.81660880000000002</v>
      </c>
      <c r="Z116" s="419">
        <v>0.81660880000000002</v>
      </c>
      <c r="AA116" s="419">
        <v>0.81660880000000002</v>
      </c>
      <c r="AB116" s="419">
        <v>0.81660880000000002</v>
      </c>
      <c r="AC116" s="419">
        <v>0.81660880000000002</v>
      </c>
      <c r="AD116" s="419">
        <v>0.81660880000000002</v>
      </c>
      <c r="AE116" s="419">
        <v>0.81660880000000002</v>
      </c>
      <c r="AF116" s="419">
        <v>0.81660880000000002</v>
      </c>
      <c r="AG116" s="419">
        <v>0.81660880000000002</v>
      </c>
      <c r="AH116" s="419">
        <v>0.81660880000000002</v>
      </c>
      <c r="AI116" s="419">
        <v>0.81660880000000002</v>
      </c>
      <c r="AJ116" s="419">
        <v>0.81660880000000002</v>
      </c>
      <c r="AK116" s="419">
        <v>0.81660880000000002</v>
      </c>
      <c r="AL116" s="419">
        <v>0.81660880000000002</v>
      </c>
      <c r="AM116" s="419">
        <v>0.81660880000000002</v>
      </c>
      <c r="AN116" s="419">
        <v>0.81660880000000002</v>
      </c>
      <c r="AO116" s="419"/>
      <c r="AP116" s="419"/>
      <c r="AQ116" s="419"/>
    </row>
    <row r="117" spans="1:43" x14ac:dyDescent="0.25">
      <c r="A117" s="384" t="s">
        <v>820</v>
      </c>
      <c r="B117" s="384"/>
      <c r="C117" s="384"/>
      <c r="D117" s="384"/>
      <c r="F117" s="9" t="s">
        <v>104</v>
      </c>
      <c r="G117" s="9" t="s">
        <v>803</v>
      </c>
      <c r="H117" s="9">
        <v>2030</v>
      </c>
      <c r="I117" t="s">
        <v>766</v>
      </c>
      <c r="J117" t="s">
        <v>767</v>
      </c>
      <c r="K117" s="418">
        <v>0.6</v>
      </c>
      <c r="L117" s="210"/>
      <c r="M117" s="419">
        <v>0.61245660000000002</v>
      </c>
      <c r="N117" s="419">
        <v>0.61245660000000002</v>
      </c>
      <c r="O117" s="419">
        <v>0.61245660000000002</v>
      </c>
      <c r="P117" s="419">
        <v>0.61245660000000002</v>
      </c>
      <c r="Q117" s="419">
        <v>0.61245660000000002</v>
      </c>
      <c r="R117" s="419">
        <v>0.61245660000000002</v>
      </c>
      <c r="S117" s="419">
        <v>0.61245660000000002</v>
      </c>
      <c r="T117" s="419">
        <v>0.61245660000000002</v>
      </c>
      <c r="U117" s="419">
        <v>0.61245660000000002</v>
      </c>
      <c r="V117" s="419">
        <v>0.61245660000000002</v>
      </c>
      <c r="W117" s="419">
        <v>0.61245660000000002</v>
      </c>
      <c r="X117" s="419">
        <v>0.61245660000000002</v>
      </c>
      <c r="Y117" s="419">
        <v>0.61245660000000002</v>
      </c>
      <c r="Z117" s="419">
        <v>0.61245660000000002</v>
      </c>
      <c r="AA117" s="419">
        <v>0.61245660000000002</v>
      </c>
      <c r="AB117" s="419">
        <v>0.61245660000000002</v>
      </c>
      <c r="AC117" s="419">
        <v>0.61245660000000002</v>
      </c>
      <c r="AD117" s="419">
        <v>0.61245660000000002</v>
      </c>
      <c r="AE117" s="419">
        <v>0.61245660000000002</v>
      </c>
      <c r="AF117" s="419">
        <v>0.61245660000000002</v>
      </c>
      <c r="AG117" s="419">
        <v>0.61245660000000002</v>
      </c>
      <c r="AH117" s="419">
        <v>0.61245660000000002</v>
      </c>
      <c r="AI117" s="419">
        <v>0.61245660000000002</v>
      </c>
      <c r="AJ117" s="419">
        <v>0.61245660000000002</v>
      </c>
      <c r="AK117" s="419">
        <v>0.61245660000000002</v>
      </c>
      <c r="AL117" s="419">
        <v>0.61245660000000002</v>
      </c>
      <c r="AM117" s="419">
        <v>0.61245660000000002</v>
      </c>
      <c r="AN117" s="419">
        <v>0.61245660000000002</v>
      </c>
      <c r="AO117" s="419"/>
      <c r="AP117" s="419"/>
      <c r="AQ117" s="419"/>
    </row>
    <row r="118" spans="1:43" x14ac:dyDescent="0.25">
      <c r="A118" s="384" t="s">
        <v>821</v>
      </c>
      <c r="B118" s="384"/>
      <c r="C118" s="384"/>
      <c r="D118" s="384"/>
      <c r="F118" s="9" t="s">
        <v>104</v>
      </c>
      <c r="G118" s="9" t="s">
        <v>803</v>
      </c>
      <c r="H118" s="9">
        <v>2030</v>
      </c>
      <c r="I118" t="s">
        <v>129</v>
      </c>
      <c r="J118" t="s">
        <v>768</v>
      </c>
      <c r="K118" s="418">
        <v>1</v>
      </c>
      <c r="L118" s="210"/>
      <c r="M118" s="419">
        <v>1.020761</v>
      </c>
      <c r="N118" s="419">
        <v>1.020761</v>
      </c>
      <c r="O118" s="419">
        <v>1.020761</v>
      </c>
      <c r="P118" s="419">
        <v>1.020761</v>
      </c>
      <c r="Q118" s="419">
        <v>1.020761</v>
      </c>
      <c r="R118" s="419">
        <v>1.020761</v>
      </c>
      <c r="S118" s="419">
        <v>1.020761</v>
      </c>
      <c r="T118" s="419">
        <v>1.020761</v>
      </c>
      <c r="U118" s="419">
        <v>1.020761</v>
      </c>
      <c r="V118" s="419">
        <v>1.020761</v>
      </c>
      <c r="W118" s="419">
        <v>1.020761</v>
      </c>
      <c r="X118" s="419">
        <v>1.020761</v>
      </c>
      <c r="Y118" s="419">
        <v>1.020761</v>
      </c>
      <c r="Z118" s="419">
        <v>1.020761</v>
      </c>
      <c r="AA118" s="419">
        <v>1.020761</v>
      </c>
      <c r="AB118" s="419">
        <v>1.020761</v>
      </c>
      <c r="AC118" s="419">
        <v>1.020761</v>
      </c>
      <c r="AD118" s="419">
        <v>1.020761</v>
      </c>
      <c r="AE118" s="419">
        <v>1.020761</v>
      </c>
      <c r="AF118" s="419">
        <v>1.020761</v>
      </c>
      <c r="AG118" s="419">
        <v>1.020761</v>
      </c>
      <c r="AH118" s="419">
        <v>1.020761</v>
      </c>
      <c r="AI118" s="419">
        <v>1.020761</v>
      </c>
      <c r="AJ118" s="419">
        <v>1.020761</v>
      </c>
      <c r="AK118" s="419">
        <v>1.020761</v>
      </c>
      <c r="AL118" s="419">
        <v>1.020761</v>
      </c>
      <c r="AM118" s="419">
        <v>1.020761</v>
      </c>
      <c r="AN118" s="419">
        <v>1.020761</v>
      </c>
      <c r="AO118" s="419"/>
      <c r="AP118" s="419"/>
      <c r="AQ118" s="419"/>
    </row>
    <row r="119" spans="1:43" x14ac:dyDescent="0.25">
      <c r="A119" s="384" t="s">
        <v>822</v>
      </c>
      <c r="B119" s="384"/>
      <c r="C119" s="384"/>
      <c r="D119" s="384"/>
      <c r="F119" s="9" t="s">
        <v>104</v>
      </c>
      <c r="G119" s="9" t="s">
        <v>803</v>
      </c>
      <c r="H119" s="9">
        <v>2030</v>
      </c>
      <c r="I119" t="s">
        <v>769</v>
      </c>
      <c r="J119" t="s">
        <v>770</v>
      </c>
      <c r="K119" s="418">
        <v>0.4</v>
      </c>
      <c r="L119" s="210"/>
      <c r="M119" s="419">
        <v>0.40830440000000001</v>
      </c>
      <c r="N119" s="419">
        <v>0.40830440000000001</v>
      </c>
      <c r="O119" s="419">
        <v>0.40830440000000001</v>
      </c>
      <c r="P119" s="419">
        <v>0.40830440000000001</v>
      </c>
      <c r="Q119" s="419">
        <v>0.40830440000000001</v>
      </c>
      <c r="R119" s="419">
        <v>0.40830440000000001</v>
      </c>
      <c r="S119" s="419">
        <v>0.40830440000000001</v>
      </c>
      <c r="T119" s="419">
        <v>0.40830440000000001</v>
      </c>
      <c r="U119" s="419">
        <v>0.40830440000000001</v>
      </c>
      <c r="V119" s="419">
        <v>0.40830440000000001</v>
      </c>
      <c r="W119" s="419">
        <v>0.40830440000000001</v>
      </c>
      <c r="X119" s="419">
        <v>0.40830440000000001</v>
      </c>
      <c r="Y119" s="419">
        <v>0.40830440000000001</v>
      </c>
      <c r="Z119" s="419">
        <v>0.40830440000000001</v>
      </c>
      <c r="AA119" s="419">
        <v>0.40830440000000001</v>
      </c>
      <c r="AB119" s="419">
        <v>0.40830440000000001</v>
      </c>
      <c r="AC119" s="419">
        <v>0.40830440000000001</v>
      </c>
      <c r="AD119" s="419">
        <v>0.40830440000000001</v>
      </c>
      <c r="AE119" s="419">
        <v>0.40830440000000001</v>
      </c>
      <c r="AF119" s="419">
        <v>0.40830440000000001</v>
      </c>
      <c r="AG119" s="419">
        <v>0.40830440000000001</v>
      </c>
      <c r="AH119" s="419">
        <v>0.40830440000000001</v>
      </c>
      <c r="AI119" s="419">
        <v>0.40830440000000001</v>
      </c>
      <c r="AJ119" s="419">
        <v>0.40830440000000001</v>
      </c>
      <c r="AK119" s="419">
        <v>0.40830440000000001</v>
      </c>
      <c r="AL119" s="419">
        <v>0.40830440000000001</v>
      </c>
      <c r="AM119" s="419">
        <v>0.40830440000000001</v>
      </c>
      <c r="AN119" s="419">
        <v>0.40830440000000001</v>
      </c>
      <c r="AO119" s="419"/>
      <c r="AP119" s="419"/>
      <c r="AQ119" s="419"/>
    </row>
    <row r="120" spans="1:43" x14ac:dyDescent="0.25">
      <c r="A120" s="384" t="s">
        <v>823</v>
      </c>
      <c r="B120" s="384"/>
      <c r="C120" s="384"/>
      <c r="D120" s="384"/>
      <c r="F120" s="9" t="s">
        <v>104</v>
      </c>
      <c r="G120" s="9" t="s">
        <v>803</v>
      </c>
      <c r="H120" s="9">
        <v>2030</v>
      </c>
      <c r="I120" t="s">
        <v>771</v>
      </c>
      <c r="J120" t="s">
        <v>331</v>
      </c>
      <c r="K120" s="418">
        <v>0.4</v>
      </c>
      <c r="L120" s="210"/>
      <c r="M120" s="419">
        <v>0.40830440000000001</v>
      </c>
      <c r="N120" s="419">
        <v>0.40830440000000001</v>
      </c>
      <c r="O120" s="419">
        <v>0.40830440000000001</v>
      </c>
      <c r="P120" s="419">
        <v>0.40830440000000001</v>
      </c>
      <c r="Q120" s="419">
        <v>0.40830440000000001</v>
      </c>
      <c r="R120" s="419">
        <v>0.40830440000000001</v>
      </c>
      <c r="S120" s="419">
        <v>0.40830440000000001</v>
      </c>
      <c r="T120" s="419">
        <v>0.40830440000000001</v>
      </c>
      <c r="U120" s="419">
        <v>0.40830440000000001</v>
      </c>
      <c r="V120" s="419">
        <v>0.40830440000000001</v>
      </c>
      <c r="W120" s="419">
        <v>0.40830440000000001</v>
      </c>
      <c r="X120" s="419">
        <v>0.40830440000000001</v>
      </c>
      <c r="Y120" s="419">
        <v>0.40830440000000001</v>
      </c>
      <c r="Z120" s="419">
        <v>0.40830440000000001</v>
      </c>
      <c r="AA120" s="419">
        <v>0.40830440000000001</v>
      </c>
      <c r="AB120" s="419">
        <v>0.40830440000000001</v>
      </c>
      <c r="AC120" s="419">
        <v>0.40830440000000001</v>
      </c>
      <c r="AD120" s="419">
        <v>0.40830440000000001</v>
      </c>
      <c r="AE120" s="419">
        <v>0.40830440000000001</v>
      </c>
      <c r="AF120" s="419">
        <v>0.40830440000000001</v>
      </c>
      <c r="AG120" s="419">
        <v>0.40830440000000001</v>
      </c>
      <c r="AH120" s="419">
        <v>0.40830440000000001</v>
      </c>
      <c r="AI120" s="419">
        <v>0.40830440000000001</v>
      </c>
      <c r="AJ120" s="419">
        <v>0.40830440000000001</v>
      </c>
      <c r="AK120" s="419">
        <v>0.40830440000000001</v>
      </c>
      <c r="AL120" s="419">
        <v>0.40830440000000001</v>
      </c>
      <c r="AM120" s="419">
        <v>0.40830440000000001</v>
      </c>
      <c r="AN120" s="419">
        <v>0.40830440000000001</v>
      </c>
      <c r="AO120" s="419"/>
      <c r="AP120" s="419"/>
      <c r="AQ120" s="419"/>
    </row>
    <row r="121" spans="1:43" x14ac:dyDescent="0.25">
      <c r="A121" s="384" t="s">
        <v>824</v>
      </c>
      <c r="B121" s="384"/>
      <c r="C121" s="384"/>
      <c r="D121" s="384"/>
      <c r="F121" s="9" t="s">
        <v>104</v>
      </c>
      <c r="G121" s="9" t="s">
        <v>803</v>
      </c>
      <c r="H121" s="9">
        <v>2030</v>
      </c>
      <c r="I121" t="s">
        <v>116</v>
      </c>
      <c r="J121" t="s">
        <v>772</v>
      </c>
      <c r="K121" s="418">
        <v>0.4</v>
      </c>
      <c r="L121" s="210"/>
      <c r="M121" s="419">
        <v>0.40830440000000001</v>
      </c>
      <c r="N121" s="419">
        <v>0.40830440000000001</v>
      </c>
      <c r="O121" s="419">
        <v>0.40830440000000001</v>
      </c>
      <c r="P121" s="419">
        <v>0.40830440000000001</v>
      </c>
      <c r="Q121" s="419">
        <v>0.40830440000000001</v>
      </c>
      <c r="R121" s="419">
        <v>0.40830440000000001</v>
      </c>
      <c r="S121" s="419">
        <v>0.40830440000000001</v>
      </c>
      <c r="T121" s="419">
        <v>0.40830440000000001</v>
      </c>
      <c r="U121" s="419">
        <v>0.40830440000000001</v>
      </c>
      <c r="V121" s="419">
        <v>0.40830440000000001</v>
      </c>
      <c r="W121" s="419">
        <v>0.40830440000000001</v>
      </c>
      <c r="X121" s="419">
        <v>0.40830440000000001</v>
      </c>
      <c r="Y121" s="419">
        <v>0.40830440000000001</v>
      </c>
      <c r="Z121" s="419">
        <v>0.40830440000000001</v>
      </c>
      <c r="AA121" s="419">
        <v>0.40830440000000001</v>
      </c>
      <c r="AB121" s="419">
        <v>0.40830440000000001</v>
      </c>
      <c r="AC121" s="419">
        <v>0.40830440000000001</v>
      </c>
      <c r="AD121" s="419">
        <v>0.40830440000000001</v>
      </c>
      <c r="AE121" s="419">
        <v>0.40830440000000001</v>
      </c>
      <c r="AF121" s="419">
        <v>0.40830440000000001</v>
      </c>
      <c r="AG121" s="419">
        <v>0.40830440000000001</v>
      </c>
      <c r="AH121" s="419">
        <v>0.40830440000000001</v>
      </c>
      <c r="AI121" s="419">
        <v>0.40830440000000001</v>
      </c>
      <c r="AJ121" s="419">
        <v>0.40830440000000001</v>
      </c>
      <c r="AK121" s="419">
        <v>0.40830440000000001</v>
      </c>
      <c r="AL121" s="419">
        <v>0.40830440000000001</v>
      </c>
      <c r="AM121" s="419">
        <v>0.40830440000000001</v>
      </c>
      <c r="AN121" s="419">
        <v>0.40830440000000001</v>
      </c>
      <c r="AO121" s="419"/>
      <c r="AP121" s="419"/>
      <c r="AQ121" s="419"/>
    </row>
    <row r="122" spans="1:43" x14ac:dyDescent="0.25">
      <c r="A122" s="384" t="s">
        <v>819</v>
      </c>
      <c r="B122" s="384"/>
      <c r="C122" s="384"/>
      <c r="D122" s="384"/>
      <c r="E122" s="9" t="s">
        <v>103</v>
      </c>
      <c r="F122" s="9" t="s">
        <v>104</v>
      </c>
      <c r="G122" s="9" t="s">
        <v>803</v>
      </c>
      <c r="H122" s="9">
        <v>2050</v>
      </c>
      <c r="I122" t="s">
        <v>125</v>
      </c>
      <c r="J122" t="s">
        <v>350</v>
      </c>
      <c r="K122" s="418">
        <v>0.8</v>
      </c>
      <c r="L122" s="210"/>
      <c r="M122" s="419">
        <v>0.82823496000000008</v>
      </c>
      <c r="N122" s="419">
        <v>0.82823496000000008</v>
      </c>
      <c r="O122" s="419">
        <v>0.82823496000000008</v>
      </c>
      <c r="P122" s="419">
        <v>0.82823496000000008</v>
      </c>
      <c r="Q122" s="419">
        <v>0.82823496000000008</v>
      </c>
      <c r="R122" s="419">
        <v>0.82823496000000008</v>
      </c>
      <c r="S122" s="419">
        <v>0.82823496000000008</v>
      </c>
      <c r="T122" s="419">
        <v>0.82823496000000008</v>
      </c>
      <c r="U122" s="419">
        <v>0.82823496000000008</v>
      </c>
      <c r="V122" s="419">
        <v>0.82823496000000008</v>
      </c>
      <c r="W122" s="419">
        <v>0.82823496000000008</v>
      </c>
      <c r="X122" s="419">
        <v>0.82823496000000008</v>
      </c>
      <c r="Y122" s="419">
        <v>0.82823496000000008</v>
      </c>
      <c r="Z122" s="419">
        <v>0.82823496000000008</v>
      </c>
      <c r="AA122" s="419">
        <v>0.82823496000000008</v>
      </c>
      <c r="AB122" s="419">
        <v>0.82823496000000008</v>
      </c>
      <c r="AC122" s="419">
        <v>0.82823496000000008</v>
      </c>
      <c r="AD122" s="419">
        <v>0.82823496000000008</v>
      </c>
      <c r="AE122" s="419">
        <v>0.82823496000000008</v>
      </c>
      <c r="AF122" s="419">
        <v>0.82823496000000008</v>
      </c>
      <c r="AG122" s="419">
        <v>0.82823496000000008</v>
      </c>
      <c r="AH122" s="419">
        <v>0.82823496000000008</v>
      </c>
      <c r="AI122" s="419">
        <v>0.82823496000000008</v>
      </c>
      <c r="AJ122" s="419">
        <v>0.82823496000000008</v>
      </c>
      <c r="AK122" s="419">
        <v>0.82823496000000008</v>
      </c>
      <c r="AL122" s="419">
        <v>0.82823496000000008</v>
      </c>
      <c r="AM122" s="419">
        <v>0.82823496000000008</v>
      </c>
      <c r="AN122" s="419">
        <v>0.82823496000000008</v>
      </c>
      <c r="AO122" s="419"/>
      <c r="AP122" s="419"/>
      <c r="AQ122" s="419"/>
    </row>
    <row r="123" spans="1:43" x14ac:dyDescent="0.25">
      <c r="A123" s="384" t="s">
        <v>820</v>
      </c>
      <c r="B123" s="384"/>
      <c r="C123" s="384"/>
      <c r="D123" s="384"/>
      <c r="F123" s="9" t="s">
        <v>104</v>
      </c>
      <c r="G123" s="9" t="s">
        <v>803</v>
      </c>
      <c r="H123" s="9">
        <v>2050</v>
      </c>
      <c r="I123" t="s">
        <v>766</v>
      </c>
      <c r="J123" t="s">
        <v>767</v>
      </c>
      <c r="K123" s="418">
        <v>0.6</v>
      </c>
      <c r="L123" s="210"/>
      <c r="M123" s="419">
        <v>0.62117621999999995</v>
      </c>
      <c r="N123" s="419">
        <v>0.62117621999999995</v>
      </c>
      <c r="O123" s="419">
        <v>0.62117621999999995</v>
      </c>
      <c r="P123" s="419">
        <v>0.62117621999999995</v>
      </c>
      <c r="Q123" s="419">
        <v>0.62117621999999995</v>
      </c>
      <c r="R123" s="419">
        <v>0.62117621999999995</v>
      </c>
      <c r="S123" s="419">
        <v>0.62117621999999995</v>
      </c>
      <c r="T123" s="419">
        <v>0.62117621999999995</v>
      </c>
      <c r="U123" s="419">
        <v>0.62117621999999995</v>
      </c>
      <c r="V123" s="419">
        <v>0.62117621999999995</v>
      </c>
      <c r="W123" s="419">
        <v>0.62117621999999995</v>
      </c>
      <c r="X123" s="419">
        <v>0.62117621999999995</v>
      </c>
      <c r="Y123" s="419">
        <v>0.62117621999999995</v>
      </c>
      <c r="Z123" s="419">
        <v>0.62117621999999995</v>
      </c>
      <c r="AA123" s="419">
        <v>0.62117621999999995</v>
      </c>
      <c r="AB123" s="419">
        <v>0.62117621999999995</v>
      </c>
      <c r="AC123" s="419">
        <v>0.62117621999999995</v>
      </c>
      <c r="AD123" s="419">
        <v>0.62117621999999995</v>
      </c>
      <c r="AE123" s="419">
        <v>0.62117621999999995</v>
      </c>
      <c r="AF123" s="419">
        <v>0.62117621999999995</v>
      </c>
      <c r="AG123" s="419">
        <v>0.62117621999999995</v>
      </c>
      <c r="AH123" s="419">
        <v>0.62117621999999995</v>
      </c>
      <c r="AI123" s="419">
        <v>0.62117621999999995</v>
      </c>
      <c r="AJ123" s="419">
        <v>0.62117621999999995</v>
      </c>
      <c r="AK123" s="419">
        <v>0.62117621999999995</v>
      </c>
      <c r="AL123" s="419">
        <v>0.62117621999999995</v>
      </c>
      <c r="AM123" s="419">
        <v>0.62117621999999995</v>
      </c>
      <c r="AN123" s="419">
        <v>0.62117621999999995</v>
      </c>
      <c r="AO123" s="419"/>
      <c r="AP123" s="419"/>
      <c r="AQ123" s="419"/>
    </row>
    <row r="124" spans="1:43" x14ac:dyDescent="0.25">
      <c r="A124" s="384" t="s">
        <v>821</v>
      </c>
      <c r="B124" s="384"/>
      <c r="C124" s="384"/>
      <c r="D124" s="384"/>
      <c r="F124" s="9" t="s">
        <v>104</v>
      </c>
      <c r="G124" s="9" t="s">
        <v>803</v>
      </c>
      <c r="H124" s="9">
        <v>2050</v>
      </c>
      <c r="I124" t="s">
        <v>129</v>
      </c>
      <c r="J124" t="s">
        <v>768</v>
      </c>
      <c r="K124" s="418">
        <v>1</v>
      </c>
      <c r="L124" s="210"/>
      <c r="M124" s="419">
        <v>1.0352937</v>
      </c>
      <c r="N124" s="419">
        <v>1.0352937</v>
      </c>
      <c r="O124" s="419">
        <v>1.0352937</v>
      </c>
      <c r="P124" s="419">
        <v>1.0352937</v>
      </c>
      <c r="Q124" s="419">
        <v>1.0352937</v>
      </c>
      <c r="R124" s="419">
        <v>1.0352937</v>
      </c>
      <c r="S124" s="419">
        <v>1.0352937</v>
      </c>
      <c r="T124" s="419">
        <v>1.0352937</v>
      </c>
      <c r="U124" s="419">
        <v>1.0352937</v>
      </c>
      <c r="V124" s="419">
        <v>1.0352937</v>
      </c>
      <c r="W124" s="419">
        <v>1.0352937</v>
      </c>
      <c r="X124" s="419">
        <v>1.0352937</v>
      </c>
      <c r="Y124" s="419">
        <v>1.0352937</v>
      </c>
      <c r="Z124" s="419">
        <v>1.0352937</v>
      </c>
      <c r="AA124" s="419">
        <v>1.0352937</v>
      </c>
      <c r="AB124" s="419">
        <v>1.0352937</v>
      </c>
      <c r="AC124" s="419">
        <v>1.0352937</v>
      </c>
      <c r="AD124" s="419">
        <v>1.0352937</v>
      </c>
      <c r="AE124" s="419">
        <v>1.0352937</v>
      </c>
      <c r="AF124" s="419">
        <v>1.0352937</v>
      </c>
      <c r="AG124" s="419">
        <v>1.0352937</v>
      </c>
      <c r="AH124" s="419">
        <v>1.0352937</v>
      </c>
      <c r="AI124" s="419">
        <v>1.0352937</v>
      </c>
      <c r="AJ124" s="419">
        <v>1.0352937</v>
      </c>
      <c r="AK124" s="419">
        <v>1.0352937</v>
      </c>
      <c r="AL124" s="419">
        <v>1.0352937</v>
      </c>
      <c r="AM124" s="419">
        <v>1.0352937</v>
      </c>
      <c r="AN124" s="419">
        <v>1.0352937</v>
      </c>
      <c r="AO124" s="419"/>
      <c r="AP124" s="419"/>
      <c r="AQ124" s="419"/>
    </row>
    <row r="125" spans="1:43" x14ac:dyDescent="0.25">
      <c r="A125" s="384" t="s">
        <v>822</v>
      </c>
      <c r="B125" s="384"/>
      <c r="C125" s="384"/>
      <c r="D125" s="384"/>
      <c r="F125" s="9" t="s">
        <v>104</v>
      </c>
      <c r="G125" s="9" t="s">
        <v>803</v>
      </c>
      <c r="H125" s="9">
        <v>2050</v>
      </c>
      <c r="I125" t="s">
        <v>769</v>
      </c>
      <c r="J125" t="s">
        <v>770</v>
      </c>
      <c r="K125" s="418">
        <v>0.4</v>
      </c>
      <c r="L125" s="210"/>
      <c r="M125" s="419">
        <v>0.41411748000000004</v>
      </c>
      <c r="N125" s="419">
        <v>0.41411748000000004</v>
      </c>
      <c r="O125" s="419">
        <v>0.41411748000000004</v>
      </c>
      <c r="P125" s="419">
        <v>0.41411748000000004</v>
      </c>
      <c r="Q125" s="419">
        <v>0.41411748000000004</v>
      </c>
      <c r="R125" s="419">
        <v>0.41411748000000004</v>
      </c>
      <c r="S125" s="419">
        <v>0.41411748000000004</v>
      </c>
      <c r="T125" s="419">
        <v>0.41411748000000004</v>
      </c>
      <c r="U125" s="419">
        <v>0.41411748000000004</v>
      </c>
      <c r="V125" s="419">
        <v>0.41411748000000004</v>
      </c>
      <c r="W125" s="419">
        <v>0.41411748000000004</v>
      </c>
      <c r="X125" s="419">
        <v>0.41411748000000004</v>
      </c>
      <c r="Y125" s="419">
        <v>0.41411748000000004</v>
      </c>
      <c r="Z125" s="419">
        <v>0.41411748000000004</v>
      </c>
      <c r="AA125" s="419">
        <v>0.41411748000000004</v>
      </c>
      <c r="AB125" s="419">
        <v>0.41411748000000004</v>
      </c>
      <c r="AC125" s="419">
        <v>0.41411748000000004</v>
      </c>
      <c r="AD125" s="419">
        <v>0.41411748000000004</v>
      </c>
      <c r="AE125" s="419">
        <v>0.41411748000000004</v>
      </c>
      <c r="AF125" s="419">
        <v>0.41411748000000004</v>
      </c>
      <c r="AG125" s="419">
        <v>0.41411748000000004</v>
      </c>
      <c r="AH125" s="419">
        <v>0.41411748000000004</v>
      </c>
      <c r="AI125" s="419">
        <v>0.41411748000000004</v>
      </c>
      <c r="AJ125" s="419">
        <v>0.41411748000000004</v>
      </c>
      <c r="AK125" s="419">
        <v>0.41411748000000004</v>
      </c>
      <c r="AL125" s="419">
        <v>0.41411748000000004</v>
      </c>
      <c r="AM125" s="419">
        <v>0.41411748000000004</v>
      </c>
      <c r="AN125" s="419">
        <v>0.41411748000000004</v>
      </c>
      <c r="AO125" s="419"/>
      <c r="AP125" s="419"/>
      <c r="AQ125" s="419"/>
    </row>
    <row r="126" spans="1:43" x14ac:dyDescent="0.25">
      <c r="A126" s="384" t="s">
        <v>823</v>
      </c>
      <c r="B126" s="384"/>
      <c r="C126" s="384"/>
      <c r="D126" s="384"/>
      <c r="F126" s="9" t="s">
        <v>104</v>
      </c>
      <c r="G126" s="9" t="s">
        <v>803</v>
      </c>
      <c r="H126" s="9">
        <v>2050</v>
      </c>
      <c r="I126" t="s">
        <v>771</v>
      </c>
      <c r="J126" t="s">
        <v>331</v>
      </c>
      <c r="K126" s="418">
        <v>0.4</v>
      </c>
      <c r="L126" s="210"/>
      <c r="M126" s="419">
        <v>0.41411748000000004</v>
      </c>
      <c r="N126" s="419">
        <v>0.41411748000000004</v>
      </c>
      <c r="O126" s="419">
        <v>0.41411748000000004</v>
      </c>
      <c r="P126" s="419">
        <v>0.41411748000000004</v>
      </c>
      <c r="Q126" s="419">
        <v>0.41411748000000004</v>
      </c>
      <c r="R126" s="419">
        <v>0.41411748000000004</v>
      </c>
      <c r="S126" s="419">
        <v>0.41411748000000004</v>
      </c>
      <c r="T126" s="419">
        <v>0.41411748000000004</v>
      </c>
      <c r="U126" s="419">
        <v>0.41411748000000004</v>
      </c>
      <c r="V126" s="419">
        <v>0.41411748000000004</v>
      </c>
      <c r="W126" s="419">
        <v>0.41411748000000004</v>
      </c>
      <c r="X126" s="419">
        <v>0.41411748000000004</v>
      </c>
      <c r="Y126" s="419">
        <v>0.41411748000000004</v>
      </c>
      <c r="Z126" s="419">
        <v>0.41411748000000004</v>
      </c>
      <c r="AA126" s="419">
        <v>0.41411748000000004</v>
      </c>
      <c r="AB126" s="419">
        <v>0.41411748000000004</v>
      </c>
      <c r="AC126" s="419">
        <v>0.41411748000000004</v>
      </c>
      <c r="AD126" s="419">
        <v>0.41411748000000004</v>
      </c>
      <c r="AE126" s="419">
        <v>0.41411748000000004</v>
      </c>
      <c r="AF126" s="419">
        <v>0.41411748000000004</v>
      </c>
      <c r="AG126" s="419">
        <v>0.41411748000000004</v>
      </c>
      <c r="AH126" s="419">
        <v>0.41411748000000004</v>
      </c>
      <c r="AI126" s="419">
        <v>0.41411748000000004</v>
      </c>
      <c r="AJ126" s="419">
        <v>0.41411748000000004</v>
      </c>
      <c r="AK126" s="419">
        <v>0.41411748000000004</v>
      </c>
      <c r="AL126" s="419">
        <v>0.41411748000000004</v>
      </c>
      <c r="AM126" s="419">
        <v>0.41411748000000004</v>
      </c>
      <c r="AN126" s="419">
        <v>0.41411748000000004</v>
      </c>
      <c r="AO126" s="419"/>
      <c r="AP126" s="419"/>
      <c r="AQ126" s="419"/>
    </row>
    <row r="127" spans="1:43" x14ac:dyDescent="0.25">
      <c r="A127" s="384" t="s">
        <v>824</v>
      </c>
      <c r="B127" s="384"/>
      <c r="C127" s="384"/>
      <c r="D127" s="384"/>
      <c r="F127" s="9" t="s">
        <v>104</v>
      </c>
      <c r="G127" s="9" t="s">
        <v>803</v>
      </c>
      <c r="H127" s="9">
        <v>2050</v>
      </c>
      <c r="I127" t="s">
        <v>116</v>
      </c>
      <c r="J127" t="s">
        <v>772</v>
      </c>
      <c r="K127" s="418">
        <v>0.4</v>
      </c>
      <c r="L127" s="210"/>
      <c r="M127" s="419">
        <v>0.41411748000000004</v>
      </c>
      <c r="N127" s="419">
        <v>0.41411748000000004</v>
      </c>
      <c r="O127" s="419">
        <v>0.41411748000000004</v>
      </c>
      <c r="P127" s="419">
        <v>0.41411748000000004</v>
      </c>
      <c r="Q127" s="419">
        <v>0.41411748000000004</v>
      </c>
      <c r="R127" s="419">
        <v>0.41411748000000004</v>
      </c>
      <c r="S127" s="419">
        <v>0.41411748000000004</v>
      </c>
      <c r="T127" s="419">
        <v>0.41411748000000004</v>
      </c>
      <c r="U127" s="419">
        <v>0.41411748000000004</v>
      </c>
      <c r="V127" s="419">
        <v>0.41411748000000004</v>
      </c>
      <c r="W127" s="419">
        <v>0.41411748000000004</v>
      </c>
      <c r="X127" s="419">
        <v>0.41411748000000004</v>
      </c>
      <c r="Y127" s="419">
        <v>0.41411748000000004</v>
      </c>
      <c r="Z127" s="419">
        <v>0.41411748000000004</v>
      </c>
      <c r="AA127" s="419">
        <v>0.41411748000000004</v>
      </c>
      <c r="AB127" s="419">
        <v>0.41411748000000004</v>
      </c>
      <c r="AC127" s="419">
        <v>0.41411748000000004</v>
      </c>
      <c r="AD127" s="419">
        <v>0.41411748000000004</v>
      </c>
      <c r="AE127" s="419">
        <v>0.41411748000000004</v>
      </c>
      <c r="AF127" s="419">
        <v>0.41411748000000004</v>
      </c>
      <c r="AG127" s="419">
        <v>0.41411748000000004</v>
      </c>
      <c r="AH127" s="419">
        <v>0.41411748000000004</v>
      </c>
      <c r="AI127" s="419">
        <v>0.41411748000000004</v>
      </c>
      <c r="AJ127" s="419">
        <v>0.41411748000000004</v>
      </c>
      <c r="AK127" s="419">
        <v>0.41411748000000004</v>
      </c>
      <c r="AL127" s="419">
        <v>0.41411748000000004</v>
      </c>
      <c r="AM127" s="419">
        <v>0.41411748000000004</v>
      </c>
      <c r="AN127" s="419">
        <v>0.41411748000000004</v>
      </c>
      <c r="AO127" s="419"/>
      <c r="AP127" s="419"/>
      <c r="AQ127" s="419"/>
    </row>
    <row r="128" spans="1:43" x14ac:dyDescent="0.25">
      <c r="A128" s="384" t="s">
        <v>825</v>
      </c>
      <c r="B128" s="384"/>
      <c r="C128" s="384"/>
      <c r="D128" s="384"/>
      <c r="E128" s="9" t="s">
        <v>103</v>
      </c>
      <c r="F128" s="9" t="s">
        <v>104</v>
      </c>
      <c r="G128" s="9" t="s">
        <v>805</v>
      </c>
      <c r="H128" s="9">
        <v>2030</v>
      </c>
      <c r="I128" t="s">
        <v>125</v>
      </c>
      <c r="J128" t="s">
        <v>350</v>
      </c>
      <c r="K128" s="418">
        <v>0.8</v>
      </c>
      <c r="L128" s="210"/>
      <c r="M128" s="419">
        <v>0.88000000000000012</v>
      </c>
      <c r="N128" s="419">
        <v>0.88000000000000012</v>
      </c>
      <c r="O128" s="419">
        <v>0.88000000000000012</v>
      </c>
      <c r="P128" s="419">
        <v>0.88000000000000012</v>
      </c>
      <c r="Q128" s="419">
        <v>0.88000000000000012</v>
      </c>
      <c r="R128" s="419">
        <v>0.88000000000000012</v>
      </c>
      <c r="S128" s="419">
        <v>0.88000000000000012</v>
      </c>
      <c r="T128" s="419">
        <v>0.88000000000000012</v>
      </c>
      <c r="U128" s="419">
        <v>0.88000000000000012</v>
      </c>
      <c r="V128" s="419">
        <v>0.88000000000000012</v>
      </c>
      <c r="W128" s="419">
        <v>0.88000000000000012</v>
      </c>
      <c r="X128" s="419">
        <v>0.88000000000000012</v>
      </c>
      <c r="Y128" s="419">
        <v>0.88000000000000012</v>
      </c>
      <c r="Z128" s="419">
        <v>0.88000000000000012</v>
      </c>
      <c r="AA128" s="419">
        <v>0.88000000000000012</v>
      </c>
      <c r="AB128" s="419">
        <v>0.88000000000000012</v>
      </c>
      <c r="AC128" s="419">
        <v>0.88000000000000012</v>
      </c>
      <c r="AD128" s="419">
        <v>0.88000000000000012</v>
      </c>
      <c r="AE128" s="419">
        <v>0.88000000000000012</v>
      </c>
      <c r="AF128" s="419">
        <v>0.88000000000000012</v>
      </c>
      <c r="AG128" s="419">
        <v>0.88000000000000012</v>
      </c>
      <c r="AH128" s="419">
        <v>0.88000000000000012</v>
      </c>
      <c r="AI128" s="419">
        <v>0.88000000000000012</v>
      </c>
      <c r="AJ128" s="419">
        <v>0.88000000000000012</v>
      </c>
      <c r="AK128" s="419">
        <v>0.88000000000000012</v>
      </c>
      <c r="AL128" s="419">
        <v>0.88000000000000012</v>
      </c>
      <c r="AM128" s="419">
        <v>0.88000000000000012</v>
      </c>
      <c r="AN128" s="419">
        <v>0.88000000000000012</v>
      </c>
      <c r="AO128" s="419"/>
      <c r="AP128" s="419"/>
      <c r="AQ128" s="419"/>
    </row>
    <row r="129" spans="1:43" x14ac:dyDescent="0.25">
      <c r="A129" s="384" t="s">
        <v>826</v>
      </c>
      <c r="B129" s="384"/>
      <c r="C129" s="384"/>
      <c r="D129" s="384"/>
      <c r="F129" s="9" t="s">
        <v>104</v>
      </c>
      <c r="G129" s="9" t="s">
        <v>805</v>
      </c>
      <c r="H129" s="9">
        <v>2030</v>
      </c>
      <c r="I129" t="s">
        <v>766</v>
      </c>
      <c r="J129" t="s">
        <v>767</v>
      </c>
      <c r="K129" s="418">
        <v>0.6</v>
      </c>
      <c r="L129" s="210"/>
      <c r="M129" s="419">
        <v>0.66</v>
      </c>
      <c r="N129" s="419">
        <v>0.66</v>
      </c>
      <c r="O129" s="419">
        <v>0.66</v>
      </c>
      <c r="P129" s="419">
        <v>0.66</v>
      </c>
      <c r="Q129" s="419">
        <v>0.66</v>
      </c>
      <c r="R129" s="419">
        <v>0.66</v>
      </c>
      <c r="S129" s="419">
        <v>0.66</v>
      </c>
      <c r="T129" s="419">
        <v>0.66</v>
      </c>
      <c r="U129" s="419">
        <v>0.66</v>
      </c>
      <c r="V129" s="419">
        <v>0.66</v>
      </c>
      <c r="W129" s="419">
        <v>0.66</v>
      </c>
      <c r="X129" s="419">
        <v>0.66</v>
      </c>
      <c r="Y129" s="419">
        <v>0.66</v>
      </c>
      <c r="Z129" s="419">
        <v>0.66</v>
      </c>
      <c r="AA129" s="419">
        <v>0.66</v>
      </c>
      <c r="AB129" s="419">
        <v>0.66</v>
      </c>
      <c r="AC129" s="419">
        <v>0.66</v>
      </c>
      <c r="AD129" s="419">
        <v>0.66</v>
      </c>
      <c r="AE129" s="419">
        <v>0.66</v>
      </c>
      <c r="AF129" s="419">
        <v>0.66</v>
      </c>
      <c r="AG129" s="419">
        <v>0.66</v>
      </c>
      <c r="AH129" s="419">
        <v>0.66</v>
      </c>
      <c r="AI129" s="419">
        <v>0.66</v>
      </c>
      <c r="AJ129" s="419">
        <v>0.66</v>
      </c>
      <c r="AK129" s="419">
        <v>0.66</v>
      </c>
      <c r="AL129" s="419">
        <v>0.66</v>
      </c>
      <c r="AM129" s="419">
        <v>0.66</v>
      </c>
      <c r="AN129" s="419">
        <v>0.66</v>
      </c>
      <c r="AO129" s="419"/>
      <c r="AP129" s="419"/>
      <c r="AQ129" s="419"/>
    </row>
    <row r="130" spans="1:43" x14ac:dyDescent="0.25">
      <c r="A130" s="384" t="s">
        <v>827</v>
      </c>
      <c r="B130" s="384"/>
      <c r="C130" s="384"/>
      <c r="D130" s="384"/>
      <c r="F130" s="9" t="s">
        <v>104</v>
      </c>
      <c r="G130" s="9" t="s">
        <v>805</v>
      </c>
      <c r="H130" s="9">
        <v>2030</v>
      </c>
      <c r="I130" t="s">
        <v>129</v>
      </c>
      <c r="J130" t="s">
        <v>768</v>
      </c>
      <c r="K130" s="418">
        <v>1</v>
      </c>
      <c r="L130" s="210"/>
      <c r="M130" s="419">
        <v>1.1000000000000001</v>
      </c>
      <c r="N130" s="419">
        <v>1.1000000000000001</v>
      </c>
      <c r="O130" s="419">
        <v>1.1000000000000001</v>
      </c>
      <c r="P130" s="419">
        <v>1.1000000000000001</v>
      </c>
      <c r="Q130" s="419">
        <v>1.1000000000000001</v>
      </c>
      <c r="R130" s="419">
        <v>1.1000000000000001</v>
      </c>
      <c r="S130" s="419">
        <v>1.1000000000000001</v>
      </c>
      <c r="T130" s="419">
        <v>1.1000000000000001</v>
      </c>
      <c r="U130" s="419">
        <v>1.1000000000000001</v>
      </c>
      <c r="V130" s="419">
        <v>1.1000000000000001</v>
      </c>
      <c r="W130" s="419">
        <v>1.1000000000000001</v>
      </c>
      <c r="X130" s="419">
        <v>1.1000000000000001</v>
      </c>
      <c r="Y130" s="419">
        <v>1.1000000000000001</v>
      </c>
      <c r="Z130" s="419">
        <v>1.1000000000000001</v>
      </c>
      <c r="AA130" s="419">
        <v>1.1000000000000001</v>
      </c>
      <c r="AB130" s="419">
        <v>1.1000000000000001</v>
      </c>
      <c r="AC130" s="419">
        <v>1.1000000000000001</v>
      </c>
      <c r="AD130" s="419">
        <v>1.1000000000000001</v>
      </c>
      <c r="AE130" s="419">
        <v>1.1000000000000001</v>
      </c>
      <c r="AF130" s="419">
        <v>1.1000000000000001</v>
      </c>
      <c r="AG130" s="419">
        <v>1.1000000000000001</v>
      </c>
      <c r="AH130" s="419">
        <v>1.1000000000000001</v>
      </c>
      <c r="AI130" s="419">
        <v>1.1000000000000001</v>
      </c>
      <c r="AJ130" s="419">
        <v>1.1000000000000001</v>
      </c>
      <c r="AK130" s="419">
        <v>1.1000000000000001</v>
      </c>
      <c r="AL130" s="419">
        <v>1.1000000000000001</v>
      </c>
      <c r="AM130" s="419">
        <v>1.1000000000000001</v>
      </c>
      <c r="AN130" s="419">
        <v>1.1000000000000001</v>
      </c>
      <c r="AO130" s="419"/>
      <c r="AP130" s="419"/>
      <c r="AQ130" s="419"/>
    </row>
    <row r="131" spans="1:43" x14ac:dyDescent="0.25">
      <c r="A131" s="384" t="s">
        <v>828</v>
      </c>
      <c r="B131" s="384"/>
      <c r="C131" s="384"/>
      <c r="D131" s="384"/>
      <c r="F131" s="9" t="s">
        <v>104</v>
      </c>
      <c r="G131" s="9" t="s">
        <v>805</v>
      </c>
      <c r="H131" s="9">
        <v>2030</v>
      </c>
      <c r="I131" t="s">
        <v>769</v>
      </c>
      <c r="J131" t="s">
        <v>770</v>
      </c>
      <c r="K131" s="418">
        <v>0.4</v>
      </c>
      <c r="L131" s="210"/>
      <c r="M131" s="419">
        <v>0.44000000000000006</v>
      </c>
      <c r="N131" s="419">
        <v>0.44000000000000006</v>
      </c>
      <c r="O131" s="419">
        <v>0.44000000000000006</v>
      </c>
      <c r="P131" s="419">
        <v>0.44000000000000006</v>
      </c>
      <c r="Q131" s="419">
        <v>0.44000000000000006</v>
      </c>
      <c r="R131" s="419">
        <v>0.44000000000000006</v>
      </c>
      <c r="S131" s="419">
        <v>0.44000000000000006</v>
      </c>
      <c r="T131" s="419">
        <v>0.44000000000000006</v>
      </c>
      <c r="U131" s="419">
        <v>0.44000000000000006</v>
      </c>
      <c r="V131" s="419">
        <v>0.44000000000000006</v>
      </c>
      <c r="W131" s="419">
        <v>0.44000000000000006</v>
      </c>
      <c r="X131" s="419">
        <v>0.44000000000000006</v>
      </c>
      <c r="Y131" s="419">
        <v>0.44000000000000006</v>
      </c>
      <c r="Z131" s="419">
        <v>0.44000000000000006</v>
      </c>
      <c r="AA131" s="419">
        <v>0.44000000000000006</v>
      </c>
      <c r="AB131" s="419">
        <v>0.44000000000000006</v>
      </c>
      <c r="AC131" s="419">
        <v>0.44000000000000006</v>
      </c>
      <c r="AD131" s="419">
        <v>0.44000000000000006</v>
      </c>
      <c r="AE131" s="419">
        <v>0.44000000000000006</v>
      </c>
      <c r="AF131" s="419">
        <v>0.44000000000000006</v>
      </c>
      <c r="AG131" s="419">
        <v>0.44000000000000006</v>
      </c>
      <c r="AH131" s="419">
        <v>0.44000000000000006</v>
      </c>
      <c r="AI131" s="419">
        <v>0.44000000000000006</v>
      </c>
      <c r="AJ131" s="419">
        <v>0.44000000000000006</v>
      </c>
      <c r="AK131" s="419">
        <v>0.44000000000000006</v>
      </c>
      <c r="AL131" s="419">
        <v>0.44000000000000006</v>
      </c>
      <c r="AM131" s="419">
        <v>0.44000000000000006</v>
      </c>
      <c r="AN131" s="419">
        <v>0.44000000000000006</v>
      </c>
      <c r="AO131" s="419"/>
      <c r="AP131" s="419"/>
      <c r="AQ131" s="419"/>
    </row>
    <row r="132" spans="1:43" x14ac:dyDescent="0.25">
      <c r="A132" s="384" t="s">
        <v>829</v>
      </c>
      <c r="B132" s="384"/>
      <c r="C132" s="384"/>
      <c r="D132" s="384"/>
      <c r="F132" s="9" t="s">
        <v>104</v>
      </c>
      <c r="G132" s="9" t="s">
        <v>805</v>
      </c>
      <c r="H132" s="9">
        <v>2030</v>
      </c>
      <c r="I132" t="s">
        <v>771</v>
      </c>
      <c r="J132" t="s">
        <v>331</v>
      </c>
      <c r="K132" s="418">
        <v>0.4</v>
      </c>
      <c r="L132" s="210"/>
      <c r="M132" s="419">
        <v>0.44000000000000006</v>
      </c>
      <c r="N132" s="419">
        <v>0.44000000000000006</v>
      </c>
      <c r="O132" s="419">
        <v>0.44000000000000006</v>
      </c>
      <c r="P132" s="419">
        <v>0.44000000000000006</v>
      </c>
      <c r="Q132" s="419">
        <v>0.44000000000000006</v>
      </c>
      <c r="R132" s="419">
        <v>0.44000000000000006</v>
      </c>
      <c r="S132" s="419">
        <v>0.44000000000000006</v>
      </c>
      <c r="T132" s="419">
        <v>0.44000000000000006</v>
      </c>
      <c r="U132" s="419">
        <v>0.44000000000000006</v>
      </c>
      <c r="V132" s="419">
        <v>0.44000000000000006</v>
      </c>
      <c r="W132" s="419">
        <v>0.44000000000000006</v>
      </c>
      <c r="X132" s="419">
        <v>0.44000000000000006</v>
      </c>
      <c r="Y132" s="419">
        <v>0.44000000000000006</v>
      </c>
      <c r="Z132" s="419">
        <v>0.44000000000000006</v>
      </c>
      <c r="AA132" s="419">
        <v>0.44000000000000006</v>
      </c>
      <c r="AB132" s="419">
        <v>0.44000000000000006</v>
      </c>
      <c r="AC132" s="419">
        <v>0.44000000000000006</v>
      </c>
      <c r="AD132" s="419">
        <v>0.44000000000000006</v>
      </c>
      <c r="AE132" s="419">
        <v>0.44000000000000006</v>
      </c>
      <c r="AF132" s="419">
        <v>0.44000000000000006</v>
      </c>
      <c r="AG132" s="419">
        <v>0.44000000000000006</v>
      </c>
      <c r="AH132" s="419">
        <v>0.44000000000000006</v>
      </c>
      <c r="AI132" s="419">
        <v>0.44000000000000006</v>
      </c>
      <c r="AJ132" s="419">
        <v>0.44000000000000006</v>
      </c>
      <c r="AK132" s="419">
        <v>0.44000000000000006</v>
      </c>
      <c r="AL132" s="419">
        <v>0.44000000000000006</v>
      </c>
      <c r="AM132" s="419">
        <v>0.44000000000000006</v>
      </c>
      <c r="AN132" s="419">
        <v>0.44000000000000006</v>
      </c>
      <c r="AO132" s="419"/>
      <c r="AP132" s="419"/>
      <c r="AQ132" s="419"/>
    </row>
    <row r="133" spans="1:43" x14ac:dyDescent="0.25">
      <c r="A133" s="384" t="s">
        <v>830</v>
      </c>
      <c r="B133" s="384"/>
      <c r="C133" s="384"/>
      <c r="D133" s="384"/>
      <c r="F133" s="9" t="s">
        <v>104</v>
      </c>
      <c r="G133" s="9" t="s">
        <v>805</v>
      </c>
      <c r="H133" s="9">
        <v>2030</v>
      </c>
      <c r="I133" t="s">
        <v>116</v>
      </c>
      <c r="J133" t="s">
        <v>772</v>
      </c>
      <c r="K133" s="418">
        <v>0.4</v>
      </c>
      <c r="L133" s="210"/>
      <c r="M133" s="419">
        <v>0.44000000000000006</v>
      </c>
      <c r="N133" s="419">
        <v>0.44000000000000006</v>
      </c>
      <c r="O133" s="419">
        <v>0.44000000000000006</v>
      </c>
      <c r="P133" s="419">
        <v>0.44000000000000006</v>
      </c>
      <c r="Q133" s="419">
        <v>0.44000000000000006</v>
      </c>
      <c r="R133" s="419">
        <v>0.44000000000000006</v>
      </c>
      <c r="S133" s="419">
        <v>0.44000000000000006</v>
      </c>
      <c r="T133" s="419">
        <v>0.44000000000000006</v>
      </c>
      <c r="U133" s="419">
        <v>0.44000000000000006</v>
      </c>
      <c r="V133" s="419">
        <v>0.44000000000000006</v>
      </c>
      <c r="W133" s="419">
        <v>0.44000000000000006</v>
      </c>
      <c r="X133" s="419">
        <v>0.44000000000000006</v>
      </c>
      <c r="Y133" s="419">
        <v>0.44000000000000006</v>
      </c>
      <c r="Z133" s="419">
        <v>0.44000000000000006</v>
      </c>
      <c r="AA133" s="419">
        <v>0.44000000000000006</v>
      </c>
      <c r="AB133" s="419">
        <v>0.44000000000000006</v>
      </c>
      <c r="AC133" s="419">
        <v>0.44000000000000006</v>
      </c>
      <c r="AD133" s="419">
        <v>0.44000000000000006</v>
      </c>
      <c r="AE133" s="419">
        <v>0.44000000000000006</v>
      </c>
      <c r="AF133" s="419">
        <v>0.44000000000000006</v>
      </c>
      <c r="AG133" s="419">
        <v>0.44000000000000006</v>
      </c>
      <c r="AH133" s="419">
        <v>0.44000000000000006</v>
      </c>
      <c r="AI133" s="419">
        <v>0.44000000000000006</v>
      </c>
      <c r="AJ133" s="419">
        <v>0.44000000000000006</v>
      </c>
      <c r="AK133" s="419">
        <v>0.44000000000000006</v>
      </c>
      <c r="AL133" s="419">
        <v>0.44000000000000006</v>
      </c>
      <c r="AM133" s="419">
        <v>0.44000000000000006</v>
      </c>
      <c r="AN133" s="419">
        <v>0.44000000000000006</v>
      </c>
      <c r="AO133" s="419"/>
      <c r="AP133" s="419"/>
      <c r="AQ133" s="419"/>
    </row>
    <row r="134" spans="1:43" x14ac:dyDescent="0.25">
      <c r="A134" s="384" t="s">
        <v>831</v>
      </c>
      <c r="B134" s="384"/>
      <c r="C134" s="384"/>
      <c r="D134" s="384"/>
      <c r="F134" s="9" t="s">
        <v>106</v>
      </c>
      <c r="G134" s="9" t="s">
        <v>805</v>
      </c>
      <c r="H134" s="9">
        <v>2050</v>
      </c>
      <c r="I134" t="s">
        <v>140</v>
      </c>
      <c r="J134" t="s">
        <v>806</v>
      </c>
      <c r="K134" s="420">
        <v>0.6</v>
      </c>
      <c r="L134" s="210"/>
      <c r="M134" s="419">
        <v>0.68399999999999994</v>
      </c>
      <c r="N134" s="419">
        <v>0.68399999999999994</v>
      </c>
      <c r="O134" s="419">
        <v>0.68399999999999994</v>
      </c>
      <c r="P134" s="419">
        <v>0.68399999999999994</v>
      </c>
      <c r="Q134" s="419">
        <v>0.68399999999999994</v>
      </c>
      <c r="R134" s="419">
        <v>0.68399999999999994</v>
      </c>
      <c r="S134" s="419">
        <v>0.68399999999999994</v>
      </c>
      <c r="T134" s="419">
        <v>0.68399999999999994</v>
      </c>
      <c r="U134" s="419">
        <v>0.68399999999999994</v>
      </c>
      <c r="V134" s="419">
        <v>0.68399999999999994</v>
      </c>
      <c r="W134" s="419">
        <v>0.68399999999999994</v>
      </c>
      <c r="X134" s="419">
        <v>0.68399999999999994</v>
      </c>
      <c r="Y134" s="419">
        <v>0.68399999999999994</v>
      </c>
      <c r="Z134" s="419">
        <v>0.68399999999999994</v>
      </c>
      <c r="AA134" s="419">
        <v>0.68399999999999994</v>
      </c>
      <c r="AB134" s="419">
        <v>0.68399999999999994</v>
      </c>
      <c r="AC134" s="419">
        <v>0.68399999999999994</v>
      </c>
      <c r="AD134" s="419">
        <v>0.68399999999999994</v>
      </c>
      <c r="AE134" s="419">
        <v>0.68399999999999994</v>
      </c>
      <c r="AF134" s="419">
        <v>0.68399999999999994</v>
      </c>
      <c r="AG134" s="419">
        <v>0.68399999999999994</v>
      </c>
      <c r="AH134" s="419">
        <v>0.68399999999999994</v>
      </c>
      <c r="AI134" s="419">
        <v>0.68399999999999994</v>
      </c>
      <c r="AJ134" s="419">
        <v>0.68399999999999994</v>
      </c>
      <c r="AK134" s="419">
        <v>0.68399999999999994</v>
      </c>
      <c r="AL134" s="419">
        <v>0.68399999999999994</v>
      </c>
      <c r="AM134" s="419">
        <v>0.68399999999999994</v>
      </c>
      <c r="AN134" s="419">
        <v>0.68399999999999994</v>
      </c>
      <c r="AO134" s="419"/>
      <c r="AP134" s="419"/>
      <c r="AQ134" s="419"/>
    </row>
    <row r="135" spans="1:43" x14ac:dyDescent="0.25">
      <c r="A135" s="384" t="s">
        <v>825</v>
      </c>
      <c r="B135" s="384"/>
      <c r="C135" s="384"/>
      <c r="D135" s="384"/>
      <c r="E135" s="9" t="s">
        <v>103</v>
      </c>
      <c r="F135" s="9" t="s">
        <v>104</v>
      </c>
      <c r="G135" s="9" t="s">
        <v>805</v>
      </c>
      <c r="H135" s="9">
        <v>2050</v>
      </c>
      <c r="I135" t="s">
        <v>125</v>
      </c>
      <c r="J135" t="s">
        <v>350</v>
      </c>
      <c r="K135" s="418">
        <v>0.8</v>
      </c>
      <c r="L135" s="210"/>
      <c r="M135" s="419">
        <v>0.92799999999999994</v>
      </c>
      <c r="N135" s="419">
        <v>0.92799999999999994</v>
      </c>
      <c r="O135" s="419">
        <v>0.92799999999999994</v>
      </c>
      <c r="P135" s="419">
        <v>0.92799999999999994</v>
      </c>
      <c r="Q135" s="419">
        <v>0.92799999999999994</v>
      </c>
      <c r="R135" s="419">
        <v>0.92799999999999994</v>
      </c>
      <c r="S135" s="419">
        <v>0.92799999999999994</v>
      </c>
      <c r="T135" s="419">
        <v>0.92799999999999994</v>
      </c>
      <c r="U135" s="419">
        <v>0.92799999999999994</v>
      </c>
      <c r="V135" s="419">
        <v>0.92799999999999994</v>
      </c>
      <c r="W135" s="419">
        <v>0.92799999999999994</v>
      </c>
      <c r="X135" s="419">
        <v>0.92799999999999994</v>
      </c>
      <c r="Y135" s="419">
        <v>0.92799999999999994</v>
      </c>
      <c r="Z135" s="419">
        <v>0.92799999999999994</v>
      </c>
      <c r="AA135" s="419">
        <v>0.92799999999999994</v>
      </c>
      <c r="AB135" s="419">
        <v>0.92799999999999994</v>
      </c>
      <c r="AC135" s="419">
        <v>0.92799999999999994</v>
      </c>
      <c r="AD135" s="419">
        <v>0.92799999999999994</v>
      </c>
      <c r="AE135" s="419">
        <v>0.92799999999999994</v>
      </c>
      <c r="AF135" s="419">
        <v>0.92799999999999994</v>
      </c>
      <c r="AG135" s="419">
        <v>0.92799999999999994</v>
      </c>
      <c r="AH135" s="419">
        <v>0.92799999999999994</v>
      </c>
      <c r="AI135" s="419">
        <v>0.92799999999999994</v>
      </c>
      <c r="AJ135" s="419">
        <v>0.92799999999999994</v>
      </c>
      <c r="AK135" s="419">
        <v>0.92799999999999994</v>
      </c>
      <c r="AL135" s="419">
        <v>0.92799999999999994</v>
      </c>
      <c r="AM135" s="419">
        <v>0.92799999999999994</v>
      </c>
      <c r="AN135" s="419">
        <v>0.92799999999999994</v>
      </c>
      <c r="AO135" s="419"/>
      <c r="AP135" s="419"/>
      <c r="AQ135" s="419"/>
    </row>
    <row r="136" spans="1:43" x14ac:dyDescent="0.25">
      <c r="A136" s="384" t="s">
        <v>826</v>
      </c>
      <c r="B136" s="384"/>
      <c r="C136" s="384"/>
      <c r="D136" s="384"/>
      <c r="F136" s="9" t="s">
        <v>104</v>
      </c>
      <c r="G136" s="9" t="s">
        <v>805</v>
      </c>
      <c r="H136" s="9">
        <v>2050</v>
      </c>
      <c r="I136" t="s">
        <v>766</v>
      </c>
      <c r="J136" t="s">
        <v>767</v>
      </c>
      <c r="K136" s="418">
        <v>0.6</v>
      </c>
      <c r="L136" s="210"/>
      <c r="M136" s="419">
        <v>0.69599999999999995</v>
      </c>
      <c r="N136" s="419">
        <v>0.69599999999999995</v>
      </c>
      <c r="O136" s="419">
        <v>0.69599999999999995</v>
      </c>
      <c r="P136" s="419">
        <v>0.69599999999999995</v>
      </c>
      <c r="Q136" s="419">
        <v>0.69599999999999995</v>
      </c>
      <c r="R136" s="419">
        <v>0.69599999999999995</v>
      </c>
      <c r="S136" s="419">
        <v>0.69599999999999995</v>
      </c>
      <c r="T136" s="419">
        <v>0.69599999999999995</v>
      </c>
      <c r="U136" s="419">
        <v>0.69599999999999995</v>
      </c>
      <c r="V136" s="419">
        <v>0.69599999999999995</v>
      </c>
      <c r="W136" s="419">
        <v>0.69599999999999995</v>
      </c>
      <c r="X136" s="419">
        <v>0.69599999999999995</v>
      </c>
      <c r="Y136" s="419">
        <v>0.69599999999999995</v>
      </c>
      <c r="Z136" s="419">
        <v>0.69599999999999995</v>
      </c>
      <c r="AA136" s="419">
        <v>0.69599999999999995</v>
      </c>
      <c r="AB136" s="419">
        <v>0.69599999999999995</v>
      </c>
      <c r="AC136" s="419">
        <v>0.69599999999999995</v>
      </c>
      <c r="AD136" s="419">
        <v>0.69599999999999995</v>
      </c>
      <c r="AE136" s="419">
        <v>0.69599999999999995</v>
      </c>
      <c r="AF136" s="419">
        <v>0.69599999999999995</v>
      </c>
      <c r="AG136" s="419">
        <v>0.69599999999999995</v>
      </c>
      <c r="AH136" s="419">
        <v>0.69599999999999995</v>
      </c>
      <c r="AI136" s="419">
        <v>0.69599999999999995</v>
      </c>
      <c r="AJ136" s="419">
        <v>0.69599999999999995</v>
      </c>
      <c r="AK136" s="419">
        <v>0.69599999999999995</v>
      </c>
      <c r="AL136" s="419">
        <v>0.69599999999999995</v>
      </c>
      <c r="AM136" s="419">
        <v>0.69599999999999995</v>
      </c>
      <c r="AN136" s="419">
        <v>0.69599999999999995</v>
      </c>
      <c r="AO136" s="419"/>
      <c r="AP136" s="419"/>
      <c r="AQ136" s="419"/>
    </row>
    <row r="137" spans="1:43" x14ac:dyDescent="0.25">
      <c r="A137" s="384" t="s">
        <v>827</v>
      </c>
      <c r="B137" s="384"/>
      <c r="C137" s="384"/>
      <c r="D137" s="384"/>
      <c r="F137" s="9" t="s">
        <v>104</v>
      </c>
      <c r="G137" s="9" t="s">
        <v>805</v>
      </c>
      <c r="H137" s="9">
        <v>2050</v>
      </c>
      <c r="I137" t="s">
        <v>129</v>
      </c>
      <c r="J137" t="s">
        <v>768</v>
      </c>
      <c r="K137" s="418">
        <v>1</v>
      </c>
      <c r="L137" s="210"/>
      <c r="M137" s="419">
        <v>1.1599999999999999</v>
      </c>
      <c r="N137" s="419">
        <v>1.1599999999999999</v>
      </c>
      <c r="O137" s="419">
        <v>1.1599999999999999</v>
      </c>
      <c r="P137" s="419">
        <v>1.1599999999999999</v>
      </c>
      <c r="Q137" s="419">
        <v>1.1599999999999999</v>
      </c>
      <c r="R137" s="419">
        <v>1.1599999999999999</v>
      </c>
      <c r="S137" s="419">
        <v>1.1599999999999999</v>
      </c>
      <c r="T137" s="419">
        <v>1.1599999999999999</v>
      </c>
      <c r="U137" s="419">
        <v>1.1599999999999999</v>
      </c>
      <c r="V137" s="419">
        <v>1.1599999999999999</v>
      </c>
      <c r="W137" s="419">
        <v>1.1599999999999999</v>
      </c>
      <c r="X137" s="419">
        <v>1.1599999999999999</v>
      </c>
      <c r="Y137" s="419">
        <v>1.1599999999999999</v>
      </c>
      <c r="Z137" s="419">
        <v>1.1599999999999999</v>
      </c>
      <c r="AA137" s="419">
        <v>1.1599999999999999</v>
      </c>
      <c r="AB137" s="419">
        <v>1.1599999999999999</v>
      </c>
      <c r="AC137" s="419">
        <v>1.1599999999999999</v>
      </c>
      <c r="AD137" s="419">
        <v>1.1599999999999999</v>
      </c>
      <c r="AE137" s="419">
        <v>1.1599999999999999</v>
      </c>
      <c r="AF137" s="419">
        <v>1.1599999999999999</v>
      </c>
      <c r="AG137" s="419">
        <v>1.1599999999999999</v>
      </c>
      <c r="AH137" s="419">
        <v>1.1599999999999999</v>
      </c>
      <c r="AI137" s="419">
        <v>1.1599999999999999</v>
      </c>
      <c r="AJ137" s="419">
        <v>1.1599999999999999</v>
      </c>
      <c r="AK137" s="419">
        <v>1.1599999999999999</v>
      </c>
      <c r="AL137" s="419">
        <v>1.1599999999999999</v>
      </c>
      <c r="AM137" s="419">
        <v>1.1599999999999999</v>
      </c>
      <c r="AN137" s="419">
        <v>1.1599999999999999</v>
      </c>
      <c r="AO137" s="419"/>
      <c r="AP137" s="419"/>
      <c r="AQ137" s="419"/>
    </row>
    <row r="138" spans="1:43" x14ac:dyDescent="0.25">
      <c r="A138" s="384" t="s">
        <v>828</v>
      </c>
      <c r="B138" s="384"/>
      <c r="C138" s="384"/>
      <c r="D138" s="384"/>
      <c r="F138" s="9" t="s">
        <v>104</v>
      </c>
      <c r="G138" s="9" t="s">
        <v>805</v>
      </c>
      <c r="H138" s="9">
        <v>2050</v>
      </c>
      <c r="I138" t="s">
        <v>769</v>
      </c>
      <c r="J138" t="s">
        <v>770</v>
      </c>
      <c r="K138" s="418">
        <v>0.4</v>
      </c>
      <c r="L138" s="210"/>
      <c r="M138" s="419">
        <v>0.46399999999999997</v>
      </c>
      <c r="N138" s="419">
        <v>0.46399999999999997</v>
      </c>
      <c r="O138" s="419">
        <v>0.46399999999999997</v>
      </c>
      <c r="P138" s="419">
        <v>0.46399999999999997</v>
      </c>
      <c r="Q138" s="419">
        <v>0.46399999999999997</v>
      </c>
      <c r="R138" s="419">
        <v>0.46399999999999997</v>
      </c>
      <c r="S138" s="419">
        <v>0.46399999999999997</v>
      </c>
      <c r="T138" s="419">
        <v>0.46399999999999997</v>
      </c>
      <c r="U138" s="419">
        <v>0.46399999999999997</v>
      </c>
      <c r="V138" s="419">
        <v>0.46399999999999997</v>
      </c>
      <c r="W138" s="419">
        <v>0.46399999999999997</v>
      </c>
      <c r="X138" s="419">
        <v>0.46399999999999997</v>
      </c>
      <c r="Y138" s="419">
        <v>0.46399999999999997</v>
      </c>
      <c r="Z138" s="419">
        <v>0.46399999999999997</v>
      </c>
      <c r="AA138" s="419">
        <v>0.46399999999999997</v>
      </c>
      <c r="AB138" s="419">
        <v>0.46399999999999997</v>
      </c>
      <c r="AC138" s="419">
        <v>0.46399999999999997</v>
      </c>
      <c r="AD138" s="419">
        <v>0.46399999999999997</v>
      </c>
      <c r="AE138" s="419">
        <v>0.46399999999999997</v>
      </c>
      <c r="AF138" s="419">
        <v>0.46399999999999997</v>
      </c>
      <c r="AG138" s="419">
        <v>0.46399999999999997</v>
      </c>
      <c r="AH138" s="419">
        <v>0.46399999999999997</v>
      </c>
      <c r="AI138" s="419">
        <v>0.46399999999999997</v>
      </c>
      <c r="AJ138" s="419">
        <v>0.46399999999999997</v>
      </c>
      <c r="AK138" s="419">
        <v>0.46399999999999997</v>
      </c>
      <c r="AL138" s="419">
        <v>0.46399999999999997</v>
      </c>
      <c r="AM138" s="419">
        <v>0.46399999999999997</v>
      </c>
      <c r="AN138" s="419">
        <v>0.46399999999999997</v>
      </c>
      <c r="AO138" s="419"/>
      <c r="AP138" s="419"/>
      <c r="AQ138" s="419"/>
    </row>
    <row r="139" spans="1:43" x14ac:dyDescent="0.25">
      <c r="A139" s="384" t="s">
        <v>829</v>
      </c>
      <c r="B139" s="384"/>
      <c r="C139" s="384"/>
      <c r="D139" s="384"/>
      <c r="F139" s="9" t="s">
        <v>104</v>
      </c>
      <c r="G139" s="9" t="s">
        <v>805</v>
      </c>
      <c r="H139" s="9">
        <v>2050</v>
      </c>
      <c r="I139" t="s">
        <v>771</v>
      </c>
      <c r="J139" t="s">
        <v>331</v>
      </c>
      <c r="K139" s="418">
        <v>0.4</v>
      </c>
      <c r="L139" s="210"/>
      <c r="M139" s="419">
        <v>0.46399999999999997</v>
      </c>
      <c r="N139" s="419">
        <v>0.46399999999999997</v>
      </c>
      <c r="O139" s="419">
        <v>0.46399999999999997</v>
      </c>
      <c r="P139" s="419">
        <v>0.46399999999999997</v>
      </c>
      <c r="Q139" s="419">
        <v>0.46399999999999997</v>
      </c>
      <c r="R139" s="419">
        <v>0.46399999999999997</v>
      </c>
      <c r="S139" s="419">
        <v>0.46399999999999997</v>
      </c>
      <c r="T139" s="419">
        <v>0.46399999999999997</v>
      </c>
      <c r="U139" s="419">
        <v>0.46399999999999997</v>
      </c>
      <c r="V139" s="419">
        <v>0.46399999999999997</v>
      </c>
      <c r="W139" s="419">
        <v>0.46399999999999997</v>
      </c>
      <c r="X139" s="419">
        <v>0.46399999999999997</v>
      </c>
      <c r="Y139" s="419">
        <v>0.46399999999999997</v>
      </c>
      <c r="Z139" s="419">
        <v>0.46399999999999997</v>
      </c>
      <c r="AA139" s="419">
        <v>0.46399999999999997</v>
      </c>
      <c r="AB139" s="419">
        <v>0.46399999999999997</v>
      </c>
      <c r="AC139" s="419">
        <v>0.46399999999999997</v>
      </c>
      <c r="AD139" s="419">
        <v>0.46399999999999997</v>
      </c>
      <c r="AE139" s="419">
        <v>0.46399999999999997</v>
      </c>
      <c r="AF139" s="419">
        <v>0.46399999999999997</v>
      </c>
      <c r="AG139" s="419">
        <v>0.46399999999999997</v>
      </c>
      <c r="AH139" s="419">
        <v>0.46399999999999997</v>
      </c>
      <c r="AI139" s="419">
        <v>0.46399999999999997</v>
      </c>
      <c r="AJ139" s="419">
        <v>0.46399999999999997</v>
      </c>
      <c r="AK139" s="419">
        <v>0.46399999999999997</v>
      </c>
      <c r="AL139" s="419">
        <v>0.46399999999999997</v>
      </c>
      <c r="AM139" s="419">
        <v>0.46399999999999997</v>
      </c>
      <c r="AN139" s="419">
        <v>0.46399999999999997</v>
      </c>
      <c r="AO139" s="419"/>
      <c r="AP139" s="419"/>
      <c r="AQ139" s="419"/>
    </row>
    <row r="140" spans="1:43" x14ac:dyDescent="0.25">
      <c r="A140" s="384" t="s">
        <v>830</v>
      </c>
      <c r="B140" s="384"/>
      <c r="C140" s="384"/>
      <c r="D140" s="384"/>
      <c r="F140" s="9" t="s">
        <v>104</v>
      </c>
      <c r="G140" s="9" t="s">
        <v>805</v>
      </c>
      <c r="H140" s="9">
        <v>2050</v>
      </c>
      <c r="I140" t="s">
        <v>116</v>
      </c>
      <c r="J140" t="s">
        <v>772</v>
      </c>
      <c r="K140" s="418">
        <v>0.4</v>
      </c>
      <c r="L140" s="210"/>
      <c r="M140" s="419">
        <v>0.46399999999999997</v>
      </c>
      <c r="N140" s="419">
        <v>0.46399999999999997</v>
      </c>
      <c r="O140" s="419">
        <v>0.46399999999999997</v>
      </c>
      <c r="P140" s="419">
        <v>0.46399999999999997</v>
      </c>
      <c r="Q140" s="419">
        <v>0.46399999999999997</v>
      </c>
      <c r="R140" s="419">
        <v>0.46399999999999997</v>
      </c>
      <c r="S140" s="419">
        <v>0.46399999999999997</v>
      </c>
      <c r="T140" s="419">
        <v>0.46399999999999997</v>
      </c>
      <c r="U140" s="419">
        <v>0.46399999999999997</v>
      </c>
      <c r="V140" s="419">
        <v>0.46399999999999997</v>
      </c>
      <c r="W140" s="419">
        <v>0.46399999999999997</v>
      </c>
      <c r="X140" s="419">
        <v>0.46399999999999997</v>
      </c>
      <c r="Y140" s="419">
        <v>0.46399999999999997</v>
      </c>
      <c r="Z140" s="419">
        <v>0.46399999999999997</v>
      </c>
      <c r="AA140" s="419">
        <v>0.46399999999999997</v>
      </c>
      <c r="AB140" s="419">
        <v>0.46399999999999997</v>
      </c>
      <c r="AC140" s="419">
        <v>0.46399999999999997</v>
      </c>
      <c r="AD140" s="419">
        <v>0.46399999999999997</v>
      </c>
      <c r="AE140" s="419">
        <v>0.46399999999999997</v>
      </c>
      <c r="AF140" s="419">
        <v>0.46399999999999997</v>
      </c>
      <c r="AG140" s="419">
        <v>0.46399999999999997</v>
      </c>
      <c r="AH140" s="419">
        <v>0.46399999999999997</v>
      </c>
      <c r="AI140" s="419">
        <v>0.46399999999999997</v>
      </c>
      <c r="AJ140" s="419">
        <v>0.46399999999999997</v>
      </c>
      <c r="AK140" s="419">
        <v>0.46399999999999997</v>
      </c>
      <c r="AL140" s="419">
        <v>0.46399999999999997</v>
      </c>
      <c r="AM140" s="419">
        <v>0.46399999999999997</v>
      </c>
      <c r="AN140" s="419">
        <v>0.46399999999999997</v>
      </c>
      <c r="AO140" s="419"/>
      <c r="AP140" s="419"/>
      <c r="AQ140" s="419"/>
    </row>
    <row r="141" spans="1:43" x14ac:dyDescent="0.25">
      <c r="A141" s="384" t="s">
        <v>832</v>
      </c>
      <c r="B141" s="384"/>
      <c r="C141" s="384"/>
      <c r="D141" s="384"/>
      <c r="F141" s="47" t="s">
        <v>104</v>
      </c>
      <c r="G141" s="47" t="s">
        <v>805</v>
      </c>
      <c r="H141" s="47">
        <v>2050</v>
      </c>
      <c r="I141" t="s">
        <v>140</v>
      </c>
      <c r="J141" t="s">
        <v>806</v>
      </c>
      <c r="K141" s="418">
        <v>0.6</v>
      </c>
      <c r="L141" s="210"/>
      <c r="M141" s="419">
        <v>0.69599999999999995</v>
      </c>
      <c r="N141" s="419">
        <v>0.69599999999999995</v>
      </c>
      <c r="O141" s="419">
        <v>0.69599999999999995</v>
      </c>
      <c r="P141" s="419">
        <v>0.69599999999999995</v>
      </c>
      <c r="Q141" s="419">
        <v>0.69599999999999995</v>
      </c>
      <c r="R141" s="419">
        <v>0.69599999999999995</v>
      </c>
      <c r="S141" s="419">
        <v>0.69599999999999995</v>
      </c>
      <c r="T141" s="419">
        <v>0.69599999999999995</v>
      </c>
      <c r="U141" s="419">
        <v>0.69599999999999995</v>
      </c>
      <c r="V141" s="419">
        <v>0.69599999999999995</v>
      </c>
      <c r="W141" s="419">
        <v>0.69599999999999995</v>
      </c>
      <c r="X141" s="419">
        <v>0.69599999999999995</v>
      </c>
      <c r="Y141" s="419">
        <v>0.69599999999999995</v>
      </c>
      <c r="Z141" s="419">
        <v>0.69599999999999995</v>
      </c>
      <c r="AA141" s="419">
        <v>0.69599999999999995</v>
      </c>
      <c r="AB141" s="419">
        <v>0.69599999999999995</v>
      </c>
      <c r="AC141" s="419">
        <v>0.69599999999999995</v>
      </c>
      <c r="AD141" s="419">
        <v>0.69599999999999995</v>
      </c>
      <c r="AE141" s="419">
        <v>0.69599999999999995</v>
      </c>
      <c r="AF141" s="419">
        <v>0.69599999999999995</v>
      </c>
      <c r="AG141" s="419">
        <v>0.69599999999999995</v>
      </c>
      <c r="AH141" s="419">
        <v>0.69599999999999995</v>
      </c>
      <c r="AI141" s="419">
        <v>0.69599999999999995</v>
      </c>
      <c r="AJ141" s="419">
        <v>0.69599999999999995</v>
      </c>
      <c r="AK141" s="419">
        <v>0.69599999999999995</v>
      </c>
      <c r="AL141" s="419">
        <v>0.69599999999999995</v>
      </c>
      <c r="AM141" s="419">
        <v>0.69599999999999995</v>
      </c>
      <c r="AN141" s="419">
        <v>0.69599999999999995</v>
      </c>
      <c r="AO141" s="419"/>
      <c r="AP141" s="419"/>
      <c r="AQ141" s="419"/>
    </row>
    <row r="142" spans="1:43" x14ac:dyDescent="0.25">
      <c r="A142" s="384" t="s">
        <v>833</v>
      </c>
      <c r="B142" s="384"/>
      <c r="C142" s="384"/>
      <c r="D142" s="384"/>
      <c r="E142" s="70" t="s">
        <v>105</v>
      </c>
      <c r="F142" s="9" t="s">
        <v>106</v>
      </c>
      <c r="G142" s="9" t="s">
        <v>801</v>
      </c>
      <c r="H142" s="9">
        <v>2020</v>
      </c>
      <c r="I142" s="215" t="s">
        <v>125</v>
      </c>
      <c r="J142" s="215" t="s">
        <v>350</v>
      </c>
      <c r="K142" s="421">
        <v>0.8</v>
      </c>
      <c r="L142" s="406"/>
      <c r="M142" s="422">
        <v>0.8</v>
      </c>
      <c r="N142" s="422">
        <v>0.8</v>
      </c>
      <c r="O142" s="422">
        <v>0.8</v>
      </c>
      <c r="P142" s="422">
        <v>0.8</v>
      </c>
      <c r="Q142" s="422">
        <v>0.8</v>
      </c>
      <c r="R142" s="422">
        <v>0.8</v>
      </c>
      <c r="S142" s="422">
        <v>0.8</v>
      </c>
      <c r="T142" s="422">
        <v>0.8</v>
      </c>
      <c r="U142" s="422">
        <v>0.8</v>
      </c>
      <c r="V142" s="422">
        <v>0.8</v>
      </c>
      <c r="W142" s="422">
        <v>0.8</v>
      </c>
      <c r="X142" s="422">
        <v>0.8</v>
      </c>
      <c r="Y142" s="422">
        <v>0.8</v>
      </c>
      <c r="Z142" s="422">
        <v>0.8</v>
      </c>
      <c r="AA142" s="422">
        <v>0.8</v>
      </c>
      <c r="AB142" s="422">
        <v>0.8</v>
      </c>
      <c r="AC142" s="422">
        <v>0.8</v>
      </c>
      <c r="AD142" s="422">
        <v>0.8</v>
      </c>
      <c r="AE142" s="422">
        <v>0.8</v>
      </c>
      <c r="AF142" s="422">
        <v>0.8</v>
      </c>
      <c r="AG142" s="422">
        <v>0.8</v>
      </c>
      <c r="AH142" s="422">
        <v>0.8</v>
      </c>
      <c r="AI142" s="422">
        <v>0.8</v>
      </c>
      <c r="AJ142" s="422">
        <v>0.8</v>
      </c>
      <c r="AK142" s="422">
        <v>0.8</v>
      </c>
      <c r="AL142" s="422">
        <v>0.8</v>
      </c>
      <c r="AM142" s="422">
        <v>0.8</v>
      </c>
      <c r="AN142" s="422">
        <v>0.8</v>
      </c>
      <c r="AO142" s="419"/>
      <c r="AP142" s="419"/>
      <c r="AQ142" s="419"/>
    </row>
    <row r="143" spans="1:43" x14ac:dyDescent="0.25">
      <c r="A143" s="384" t="s">
        <v>834</v>
      </c>
      <c r="B143" s="384"/>
      <c r="C143" s="384"/>
      <c r="D143" s="384"/>
      <c r="F143" s="9" t="s">
        <v>106</v>
      </c>
      <c r="G143" s="9" t="s">
        <v>801</v>
      </c>
      <c r="H143" s="9">
        <v>2020</v>
      </c>
      <c r="I143" t="s">
        <v>766</v>
      </c>
      <c r="J143" t="s">
        <v>767</v>
      </c>
      <c r="K143" s="420">
        <v>0.6</v>
      </c>
      <c r="M143" s="419">
        <v>0.6</v>
      </c>
      <c r="N143" s="419">
        <v>0.6</v>
      </c>
      <c r="O143" s="419">
        <v>0.6</v>
      </c>
      <c r="P143" s="419">
        <v>0.6</v>
      </c>
      <c r="Q143" s="419">
        <v>0.6</v>
      </c>
      <c r="R143" s="419">
        <v>0.6</v>
      </c>
      <c r="S143" s="419">
        <v>0.6</v>
      </c>
      <c r="T143" s="419">
        <v>0.6</v>
      </c>
      <c r="U143" s="419">
        <v>0.6</v>
      </c>
      <c r="V143" s="419">
        <v>0.6</v>
      </c>
      <c r="W143" s="419">
        <v>0.6</v>
      </c>
      <c r="X143" s="419">
        <v>0.6</v>
      </c>
      <c r="Y143" s="419">
        <v>0.6</v>
      </c>
      <c r="Z143" s="419">
        <v>0.6</v>
      </c>
      <c r="AA143" s="419">
        <v>0.6</v>
      </c>
      <c r="AB143" s="419">
        <v>0.6</v>
      </c>
      <c r="AC143" s="419">
        <v>0.6</v>
      </c>
      <c r="AD143" s="419">
        <v>0.6</v>
      </c>
      <c r="AE143" s="419">
        <v>0.6</v>
      </c>
      <c r="AF143" s="419">
        <v>0.6</v>
      </c>
      <c r="AG143" s="419">
        <v>0.6</v>
      </c>
      <c r="AH143" s="419">
        <v>0.6</v>
      </c>
      <c r="AI143" s="419">
        <v>0.6</v>
      </c>
      <c r="AJ143" s="419">
        <v>0.6</v>
      </c>
      <c r="AK143" s="419">
        <v>0.6</v>
      </c>
      <c r="AL143" s="419">
        <v>0.6</v>
      </c>
      <c r="AM143" s="419">
        <v>0.6</v>
      </c>
      <c r="AN143" s="419">
        <v>0.6</v>
      </c>
      <c r="AO143" s="419"/>
      <c r="AP143" s="419"/>
      <c r="AQ143" s="419"/>
    </row>
    <row r="144" spans="1:43" x14ac:dyDescent="0.25">
      <c r="A144" s="384" t="s">
        <v>835</v>
      </c>
      <c r="B144" s="384"/>
      <c r="C144" s="384"/>
      <c r="D144" s="384"/>
      <c r="F144" s="9" t="s">
        <v>106</v>
      </c>
      <c r="G144" s="9" t="s">
        <v>801</v>
      </c>
      <c r="H144" s="9">
        <v>2020</v>
      </c>
      <c r="I144" t="s">
        <v>129</v>
      </c>
      <c r="J144" t="s">
        <v>768</v>
      </c>
      <c r="K144" s="420">
        <v>1</v>
      </c>
      <c r="M144" s="419">
        <v>1</v>
      </c>
      <c r="N144" s="419">
        <v>1</v>
      </c>
      <c r="O144" s="419">
        <v>1</v>
      </c>
      <c r="P144" s="419">
        <v>1</v>
      </c>
      <c r="Q144" s="419">
        <v>1</v>
      </c>
      <c r="R144" s="419">
        <v>1</v>
      </c>
      <c r="S144" s="419">
        <v>1</v>
      </c>
      <c r="T144" s="419">
        <v>1</v>
      </c>
      <c r="U144" s="419">
        <v>1</v>
      </c>
      <c r="V144" s="419">
        <v>1</v>
      </c>
      <c r="W144" s="419">
        <v>1</v>
      </c>
      <c r="X144" s="419">
        <v>1</v>
      </c>
      <c r="Y144" s="419">
        <v>1</v>
      </c>
      <c r="Z144" s="419">
        <v>1</v>
      </c>
      <c r="AA144" s="419">
        <v>1</v>
      </c>
      <c r="AB144" s="419">
        <v>1</v>
      </c>
      <c r="AC144" s="419">
        <v>1</v>
      </c>
      <c r="AD144" s="419">
        <v>1</v>
      </c>
      <c r="AE144" s="419">
        <v>1</v>
      </c>
      <c r="AF144" s="419">
        <v>1</v>
      </c>
      <c r="AG144" s="419">
        <v>1</v>
      </c>
      <c r="AH144" s="419">
        <v>1</v>
      </c>
      <c r="AI144" s="419">
        <v>1</v>
      </c>
      <c r="AJ144" s="419">
        <v>1</v>
      </c>
      <c r="AK144" s="419">
        <v>1</v>
      </c>
      <c r="AL144" s="419">
        <v>1</v>
      </c>
      <c r="AM144" s="419">
        <v>1</v>
      </c>
      <c r="AN144" s="419">
        <v>1</v>
      </c>
      <c r="AO144" s="419"/>
      <c r="AP144" s="419"/>
      <c r="AQ144" s="419"/>
    </row>
    <row r="145" spans="1:43" x14ac:dyDescent="0.25">
      <c r="A145" s="384" t="s">
        <v>836</v>
      </c>
      <c r="B145" s="384"/>
      <c r="C145" s="384"/>
      <c r="D145" s="384"/>
      <c r="F145" s="9" t="s">
        <v>106</v>
      </c>
      <c r="G145" s="9" t="s">
        <v>801</v>
      </c>
      <c r="H145" s="9">
        <v>2020</v>
      </c>
      <c r="I145" t="s">
        <v>769</v>
      </c>
      <c r="J145" t="s">
        <v>770</v>
      </c>
      <c r="K145" s="418">
        <v>0.4</v>
      </c>
      <c r="L145" s="210"/>
      <c r="M145" s="419">
        <v>0.4</v>
      </c>
      <c r="N145" s="419">
        <v>0.4</v>
      </c>
      <c r="O145" s="419">
        <v>0.4</v>
      </c>
      <c r="P145" s="419">
        <v>0.4</v>
      </c>
      <c r="Q145" s="419">
        <v>0.4</v>
      </c>
      <c r="R145" s="419">
        <v>0.4</v>
      </c>
      <c r="S145" s="419">
        <v>0.4</v>
      </c>
      <c r="T145" s="419">
        <v>0.4</v>
      </c>
      <c r="U145" s="419">
        <v>0.4</v>
      </c>
      <c r="V145" s="419">
        <v>0.4</v>
      </c>
      <c r="W145" s="419">
        <v>0.4</v>
      </c>
      <c r="X145" s="419">
        <v>0.4</v>
      </c>
      <c r="Y145" s="419">
        <v>0.4</v>
      </c>
      <c r="Z145" s="419">
        <v>0.4</v>
      </c>
      <c r="AA145" s="419">
        <v>0.4</v>
      </c>
      <c r="AB145" s="419">
        <v>0.4</v>
      </c>
      <c r="AC145" s="419">
        <v>0.4</v>
      </c>
      <c r="AD145" s="419">
        <v>0.4</v>
      </c>
      <c r="AE145" s="419">
        <v>0.4</v>
      </c>
      <c r="AF145" s="419">
        <v>0.4</v>
      </c>
      <c r="AG145" s="419">
        <v>0.4</v>
      </c>
      <c r="AH145" s="419">
        <v>0.4</v>
      </c>
      <c r="AI145" s="419">
        <v>0.4</v>
      </c>
      <c r="AJ145" s="419">
        <v>0.4</v>
      </c>
      <c r="AK145" s="419">
        <v>0.4</v>
      </c>
      <c r="AL145" s="419">
        <v>0.4</v>
      </c>
      <c r="AM145" s="419">
        <v>0.4</v>
      </c>
      <c r="AN145" s="419">
        <v>0.4</v>
      </c>
      <c r="AO145" s="419"/>
      <c r="AP145" s="419"/>
      <c r="AQ145" s="419"/>
    </row>
    <row r="146" spans="1:43" x14ac:dyDescent="0.25">
      <c r="A146" s="384" t="s">
        <v>837</v>
      </c>
      <c r="B146" s="384"/>
      <c r="C146" s="384"/>
      <c r="D146" s="384"/>
      <c r="F146" s="9" t="s">
        <v>106</v>
      </c>
      <c r="G146" s="9" t="s">
        <v>801</v>
      </c>
      <c r="H146" s="9">
        <v>2020</v>
      </c>
      <c r="I146" t="s">
        <v>771</v>
      </c>
      <c r="J146" t="s">
        <v>331</v>
      </c>
      <c r="K146" s="420">
        <v>0.4</v>
      </c>
      <c r="M146" s="419">
        <v>0.4</v>
      </c>
      <c r="N146" s="419">
        <v>0.4</v>
      </c>
      <c r="O146" s="419">
        <v>0.4</v>
      </c>
      <c r="P146" s="419">
        <v>0.4</v>
      </c>
      <c r="Q146" s="419">
        <v>0.4</v>
      </c>
      <c r="R146" s="419">
        <v>0.4</v>
      </c>
      <c r="S146" s="419">
        <v>0.4</v>
      </c>
      <c r="T146" s="419">
        <v>0.4</v>
      </c>
      <c r="U146" s="419">
        <v>0.4</v>
      </c>
      <c r="V146" s="419">
        <v>0.4</v>
      </c>
      <c r="W146" s="419">
        <v>0.4</v>
      </c>
      <c r="X146" s="419">
        <v>0.4</v>
      </c>
      <c r="Y146" s="419">
        <v>0.4</v>
      </c>
      <c r="Z146" s="419">
        <v>0.4</v>
      </c>
      <c r="AA146" s="419">
        <v>0.4</v>
      </c>
      <c r="AB146" s="419">
        <v>0.4</v>
      </c>
      <c r="AC146" s="419">
        <v>0.4</v>
      </c>
      <c r="AD146" s="419">
        <v>0.4</v>
      </c>
      <c r="AE146" s="419">
        <v>0.4</v>
      </c>
      <c r="AF146" s="419">
        <v>0.4</v>
      </c>
      <c r="AG146" s="419">
        <v>0.4</v>
      </c>
      <c r="AH146" s="419">
        <v>0.4</v>
      </c>
      <c r="AI146" s="419">
        <v>0.4</v>
      </c>
      <c r="AJ146" s="419">
        <v>0.4</v>
      </c>
      <c r="AK146" s="419">
        <v>0.4</v>
      </c>
      <c r="AL146" s="419">
        <v>0.4</v>
      </c>
      <c r="AM146" s="419">
        <v>0.4</v>
      </c>
      <c r="AN146" s="419">
        <v>0.4</v>
      </c>
      <c r="AO146" s="419"/>
      <c r="AP146" s="419"/>
      <c r="AQ146" s="419"/>
    </row>
    <row r="147" spans="1:43" x14ac:dyDescent="0.25">
      <c r="A147" s="384" t="s">
        <v>838</v>
      </c>
      <c r="B147" s="384"/>
      <c r="C147" s="384"/>
      <c r="D147" s="384"/>
      <c r="F147" s="9" t="s">
        <v>106</v>
      </c>
      <c r="G147" s="9" t="s">
        <v>801</v>
      </c>
      <c r="H147" s="9">
        <v>2020</v>
      </c>
      <c r="I147" t="s">
        <v>116</v>
      </c>
      <c r="J147" t="s">
        <v>772</v>
      </c>
      <c r="K147" s="420">
        <v>0.4</v>
      </c>
      <c r="M147" s="419">
        <v>0.4</v>
      </c>
      <c r="N147" s="419">
        <v>0.4</v>
      </c>
      <c r="O147" s="419">
        <v>0.4</v>
      </c>
      <c r="P147" s="419">
        <v>0.4</v>
      </c>
      <c r="Q147" s="419">
        <v>0.4</v>
      </c>
      <c r="R147" s="419">
        <v>0.4</v>
      </c>
      <c r="S147" s="419">
        <v>0.4</v>
      </c>
      <c r="T147" s="419">
        <v>0.4</v>
      </c>
      <c r="U147" s="419">
        <v>0.4</v>
      </c>
      <c r="V147" s="419">
        <v>0.4</v>
      </c>
      <c r="W147" s="419">
        <v>0.4</v>
      </c>
      <c r="X147" s="419">
        <v>0.4</v>
      </c>
      <c r="Y147" s="419">
        <v>0.4</v>
      </c>
      <c r="Z147" s="419">
        <v>0.4</v>
      </c>
      <c r="AA147" s="419">
        <v>0.4</v>
      </c>
      <c r="AB147" s="419">
        <v>0.4</v>
      </c>
      <c r="AC147" s="419">
        <v>0.4</v>
      </c>
      <c r="AD147" s="419">
        <v>0.4</v>
      </c>
      <c r="AE147" s="419">
        <v>0.4</v>
      </c>
      <c r="AF147" s="419">
        <v>0.4</v>
      </c>
      <c r="AG147" s="419">
        <v>0.4</v>
      </c>
      <c r="AH147" s="419">
        <v>0.4</v>
      </c>
      <c r="AI147" s="419">
        <v>0.4</v>
      </c>
      <c r="AJ147" s="419">
        <v>0.4</v>
      </c>
      <c r="AK147" s="419">
        <v>0.4</v>
      </c>
      <c r="AL147" s="419">
        <v>0.4</v>
      </c>
      <c r="AM147" s="419">
        <v>0.4</v>
      </c>
      <c r="AN147" s="419">
        <v>0.4</v>
      </c>
      <c r="AO147" s="419"/>
      <c r="AP147" s="419"/>
      <c r="AQ147" s="419"/>
    </row>
    <row r="148" spans="1:43" x14ac:dyDescent="0.25">
      <c r="A148" s="384" t="s">
        <v>839</v>
      </c>
      <c r="B148" s="384"/>
      <c r="C148" s="384"/>
      <c r="D148" s="384"/>
      <c r="E148" s="9" t="s">
        <v>105</v>
      </c>
      <c r="F148" s="9" t="s">
        <v>106</v>
      </c>
      <c r="G148" s="9" t="s">
        <v>803</v>
      </c>
      <c r="H148" s="9">
        <v>2025</v>
      </c>
      <c r="I148" t="s">
        <v>125</v>
      </c>
      <c r="J148" t="s">
        <v>350</v>
      </c>
      <c r="K148" s="418">
        <v>0.8</v>
      </c>
      <c r="L148" s="210"/>
      <c r="M148" s="419">
        <v>0.8</v>
      </c>
      <c r="N148" s="419">
        <v>0.8</v>
      </c>
      <c r="O148" s="419">
        <v>0.8</v>
      </c>
      <c r="P148" s="419">
        <v>0.8</v>
      </c>
      <c r="Q148" s="419">
        <v>0.8</v>
      </c>
      <c r="R148" s="419">
        <v>0.8</v>
      </c>
      <c r="S148" s="419">
        <v>0.8</v>
      </c>
      <c r="T148" s="419">
        <v>0.8</v>
      </c>
      <c r="U148" s="419">
        <v>0.8</v>
      </c>
      <c r="V148" s="419">
        <v>0.8</v>
      </c>
      <c r="W148" s="419">
        <v>0.8</v>
      </c>
      <c r="X148" s="419">
        <v>0.8</v>
      </c>
      <c r="Y148" s="419">
        <v>0.8</v>
      </c>
      <c r="Z148" s="419">
        <v>0.8</v>
      </c>
      <c r="AA148" s="419">
        <v>0.8</v>
      </c>
      <c r="AB148" s="419">
        <v>0.8</v>
      </c>
      <c r="AC148" s="419">
        <v>0.8</v>
      </c>
      <c r="AD148" s="419">
        <v>0.8</v>
      </c>
      <c r="AE148" s="419">
        <v>0.8</v>
      </c>
      <c r="AF148" s="419">
        <v>0.8</v>
      </c>
      <c r="AG148" s="419">
        <v>0.8</v>
      </c>
      <c r="AH148" s="419">
        <v>0.8</v>
      </c>
      <c r="AI148" s="419">
        <v>0.8</v>
      </c>
      <c r="AJ148" s="419">
        <v>0.8</v>
      </c>
      <c r="AK148" s="419">
        <v>0.8</v>
      </c>
      <c r="AL148" s="419">
        <v>0.8</v>
      </c>
      <c r="AM148" s="419">
        <v>0.8</v>
      </c>
      <c r="AN148" s="419">
        <v>0.8</v>
      </c>
      <c r="AO148" s="419"/>
      <c r="AP148" s="419"/>
      <c r="AQ148" s="419"/>
    </row>
    <row r="149" spans="1:43" x14ac:dyDescent="0.25">
      <c r="A149" s="384" t="s">
        <v>840</v>
      </c>
      <c r="B149" s="384"/>
      <c r="C149" s="384"/>
      <c r="D149" s="384"/>
      <c r="F149" s="9" t="s">
        <v>106</v>
      </c>
      <c r="G149" s="9" t="s">
        <v>803</v>
      </c>
      <c r="H149" s="9">
        <v>2025</v>
      </c>
      <c r="I149" t="s">
        <v>766</v>
      </c>
      <c r="J149" t="s">
        <v>767</v>
      </c>
      <c r="K149" s="420">
        <v>0.6</v>
      </c>
      <c r="M149" s="419">
        <v>0.6</v>
      </c>
      <c r="N149" s="419">
        <v>0.6</v>
      </c>
      <c r="O149" s="419">
        <v>0.6</v>
      </c>
      <c r="P149" s="419">
        <v>0.6</v>
      </c>
      <c r="Q149" s="419">
        <v>0.6</v>
      </c>
      <c r="R149" s="419">
        <v>0.6</v>
      </c>
      <c r="S149" s="419">
        <v>0.6</v>
      </c>
      <c r="T149" s="419">
        <v>0.6</v>
      </c>
      <c r="U149" s="419">
        <v>0.6</v>
      </c>
      <c r="V149" s="419">
        <v>0.6</v>
      </c>
      <c r="W149" s="419">
        <v>0.6</v>
      </c>
      <c r="X149" s="419">
        <v>0.6</v>
      </c>
      <c r="Y149" s="419">
        <v>0.6</v>
      </c>
      <c r="Z149" s="419">
        <v>0.6</v>
      </c>
      <c r="AA149" s="419">
        <v>0.6</v>
      </c>
      <c r="AB149" s="419">
        <v>0.6</v>
      </c>
      <c r="AC149" s="419">
        <v>0.6</v>
      </c>
      <c r="AD149" s="419">
        <v>0.6</v>
      </c>
      <c r="AE149" s="419">
        <v>0.6</v>
      </c>
      <c r="AF149" s="419">
        <v>0.6</v>
      </c>
      <c r="AG149" s="419">
        <v>0.6</v>
      </c>
      <c r="AH149" s="419">
        <v>0.6</v>
      </c>
      <c r="AI149" s="419">
        <v>0.6</v>
      </c>
      <c r="AJ149" s="419">
        <v>0.6</v>
      </c>
      <c r="AK149" s="419">
        <v>0.6</v>
      </c>
      <c r="AL149" s="419">
        <v>0.6</v>
      </c>
      <c r="AM149" s="419">
        <v>0.6</v>
      </c>
      <c r="AN149" s="419">
        <v>0.6</v>
      </c>
      <c r="AO149" s="419"/>
      <c r="AP149" s="419"/>
      <c r="AQ149" s="419"/>
    </row>
    <row r="150" spans="1:43" x14ac:dyDescent="0.25">
      <c r="A150" s="384" t="s">
        <v>841</v>
      </c>
      <c r="B150" s="384"/>
      <c r="C150" s="384"/>
      <c r="D150" s="384"/>
      <c r="F150" s="9" t="s">
        <v>106</v>
      </c>
      <c r="G150" s="9" t="s">
        <v>803</v>
      </c>
      <c r="H150" s="9">
        <v>2025</v>
      </c>
      <c r="I150" t="s">
        <v>129</v>
      </c>
      <c r="J150" t="s">
        <v>768</v>
      </c>
      <c r="K150" s="420">
        <v>1</v>
      </c>
      <c r="M150" s="419">
        <v>1</v>
      </c>
      <c r="N150" s="419">
        <v>1</v>
      </c>
      <c r="O150" s="419">
        <v>1</v>
      </c>
      <c r="P150" s="419">
        <v>1</v>
      </c>
      <c r="Q150" s="419">
        <v>1</v>
      </c>
      <c r="R150" s="419">
        <v>1</v>
      </c>
      <c r="S150" s="419">
        <v>1</v>
      </c>
      <c r="T150" s="419">
        <v>1</v>
      </c>
      <c r="U150" s="419">
        <v>1</v>
      </c>
      <c r="V150" s="419">
        <v>1</v>
      </c>
      <c r="W150" s="419">
        <v>1</v>
      </c>
      <c r="X150" s="419">
        <v>1</v>
      </c>
      <c r="Y150" s="419">
        <v>1</v>
      </c>
      <c r="Z150" s="419">
        <v>1</v>
      </c>
      <c r="AA150" s="419">
        <v>1</v>
      </c>
      <c r="AB150" s="419">
        <v>1</v>
      </c>
      <c r="AC150" s="419">
        <v>1</v>
      </c>
      <c r="AD150" s="419">
        <v>1</v>
      </c>
      <c r="AE150" s="419">
        <v>1</v>
      </c>
      <c r="AF150" s="419">
        <v>1</v>
      </c>
      <c r="AG150" s="419">
        <v>1</v>
      </c>
      <c r="AH150" s="419">
        <v>1</v>
      </c>
      <c r="AI150" s="419">
        <v>1</v>
      </c>
      <c r="AJ150" s="419">
        <v>1</v>
      </c>
      <c r="AK150" s="419">
        <v>1</v>
      </c>
      <c r="AL150" s="419">
        <v>1</v>
      </c>
      <c r="AM150" s="419">
        <v>1</v>
      </c>
      <c r="AN150" s="419">
        <v>1</v>
      </c>
      <c r="AO150" s="419"/>
      <c r="AP150" s="419"/>
      <c r="AQ150" s="419"/>
    </row>
    <row r="151" spans="1:43" x14ac:dyDescent="0.25">
      <c r="A151" s="384" t="s">
        <v>842</v>
      </c>
      <c r="B151" s="384"/>
      <c r="C151" s="384"/>
      <c r="D151" s="384"/>
      <c r="F151" s="9" t="s">
        <v>106</v>
      </c>
      <c r="G151" s="9" t="s">
        <v>803</v>
      </c>
      <c r="H151" s="9">
        <v>2025</v>
      </c>
      <c r="I151" t="s">
        <v>769</v>
      </c>
      <c r="J151" t="s">
        <v>770</v>
      </c>
      <c r="K151" s="418">
        <v>0.4</v>
      </c>
      <c r="L151" s="210"/>
      <c r="M151" s="419">
        <v>0.4</v>
      </c>
      <c r="N151" s="419">
        <v>0.4</v>
      </c>
      <c r="O151" s="419">
        <v>0.4</v>
      </c>
      <c r="P151" s="419">
        <v>0.4</v>
      </c>
      <c r="Q151" s="419">
        <v>0.4</v>
      </c>
      <c r="R151" s="419">
        <v>0.4</v>
      </c>
      <c r="S151" s="419">
        <v>0.4</v>
      </c>
      <c r="T151" s="419">
        <v>0.4</v>
      </c>
      <c r="U151" s="419">
        <v>0.4</v>
      </c>
      <c r="V151" s="419">
        <v>0.4</v>
      </c>
      <c r="W151" s="419">
        <v>0.4</v>
      </c>
      <c r="X151" s="419">
        <v>0.4</v>
      </c>
      <c r="Y151" s="419">
        <v>0.4</v>
      </c>
      <c r="Z151" s="419">
        <v>0.4</v>
      </c>
      <c r="AA151" s="419">
        <v>0.4</v>
      </c>
      <c r="AB151" s="419">
        <v>0.4</v>
      </c>
      <c r="AC151" s="419">
        <v>0.4</v>
      </c>
      <c r="AD151" s="419">
        <v>0.4</v>
      </c>
      <c r="AE151" s="419">
        <v>0.4</v>
      </c>
      <c r="AF151" s="419">
        <v>0.4</v>
      </c>
      <c r="AG151" s="419">
        <v>0.4</v>
      </c>
      <c r="AH151" s="419">
        <v>0.4</v>
      </c>
      <c r="AI151" s="419">
        <v>0.4</v>
      </c>
      <c r="AJ151" s="419">
        <v>0.4</v>
      </c>
      <c r="AK151" s="419">
        <v>0.4</v>
      </c>
      <c r="AL151" s="419">
        <v>0.4</v>
      </c>
      <c r="AM151" s="419">
        <v>0.4</v>
      </c>
      <c r="AN151" s="419">
        <v>0.4</v>
      </c>
      <c r="AO151" s="419"/>
      <c r="AP151" s="419"/>
      <c r="AQ151" s="419"/>
    </row>
    <row r="152" spans="1:43" x14ac:dyDescent="0.25">
      <c r="A152" s="384" t="s">
        <v>843</v>
      </c>
      <c r="B152" s="384"/>
      <c r="C152" s="384"/>
      <c r="D152" s="384"/>
      <c r="F152" s="9" t="s">
        <v>106</v>
      </c>
      <c r="G152" s="9" t="s">
        <v>803</v>
      </c>
      <c r="H152" s="9">
        <v>2025</v>
      </c>
      <c r="I152" t="s">
        <v>771</v>
      </c>
      <c r="J152" t="s">
        <v>331</v>
      </c>
      <c r="K152" s="420">
        <v>0.4</v>
      </c>
      <c r="M152" s="419">
        <v>0.4</v>
      </c>
      <c r="N152" s="419">
        <v>0.4</v>
      </c>
      <c r="O152" s="419">
        <v>0.4</v>
      </c>
      <c r="P152" s="419">
        <v>0.4</v>
      </c>
      <c r="Q152" s="419">
        <v>0.4</v>
      </c>
      <c r="R152" s="419">
        <v>0.4</v>
      </c>
      <c r="S152" s="419">
        <v>0.4</v>
      </c>
      <c r="T152" s="419">
        <v>0.4</v>
      </c>
      <c r="U152" s="419">
        <v>0.4</v>
      </c>
      <c r="V152" s="419">
        <v>0.4</v>
      </c>
      <c r="W152" s="419">
        <v>0.4</v>
      </c>
      <c r="X152" s="419">
        <v>0.4</v>
      </c>
      <c r="Y152" s="419">
        <v>0.4</v>
      </c>
      <c r="Z152" s="419">
        <v>0.4</v>
      </c>
      <c r="AA152" s="419">
        <v>0.4</v>
      </c>
      <c r="AB152" s="419">
        <v>0.4</v>
      </c>
      <c r="AC152" s="419">
        <v>0.4</v>
      </c>
      <c r="AD152" s="419">
        <v>0.4</v>
      </c>
      <c r="AE152" s="419">
        <v>0.4</v>
      </c>
      <c r="AF152" s="419">
        <v>0.4</v>
      </c>
      <c r="AG152" s="419">
        <v>0.4</v>
      </c>
      <c r="AH152" s="419">
        <v>0.4</v>
      </c>
      <c r="AI152" s="419">
        <v>0.4</v>
      </c>
      <c r="AJ152" s="419">
        <v>0.4</v>
      </c>
      <c r="AK152" s="419">
        <v>0.4</v>
      </c>
      <c r="AL152" s="419">
        <v>0.4</v>
      </c>
      <c r="AM152" s="419">
        <v>0.4</v>
      </c>
      <c r="AN152" s="419">
        <v>0.4</v>
      </c>
      <c r="AO152" s="419"/>
      <c r="AP152" s="419"/>
      <c r="AQ152" s="419"/>
    </row>
    <row r="153" spans="1:43" x14ac:dyDescent="0.25">
      <c r="A153" s="384" t="s">
        <v>844</v>
      </c>
      <c r="B153" s="384"/>
      <c r="C153" s="384"/>
      <c r="D153" s="384"/>
      <c r="F153" s="9" t="s">
        <v>106</v>
      </c>
      <c r="G153" s="9" t="s">
        <v>803</v>
      </c>
      <c r="H153" s="9">
        <v>2025</v>
      </c>
      <c r="I153" t="s">
        <v>116</v>
      </c>
      <c r="J153" t="s">
        <v>772</v>
      </c>
      <c r="K153" s="420">
        <v>0.4</v>
      </c>
      <c r="M153" s="419">
        <v>0.4</v>
      </c>
      <c r="N153" s="419">
        <v>0.4</v>
      </c>
      <c r="O153" s="419">
        <v>0.4</v>
      </c>
      <c r="P153" s="419">
        <v>0.4</v>
      </c>
      <c r="Q153" s="419">
        <v>0.4</v>
      </c>
      <c r="R153" s="419">
        <v>0.4</v>
      </c>
      <c r="S153" s="419">
        <v>0.4</v>
      </c>
      <c r="T153" s="419">
        <v>0.4</v>
      </c>
      <c r="U153" s="419">
        <v>0.4</v>
      </c>
      <c r="V153" s="419">
        <v>0.4</v>
      </c>
      <c r="W153" s="419">
        <v>0.4</v>
      </c>
      <c r="X153" s="419">
        <v>0.4</v>
      </c>
      <c r="Y153" s="419">
        <v>0.4</v>
      </c>
      <c r="Z153" s="419">
        <v>0.4</v>
      </c>
      <c r="AA153" s="419">
        <v>0.4</v>
      </c>
      <c r="AB153" s="419">
        <v>0.4</v>
      </c>
      <c r="AC153" s="419">
        <v>0.4</v>
      </c>
      <c r="AD153" s="419">
        <v>0.4</v>
      </c>
      <c r="AE153" s="419">
        <v>0.4</v>
      </c>
      <c r="AF153" s="419">
        <v>0.4</v>
      </c>
      <c r="AG153" s="419">
        <v>0.4</v>
      </c>
      <c r="AH153" s="419">
        <v>0.4</v>
      </c>
      <c r="AI153" s="419">
        <v>0.4</v>
      </c>
      <c r="AJ153" s="419">
        <v>0.4</v>
      </c>
      <c r="AK153" s="419">
        <v>0.4</v>
      </c>
      <c r="AL153" s="419">
        <v>0.4</v>
      </c>
      <c r="AM153" s="419">
        <v>0.4</v>
      </c>
      <c r="AN153" s="419">
        <v>0.4</v>
      </c>
      <c r="AO153" s="419"/>
      <c r="AP153" s="419"/>
      <c r="AQ153" s="419"/>
    </row>
    <row r="154" spans="1:43" x14ac:dyDescent="0.25">
      <c r="A154" s="384" t="s">
        <v>839</v>
      </c>
      <c r="B154" s="384"/>
      <c r="C154" s="384"/>
      <c r="D154" s="384"/>
      <c r="E154" s="9" t="s">
        <v>105</v>
      </c>
      <c r="F154" s="9" t="s">
        <v>106</v>
      </c>
      <c r="G154" s="9" t="s">
        <v>803</v>
      </c>
      <c r="H154" s="9">
        <v>2030</v>
      </c>
      <c r="I154" t="s">
        <v>125</v>
      </c>
      <c r="J154" t="s">
        <v>350</v>
      </c>
      <c r="K154" s="418">
        <v>0.8</v>
      </c>
      <c r="L154" s="210"/>
      <c r="M154" s="419">
        <v>0.81800000000000006</v>
      </c>
      <c r="N154" s="419">
        <v>0.81800000000000006</v>
      </c>
      <c r="O154" s="419">
        <v>0.81800000000000006</v>
      </c>
      <c r="P154" s="419">
        <v>0.81800000000000006</v>
      </c>
      <c r="Q154" s="419">
        <v>0.81800000000000006</v>
      </c>
      <c r="R154" s="419">
        <v>0.81800000000000006</v>
      </c>
      <c r="S154" s="419">
        <v>0.81800000000000006</v>
      </c>
      <c r="T154" s="419">
        <v>0.81800000000000006</v>
      </c>
      <c r="U154" s="419">
        <v>0.81800000000000006</v>
      </c>
      <c r="V154" s="419">
        <v>0.81800000000000006</v>
      </c>
      <c r="W154" s="419">
        <v>0.81800000000000006</v>
      </c>
      <c r="X154" s="419">
        <v>0.81800000000000006</v>
      </c>
      <c r="Y154" s="419">
        <v>0.81800000000000006</v>
      </c>
      <c r="Z154" s="419">
        <v>0.81800000000000006</v>
      </c>
      <c r="AA154" s="419">
        <v>0.81800000000000006</v>
      </c>
      <c r="AB154" s="419">
        <v>0.81800000000000006</v>
      </c>
      <c r="AC154" s="419">
        <v>0.81800000000000006</v>
      </c>
      <c r="AD154" s="419">
        <v>0.81800000000000006</v>
      </c>
      <c r="AE154" s="419">
        <v>0.81800000000000006</v>
      </c>
      <c r="AF154" s="419">
        <v>0.81800000000000006</v>
      </c>
      <c r="AG154" s="419">
        <v>0.81800000000000006</v>
      </c>
      <c r="AH154" s="419">
        <v>0.81800000000000006</v>
      </c>
      <c r="AI154" s="419">
        <v>0.81800000000000006</v>
      </c>
      <c r="AJ154" s="419">
        <v>0.81800000000000006</v>
      </c>
      <c r="AK154" s="419">
        <v>0.81800000000000006</v>
      </c>
      <c r="AL154" s="419">
        <v>0.81800000000000006</v>
      </c>
      <c r="AM154" s="419">
        <v>0.81800000000000006</v>
      </c>
      <c r="AN154" s="419">
        <v>0.81800000000000006</v>
      </c>
      <c r="AO154" s="419"/>
      <c r="AP154" s="419"/>
      <c r="AQ154" s="419"/>
    </row>
    <row r="155" spans="1:43" x14ac:dyDescent="0.25">
      <c r="A155" s="384" t="s">
        <v>840</v>
      </c>
      <c r="B155" s="384"/>
      <c r="C155" s="384"/>
      <c r="D155" s="384"/>
      <c r="F155" s="9" t="s">
        <v>106</v>
      </c>
      <c r="G155" s="9" t="s">
        <v>803</v>
      </c>
      <c r="H155" s="9">
        <v>2030</v>
      </c>
      <c r="I155" t="s">
        <v>766</v>
      </c>
      <c r="J155" t="s">
        <v>767</v>
      </c>
      <c r="K155" s="420">
        <v>0.6</v>
      </c>
      <c r="M155" s="419">
        <v>0.61349999999999993</v>
      </c>
      <c r="N155" s="419">
        <v>0.61349999999999993</v>
      </c>
      <c r="O155" s="419">
        <v>0.61349999999999993</v>
      </c>
      <c r="P155" s="419">
        <v>0.61349999999999993</v>
      </c>
      <c r="Q155" s="419">
        <v>0.61349999999999993</v>
      </c>
      <c r="R155" s="419">
        <v>0.61349999999999993</v>
      </c>
      <c r="S155" s="419">
        <v>0.61349999999999993</v>
      </c>
      <c r="T155" s="419">
        <v>0.61349999999999993</v>
      </c>
      <c r="U155" s="419">
        <v>0.61349999999999993</v>
      </c>
      <c r="V155" s="419">
        <v>0.61349999999999993</v>
      </c>
      <c r="W155" s="419">
        <v>0.61349999999999993</v>
      </c>
      <c r="X155" s="419">
        <v>0.61349999999999993</v>
      </c>
      <c r="Y155" s="419">
        <v>0.61349999999999993</v>
      </c>
      <c r="Z155" s="419">
        <v>0.61349999999999993</v>
      </c>
      <c r="AA155" s="419">
        <v>0.61349999999999993</v>
      </c>
      <c r="AB155" s="419">
        <v>0.61349999999999993</v>
      </c>
      <c r="AC155" s="419">
        <v>0.61349999999999993</v>
      </c>
      <c r="AD155" s="419">
        <v>0.61349999999999993</v>
      </c>
      <c r="AE155" s="419">
        <v>0.61349999999999993</v>
      </c>
      <c r="AF155" s="419">
        <v>0.61349999999999993</v>
      </c>
      <c r="AG155" s="419">
        <v>0.61349999999999993</v>
      </c>
      <c r="AH155" s="419">
        <v>0.61349999999999993</v>
      </c>
      <c r="AI155" s="419">
        <v>0.61349999999999993</v>
      </c>
      <c r="AJ155" s="419">
        <v>0.61349999999999993</v>
      </c>
      <c r="AK155" s="419">
        <v>0.61349999999999993</v>
      </c>
      <c r="AL155" s="419">
        <v>0.61349999999999993</v>
      </c>
      <c r="AM155" s="419">
        <v>0.61349999999999993</v>
      </c>
      <c r="AN155" s="419">
        <v>0.61349999999999993</v>
      </c>
      <c r="AO155" s="419"/>
      <c r="AP155" s="419"/>
      <c r="AQ155" s="419"/>
    </row>
    <row r="156" spans="1:43" x14ac:dyDescent="0.25">
      <c r="A156" s="384" t="s">
        <v>841</v>
      </c>
      <c r="B156" s="384"/>
      <c r="C156" s="384"/>
      <c r="D156" s="384"/>
      <c r="F156" s="9" t="s">
        <v>106</v>
      </c>
      <c r="G156" s="9" t="s">
        <v>803</v>
      </c>
      <c r="H156" s="9">
        <v>2030</v>
      </c>
      <c r="I156" t="s">
        <v>129</v>
      </c>
      <c r="J156" t="s">
        <v>768</v>
      </c>
      <c r="K156" s="420">
        <v>1</v>
      </c>
      <c r="M156" s="419">
        <v>1.0225</v>
      </c>
      <c r="N156" s="419">
        <v>1.0225</v>
      </c>
      <c r="O156" s="419">
        <v>1.0225</v>
      </c>
      <c r="P156" s="419">
        <v>1.0225</v>
      </c>
      <c r="Q156" s="419">
        <v>1.0225</v>
      </c>
      <c r="R156" s="419">
        <v>1.0225</v>
      </c>
      <c r="S156" s="419">
        <v>1.0225</v>
      </c>
      <c r="T156" s="419">
        <v>1.0225</v>
      </c>
      <c r="U156" s="419">
        <v>1.0225</v>
      </c>
      <c r="V156" s="419">
        <v>1.0225</v>
      </c>
      <c r="W156" s="419">
        <v>1.0225</v>
      </c>
      <c r="X156" s="419">
        <v>1.0225</v>
      </c>
      <c r="Y156" s="419">
        <v>1.0225</v>
      </c>
      <c r="Z156" s="419">
        <v>1.0225</v>
      </c>
      <c r="AA156" s="419">
        <v>1.0225</v>
      </c>
      <c r="AB156" s="419">
        <v>1.0225</v>
      </c>
      <c r="AC156" s="419">
        <v>1.0225</v>
      </c>
      <c r="AD156" s="419">
        <v>1.0225</v>
      </c>
      <c r="AE156" s="419">
        <v>1.0225</v>
      </c>
      <c r="AF156" s="419">
        <v>1.0225</v>
      </c>
      <c r="AG156" s="419">
        <v>1.0225</v>
      </c>
      <c r="AH156" s="419">
        <v>1.0225</v>
      </c>
      <c r="AI156" s="419">
        <v>1.0225</v>
      </c>
      <c r="AJ156" s="419">
        <v>1.0225</v>
      </c>
      <c r="AK156" s="419">
        <v>1.0225</v>
      </c>
      <c r="AL156" s="419">
        <v>1.0225</v>
      </c>
      <c r="AM156" s="419">
        <v>1.0225</v>
      </c>
      <c r="AN156" s="419">
        <v>1.0225</v>
      </c>
      <c r="AO156" s="419"/>
      <c r="AP156" s="419"/>
      <c r="AQ156" s="419"/>
    </row>
    <row r="157" spans="1:43" x14ac:dyDescent="0.25">
      <c r="A157" s="384" t="s">
        <v>842</v>
      </c>
      <c r="B157" s="384"/>
      <c r="C157" s="384"/>
      <c r="D157" s="384"/>
      <c r="F157" s="9" t="s">
        <v>106</v>
      </c>
      <c r="G157" s="9" t="s">
        <v>803</v>
      </c>
      <c r="H157" s="9">
        <v>2030</v>
      </c>
      <c r="I157" t="s">
        <v>769</v>
      </c>
      <c r="J157" t="s">
        <v>770</v>
      </c>
      <c r="K157" s="418">
        <v>0.4</v>
      </c>
      <c r="L157" s="210"/>
      <c r="M157" s="419">
        <v>0.40900000000000003</v>
      </c>
      <c r="N157" s="419">
        <v>0.40900000000000003</v>
      </c>
      <c r="O157" s="419">
        <v>0.40900000000000003</v>
      </c>
      <c r="P157" s="419">
        <v>0.40900000000000003</v>
      </c>
      <c r="Q157" s="419">
        <v>0.40900000000000003</v>
      </c>
      <c r="R157" s="419">
        <v>0.40900000000000003</v>
      </c>
      <c r="S157" s="419">
        <v>0.40900000000000003</v>
      </c>
      <c r="T157" s="419">
        <v>0.40900000000000003</v>
      </c>
      <c r="U157" s="419">
        <v>0.40900000000000003</v>
      </c>
      <c r="V157" s="419">
        <v>0.40900000000000003</v>
      </c>
      <c r="W157" s="419">
        <v>0.40900000000000003</v>
      </c>
      <c r="X157" s="419">
        <v>0.40900000000000003</v>
      </c>
      <c r="Y157" s="419">
        <v>0.40900000000000003</v>
      </c>
      <c r="Z157" s="419">
        <v>0.40900000000000003</v>
      </c>
      <c r="AA157" s="419">
        <v>0.40900000000000003</v>
      </c>
      <c r="AB157" s="419">
        <v>0.40900000000000003</v>
      </c>
      <c r="AC157" s="419">
        <v>0.40900000000000003</v>
      </c>
      <c r="AD157" s="419">
        <v>0.40900000000000003</v>
      </c>
      <c r="AE157" s="419">
        <v>0.40900000000000003</v>
      </c>
      <c r="AF157" s="419">
        <v>0.40900000000000003</v>
      </c>
      <c r="AG157" s="419">
        <v>0.40900000000000003</v>
      </c>
      <c r="AH157" s="419">
        <v>0.40900000000000003</v>
      </c>
      <c r="AI157" s="419">
        <v>0.40900000000000003</v>
      </c>
      <c r="AJ157" s="419">
        <v>0.40900000000000003</v>
      </c>
      <c r="AK157" s="419">
        <v>0.40900000000000003</v>
      </c>
      <c r="AL157" s="419">
        <v>0.40900000000000003</v>
      </c>
      <c r="AM157" s="419">
        <v>0.40900000000000003</v>
      </c>
      <c r="AN157" s="419">
        <v>0.40900000000000003</v>
      </c>
      <c r="AO157" s="419"/>
      <c r="AP157" s="419"/>
      <c r="AQ157" s="419"/>
    </row>
    <row r="158" spans="1:43" x14ac:dyDescent="0.25">
      <c r="A158" s="384" t="s">
        <v>843</v>
      </c>
      <c r="B158" s="384"/>
      <c r="C158" s="384"/>
      <c r="D158" s="384"/>
      <c r="F158" s="9" t="s">
        <v>106</v>
      </c>
      <c r="G158" s="9" t="s">
        <v>803</v>
      </c>
      <c r="H158" s="9">
        <v>2030</v>
      </c>
      <c r="I158" t="s">
        <v>771</v>
      </c>
      <c r="J158" t="s">
        <v>331</v>
      </c>
      <c r="K158" s="420">
        <v>0.4</v>
      </c>
      <c r="M158" s="419">
        <v>0.40900000000000003</v>
      </c>
      <c r="N158" s="419">
        <v>0.40900000000000003</v>
      </c>
      <c r="O158" s="419">
        <v>0.40900000000000003</v>
      </c>
      <c r="P158" s="419">
        <v>0.40900000000000003</v>
      </c>
      <c r="Q158" s="419">
        <v>0.40900000000000003</v>
      </c>
      <c r="R158" s="419">
        <v>0.40900000000000003</v>
      </c>
      <c r="S158" s="419">
        <v>0.40900000000000003</v>
      </c>
      <c r="T158" s="419">
        <v>0.40900000000000003</v>
      </c>
      <c r="U158" s="419">
        <v>0.40900000000000003</v>
      </c>
      <c r="V158" s="419">
        <v>0.40900000000000003</v>
      </c>
      <c r="W158" s="419">
        <v>0.40900000000000003</v>
      </c>
      <c r="X158" s="419">
        <v>0.40900000000000003</v>
      </c>
      <c r="Y158" s="419">
        <v>0.40900000000000003</v>
      </c>
      <c r="Z158" s="419">
        <v>0.40900000000000003</v>
      </c>
      <c r="AA158" s="419">
        <v>0.40900000000000003</v>
      </c>
      <c r="AB158" s="419">
        <v>0.40900000000000003</v>
      </c>
      <c r="AC158" s="419">
        <v>0.40900000000000003</v>
      </c>
      <c r="AD158" s="419">
        <v>0.40900000000000003</v>
      </c>
      <c r="AE158" s="419">
        <v>0.40900000000000003</v>
      </c>
      <c r="AF158" s="419">
        <v>0.40900000000000003</v>
      </c>
      <c r="AG158" s="419">
        <v>0.40900000000000003</v>
      </c>
      <c r="AH158" s="419">
        <v>0.40900000000000003</v>
      </c>
      <c r="AI158" s="419">
        <v>0.40900000000000003</v>
      </c>
      <c r="AJ158" s="419">
        <v>0.40900000000000003</v>
      </c>
      <c r="AK158" s="419">
        <v>0.40900000000000003</v>
      </c>
      <c r="AL158" s="419">
        <v>0.40900000000000003</v>
      </c>
      <c r="AM158" s="419">
        <v>0.40900000000000003</v>
      </c>
      <c r="AN158" s="419">
        <v>0.40900000000000003</v>
      </c>
      <c r="AO158" s="419"/>
      <c r="AP158" s="419"/>
      <c r="AQ158" s="419"/>
    </row>
    <row r="159" spans="1:43" x14ac:dyDescent="0.25">
      <c r="A159" s="384" t="s">
        <v>844</v>
      </c>
      <c r="B159" s="384"/>
      <c r="C159" s="384"/>
      <c r="D159" s="384"/>
      <c r="F159" s="9" t="s">
        <v>106</v>
      </c>
      <c r="G159" s="9" t="s">
        <v>803</v>
      </c>
      <c r="H159" s="9">
        <v>2030</v>
      </c>
      <c r="I159" t="s">
        <v>116</v>
      </c>
      <c r="J159" t="s">
        <v>772</v>
      </c>
      <c r="K159" s="420">
        <v>0.4</v>
      </c>
      <c r="M159" s="419">
        <v>0.40900000000000003</v>
      </c>
      <c r="N159" s="419">
        <v>0.40900000000000003</v>
      </c>
      <c r="O159" s="419">
        <v>0.40900000000000003</v>
      </c>
      <c r="P159" s="419">
        <v>0.40900000000000003</v>
      </c>
      <c r="Q159" s="419">
        <v>0.40900000000000003</v>
      </c>
      <c r="R159" s="419">
        <v>0.40900000000000003</v>
      </c>
      <c r="S159" s="419">
        <v>0.40900000000000003</v>
      </c>
      <c r="T159" s="419">
        <v>0.40900000000000003</v>
      </c>
      <c r="U159" s="419">
        <v>0.40900000000000003</v>
      </c>
      <c r="V159" s="419">
        <v>0.40900000000000003</v>
      </c>
      <c r="W159" s="419">
        <v>0.40900000000000003</v>
      </c>
      <c r="X159" s="419">
        <v>0.40900000000000003</v>
      </c>
      <c r="Y159" s="419">
        <v>0.40900000000000003</v>
      </c>
      <c r="Z159" s="419">
        <v>0.40900000000000003</v>
      </c>
      <c r="AA159" s="419">
        <v>0.40900000000000003</v>
      </c>
      <c r="AB159" s="419">
        <v>0.40900000000000003</v>
      </c>
      <c r="AC159" s="419">
        <v>0.40900000000000003</v>
      </c>
      <c r="AD159" s="419">
        <v>0.40900000000000003</v>
      </c>
      <c r="AE159" s="419">
        <v>0.40900000000000003</v>
      </c>
      <c r="AF159" s="419">
        <v>0.40900000000000003</v>
      </c>
      <c r="AG159" s="419">
        <v>0.40900000000000003</v>
      </c>
      <c r="AH159" s="419">
        <v>0.40900000000000003</v>
      </c>
      <c r="AI159" s="419">
        <v>0.40900000000000003</v>
      </c>
      <c r="AJ159" s="419">
        <v>0.40900000000000003</v>
      </c>
      <c r="AK159" s="419">
        <v>0.40900000000000003</v>
      </c>
      <c r="AL159" s="419">
        <v>0.40900000000000003</v>
      </c>
      <c r="AM159" s="419">
        <v>0.40900000000000003</v>
      </c>
      <c r="AN159" s="419">
        <v>0.40900000000000003</v>
      </c>
      <c r="AO159" s="419"/>
      <c r="AP159" s="419"/>
      <c r="AQ159" s="419"/>
    </row>
    <row r="160" spans="1:43" x14ac:dyDescent="0.25">
      <c r="A160" s="384" t="s">
        <v>839</v>
      </c>
      <c r="B160" s="384"/>
      <c r="C160" s="384"/>
      <c r="D160" s="384"/>
      <c r="E160" s="9" t="s">
        <v>105</v>
      </c>
      <c r="F160" s="9" t="s">
        <v>106</v>
      </c>
      <c r="G160" s="9" t="s">
        <v>803</v>
      </c>
      <c r="H160" s="9">
        <v>2050</v>
      </c>
      <c r="I160" t="s">
        <v>125</v>
      </c>
      <c r="J160" t="s">
        <v>350</v>
      </c>
      <c r="K160" s="418">
        <v>0.8</v>
      </c>
      <c r="L160" s="210"/>
      <c r="M160" s="419">
        <v>0.8306</v>
      </c>
      <c r="N160" s="419">
        <v>0.8306</v>
      </c>
      <c r="O160" s="419">
        <v>0.8306</v>
      </c>
      <c r="P160" s="419">
        <v>0.8306</v>
      </c>
      <c r="Q160" s="419">
        <v>0.8306</v>
      </c>
      <c r="R160" s="419">
        <v>0.8306</v>
      </c>
      <c r="S160" s="419">
        <v>0.8306</v>
      </c>
      <c r="T160" s="419">
        <v>0.8306</v>
      </c>
      <c r="U160" s="419">
        <v>0.8306</v>
      </c>
      <c r="V160" s="419">
        <v>0.8306</v>
      </c>
      <c r="W160" s="419">
        <v>0.8306</v>
      </c>
      <c r="X160" s="419">
        <v>0.8306</v>
      </c>
      <c r="Y160" s="419">
        <v>0.8306</v>
      </c>
      <c r="Z160" s="419">
        <v>0.8306</v>
      </c>
      <c r="AA160" s="419">
        <v>0.8306</v>
      </c>
      <c r="AB160" s="419">
        <v>0.8306</v>
      </c>
      <c r="AC160" s="419">
        <v>0.8306</v>
      </c>
      <c r="AD160" s="419">
        <v>0.8306</v>
      </c>
      <c r="AE160" s="419">
        <v>0.8306</v>
      </c>
      <c r="AF160" s="419">
        <v>0.8306</v>
      </c>
      <c r="AG160" s="419">
        <v>0.8306</v>
      </c>
      <c r="AH160" s="419">
        <v>0.8306</v>
      </c>
      <c r="AI160" s="419">
        <v>0.8306</v>
      </c>
      <c r="AJ160" s="419">
        <v>0.8306</v>
      </c>
      <c r="AK160" s="419">
        <v>0.8306</v>
      </c>
      <c r="AL160" s="419">
        <v>0.8306</v>
      </c>
      <c r="AM160" s="419">
        <v>0.8306</v>
      </c>
      <c r="AN160" s="419">
        <v>0.8306</v>
      </c>
      <c r="AO160" s="419"/>
      <c r="AP160" s="419"/>
      <c r="AQ160" s="419"/>
    </row>
    <row r="161" spans="1:43" x14ac:dyDescent="0.25">
      <c r="A161" s="384" t="s">
        <v>840</v>
      </c>
      <c r="B161" s="384"/>
      <c r="C161" s="384"/>
      <c r="D161" s="384"/>
      <c r="F161" s="9" t="s">
        <v>106</v>
      </c>
      <c r="G161" s="9" t="s">
        <v>803</v>
      </c>
      <c r="H161" s="9">
        <v>2050</v>
      </c>
      <c r="I161" t="s">
        <v>766</v>
      </c>
      <c r="J161" t="s">
        <v>767</v>
      </c>
      <c r="K161" s="420">
        <v>0.6</v>
      </c>
      <c r="M161" s="419">
        <v>0.62294999999999989</v>
      </c>
      <c r="N161" s="419">
        <v>0.62294999999999989</v>
      </c>
      <c r="O161" s="419">
        <v>0.62294999999999989</v>
      </c>
      <c r="P161" s="419">
        <v>0.62294999999999989</v>
      </c>
      <c r="Q161" s="419">
        <v>0.62294999999999989</v>
      </c>
      <c r="R161" s="419">
        <v>0.62294999999999989</v>
      </c>
      <c r="S161" s="419">
        <v>0.62294999999999989</v>
      </c>
      <c r="T161" s="419">
        <v>0.62294999999999989</v>
      </c>
      <c r="U161" s="419">
        <v>0.62294999999999989</v>
      </c>
      <c r="V161" s="419">
        <v>0.62294999999999989</v>
      </c>
      <c r="W161" s="419">
        <v>0.62294999999999989</v>
      </c>
      <c r="X161" s="419">
        <v>0.62294999999999989</v>
      </c>
      <c r="Y161" s="419">
        <v>0.62294999999999989</v>
      </c>
      <c r="Z161" s="419">
        <v>0.62294999999999989</v>
      </c>
      <c r="AA161" s="419">
        <v>0.62294999999999989</v>
      </c>
      <c r="AB161" s="419">
        <v>0.62294999999999989</v>
      </c>
      <c r="AC161" s="419">
        <v>0.62294999999999989</v>
      </c>
      <c r="AD161" s="419">
        <v>0.62294999999999989</v>
      </c>
      <c r="AE161" s="419">
        <v>0.62294999999999989</v>
      </c>
      <c r="AF161" s="419">
        <v>0.62294999999999989</v>
      </c>
      <c r="AG161" s="419">
        <v>0.62294999999999989</v>
      </c>
      <c r="AH161" s="419">
        <v>0.62294999999999989</v>
      </c>
      <c r="AI161" s="419">
        <v>0.62294999999999989</v>
      </c>
      <c r="AJ161" s="419">
        <v>0.62294999999999989</v>
      </c>
      <c r="AK161" s="419">
        <v>0.62294999999999989</v>
      </c>
      <c r="AL161" s="419">
        <v>0.62294999999999989</v>
      </c>
      <c r="AM161" s="419">
        <v>0.62294999999999989</v>
      </c>
      <c r="AN161" s="419">
        <v>0.62294999999999989</v>
      </c>
      <c r="AO161" s="419"/>
      <c r="AP161" s="419"/>
      <c r="AQ161" s="419"/>
    </row>
    <row r="162" spans="1:43" x14ac:dyDescent="0.25">
      <c r="A162" s="384" t="s">
        <v>841</v>
      </c>
      <c r="B162" s="384"/>
      <c r="C162" s="384"/>
      <c r="D162" s="384"/>
      <c r="F162" s="9" t="s">
        <v>106</v>
      </c>
      <c r="G162" s="9" t="s">
        <v>803</v>
      </c>
      <c r="H162" s="9">
        <v>2050</v>
      </c>
      <c r="I162" t="s">
        <v>129</v>
      </c>
      <c r="J162" t="s">
        <v>768</v>
      </c>
      <c r="K162" s="420">
        <v>1</v>
      </c>
      <c r="M162" s="419">
        <v>1.0382499999999999</v>
      </c>
      <c r="N162" s="419">
        <v>1.0382499999999999</v>
      </c>
      <c r="O162" s="419">
        <v>1.0382499999999999</v>
      </c>
      <c r="P162" s="419">
        <v>1.0382499999999999</v>
      </c>
      <c r="Q162" s="419">
        <v>1.0382499999999999</v>
      </c>
      <c r="R162" s="419">
        <v>1.0382499999999999</v>
      </c>
      <c r="S162" s="419">
        <v>1.0382499999999999</v>
      </c>
      <c r="T162" s="419">
        <v>1.0382499999999999</v>
      </c>
      <c r="U162" s="419">
        <v>1.0382499999999999</v>
      </c>
      <c r="V162" s="419">
        <v>1.0382499999999999</v>
      </c>
      <c r="W162" s="419">
        <v>1.0382499999999999</v>
      </c>
      <c r="X162" s="419">
        <v>1.0382499999999999</v>
      </c>
      <c r="Y162" s="419">
        <v>1.0382499999999999</v>
      </c>
      <c r="Z162" s="419">
        <v>1.0382499999999999</v>
      </c>
      <c r="AA162" s="419">
        <v>1.0382499999999999</v>
      </c>
      <c r="AB162" s="419">
        <v>1.0382499999999999</v>
      </c>
      <c r="AC162" s="419">
        <v>1.0382499999999999</v>
      </c>
      <c r="AD162" s="419">
        <v>1.0382499999999999</v>
      </c>
      <c r="AE162" s="419">
        <v>1.0382499999999999</v>
      </c>
      <c r="AF162" s="419">
        <v>1.0382499999999999</v>
      </c>
      <c r="AG162" s="419">
        <v>1.0382499999999999</v>
      </c>
      <c r="AH162" s="419">
        <v>1.0382499999999999</v>
      </c>
      <c r="AI162" s="419">
        <v>1.0382499999999999</v>
      </c>
      <c r="AJ162" s="419">
        <v>1.0382499999999999</v>
      </c>
      <c r="AK162" s="419">
        <v>1.0382499999999999</v>
      </c>
      <c r="AL162" s="419">
        <v>1.0382499999999999</v>
      </c>
      <c r="AM162" s="419">
        <v>1.0382499999999999</v>
      </c>
      <c r="AN162" s="419">
        <v>1.0382499999999999</v>
      </c>
      <c r="AO162" s="419"/>
      <c r="AP162" s="419"/>
      <c r="AQ162" s="419"/>
    </row>
    <row r="163" spans="1:43" x14ac:dyDescent="0.25">
      <c r="A163" s="384" t="s">
        <v>842</v>
      </c>
      <c r="B163" s="384"/>
      <c r="C163" s="384"/>
      <c r="D163" s="384"/>
      <c r="F163" s="9" t="s">
        <v>106</v>
      </c>
      <c r="G163" s="9" t="s">
        <v>803</v>
      </c>
      <c r="H163" s="9">
        <v>2050</v>
      </c>
      <c r="I163" t="s">
        <v>769</v>
      </c>
      <c r="J163" t="s">
        <v>770</v>
      </c>
      <c r="K163" s="418">
        <v>0.4</v>
      </c>
      <c r="L163" s="210"/>
      <c r="M163" s="419">
        <v>0.4153</v>
      </c>
      <c r="N163" s="419">
        <v>0.4153</v>
      </c>
      <c r="O163" s="419">
        <v>0.4153</v>
      </c>
      <c r="P163" s="419">
        <v>0.4153</v>
      </c>
      <c r="Q163" s="419">
        <v>0.4153</v>
      </c>
      <c r="R163" s="419">
        <v>0.4153</v>
      </c>
      <c r="S163" s="419">
        <v>0.4153</v>
      </c>
      <c r="T163" s="419">
        <v>0.4153</v>
      </c>
      <c r="U163" s="419">
        <v>0.4153</v>
      </c>
      <c r="V163" s="419">
        <v>0.4153</v>
      </c>
      <c r="W163" s="419">
        <v>0.4153</v>
      </c>
      <c r="X163" s="419">
        <v>0.4153</v>
      </c>
      <c r="Y163" s="419">
        <v>0.4153</v>
      </c>
      <c r="Z163" s="419">
        <v>0.4153</v>
      </c>
      <c r="AA163" s="419">
        <v>0.4153</v>
      </c>
      <c r="AB163" s="419">
        <v>0.4153</v>
      </c>
      <c r="AC163" s="419">
        <v>0.4153</v>
      </c>
      <c r="AD163" s="419">
        <v>0.4153</v>
      </c>
      <c r="AE163" s="419">
        <v>0.4153</v>
      </c>
      <c r="AF163" s="419">
        <v>0.4153</v>
      </c>
      <c r="AG163" s="419">
        <v>0.4153</v>
      </c>
      <c r="AH163" s="419">
        <v>0.4153</v>
      </c>
      <c r="AI163" s="419">
        <v>0.4153</v>
      </c>
      <c r="AJ163" s="419">
        <v>0.4153</v>
      </c>
      <c r="AK163" s="419">
        <v>0.4153</v>
      </c>
      <c r="AL163" s="419">
        <v>0.4153</v>
      </c>
      <c r="AM163" s="419">
        <v>0.4153</v>
      </c>
      <c r="AN163" s="419">
        <v>0.4153</v>
      </c>
      <c r="AO163" s="419"/>
      <c r="AP163" s="419"/>
      <c r="AQ163" s="419"/>
    </row>
    <row r="164" spans="1:43" x14ac:dyDescent="0.25">
      <c r="A164" s="384" t="s">
        <v>843</v>
      </c>
      <c r="B164" s="384"/>
      <c r="C164" s="384"/>
      <c r="D164" s="384"/>
      <c r="F164" s="9" t="s">
        <v>106</v>
      </c>
      <c r="G164" s="9" t="s">
        <v>803</v>
      </c>
      <c r="H164" s="9">
        <v>2050</v>
      </c>
      <c r="I164" t="s">
        <v>771</v>
      </c>
      <c r="J164" t="s">
        <v>331</v>
      </c>
      <c r="K164" s="420">
        <v>0.4</v>
      </c>
      <c r="M164" s="419">
        <v>0.4153</v>
      </c>
      <c r="N164" s="419">
        <v>0.4153</v>
      </c>
      <c r="O164" s="419">
        <v>0.4153</v>
      </c>
      <c r="P164" s="419">
        <v>0.4153</v>
      </c>
      <c r="Q164" s="419">
        <v>0.4153</v>
      </c>
      <c r="R164" s="419">
        <v>0.4153</v>
      </c>
      <c r="S164" s="419">
        <v>0.4153</v>
      </c>
      <c r="T164" s="419">
        <v>0.4153</v>
      </c>
      <c r="U164" s="419">
        <v>0.4153</v>
      </c>
      <c r="V164" s="419">
        <v>0.4153</v>
      </c>
      <c r="W164" s="419">
        <v>0.4153</v>
      </c>
      <c r="X164" s="419">
        <v>0.4153</v>
      </c>
      <c r="Y164" s="419">
        <v>0.4153</v>
      </c>
      <c r="Z164" s="419">
        <v>0.4153</v>
      </c>
      <c r="AA164" s="419">
        <v>0.4153</v>
      </c>
      <c r="AB164" s="419">
        <v>0.4153</v>
      </c>
      <c r="AC164" s="419">
        <v>0.4153</v>
      </c>
      <c r="AD164" s="419">
        <v>0.4153</v>
      </c>
      <c r="AE164" s="419">
        <v>0.4153</v>
      </c>
      <c r="AF164" s="419">
        <v>0.4153</v>
      </c>
      <c r="AG164" s="419">
        <v>0.4153</v>
      </c>
      <c r="AH164" s="419">
        <v>0.4153</v>
      </c>
      <c r="AI164" s="419">
        <v>0.4153</v>
      </c>
      <c r="AJ164" s="419">
        <v>0.4153</v>
      </c>
      <c r="AK164" s="419">
        <v>0.4153</v>
      </c>
      <c r="AL164" s="419">
        <v>0.4153</v>
      </c>
      <c r="AM164" s="419">
        <v>0.4153</v>
      </c>
      <c r="AN164" s="419">
        <v>0.4153</v>
      </c>
      <c r="AO164" s="419"/>
      <c r="AP164" s="419"/>
      <c r="AQ164" s="419"/>
    </row>
    <row r="165" spans="1:43" x14ac:dyDescent="0.25">
      <c r="A165" s="384" t="s">
        <v>844</v>
      </c>
      <c r="B165" s="384"/>
      <c r="C165" s="384"/>
      <c r="D165" s="384"/>
      <c r="F165" s="9" t="s">
        <v>106</v>
      </c>
      <c r="G165" s="9" t="s">
        <v>803</v>
      </c>
      <c r="H165" s="9">
        <v>2050</v>
      </c>
      <c r="I165" t="s">
        <v>116</v>
      </c>
      <c r="J165" t="s">
        <v>772</v>
      </c>
      <c r="K165" s="420">
        <v>0.4</v>
      </c>
      <c r="M165" s="419">
        <v>0.4153</v>
      </c>
      <c r="N165" s="419">
        <v>0.4153</v>
      </c>
      <c r="O165" s="419">
        <v>0.4153</v>
      </c>
      <c r="P165" s="419">
        <v>0.4153</v>
      </c>
      <c r="Q165" s="419">
        <v>0.4153</v>
      </c>
      <c r="R165" s="419">
        <v>0.4153</v>
      </c>
      <c r="S165" s="419">
        <v>0.4153</v>
      </c>
      <c r="T165" s="419">
        <v>0.4153</v>
      </c>
      <c r="U165" s="419">
        <v>0.4153</v>
      </c>
      <c r="V165" s="419">
        <v>0.4153</v>
      </c>
      <c r="W165" s="419">
        <v>0.4153</v>
      </c>
      <c r="X165" s="419">
        <v>0.4153</v>
      </c>
      <c r="Y165" s="419">
        <v>0.4153</v>
      </c>
      <c r="Z165" s="419">
        <v>0.4153</v>
      </c>
      <c r="AA165" s="419">
        <v>0.4153</v>
      </c>
      <c r="AB165" s="419">
        <v>0.4153</v>
      </c>
      <c r="AC165" s="419">
        <v>0.4153</v>
      </c>
      <c r="AD165" s="419">
        <v>0.4153</v>
      </c>
      <c r="AE165" s="419">
        <v>0.4153</v>
      </c>
      <c r="AF165" s="419">
        <v>0.4153</v>
      </c>
      <c r="AG165" s="419">
        <v>0.4153</v>
      </c>
      <c r="AH165" s="419">
        <v>0.4153</v>
      </c>
      <c r="AI165" s="419">
        <v>0.4153</v>
      </c>
      <c r="AJ165" s="419">
        <v>0.4153</v>
      </c>
      <c r="AK165" s="419">
        <v>0.4153</v>
      </c>
      <c r="AL165" s="419">
        <v>0.4153</v>
      </c>
      <c r="AM165" s="419">
        <v>0.4153</v>
      </c>
      <c r="AN165" s="419">
        <v>0.4153</v>
      </c>
      <c r="AO165" s="419"/>
      <c r="AP165" s="419"/>
      <c r="AQ165" s="419"/>
    </row>
    <row r="166" spans="1:43" x14ac:dyDescent="0.25">
      <c r="A166" s="384" t="s">
        <v>845</v>
      </c>
      <c r="B166" s="384"/>
      <c r="C166" s="384"/>
      <c r="D166" s="384"/>
      <c r="E166" s="9" t="s">
        <v>105</v>
      </c>
      <c r="F166" s="9" t="s">
        <v>106</v>
      </c>
      <c r="G166" s="9" t="s">
        <v>805</v>
      </c>
      <c r="H166" s="9">
        <v>2030</v>
      </c>
      <c r="I166" t="s">
        <v>125</v>
      </c>
      <c r="J166" t="s">
        <v>350</v>
      </c>
      <c r="K166" s="418">
        <v>0.8</v>
      </c>
      <c r="L166" s="210"/>
      <c r="M166" s="419">
        <v>0.876</v>
      </c>
      <c r="N166" s="419">
        <v>0.876</v>
      </c>
      <c r="O166" s="419">
        <v>0.876</v>
      </c>
      <c r="P166" s="419">
        <v>0.876</v>
      </c>
      <c r="Q166" s="419">
        <v>0.876</v>
      </c>
      <c r="R166" s="419">
        <v>0.876</v>
      </c>
      <c r="S166" s="419">
        <v>0.876</v>
      </c>
      <c r="T166" s="419">
        <v>0.876</v>
      </c>
      <c r="U166" s="419">
        <v>0.876</v>
      </c>
      <c r="V166" s="419">
        <v>0.876</v>
      </c>
      <c r="W166" s="419">
        <v>0.876</v>
      </c>
      <c r="X166" s="419">
        <v>0.876</v>
      </c>
      <c r="Y166" s="419">
        <v>0.876</v>
      </c>
      <c r="Z166" s="419">
        <v>0.876</v>
      </c>
      <c r="AA166" s="419">
        <v>0.876</v>
      </c>
      <c r="AB166" s="419">
        <v>0.876</v>
      </c>
      <c r="AC166" s="419">
        <v>0.876</v>
      </c>
      <c r="AD166" s="419">
        <v>0.876</v>
      </c>
      <c r="AE166" s="419">
        <v>0.876</v>
      </c>
      <c r="AF166" s="419">
        <v>0.876</v>
      </c>
      <c r="AG166" s="419">
        <v>0.876</v>
      </c>
      <c r="AH166" s="419">
        <v>0.876</v>
      </c>
      <c r="AI166" s="419">
        <v>0.876</v>
      </c>
      <c r="AJ166" s="419">
        <v>0.876</v>
      </c>
      <c r="AK166" s="419">
        <v>0.876</v>
      </c>
      <c r="AL166" s="419">
        <v>0.876</v>
      </c>
      <c r="AM166" s="419">
        <v>0.876</v>
      </c>
      <c r="AN166" s="419">
        <v>0.876</v>
      </c>
      <c r="AO166" s="419"/>
      <c r="AP166" s="419"/>
      <c r="AQ166" s="419"/>
    </row>
    <row r="167" spans="1:43" x14ac:dyDescent="0.25">
      <c r="A167" s="384" t="s">
        <v>846</v>
      </c>
      <c r="B167" s="384"/>
      <c r="C167" s="384"/>
      <c r="D167" s="384"/>
      <c r="F167" s="9" t="s">
        <v>106</v>
      </c>
      <c r="G167" s="9" t="s">
        <v>805</v>
      </c>
      <c r="H167" s="9">
        <v>2030</v>
      </c>
      <c r="I167" t="s">
        <v>766</v>
      </c>
      <c r="J167" t="s">
        <v>767</v>
      </c>
      <c r="K167" s="420">
        <v>0.6</v>
      </c>
      <c r="M167" s="419">
        <v>0.65699999999999992</v>
      </c>
      <c r="N167" s="419">
        <v>0.65699999999999992</v>
      </c>
      <c r="O167" s="419">
        <v>0.65699999999999992</v>
      </c>
      <c r="P167" s="419">
        <v>0.65699999999999992</v>
      </c>
      <c r="Q167" s="419">
        <v>0.65699999999999992</v>
      </c>
      <c r="R167" s="419">
        <v>0.65699999999999992</v>
      </c>
      <c r="S167" s="419">
        <v>0.65699999999999992</v>
      </c>
      <c r="T167" s="419">
        <v>0.65699999999999992</v>
      </c>
      <c r="U167" s="419">
        <v>0.65699999999999992</v>
      </c>
      <c r="V167" s="419">
        <v>0.65699999999999992</v>
      </c>
      <c r="W167" s="419">
        <v>0.65699999999999992</v>
      </c>
      <c r="X167" s="419">
        <v>0.65699999999999992</v>
      </c>
      <c r="Y167" s="419">
        <v>0.65699999999999992</v>
      </c>
      <c r="Z167" s="419">
        <v>0.65699999999999992</v>
      </c>
      <c r="AA167" s="419">
        <v>0.65699999999999992</v>
      </c>
      <c r="AB167" s="419">
        <v>0.65699999999999992</v>
      </c>
      <c r="AC167" s="419">
        <v>0.65699999999999992</v>
      </c>
      <c r="AD167" s="419">
        <v>0.65699999999999992</v>
      </c>
      <c r="AE167" s="419">
        <v>0.65699999999999992</v>
      </c>
      <c r="AF167" s="419">
        <v>0.65699999999999992</v>
      </c>
      <c r="AG167" s="419">
        <v>0.65699999999999992</v>
      </c>
      <c r="AH167" s="419">
        <v>0.65699999999999992</v>
      </c>
      <c r="AI167" s="419">
        <v>0.65699999999999992</v>
      </c>
      <c r="AJ167" s="419">
        <v>0.65699999999999992</v>
      </c>
      <c r="AK167" s="419">
        <v>0.65699999999999992</v>
      </c>
      <c r="AL167" s="419">
        <v>0.65699999999999992</v>
      </c>
      <c r="AM167" s="419">
        <v>0.65699999999999992</v>
      </c>
      <c r="AN167" s="419">
        <v>0.65699999999999992</v>
      </c>
      <c r="AO167" s="419"/>
      <c r="AP167" s="419"/>
      <c r="AQ167" s="419"/>
    </row>
    <row r="168" spans="1:43" x14ac:dyDescent="0.25">
      <c r="A168" s="384" t="s">
        <v>847</v>
      </c>
      <c r="B168" s="384"/>
      <c r="C168" s="384"/>
      <c r="D168" s="384"/>
      <c r="F168" s="9" t="s">
        <v>106</v>
      </c>
      <c r="G168" s="9" t="s">
        <v>805</v>
      </c>
      <c r="H168" s="9">
        <v>2030</v>
      </c>
      <c r="I168" t="s">
        <v>129</v>
      </c>
      <c r="J168" t="s">
        <v>768</v>
      </c>
      <c r="K168" s="420">
        <v>1</v>
      </c>
      <c r="M168" s="419">
        <v>1.095</v>
      </c>
      <c r="N168" s="419">
        <v>1.095</v>
      </c>
      <c r="O168" s="419">
        <v>1.095</v>
      </c>
      <c r="P168" s="419">
        <v>1.095</v>
      </c>
      <c r="Q168" s="419">
        <v>1.095</v>
      </c>
      <c r="R168" s="419">
        <v>1.095</v>
      </c>
      <c r="S168" s="419">
        <v>1.095</v>
      </c>
      <c r="T168" s="419">
        <v>1.095</v>
      </c>
      <c r="U168" s="419">
        <v>1.095</v>
      </c>
      <c r="V168" s="419">
        <v>1.095</v>
      </c>
      <c r="W168" s="419">
        <v>1.095</v>
      </c>
      <c r="X168" s="419">
        <v>1.095</v>
      </c>
      <c r="Y168" s="419">
        <v>1.095</v>
      </c>
      <c r="Z168" s="419">
        <v>1.095</v>
      </c>
      <c r="AA168" s="419">
        <v>1.095</v>
      </c>
      <c r="AB168" s="419">
        <v>1.095</v>
      </c>
      <c r="AC168" s="419">
        <v>1.095</v>
      </c>
      <c r="AD168" s="419">
        <v>1.095</v>
      </c>
      <c r="AE168" s="419">
        <v>1.095</v>
      </c>
      <c r="AF168" s="419">
        <v>1.095</v>
      </c>
      <c r="AG168" s="419">
        <v>1.095</v>
      </c>
      <c r="AH168" s="419">
        <v>1.095</v>
      </c>
      <c r="AI168" s="419">
        <v>1.095</v>
      </c>
      <c r="AJ168" s="419">
        <v>1.095</v>
      </c>
      <c r="AK168" s="419">
        <v>1.095</v>
      </c>
      <c r="AL168" s="419">
        <v>1.095</v>
      </c>
      <c r="AM168" s="419">
        <v>1.095</v>
      </c>
      <c r="AN168" s="419">
        <v>1.095</v>
      </c>
      <c r="AO168" s="419"/>
      <c r="AP168" s="419"/>
      <c r="AQ168" s="419"/>
    </row>
    <row r="169" spans="1:43" x14ac:dyDescent="0.25">
      <c r="A169" s="384" t="s">
        <v>848</v>
      </c>
      <c r="B169" s="384"/>
      <c r="C169" s="384"/>
      <c r="D169" s="384"/>
      <c r="F169" s="9" t="s">
        <v>106</v>
      </c>
      <c r="G169" s="9" t="s">
        <v>805</v>
      </c>
      <c r="H169" s="9">
        <v>2030</v>
      </c>
      <c r="I169" t="s">
        <v>769</v>
      </c>
      <c r="J169" t="s">
        <v>770</v>
      </c>
      <c r="K169" s="418">
        <v>0.4</v>
      </c>
      <c r="L169" s="210"/>
      <c r="M169" s="419">
        <v>0.438</v>
      </c>
      <c r="N169" s="419">
        <v>0.438</v>
      </c>
      <c r="O169" s="419">
        <v>0.438</v>
      </c>
      <c r="P169" s="419">
        <v>0.438</v>
      </c>
      <c r="Q169" s="419">
        <v>0.438</v>
      </c>
      <c r="R169" s="419">
        <v>0.438</v>
      </c>
      <c r="S169" s="419">
        <v>0.438</v>
      </c>
      <c r="T169" s="419">
        <v>0.438</v>
      </c>
      <c r="U169" s="419">
        <v>0.438</v>
      </c>
      <c r="V169" s="419">
        <v>0.438</v>
      </c>
      <c r="W169" s="419">
        <v>0.438</v>
      </c>
      <c r="X169" s="419">
        <v>0.438</v>
      </c>
      <c r="Y169" s="419">
        <v>0.438</v>
      </c>
      <c r="Z169" s="419">
        <v>0.438</v>
      </c>
      <c r="AA169" s="419">
        <v>0.438</v>
      </c>
      <c r="AB169" s="419">
        <v>0.438</v>
      </c>
      <c r="AC169" s="419">
        <v>0.438</v>
      </c>
      <c r="AD169" s="419">
        <v>0.438</v>
      </c>
      <c r="AE169" s="419">
        <v>0.438</v>
      </c>
      <c r="AF169" s="419">
        <v>0.438</v>
      </c>
      <c r="AG169" s="419">
        <v>0.438</v>
      </c>
      <c r="AH169" s="419">
        <v>0.438</v>
      </c>
      <c r="AI169" s="419">
        <v>0.438</v>
      </c>
      <c r="AJ169" s="419">
        <v>0.438</v>
      </c>
      <c r="AK169" s="419">
        <v>0.438</v>
      </c>
      <c r="AL169" s="419">
        <v>0.438</v>
      </c>
      <c r="AM169" s="419">
        <v>0.438</v>
      </c>
      <c r="AN169" s="419">
        <v>0.438</v>
      </c>
      <c r="AO169" s="419"/>
      <c r="AP169" s="419"/>
      <c r="AQ169" s="419"/>
    </row>
    <row r="170" spans="1:43" x14ac:dyDescent="0.25">
      <c r="A170" s="384" t="s">
        <v>849</v>
      </c>
      <c r="B170" s="384"/>
      <c r="C170" s="384"/>
      <c r="D170" s="384"/>
      <c r="F170" s="9" t="s">
        <v>106</v>
      </c>
      <c r="G170" s="9" t="s">
        <v>805</v>
      </c>
      <c r="H170" s="9">
        <v>2030</v>
      </c>
      <c r="I170" t="s">
        <v>771</v>
      </c>
      <c r="J170" t="s">
        <v>331</v>
      </c>
      <c r="K170" s="420">
        <v>0.4</v>
      </c>
      <c r="M170" s="419">
        <v>0.438</v>
      </c>
      <c r="N170" s="419">
        <v>0.438</v>
      </c>
      <c r="O170" s="419">
        <v>0.438</v>
      </c>
      <c r="P170" s="419">
        <v>0.438</v>
      </c>
      <c r="Q170" s="419">
        <v>0.438</v>
      </c>
      <c r="R170" s="419">
        <v>0.438</v>
      </c>
      <c r="S170" s="419">
        <v>0.438</v>
      </c>
      <c r="T170" s="419">
        <v>0.438</v>
      </c>
      <c r="U170" s="419">
        <v>0.438</v>
      </c>
      <c r="V170" s="419">
        <v>0.438</v>
      </c>
      <c r="W170" s="419">
        <v>0.438</v>
      </c>
      <c r="X170" s="419">
        <v>0.438</v>
      </c>
      <c r="Y170" s="419">
        <v>0.438</v>
      </c>
      <c r="Z170" s="419">
        <v>0.438</v>
      </c>
      <c r="AA170" s="419">
        <v>0.438</v>
      </c>
      <c r="AB170" s="419">
        <v>0.438</v>
      </c>
      <c r="AC170" s="419">
        <v>0.438</v>
      </c>
      <c r="AD170" s="419">
        <v>0.438</v>
      </c>
      <c r="AE170" s="419">
        <v>0.438</v>
      </c>
      <c r="AF170" s="419">
        <v>0.438</v>
      </c>
      <c r="AG170" s="419">
        <v>0.438</v>
      </c>
      <c r="AH170" s="419">
        <v>0.438</v>
      </c>
      <c r="AI170" s="419">
        <v>0.438</v>
      </c>
      <c r="AJ170" s="419">
        <v>0.438</v>
      </c>
      <c r="AK170" s="419">
        <v>0.438</v>
      </c>
      <c r="AL170" s="419">
        <v>0.438</v>
      </c>
      <c r="AM170" s="419">
        <v>0.438</v>
      </c>
      <c r="AN170" s="419">
        <v>0.438</v>
      </c>
      <c r="AO170" s="419"/>
      <c r="AP170" s="419"/>
      <c r="AQ170" s="419"/>
    </row>
    <row r="171" spans="1:43" x14ac:dyDescent="0.25">
      <c r="A171" s="384" t="s">
        <v>850</v>
      </c>
      <c r="B171" s="384"/>
      <c r="C171" s="384"/>
      <c r="D171" s="384"/>
      <c r="F171" s="9" t="s">
        <v>106</v>
      </c>
      <c r="G171" s="9" t="s">
        <v>805</v>
      </c>
      <c r="H171" s="9">
        <v>2030</v>
      </c>
      <c r="I171" t="s">
        <v>116</v>
      </c>
      <c r="J171" t="s">
        <v>772</v>
      </c>
      <c r="K171" s="423">
        <v>0.4</v>
      </c>
      <c r="M171" s="419">
        <v>0.438</v>
      </c>
      <c r="N171" s="419">
        <v>0.438</v>
      </c>
      <c r="O171" s="419">
        <v>0.438</v>
      </c>
      <c r="P171" s="419">
        <v>0.438</v>
      </c>
      <c r="Q171" s="419">
        <v>0.438</v>
      </c>
      <c r="R171" s="419">
        <v>0.438</v>
      </c>
      <c r="S171" s="419">
        <v>0.438</v>
      </c>
      <c r="T171" s="419">
        <v>0.438</v>
      </c>
      <c r="U171" s="419">
        <v>0.438</v>
      </c>
      <c r="V171" s="419">
        <v>0.438</v>
      </c>
      <c r="W171" s="419">
        <v>0.438</v>
      </c>
      <c r="X171" s="419">
        <v>0.438</v>
      </c>
      <c r="Y171" s="419">
        <v>0.438</v>
      </c>
      <c r="Z171" s="419">
        <v>0.438</v>
      </c>
      <c r="AA171" s="419">
        <v>0.438</v>
      </c>
      <c r="AB171" s="419">
        <v>0.438</v>
      </c>
      <c r="AC171" s="419">
        <v>0.438</v>
      </c>
      <c r="AD171" s="419">
        <v>0.438</v>
      </c>
      <c r="AE171" s="419">
        <v>0.438</v>
      </c>
      <c r="AF171" s="419">
        <v>0.438</v>
      </c>
      <c r="AG171" s="419">
        <v>0.438</v>
      </c>
      <c r="AH171" s="419">
        <v>0.438</v>
      </c>
      <c r="AI171" s="419">
        <v>0.438</v>
      </c>
      <c r="AJ171" s="419">
        <v>0.438</v>
      </c>
      <c r="AK171" s="419">
        <v>0.438</v>
      </c>
      <c r="AL171" s="419">
        <v>0.438</v>
      </c>
      <c r="AM171" s="419">
        <v>0.438</v>
      </c>
      <c r="AN171" s="419">
        <v>0.438</v>
      </c>
      <c r="AO171" s="419"/>
      <c r="AP171" s="419"/>
      <c r="AQ171" s="419"/>
    </row>
    <row r="172" spans="1:43" x14ac:dyDescent="0.25">
      <c r="A172" s="384" t="s">
        <v>831</v>
      </c>
      <c r="B172" s="384"/>
      <c r="C172" s="384"/>
      <c r="D172" s="384"/>
      <c r="F172" s="9" t="s">
        <v>106</v>
      </c>
      <c r="G172" s="9" t="s">
        <v>805</v>
      </c>
      <c r="H172" s="9">
        <v>2050</v>
      </c>
      <c r="I172" t="s">
        <v>140</v>
      </c>
      <c r="J172" t="s">
        <v>806</v>
      </c>
      <c r="K172" s="423">
        <v>0.6</v>
      </c>
      <c r="M172" s="419">
        <v>0.68399999999999994</v>
      </c>
      <c r="N172" s="419">
        <v>0.68399999999999994</v>
      </c>
      <c r="O172" s="419">
        <v>0.68399999999999994</v>
      </c>
      <c r="P172" s="419">
        <v>0.68399999999999994</v>
      </c>
      <c r="Q172" s="419">
        <v>0.68399999999999994</v>
      </c>
      <c r="R172" s="419">
        <v>0.68399999999999994</v>
      </c>
      <c r="S172" s="419">
        <v>0.68399999999999994</v>
      </c>
      <c r="T172" s="419">
        <v>0.68399999999999994</v>
      </c>
      <c r="U172" s="419">
        <v>0.68399999999999994</v>
      </c>
      <c r="V172" s="419">
        <v>0.68399999999999994</v>
      </c>
      <c r="W172" s="419">
        <v>0.68399999999999994</v>
      </c>
      <c r="X172" s="419">
        <v>0.68399999999999994</v>
      </c>
      <c r="Y172" s="419">
        <v>0.68399999999999994</v>
      </c>
      <c r="Z172" s="419">
        <v>0.68399999999999994</v>
      </c>
      <c r="AA172" s="419">
        <v>0.68399999999999994</v>
      </c>
      <c r="AB172" s="419">
        <v>0.68399999999999994</v>
      </c>
      <c r="AC172" s="419">
        <v>0.68399999999999994</v>
      </c>
      <c r="AD172" s="419">
        <v>0.68399999999999994</v>
      </c>
      <c r="AE172" s="419">
        <v>0.68399999999999994</v>
      </c>
      <c r="AF172" s="419">
        <v>0.68399999999999994</v>
      </c>
      <c r="AG172" s="419">
        <v>0.68399999999999994</v>
      </c>
      <c r="AH172" s="419">
        <v>0.68399999999999994</v>
      </c>
      <c r="AI172" s="419">
        <v>0.68399999999999994</v>
      </c>
      <c r="AJ172" s="419">
        <v>0.68399999999999994</v>
      </c>
      <c r="AK172" s="419">
        <v>0.68399999999999994</v>
      </c>
      <c r="AL172" s="419">
        <v>0.68399999999999994</v>
      </c>
      <c r="AM172" s="419">
        <v>0.68399999999999994</v>
      </c>
      <c r="AN172" s="419">
        <v>0.68399999999999994</v>
      </c>
      <c r="AO172" s="419"/>
      <c r="AP172" s="419"/>
      <c r="AQ172" s="419"/>
    </row>
    <row r="173" spans="1:43" x14ac:dyDescent="0.25">
      <c r="A173" s="384" t="s">
        <v>845</v>
      </c>
      <c r="B173" s="384"/>
      <c r="C173" s="384"/>
      <c r="D173" s="384"/>
      <c r="E173" s="9" t="s">
        <v>105</v>
      </c>
      <c r="F173" s="9" t="s">
        <v>106</v>
      </c>
      <c r="G173" s="9" t="s">
        <v>805</v>
      </c>
      <c r="H173" s="9">
        <v>2050</v>
      </c>
      <c r="I173" t="s">
        <v>125</v>
      </c>
      <c r="J173" t="s">
        <v>350</v>
      </c>
      <c r="K173" s="424">
        <v>0.8</v>
      </c>
      <c r="L173" s="210"/>
      <c r="M173" s="419">
        <v>0.91199999999999992</v>
      </c>
      <c r="N173" s="419">
        <v>0.91199999999999992</v>
      </c>
      <c r="O173" s="419">
        <v>0.91199999999999992</v>
      </c>
      <c r="P173" s="419">
        <v>0.91199999999999992</v>
      </c>
      <c r="Q173" s="419">
        <v>0.91199999999999992</v>
      </c>
      <c r="R173" s="419">
        <v>0.91199999999999992</v>
      </c>
      <c r="S173" s="419">
        <v>0.91199999999999992</v>
      </c>
      <c r="T173" s="419">
        <v>0.91199999999999992</v>
      </c>
      <c r="U173" s="419">
        <v>0.91199999999999992</v>
      </c>
      <c r="V173" s="419">
        <v>0.91199999999999992</v>
      </c>
      <c r="W173" s="419">
        <v>0.91199999999999992</v>
      </c>
      <c r="X173" s="419">
        <v>0.91199999999999992</v>
      </c>
      <c r="Y173" s="419">
        <v>0.91199999999999992</v>
      </c>
      <c r="Z173" s="419">
        <v>0.91199999999999992</v>
      </c>
      <c r="AA173" s="419">
        <v>0.91199999999999992</v>
      </c>
      <c r="AB173" s="419">
        <v>0.91199999999999992</v>
      </c>
      <c r="AC173" s="419">
        <v>0.91199999999999992</v>
      </c>
      <c r="AD173" s="419">
        <v>0.91199999999999992</v>
      </c>
      <c r="AE173" s="419">
        <v>0.91199999999999992</v>
      </c>
      <c r="AF173" s="419">
        <v>0.91199999999999992</v>
      </c>
      <c r="AG173" s="419">
        <v>0.91199999999999992</v>
      </c>
      <c r="AH173" s="419">
        <v>0.91199999999999992</v>
      </c>
      <c r="AI173" s="419">
        <v>0.91199999999999992</v>
      </c>
      <c r="AJ173" s="419">
        <v>0.91199999999999992</v>
      </c>
      <c r="AK173" s="419">
        <v>0.91199999999999992</v>
      </c>
      <c r="AL173" s="419">
        <v>0.91199999999999992</v>
      </c>
      <c r="AM173" s="419">
        <v>0.91199999999999992</v>
      </c>
      <c r="AN173" s="419">
        <v>0.91199999999999992</v>
      </c>
      <c r="AO173" s="419"/>
      <c r="AP173" s="419"/>
      <c r="AQ173" s="419"/>
    </row>
    <row r="174" spans="1:43" x14ac:dyDescent="0.25">
      <c r="A174" s="384" t="s">
        <v>846</v>
      </c>
      <c r="B174" s="384"/>
      <c r="C174" s="384"/>
      <c r="D174" s="384"/>
      <c r="F174" s="9" t="s">
        <v>106</v>
      </c>
      <c r="G174" s="9" t="s">
        <v>805</v>
      </c>
      <c r="H174" s="9">
        <v>2050</v>
      </c>
      <c r="I174" t="s">
        <v>766</v>
      </c>
      <c r="J174" t="s">
        <v>767</v>
      </c>
      <c r="K174" s="423">
        <v>0.6</v>
      </c>
      <c r="M174" s="419">
        <v>0.68399999999999994</v>
      </c>
      <c r="N174" s="419">
        <v>0.68399999999999994</v>
      </c>
      <c r="O174" s="419">
        <v>0.68399999999999994</v>
      </c>
      <c r="P174" s="419">
        <v>0.68399999999999994</v>
      </c>
      <c r="Q174" s="419">
        <v>0.68399999999999994</v>
      </c>
      <c r="R174" s="419">
        <v>0.68399999999999994</v>
      </c>
      <c r="S174" s="419">
        <v>0.68399999999999994</v>
      </c>
      <c r="T174" s="419">
        <v>0.68399999999999994</v>
      </c>
      <c r="U174" s="419">
        <v>0.68399999999999994</v>
      </c>
      <c r="V174" s="419">
        <v>0.68399999999999994</v>
      </c>
      <c r="W174" s="419">
        <v>0.68399999999999994</v>
      </c>
      <c r="X174" s="419">
        <v>0.68399999999999994</v>
      </c>
      <c r="Y174" s="419">
        <v>0.68399999999999994</v>
      </c>
      <c r="Z174" s="419">
        <v>0.68399999999999994</v>
      </c>
      <c r="AA174" s="419">
        <v>0.68399999999999994</v>
      </c>
      <c r="AB174" s="419">
        <v>0.68399999999999994</v>
      </c>
      <c r="AC174" s="419">
        <v>0.68399999999999994</v>
      </c>
      <c r="AD174" s="419">
        <v>0.68399999999999994</v>
      </c>
      <c r="AE174" s="419">
        <v>0.68399999999999994</v>
      </c>
      <c r="AF174" s="419">
        <v>0.68399999999999994</v>
      </c>
      <c r="AG174" s="419">
        <v>0.68399999999999994</v>
      </c>
      <c r="AH174" s="419">
        <v>0.68399999999999994</v>
      </c>
      <c r="AI174" s="419">
        <v>0.68399999999999994</v>
      </c>
      <c r="AJ174" s="419">
        <v>0.68399999999999994</v>
      </c>
      <c r="AK174" s="419">
        <v>0.68399999999999994</v>
      </c>
      <c r="AL174" s="419">
        <v>0.68399999999999994</v>
      </c>
      <c r="AM174" s="419">
        <v>0.68399999999999994</v>
      </c>
      <c r="AN174" s="419">
        <v>0.68399999999999994</v>
      </c>
      <c r="AO174" s="419"/>
      <c r="AP174" s="419"/>
      <c r="AQ174" s="419"/>
    </row>
    <row r="175" spans="1:43" x14ac:dyDescent="0.25">
      <c r="A175" s="384" t="s">
        <v>847</v>
      </c>
      <c r="B175" s="384"/>
      <c r="C175" s="384"/>
      <c r="D175" s="384"/>
      <c r="F175" s="9" t="s">
        <v>106</v>
      </c>
      <c r="G175" s="9" t="s">
        <v>805</v>
      </c>
      <c r="H175" s="9">
        <v>2050</v>
      </c>
      <c r="I175" t="s">
        <v>129</v>
      </c>
      <c r="J175" t="s">
        <v>768</v>
      </c>
      <c r="K175" s="420">
        <v>1</v>
      </c>
      <c r="M175" s="419">
        <v>1.1399999999999999</v>
      </c>
      <c r="N175" s="419">
        <v>1.1399999999999999</v>
      </c>
      <c r="O175" s="419">
        <v>1.1399999999999999</v>
      </c>
      <c r="P175" s="419">
        <v>1.1399999999999999</v>
      </c>
      <c r="Q175" s="419">
        <v>1.1399999999999999</v>
      </c>
      <c r="R175" s="419">
        <v>1.1399999999999999</v>
      </c>
      <c r="S175" s="419">
        <v>1.1399999999999999</v>
      </c>
      <c r="T175" s="419">
        <v>1.1399999999999999</v>
      </c>
      <c r="U175" s="419">
        <v>1.1399999999999999</v>
      </c>
      <c r="V175" s="419">
        <v>1.1399999999999999</v>
      </c>
      <c r="W175" s="419">
        <v>1.1399999999999999</v>
      </c>
      <c r="X175" s="419">
        <v>1.1399999999999999</v>
      </c>
      <c r="Y175" s="419">
        <v>1.1399999999999999</v>
      </c>
      <c r="Z175" s="419">
        <v>1.1399999999999999</v>
      </c>
      <c r="AA175" s="419">
        <v>1.1399999999999999</v>
      </c>
      <c r="AB175" s="419">
        <v>1.1399999999999999</v>
      </c>
      <c r="AC175" s="419">
        <v>1.1399999999999999</v>
      </c>
      <c r="AD175" s="419">
        <v>1.1399999999999999</v>
      </c>
      <c r="AE175" s="419">
        <v>1.1399999999999999</v>
      </c>
      <c r="AF175" s="419">
        <v>1.1399999999999999</v>
      </c>
      <c r="AG175" s="419">
        <v>1.1399999999999999</v>
      </c>
      <c r="AH175" s="419">
        <v>1.1399999999999999</v>
      </c>
      <c r="AI175" s="419">
        <v>1.1399999999999999</v>
      </c>
      <c r="AJ175" s="419">
        <v>1.1399999999999999</v>
      </c>
      <c r="AK175" s="419">
        <v>1.1399999999999999</v>
      </c>
      <c r="AL175" s="419">
        <v>1.1399999999999999</v>
      </c>
      <c r="AM175" s="419">
        <v>1.1399999999999999</v>
      </c>
      <c r="AN175" s="419">
        <v>1.1399999999999999</v>
      </c>
      <c r="AO175" s="419"/>
      <c r="AP175" s="419"/>
      <c r="AQ175" s="419"/>
    </row>
    <row r="176" spans="1:43" x14ac:dyDescent="0.25">
      <c r="A176" s="384" t="s">
        <v>848</v>
      </c>
      <c r="B176" s="384"/>
      <c r="C176" s="384"/>
      <c r="D176" s="384"/>
      <c r="F176" s="9" t="s">
        <v>106</v>
      </c>
      <c r="G176" s="9" t="s">
        <v>805</v>
      </c>
      <c r="H176" s="9">
        <v>2050</v>
      </c>
      <c r="I176" t="s">
        <v>769</v>
      </c>
      <c r="J176" t="s">
        <v>770</v>
      </c>
      <c r="K176" s="418">
        <v>0.4</v>
      </c>
      <c r="L176" s="210"/>
      <c r="M176" s="419">
        <v>0.45599999999999996</v>
      </c>
      <c r="N176" s="419">
        <v>0.45599999999999996</v>
      </c>
      <c r="O176" s="419">
        <v>0.45599999999999996</v>
      </c>
      <c r="P176" s="419">
        <v>0.45599999999999996</v>
      </c>
      <c r="Q176" s="419">
        <v>0.45599999999999996</v>
      </c>
      <c r="R176" s="419">
        <v>0.45599999999999996</v>
      </c>
      <c r="S176" s="419">
        <v>0.45599999999999996</v>
      </c>
      <c r="T176" s="419">
        <v>0.45599999999999996</v>
      </c>
      <c r="U176" s="419">
        <v>0.45599999999999996</v>
      </c>
      <c r="V176" s="419">
        <v>0.45599999999999996</v>
      </c>
      <c r="W176" s="419">
        <v>0.45599999999999996</v>
      </c>
      <c r="X176" s="419">
        <v>0.45599999999999996</v>
      </c>
      <c r="Y176" s="419">
        <v>0.45599999999999996</v>
      </c>
      <c r="Z176" s="419">
        <v>0.45599999999999996</v>
      </c>
      <c r="AA176" s="419">
        <v>0.45599999999999996</v>
      </c>
      <c r="AB176" s="419">
        <v>0.45599999999999996</v>
      </c>
      <c r="AC176" s="419">
        <v>0.45599999999999996</v>
      </c>
      <c r="AD176" s="419">
        <v>0.45599999999999996</v>
      </c>
      <c r="AE176" s="419">
        <v>0.45599999999999996</v>
      </c>
      <c r="AF176" s="419">
        <v>0.45599999999999996</v>
      </c>
      <c r="AG176" s="419">
        <v>0.45599999999999996</v>
      </c>
      <c r="AH176" s="419">
        <v>0.45599999999999996</v>
      </c>
      <c r="AI176" s="419">
        <v>0.45599999999999996</v>
      </c>
      <c r="AJ176" s="419">
        <v>0.45599999999999996</v>
      </c>
      <c r="AK176" s="419">
        <v>0.45599999999999996</v>
      </c>
      <c r="AL176" s="419">
        <v>0.45599999999999996</v>
      </c>
      <c r="AM176" s="419">
        <v>0.45599999999999996</v>
      </c>
      <c r="AN176" s="419">
        <v>0.45599999999999996</v>
      </c>
      <c r="AO176" s="419"/>
      <c r="AP176" s="419"/>
      <c r="AQ176" s="419"/>
    </row>
    <row r="177" spans="1:43" x14ac:dyDescent="0.25">
      <c r="A177" s="384" t="s">
        <v>849</v>
      </c>
      <c r="B177" s="384"/>
      <c r="C177" s="384"/>
      <c r="D177" s="384"/>
      <c r="F177" s="9" t="s">
        <v>106</v>
      </c>
      <c r="G177" s="9" t="s">
        <v>805</v>
      </c>
      <c r="H177" s="9">
        <v>2050</v>
      </c>
      <c r="I177" t="s">
        <v>771</v>
      </c>
      <c r="J177" t="s">
        <v>331</v>
      </c>
      <c r="K177" s="420">
        <v>0.4</v>
      </c>
      <c r="M177" s="419">
        <v>0.45599999999999996</v>
      </c>
      <c r="N177" s="419">
        <v>0.45599999999999996</v>
      </c>
      <c r="O177" s="419">
        <v>0.45599999999999996</v>
      </c>
      <c r="P177" s="419">
        <v>0.45599999999999996</v>
      </c>
      <c r="Q177" s="419">
        <v>0.45599999999999996</v>
      </c>
      <c r="R177" s="419">
        <v>0.45599999999999996</v>
      </c>
      <c r="S177" s="419">
        <v>0.45599999999999996</v>
      </c>
      <c r="T177" s="419">
        <v>0.45599999999999996</v>
      </c>
      <c r="U177" s="419">
        <v>0.45599999999999996</v>
      </c>
      <c r="V177" s="419">
        <v>0.45599999999999996</v>
      </c>
      <c r="W177" s="419">
        <v>0.45599999999999996</v>
      </c>
      <c r="X177" s="419">
        <v>0.45599999999999996</v>
      </c>
      <c r="Y177" s="419">
        <v>0.45599999999999996</v>
      </c>
      <c r="Z177" s="419">
        <v>0.45599999999999996</v>
      </c>
      <c r="AA177" s="419">
        <v>0.45599999999999996</v>
      </c>
      <c r="AB177" s="419">
        <v>0.45599999999999996</v>
      </c>
      <c r="AC177" s="419">
        <v>0.45599999999999996</v>
      </c>
      <c r="AD177" s="419">
        <v>0.45599999999999996</v>
      </c>
      <c r="AE177" s="419">
        <v>0.45599999999999996</v>
      </c>
      <c r="AF177" s="419">
        <v>0.45599999999999996</v>
      </c>
      <c r="AG177" s="419">
        <v>0.45599999999999996</v>
      </c>
      <c r="AH177" s="419">
        <v>0.45599999999999996</v>
      </c>
      <c r="AI177" s="419">
        <v>0.45599999999999996</v>
      </c>
      <c r="AJ177" s="419">
        <v>0.45599999999999996</v>
      </c>
      <c r="AK177" s="419">
        <v>0.45599999999999996</v>
      </c>
      <c r="AL177" s="419">
        <v>0.45599999999999996</v>
      </c>
      <c r="AM177" s="419">
        <v>0.45599999999999996</v>
      </c>
      <c r="AN177" s="419">
        <v>0.45599999999999996</v>
      </c>
      <c r="AO177" s="419"/>
      <c r="AP177" s="419"/>
      <c r="AQ177" s="419"/>
    </row>
    <row r="178" spans="1:43" x14ac:dyDescent="0.25">
      <c r="A178" s="384" t="s">
        <v>850</v>
      </c>
      <c r="B178" s="384"/>
      <c r="C178" s="384"/>
      <c r="D178" s="384"/>
      <c r="F178" s="9" t="s">
        <v>106</v>
      </c>
      <c r="G178" s="9" t="s">
        <v>805</v>
      </c>
      <c r="H178" s="9">
        <v>2050</v>
      </c>
      <c r="I178" t="s">
        <v>116</v>
      </c>
      <c r="J178" t="s">
        <v>772</v>
      </c>
      <c r="K178" s="420">
        <v>0.4</v>
      </c>
      <c r="M178" s="419">
        <v>0.45599999999999996</v>
      </c>
      <c r="N178" s="419">
        <v>0.45599999999999996</v>
      </c>
      <c r="O178" s="419">
        <v>0.45599999999999996</v>
      </c>
      <c r="P178" s="419">
        <v>0.45599999999999996</v>
      </c>
      <c r="Q178" s="419">
        <v>0.45599999999999996</v>
      </c>
      <c r="R178" s="419">
        <v>0.45599999999999996</v>
      </c>
      <c r="S178" s="419">
        <v>0.45599999999999996</v>
      </c>
      <c r="T178" s="419">
        <v>0.45599999999999996</v>
      </c>
      <c r="U178" s="419">
        <v>0.45599999999999996</v>
      </c>
      <c r="V178" s="419">
        <v>0.45599999999999996</v>
      </c>
      <c r="W178" s="419">
        <v>0.45599999999999996</v>
      </c>
      <c r="X178" s="419">
        <v>0.45599999999999996</v>
      </c>
      <c r="Y178" s="419">
        <v>0.45599999999999996</v>
      </c>
      <c r="Z178" s="419">
        <v>0.45599999999999996</v>
      </c>
      <c r="AA178" s="419">
        <v>0.45599999999999996</v>
      </c>
      <c r="AB178" s="419">
        <v>0.45599999999999996</v>
      </c>
      <c r="AC178" s="419">
        <v>0.45599999999999996</v>
      </c>
      <c r="AD178" s="419">
        <v>0.45599999999999996</v>
      </c>
      <c r="AE178" s="419">
        <v>0.45599999999999996</v>
      </c>
      <c r="AF178" s="419">
        <v>0.45599999999999996</v>
      </c>
      <c r="AG178" s="419">
        <v>0.45599999999999996</v>
      </c>
      <c r="AH178" s="419">
        <v>0.45599999999999996</v>
      </c>
      <c r="AI178" s="419">
        <v>0.45599999999999996</v>
      </c>
      <c r="AJ178" s="419">
        <v>0.45599999999999996</v>
      </c>
      <c r="AK178" s="419">
        <v>0.45599999999999996</v>
      </c>
      <c r="AL178" s="419">
        <v>0.45599999999999996</v>
      </c>
      <c r="AM178" s="419">
        <v>0.45599999999999996</v>
      </c>
      <c r="AN178" s="419">
        <v>0.45599999999999996</v>
      </c>
      <c r="AO178" s="419"/>
      <c r="AP178" s="419"/>
      <c r="AQ178" s="419"/>
    </row>
    <row r="179" spans="1:43" x14ac:dyDescent="0.25">
      <c r="A179" s="384" t="s">
        <v>831</v>
      </c>
      <c r="B179" s="384"/>
      <c r="C179" s="384"/>
      <c r="D179" s="384"/>
      <c r="F179" s="47" t="s">
        <v>106</v>
      </c>
      <c r="G179" s="47" t="s">
        <v>805</v>
      </c>
      <c r="H179" s="47">
        <v>2050</v>
      </c>
      <c r="I179" t="s">
        <v>140</v>
      </c>
      <c r="J179" t="s">
        <v>806</v>
      </c>
      <c r="K179" s="420">
        <v>0.6</v>
      </c>
      <c r="M179" s="419">
        <v>0.68399999999999994</v>
      </c>
      <c r="N179" s="419">
        <v>0.68399999999999994</v>
      </c>
      <c r="O179" s="419">
        <v>0.68399999999999994</v>
      </c>
      <c r="P179" s="419">
        <v>0.68399999999999994</v>
      </c>
      <c r="Q179" s="419">
        <v>0.68399999999999994</v>
      </c>
      <c r="R179" s="419">
        <v>0.68399999999999994</v>
      </c>
      <c r="S179" s="419">
        <v>0.68399999999999994</v>
      </c>
      <c r="T179" s="419">
        <v>0.68399999999999994</v>
      </c>
      <c r="U179" s="419">
        <v>0.68399999999999994</v>
      </c>
      <c r="V179" s="419">
        <v>0.68399999999999994</v>
      </c>
      <c r="W179" s="419">
        <v>0.68399999999999994</v>
      </c>
      <c r="X179" s="419">
        <v>0.68399999999999994</v>
      </c>
      <c r="Y179" s="419">
        <v>0.68399999999999994</v>
      </c>
      <c r="Z179" s="419">
        <v>0.68399999999999994</v>
      </c>
      <c r="AA179" s="419">
        <v>0.68399999999999994</v>
      </c>
      <c r="AB179" s="419">
        <v>0.68399999999999994</v>
      </c>
      <c r="AC179" s="419">
        <v>0.68399999999999994</v>
      </c>
      <c r="AD179" s="419">
        <v>0.68399999999999994</v>
      </c>
      <c r="AE179" s="419">
        <v>0.68399999999999994</v>
      </c>
      <c r="AF179" s="419">
        <v>0.68399999999999994</v>
      </c>
      <c r="AG179" s="419">
        <v>0.68399999999999994</v>
      </c>
      <c r="AH179" s="419">
        <v>0.68399999999999994</v>
      </c>
      <c r="AI179" s="419">
        <v>0.68399999999999994</v>
      </c>
      <c r="AJ179" s="419">
        <v>0.68399999999999994</v>
      </c>
      <c r="AK179" s="419">
        <v>0.68399999999999994</v>
      </c>
      <c r="AL179" s="419">
        <v>0.68399999999999994</v>
      </c>
      <c r="AM179" s="419">
        <v>0.68399999999999994</v>
      </c>
      <c r="AN179" s="419">
        <v>0.68399999999999994</v>
      </c>
      <c r="AO179" s="419"/>
      <c r="AP179" s="419"/>
      <c r="AQ179" s="419"/>
    </row>
    <row r="180" spans="1:43" x14ac:dyDescent="0.25">
      <c r="A180" s="384" t="s">
        <v>851</v>
      </c>
      <c r="B180" s="384"/>
      <c r="C180" s="384"/>
      <c r="D180" s="384"/>
      <c r="E180" s="70" t="s">
        <v>107</v>
      </c>
      <c r="F180" s="9" t="s">
        <v>108</v>
      </c>
      <c r="G180" s="9" t="s">
        <v>801</v>
      </c>
      <c r="H180" s="9">
        <v>2020</v>
      </c>
      <c r="I180" s="215" t="s">
        <v>125</v>
      </c>
      <c r="J180" s="215" t="s">
        <v>350</v>
      </c>
      <c r="K180" s="421">
        <v>0.8</v>
      </c>
      <c r="L180" s="406"/>
      <c r="M180" s="422">
        <v>0.8</v>
      </c>
      <c r="N180" s="422">
        <v>0.8</v>
      </c>
      <c r="O180" s="422">
        <v>0.8</v>
      </c>
      <c r="P180" s="422">
        <v>0.8</v>
      </c>
      <c r="Q180" s="422">
        <v>0.8</v>
      </c>
      <c r="R180" s="422">
        <v>0.8</v>
      </c>
      <c r="S180" s="422">
        <v>0.8</v>
      </c>
      <c r="T180" s="422">
        <v>0.8</v>
      </c>
      <c r="U180" s="422">
        <v>0.8</v>
      </c>
      <c r="V180" s="422">
        <v>0.8</v>
      </c>
      <c r="W180" s="422">
        <v>0.8</v>
      </c>
      <c r="X180" s="422">
        <v>0.8</v>
      </c>
      <c r="Y180" s="422">
        <v>0.8</v>
      </c>
      <c r="Z180" s="422">
        <v>0.8</v>
      </c>
      <c r="AA180" s="422">
        <v>0.8</v>
      </c>
      <c r="AB180" s="422">
        <v>0.8</v>
      </c>
      <c r="AC180" s="422">
        <v>0.8</v>
      </c>
      <c r="AD180" s="422">
        <v>0.8</v>
      </c>
      <c r="AE180" s="422">
        <v>0.8</v>
      </c>
      <c r="AF180" s="422">
        <v>0.8</v>
      </c>
      <c r="AG180" s="422">
        <v>0.8</v>
      </c>
      <c r="AH180" s="422">
        <v>0.8</v>
      </c>
      <c r="AI180" s="422">
        <v>0.8</v>
      </c>
      <c r="AJ180" s="422">
        <v>0.8</v>
      </c>
      <c r="AK180" s="422">
        <v>0.8</v>
      </c>
      <c r="AL180" s="422">
        <v>0.8</v>
      </c>
      <c r="AM180" s="422">
        <v>0.8</v>
      </c>
      <c r="AN180" s="422">
        <v>0.8</v>
      </c>
      <c r="AO180" s="419"/>
      <c r="AP180" s="419"/>
      <c r="AQ180" s="419"/>
    </row>
    <row r="181" spans="1:43" x14ac:dyDescent="0.25">
      <c r="A181" s="384" t="s">
        <v>852</v>
      </c>
      <c r="B181" s="384"/>
      <c r="C181" s="384"/>
      <c r="D181" s="384"/>
      <c r="E181" s="9" t="s">
        <v>107</v>
      </c>
      <c r="F181" s="9" t="s">
        <v>108</v>
      </c>
      <c r="G181" s="9" t="s">
        <v>803</v>
      </c>
      <c r="H181" s="9">
        <v>2025</v>
      </c>
      <c r="I181" t="s">
        <v>125</v>
      </c>
      <c r="J181" t="s">
        <v>350</v>
      </c>
      <c r="K181" s="418">
        <v>0.8</v>
      </c>
      <c r="L181" s="210"/>
      <c r="M181" s="419">
        <v>0.8</v>
      </c>
      <c r="N181" s="419">
        <v>0.8</v>
      </c>
      <c r="O181" s="419">
        <v>0.8</v>
      </c>
      <c r="P181" s="419">
        <v>0.8</v>
      </c>
      <c r="Q181" s="419">
        <v>0.8</v>
      </c>
      <c r="R181" s="419">
        <v>0.8</v>
      </c>
      <c r="S181" s="419">
        <v>0.8</v>
      </c>
      <c r="T181" s="419">
        <v>0.8</v>
      </c>
      <c r="U181" s="419">
        <v>0.8</v>
      </c>
      <c r="V181" s="419">
        <v>0.8</v>
      </c>
      <c r="W181" s="419">
        <v>0.8</v>
      </c>
      <c r="X181" s="419">
        <v>0.8</v>
      </c>
      <c r="Y181" s="419">
        <v>0.8</v>
      </c>
      <c r="Z181" s="419">
        <v>0.8</v>
      </c>
      <c r="AA181" s="419">
        <v>0.8</v>
      </c>
      <c r="AB181" s="419">
        <v>0.8</v>
      </c>
      <c r="AC181" s="419">
        <v>0.8</v>
      </c>
      <c r="AD181" s="419">
        <v>0.8</v>
      </c>
      <c r="AE181" s="419">
        <v>0.8</v>
      </c>
      <c r="AF181" s="419">
        <v>0.8</v>
      </c>
      <c r="AG181" s="419">
        <v>0.8</v>
      </c>
      <c r="AH181" s="419">
        <v>0.8</v>
      </c>
      <c r="AI181" s="419">
        <v>0.8</v>
      </c>
      <c r="AJ181" s="419">
        <v>0.8</v>
      </c>
      <c r="AK181" s="419">
        <v>0.8</v>
      </c>
      <c r="AL181" s="419">
        <v>0.8</v>
      </c>
      <c r="AM181" s="419">
        <v>0.8</v>
      </c>
      <c r="AN181" s="419">
        <v>0.8</v>
      </c>
      <c r="AO181" s="419"/>
      <c r="AP181" s="419"/>
      <c r="AQ181" s="419"/>
    </row>
    <row r="182" spans="1:43" x14ac:dyDescent="0.25">
      <c r="A182" s="384" t="s">
        <v>852</v>
      </c>
      <c r="B182" s="384"/>
      <c r="C182" s="384"/>
      <c r="D182" s="384"/>
      <c r="E182" s="9" t="s">
        <v>107</v>
      </c>
      <c r="F182" s="9" t="s">
        <v>108</v>
      </c>
      <c r="G182" s="9" t="s">
        <v>803</v>
      </c>
      <c r="H182" s="9">
        <v>2030</v>
      </c>
      <c r="I182" t="s">
        <v>125</v>
      </c>
      <c r="J182" t="s">
        <v>350</v>
      </c>
      <c r="K182" s="418">
        <v>0.8</v>
      </c>
      <c r="L182" s="210"/>
      <c r="M182" s="419">
        <v>0.82600000000000007</v>
      </c>
      <c r="N182" s="419">
        <v>0.82600000000000007</v>
      </c>
      <c r="O182" s="419">
        <v>0.82600000000000007</v>
      </c>
      <c r="P182" s="419">
        <v>0.82600000000000007</v>
      </c>
      <c r="Q182" s="419">
        <v>0.82600000000000007</v>
      </c>
      <c r="R182" s="419">
        <v>0.82600000000000007</v>
      </c>
      <c r="S182" s="419">
        <v>0.82600000000000007</v>
      </c>
      <c r="T182" s="419">
        <v>0.82600000000000007</v>
      </c>
      <c r="U182" s="419">
        <v>0.82600000000000007</v>
      </c>
      <c r="V182" s="419">
        <v>0.82600000000000007</v>
      </c>
      <c r="W182" s="419">
        <v>0.82600000000000007</v>
      </c>
      <c r="X182" s="419">
        <v>0.82600000000000007</v>
      </c>
      <c r="Y182" s="419">
        <v>0.82600000000000007</v>
      </c>
      <c r="Z182" s="419">
        <v>0.82600000000000007</v>
      </c>
      <c r="AA182" s="419">
        <v>0.82600000000000007</v>
      </c>
      <c r="AB182" s="419">
        <v>0.82600000000000007</v>
      </c>
      <c r="AC182" s="419">
        <v>0.82600000000000007</v>
      </c>
      <c r="AD182" s="419">
        <v>0.82600000000000007</v>
      </c>
      <c r="AE182" s="419">
        <v>0.82600000000000007</v>
      </c>
      <c r="AF182" s="419">
        <v>0.82600000000000007</v>
      </c>
      <c r="AG182" s="419">
        <v>0.82600000000000007</v>
      </c>
      <c r="AH182" s="419">
        <v>0.82600000000000007</v>
      </c>
      <c r="AI182" s="419">
        <v>0.82600000000000007</v>
      </c>
      <c r="AJ182" s="419">
        <v>0.82600000000000007</v>
      </c>
      <c r="AK182" s="419">
        <v>0.82600000000000007</v>
      </c>
      <c r="AL182" s="419">
        <v>0.82600000000000007</v>
      </c>
      <c r="AM182" s="419">
        <v>0.82600000000000007</v>
      </c>
      <c r="AN182" s="419">
        <v>0.82600000000000007</v>
      </c>
      <c r="AO182" s="419"/>
      <c r="AP182" s="419"/>
      <c r="AQ182" s="419"/>
    </row>
    <row r="183" spans="1:43" x14ac:dyDescent="0.25">
      <c r="A183" s="384" t="s">
        <v>852</v>
      </c>
      <c r="B183" s="384"/>
      <c r="C183" s="384"/>
      <c r="D183" s="384"/>
      <c r="E183" s="9" t="s">
        <v>107</v>
      </c>
      <c r="F183" s="9" t="s">
        <v>108</v>
      </c>
      <c r="G183" s="9" t="s">
        <v>803</v>
      </c>
      <c r="H183" s="9">
        <v>2050</v>
      </c>
      <c r="I183" t="s">
        <v>125</v>
      </c>
      <c r="J183" t="s">
        <v>350</v>
      </c>
      <c r="K183" s="418">
        <v>0.8</v>
      </c>
      <c r="L183" s="210"/>
      <c r="M183" s="419">
        <v>0.84419999999999984</v>
      </c>
      <c r="N183" s="419">
        <v>0.84419999999999984</v>
      </c>
      <c r="O183" s="419">
        <v>0.84419999999999984</v>
      </c>
      <c r="P183" s="419">
        <v>0.84419999999999984</v>
      </c>
      <c r="Q183" s="419">
        <v>0.84419999999999984</v>
      </c>
      <c r="R183" s="419">
        <v>0.84419999999999984</v>
      </c>
      <c r="S183" s="419">
        <v>0.84419999999999984</v>
      </c>
      <c r="T183" s="419">
        <v>0.84419999999999984</v>
      </c>
      <c r="U183" s="419">
        <v>0.84419999999999984</v>
      </c>
      <c r="V183" s="419">
        <v>0.84419999999999984</v>
      </c>
      <c r="W183" s="419">
        <v>0.84419999999999984</v>
      </c>
      <c r="X183" s="419">
        <v>0.84419999999999984</v>
      </c>
      <c r="Y183" s="419">
        <v>0.84419999999999984</v>
      </c>
      <c r="Z183" s="419">
        <v>0.84419999999999984</v>
      </c>
      <c r="AA183" s="419">
        <v>0.84419999999999984</v>
      </c>
      <c r="AB183" s="419">
        <v>0.84419999999999984</v>
      </c>
      <c r="AC183" s="419">
        <v>0.84419999999999984</v>
      </c>
      <c r="AD183" s="419">
        <v>0.84419999999999984</v>
      </c>
      <c r="AE183" s="419">
        <v>0.84419999999999984</v>
      </c>
      <c r="AF183" s="419">
        <v>0.84419999999999984</v>
      </c>
      <c r="AG183" s="419">
        <v>0.84419999999999984</v>
      </c>
      <c r="AH183" s="419">
        <v>0.84419999999999984</v>
      </c>
      <c r="AI183" s="419">
        <v>0.84419999999999984</v>
      </c>
      <c r="AJ183" s="419">
        <v>0.84419999999999984</v>
      </c>
      <c r="AK183" s="419">
        <v>0.84419999999999984</v>
      </c>
      <c r="AL183" s="419">
        <v>0.84419999999999984</v>
      </c>
      <c r="AM183" s="419">
        <v>0.84419999999999984</v>
      </c>
      <c r="AN183" s="419">
        <v>0.84419999999999984</v>
      </c>
      <c r="AO183" s="419"/>
      <c r="AP183" s="419"/>
      <c r="AQ183" s="419"/>
    </row>
    <row r="184" spans="1:43" x14ac:dyDescent="0.25">
      <c r="A184" s="384" t="s">
        <v>853</v>
      </c>
      <c r="B184" s="384"/>
      <c r="C184" s="384"/>
      <c r="D184" s="384"/>
      <c r="E184" s="9" t="s">
        <v>107</v>
      </c>
      <c r="F184" s="9" t="s">
        <v>108</v>
      </c>
      <c r="G184" s="9" t="s">
        <v>805</v>
      </c>
      <c r="H184" s="9">
        <v>2030</v>
      </c>
      <c r="I184" t="s">
        <v>125</v>
      </c>
      <c r="J184" t="s">
        <v>350</v>
      </c>
      <c r="K184" s="418">
        <v>0.8</v>
      </c>
      <c r="L184" s="210"/>
      <c r="M184" s="419">
        <v>0.89600000000000013</v>
      </c>
      <c r="N184" s="419">
        <v>0.89600000000000013</v>
      </c>
      <c r="O184" s="419">
        <v>0.89600000000000013</v>
      </c>
      <c r="P184" s="419">
        <v>0.89600000000000013</v>
      </c>
      <c r="Q184" s="419">
        <v>0.89600000000000013</v>
      </c>
      <c r="R184" s="419">
        <v>0.89600000000000013</v>
      </c>
      <c r="S184" s="419">
        <v>0.89600000000000013</v>
      </c>
      <c r="T184" s="419">
        <v>0.89600000000000013</v>
      </c>
      <c r="U184" s="419">
        <v>0.89600000000000013</v>
      </c>
      <c r="V184" s="419">
        <v>0.89600000000000013</v>
      </c>
      <c r="W184" s="419">
        <v>0.89600000000000013</v>
      </c>
      <c r="X184" s="419">
        <v>0.89600000000000013</v>
      </c>
      <c r="Y184" s="419">
        <v>0.89600000000000013</v>
      </c>
      <c r="Z184" s="419">
        <v>0.89600000000000013</v>
      </c>
      <c r="AA184" s="419">
        <v>0.89600000000000013</v>
      </c>
      <c r="AB184" s="419">
        <v>0.89600000000000013</v>
      </c>
      <c r="AC184" s="419">
        <v>0.89600000000000013</v>
      </c>
      <c r="AD184" s="419">
        <v>0.89600000000000013</v>
      </c>
      <c r="AE184" s="419">
        <v>0.89600000000000013</v>
      </c>
      <c r="AF184" s="419">
        <v>0.89600000000000013</v>
      </c>
      <c r="AG184" s="419">
        <v>0.89600000000000013</v>
      </c>
      <c r="AH184" s="419">
        <v>0.89600000000000013</v>
      </c>
      <c r="AI184" s="419">
        <v>0.89600000000000013</v>
      </c>
      <c r="AJ184" s="419">
        <v>0.89600000000000013</v>
      </c>
      <c r="AK184" s="419">
        <v>0.89600000000000013</v>
      </c>
      <c r="AL184" s="419">
        <v>0.89600000000000013</v>
      </c>
      <c r="AM184" s="419">
        <v>0.89600000000000013</v>
      </c>
      <c r="AN184" s="419">
        <v>0.89600000000000013</v>
      </c>
      <c r="AO184" s="419"/>
      <c r="AP184" s="419"/>
      <c r="AQ184" s="419"/>
    </row>
    <row r="185" spans="1:43" x14ac:dyDescent="0.25">
      <c r="A185" s="384" t="s">
        <v>853</v>
      </c>
      <c r="B185" s="384"/>
      <c r="C185" s="384"/>
      <c r="D185" s="384"/>
      <c r="E185" s="47" t="s">
        <v>107</v>
      </c>
      <c r="F185" s="47" t="s">
        <v>108</v>
      </c>
      <c r="G185" s="47" t="s">
        <v>805</v>
      </c>
      <c r="H185" s="47">
        <v>2050</v>
      </c>
      <c r="I185" s="216" t="s">
        <v>125</v>
      </c>
      <c r="J185" s="216" t="s">
        <v>350</v>
      </c>
      <c r="K185" s="418">
        <v>0.8</v>
      </c>
      <c r="L185" s="210"/>
      <c r="M185" s="419">
        <v>1.016</v>
      </c>
      <c r="N185" s="419">
        <v>1.016</v>
      </c>
      <c r="O185" s="419">
        <v>1.016</v>
      </c>
      <c r="P185" s="419">
        <v>1.016</v>
      </c>
      <c r="Q185" s="419">
        <v>1.016</v>
      </c>
      <c r="R185" s="419">
        <v>1.016</v>
      </c>
      <c r="S185" s="419">
        <v>1.016</v>
      </c>
      <c r="T185" s="419">
        <v>1.016</v>
      </c>
      <c r="U185" s="419">
        <v>1.016</v>
      </c>
      <c r="V185" s="419">
        <v>1.016</v>
      </c>
      <c r="W185" s="419">
        <v>1.016</v>
      </c>
      <c r="X185" s="419">
        <v>1.016</v>
      </c>
      <c r="Y185" s="419">
        <v>1.016</v>
      </c>
      <c r="Z185" s="419">
        <v>1.016</v>
      </c>
      <c r="AA185" s="419">
        <v>1.016</v>
      </c>
      <c r="AB185" s="419">
        <v>1.016</v>
      </c>
      <c r="AC185" s="419">
        <v>1.016</v>
      </c>
      <c r="AD185" s="419">
        <v>1.016</v>
      </c>
      <c r="AE185" s="419">
        <v>1.016</v>
      </c>
      <c r="AF185" s="419">
        <v>1.016</v>
      </c>
      <c r="AG185" s="419">
        <v>1.016</v>
      </c>
      <c r="AH185" s="419">
        <v>1.016</v>
      </c>
      <c r="AI185" s="419">
        <v>1.016</v>
      </c>
      <c r="AJ185" s="419">
        <v>1.016</v>
      </c>
      <c r="AK185" s="419">
        <v>1.016</v>
      </c>
      <c r="AL185" s="419">
        <v>1.016</v>
      </c>
      <c r="AM185" s="419">
        <v>1.016</v>
      </c>
      <c r="AN185" s="419">
        <v>1.016</v>
      </c>
      <c r="AO185" s="419"/>
      <c r="AP185" s="419"/>
      <c r="AQ185" s="419"/>
    </row>
    <row r="186" spans="1:43" x14ac:dyDescent="0.25">
      <c r="A186" s="384" t="s">
        <v>854</v>
      </c>
      <c r="B186" s="384"/>
      <c r="C186" s="384"/>
      <c r="D186" s="384"/>
      <c r="E186" s="9" t="s">
        <v>109</v>
      </c>
      <c r="F186" s="9" t="s">
        <v>110</v>
      </c>
      <c r="G186" s="9" t="s">
        <v>801</v>
      </c>
      <c r="H186" s="9">
        <v>2020</v>
      </c>
      <c r="I186" t="s">
        <v>125</v>
      </c>
      <c r="J186" t="s">
        <v>350</v>
      </c>
      <c r="K186" s="421">
        <v>0.8</v>
      </c>
      <c r="L186" s="406"/>
      <c r="M186" s="422">
        <v>0.8</v>
      </c>
      <c r="N186" s="422">
        <v>0.8</v>
      </c>
      <c r="O186" s="422">
        <v>0.8</v>
      </c>
      <c r="P186" s="422">
        <v>0.8</v>
      </c>
      <c r="Q186" s="422">
        <v>0.8</v>
      </c>
      <c r="R186" s="422">
        <v>0.8</v>
      </c>
      <c r="S186" s="422">
        <v>0.8</v>
      </c>
      <c r="T186" s="422">
        <v>0.8</v>
      </c>
      <c r="U186" s="422">
        <v>0.8</v>
      </c>
      <c r="V186" s="422">
        <v>0.8</v>
      </c>
      <c r="W186" s="422">
        <v>0.8</v>
      </c>
      <c r="X186" s="422">
        <v>0.8</v>
      </c>
      <c r="Y186" s="422">
        <v>0.8</v>
      </c>
      <c r="Z186" s="422">
        <v>0.8</v>
      </c>
      <c r="AA186" s="422">
        <v>0.8</v>
      </c>
      <c r="AB186" s="422">
        <v>0.8</v>
      </c>
      <c r="AC186" s="422">
        <v>0.8</v>
      </c>
      <c r="AD186" s="422">
        <v>0.8</v>
      </c>
      <c r="AE186" s="422">
        <v>0.8</v>
      </c>
      <c r="AF186" s="422">
        <v>0.8</v>
      </c>
      <c r="AG186" s="422">
        <v>0.8</v>
      </c>
      <c r="AH186" s="422">
        <v>0.8</v>
      </c>
      <c r="AI186" s="422">
        <v>0.8</v>
      </c>
      <c r="AJ186" s="422">
        <v>0.8</v>
      </c>
      <c r="AK186" s="422">
        <v>0.8</v>
      </c>
      <c r="AL186" s="422">
        <v>0.8</v>
      </c>
      <c r="AM186" s="422">
        <v>0.8</v>
      </c>
      <c r="AN186" s="422">
        <v>0.8</v>
      </c>
      <c r="AO186" s="419"/>
      <c r="AP186" s="419"/>
      <c r="AQ186" s="419"/>
    </row>
    <row r="187" spans="1:43" x14ac:dyDescent="0.25">
      <c r="A187" s="384" t="s">
        <v>855</v>
      </c>
      <c r="B187" s="384"/>
      <c r="C187" s="384"/>
      <c r="D187" s="384"/>
      <c r="F187" s="9" t="s">
        <v>110</v>
      </c>
      <c r="G187" s="9" t="s">
        <v>801</v>
      </c>
      <c r="H187" s="9">
        <v>2020</v>
      </c>
      <c r="I187" t="s">
        <v>766</v>
      </c>
      <c r="J187" t="s">
        <v>767</v>
      </c>
      <c r="K187" s="420">
        <v>0.6</v>
      </c>
      <c r="L187" s="210"/>
      <c r="M187" s="419">
        <v>0.6</v>
      </c>
      <c r="N187" s="419">
        <v>0.6</v>
      </c>
      <c r="O187" s="419">
        <v>0.6</v>
      </c>
      <c r="P187" s="419">
        <v>0.6</v>
      </c>
      <c r="Q187" s="419">
        <v>0.6</v>
      </c>
      <c r="R187" s="419">
        <v>0.6</v>
      </c>
      <c r="S187" s="419">
        <v>0.6</v>
      </c>
      <c r="T187" s="419">
        <v>0.6</v>
      </c>
      <c r="U187" s="419">
        <v>0.6</v>
      </c>
      <c r="V187" s="419">
        <v>0.6</v>
      </c>
      <c r="W187" s="419">
        <v>0.6</v>
      </c>
      <c r="X187" s="419">
        <v>0.6</v>
      </c>
      <c r="Y187" s="419">
        <v>0.6</v>
      </c>
      <c r="Z187" s="419">
        <v>0.6</v>
      </c>
      <c r="AA187" s="419">
        <v>0.6</v>
      </c>
      <c r="AB187" s="419">
        <v>0.6</v>
      </c>
      <c r="AC187" s="419">
        <v>0.6</v>
      </c>
      <c r="AD187" s="419">
        <v>0.6</v>
      </c>
      <c r="AE187" s="419">
        <v>0.6</v>
      </c>
      <c r="AF187" s="419">
        <v>0.6</v>
      </c>
      <c r="AG187" s="419">
        <v>0.6</v>
      </c>
      <c r="AH187" s="419">
        <v>0.6</v>
      </c>
      <c r="AI187" s="419">
        <v>0.6</v>
      </c>
      <c r="AJ187" s="419">
        <v>0.6</v>
      </c>
      <c r="AK187" s="419">
        <v>0.6</v>
      </c>
      <c r="AL187" s="419">
        <v>0.6</v>
      </c>
      <c r="AM187" s="419">
        <v>0.6</v>
      </c>
      <c r="AN187" s="419">
        <v>0.6</v>
      </c>
      <c r="AO187" s="419"/>
      <c r="AP187" s="419"/>
      <c r="AQ187" s="419"/>
    </row>
    <row r="188" spans="1:43" x14ac:dyDescent="0.25">
      <c r="A188" s="384" t="s">
        <v>856</v>
      </c>
      <c r="B188" s="384"/>
      <c r="C188" s="384"/>
      <c r="D188" s="384"/>
      <c r="F188" s="9" t="s">
        <v>110</v>
      </c>
      <c r="G188" s="9" t="s">
        <v>801</v>
      </c>
      <c r="H188" s="9">
        <v>2020</v>
      </c>
      <c r="I188" t="s">
        <v>129</v>
      </c>
      <c r="J188" t="s">
        <v>768</v>
      </c>
      <c r="K188" s="420">
        <v>1</v>
      </c>
      <c r="L188" s="210"/>
      <c r="M188" s="419">
        <v>1</v>
      </c>
      <c r="N188" s="419">
        <v>1</v>
      </c>
      <c r="O188" s="419">
        <v>1</v>
      </c>
      <c r="P188" s="419">
        <v>1</v>
      </c>
      <c r="Q188" s="419">
        <v>1</v>
      </c>
      <c r="R188" s="419">
        <v>1</v>
      </c>
      <c r="S188" s="419">
        <v>1</v>
      </c>
      <c r="T188" s="419">
        <v>1</v>
      </c>
      <c r="U188" s="419">
        <v>1</v>
      </c>
      <c r="V188" s="419">
        <v>1</v>
      </c>
      <c r="W188" s="419">
        <v>1</v>
      </c>
      <c r="X188" s="419">
        <v>1</v>
      </c>
      <c r="Y188" s="419">
        <v>1</v>
      </c>
      <c r="Z188" s="419">
        <v>1</v>
      </c>
      <c r="AA188" s="419">
        <v>1</v>
      </c>
      <c r="AB188" s="419">
        <v>1</v>
      </c>
      <c r="AC188" s="419">
        <v>1</v>
      </c>
      <c r="AD188" s="419">
        <v>1</v>
      </c>
      <c r="AE188" s="419">
        <v>1</v>
      </c>
      <c r="AF188" s="419">
        <v>1</v>
      </c>
      <c r="AG188" s="419">
        <v>1</v>
      </c>
      <c r="AH188" s="419">
        <v>1</v>
      </c>
      <c r="AI188" s="419">
        <v>1</v>
      </c>
      <c r="AJ188" s="419">
        <v>1</v>
      </c>
      <c r="AK188" s="419">
        <v>1</v>
      </c>
      <c r="AL188" s="419">
        <v>1</v>
      </c>
      <c r="AM188" s="419">
        <v>1</v>
      </c>
      <c r="AN188" s="419">
        <v>1</v>
      </c>
      <c r="AO188" s="419"/>
      <c r="AP188" s="419"/>
      <c r="AQ188" s="419"/>
    </row>
    <row r="189" spans="1:43" x14ac:dyDescent="0.25">
      <c r="A189" s="384" t="s">
        <v>857</v>
      </c>
      <c r="B189" s="384"/>
      <c r="C189" s="384"/>
      <c r="D189" s="384"/>
      <c r="F189" s="9" t="s">
        <v>110</v>
      </c>
      <c r="G189" s="9" t="s">
        <v>801</v>
      </c>
      <c r="H189" s="9">
        <v>2020</v>
      </c>
      <c r="I189" t="s">
        <v>769</v>
      </c>
      <c r="J189" t="s">
        <v>770</v>
      </c>
      <c r="K189" s="418">
        <v>0.4</v>
      </c>
      <c r="L189" s="210"/>
      <c r="M189" s="419">
        <v>0.4</v>
      </c>
      <c r="N189" s="419">
        <v>0.4</v>
      </c>
      <c r="O189" s="419">
        <v>0.4</v>
      </c>
      <c r="P189" s="419">
        <v>0.4</v>
      </c>
      <c r="Q189" s="419">
        <v>0.4</v>
      </c>
      <c r="R189" s="419">
        <v>0.4</v>
      </c>
      <c r="S189" s="419">
        <v>0.4</v>
      </c>
      <c r="T189" s="419">
        <v>0.4</v>
      </c>
      <c r="U189" s="419">
        <v>0.4</v>
      </c>
      <c r="V189" s="419">
        <v>0.4</v>
      </c>
      <c r="W189" s="419">
        <v>0.4</v>
      </c>
      <c r="X189" s="419">
        <v>0.4</v>
      </c>
      <c r="Y189" s="419">
        <v>0.4</v>
      </c>
      <c r="Z189" s="419">
        <v>0.4</v>
      </c>
      <c r="AA189" s="419">
        <v>0.4</v>
      </c>
      <c r="AB189" s="419">
        <v>0.4</v>
      </c>
      <c r="AC189" s="419">
        <v>0.4</v>
      </c>
      <c r="AD189" s="419">
        <v>0.4</v>
      </c>
      <c r="AE189" s="419">
        <v>0.4</v>
      </c>
      <c r="AF189" s="419">
        <v>0.4</v>
      </c>
      <c r="AG189" s="419">
        <v>0.4</v>
      </c>
      <c r="AH189" s="419">
        <v>0.4</v>
      </c>
      <c r="AI189" s="419">
        <v>0.4</v>
      </c>
      <c r="AJ189" s="419">
        <v>0.4</v>
      </c>
      <c r="AK189" s="419">
        <v>0.4</v>
      </c>
      <c r="AL189" s="419">
        <v>0.4</v>
      </c>
      <c r="AM189" s="419">
        <v>0.4</v>
      </c>
      <c r="AN189" s="419">
        <v>0.4</v>
      </c>
      <c r="AO189" s="419"/>
      <c r="AP189" s="419"/>
      <c r="AQ189" s="419"/>
    </row>
    <row r="190" spans="1:43" x14ac:dyDescent="0.25">
      <c r="A190" s="384" t="s">
        <v>858</v>
      </c>
      <c r="B190" s="384"/>
      <c r="C190" s="384"/>
      <c r="D190" s="384"/>
      <c r="F190" s="9" t="s">
        <v>110</v>
      </c>
      <c r="G190" s="9" t="s">
        <v>801</v>
      </c>
      <c r="H190" s="9">
        <v>2020</v>
      </c>
      <c r="I190" t="s">
        <v>771</v>
      </c>
      <c r="J190" t="s">
        <v>331</v>
      </c>
      <c r="K190" s="420">
        <v>0.4</v>
      </c>
      <c r="L190" s="210"/>
      <c r="M190" s="419">
        <v>0.4</v>
      </c>
      <c r="N190" s="419">
        <v>0.4</v>
      </c>
      <c r="O190" s="419">
        <v>0.4</v>
      </c>
      <c r="P190" s="419">
        <v>0.4</v>
      </c>
      <c r="Q190" s="419">
        <v>0.4</v>
      </c>
      <c r="R190" s="419">
        <v>0.4</v>
      </c>
      <c r="S190" s="419">
        <v>0.4</v>
      </c>
      <c r="T190" s="419">
        <v>0.4</v>
      </c>
      <c r="U190" s="419">
        <v>0.4</v>
      </c>
      <c r="V190" s="419">
        <v>0.4</v>
      </c>
      <c r="W190" s="419">
        <v>0.4</v>
      </c>
      <c r="X190" s="419">
        <v>0.4</v>
      </c>
      <c r="Y190" s="419">
        <v>0.4</v>
      </c>
      <c r="Z190" s="419">
        <v>0.4</v>
      </c>
      <c r="AA190" s="419">
        <v>0.4</v>
      </c>
      <c r="AB190" s="419">
        <v>0.4</v>
      </c>
      <c r="AC190" s="419">
        <v>0.4</v>
      </c>
      <c r="AD190" s="419">
        <v>0.4</v>
      </c>
      <c r="AE190" s="419">
        <v>0.4</v>
      </c>
      <c r="AF190" s="419">
        <v>0.4</v>
      </c>
      <c r="AG190" s="419">
        <v>0.4</v>
      </c>
      <c r="AH190" s="419">
        <v>0.4</v>
      </c>
      <c r="AI190" s="419">
        <v>0.4</v>
      </c>
      <c r="AJ190" s="419">
        <v>0.4</v>
      </c>
      <c r="AK190" s="419">
        <v>0.4</v>
      </c>
      <c r="AL190" s="419">
        <v>0.4</v>
      </c>
      <c r="AM190" s="419">
        <v>0.4</v>
      </c>
      <c r="AN190" s="419">
        <v>0.4</v>
      </c>
      <c r="AO190" s="419"/>
      <c r="AP190" s="419"/>
      <c r="AQ190" s="419"/>
    </row>
    <row r="191" spans="1:43" x14ac:dyDescent="0.25">
      <c r="A191" s="384" t="s">
        <v>859</v>
      </c>
      <c r="B191" s="384"/>
      <c r="C191" s="384"/>
      <c r="D191" s="384"/>
      <c r="F191" s="9" t="s">
        <v>110</v>
      </c>
      <c r="G191" s="9" t="s">
        <v>801</v>
      </c>
      <c r="H191" s="9">
        <v>2020</v>
      </c>
      <c r="I191" t="s">
        <v>116</v>
      </c>
      <c r="J191" t="s">
        <v>772</v>
      </c>
      <c r="K191" s="420">
        <v>0.4</v>
      </c>
      <c r="L191" s="210"/>
      <c r="M191" s="419">
        <v>0.4</v>
      </c>
      <c r="N191" s="419">
        <v>0.4</v>
      </c>
      <c r="O191" s="419">
        <v>0.4</v>
      </c>
      <c r="P191" s="419">
        <v>0.4</v>
      </c>
      <c r="Q191" s="419">
        <v>0.4</v>
      </c>
      <c r="R191" s="419">
        <v>0.4</v>
      </c>
      <c r="S191" s="419">
        <v>0.4</v>
      </c>
      <c r="T191" s="419">
        <v>0.4</v>
      </c>
      <c r="U191" s="419">
        <v>0.4</v>
      </c>
      <c r="V191" s="419">
        <v>0.4</v>
      </c>
      <c r="W191" s="419">
        <v>0.4</v>
      </c>
      <c r="X191" s="419">
        <v>0.4</v>
      </c>
      <c r="Y191" s="419">
        <v>0.4</v>
      </c>
      <c r="Z191" s="419">
        <v>0.4</v>
      </c>
      <c r="AA191" s="419">
        <v>0.4</v>
      </c>
      <c r="AB191" s="419">
        <v>0.4</v>
      </c>
      <c r="AC191" s="419">
        <v>0.4</v>
      </c>
      <c r="AD191" s="419">
        <v>0.4</v>
      </c>
      <c r="AE191" s="419">
        <v>0.4</v>
      </c>
      <c r="AF191" s="419">
        <v>0.4</v>
      </c>
      <c r="AG191" s="419">
        <v>0.4</v>
      </c>
      <c r="AH191" s="419">
        <v>0.4</v>
      </c>
      <c r="AI191" s="419">
        <v>0.4</v>
      </c>
      <c r="AJ191" s="419">
        <v>0.4</v>
      </c>
      <c r="AK191" s="419">
        <v>0.4</v>
      </c>
      <c r="AL191" s="419">
        <v>0.4</v>
      </c>
      <c r="AM191" s="419">
        <v>0.4</v>
      </c>
      <c r="AN191" s="419">
        <v>0.4</v>
      </c>
      <c r="AO191" s="419"/>
      <c r="AP191" s="419"/>
      <c r="AQ191" s="419"/>
    </row>
    <row r="192" spans="1:43" x14ac:dyDescent="0.25">
      <c r="A192" s="384" t="s">
        <v>860</v>
      </c>
      <c r="B192" s="384"/>
      <c r="C192" s="384"/>
      <c r="D192" s="384"/>
      <c r="E192" s="9" t="s">
        <v>109</v>
      </c>
      <c r="F192" s="9" t="s">
        <v>110</v>
      </c>
      <c r="G192" s="9" t="s">
        <v>803</v>
      </c>
      <c r="H192" s="9">
        <v>2025</v>
      </c>
      <c r="I192" t="s">
        <v>125</v>
      </c>
      <c r="J192" t="s">
        <v>350</v>
      </c>
      <c r="K192" s="418">
        <v>0.8</v>
      </c>
      <c r="L192" s="210"/>
      <c r="M192" s="419">
        <v>0.8</v>
      </c>
      <c r="N192" s="419">
        <v>0.8</v>
      </c>
      <c r="O192" s="419">
        <v>0.8</v>
      </c>
      <c r="P192" s="419">
        <v>0.8</v>
      </c>
      <c r="Q192" s="419">
        <v>0.8</v>
      </c>
      <c r="R192" s="419">
        <v>0.8</v>
      </c>
      <c r="S192" s="419">
        <v>0.8</v>
      </c>
      <c r="T192" s="419">
        <v>0.8</v>
      </c>
      <c r="U192" s="419">
        <v>0.8</v>
      </c>
      <c r="V192" s="419">
        <v>0.8</v>
      </c>
      <c r="W192" s="419">
        <v>0.8</v>
      </c>
      <c r="X192" s="419">
        <v>0.8</v>
      </c>
      <c r="Y192" s="419">
        <v>0.8</v>
      </c>
      <c r="Z192" s="419">
        <v>0.8</v>
      </c>
      <c r="AA192" s="419">
        <v>0.8</v>
      </c>
      <c r="AB192" s="419">
        <v>0.8</v>
      </c>
      <c r="AC192" s="419">
        <v>0.8</v>
      </c>
      <c r="AD192" s="419">
        <v>0.8</v>
      </c>
      <c r="AE192" s="419">
        <v>0.8</v>
      </c>
      <c r="AF192" s="419">
        <v>0.8</v>
      </c>
      <c r="AG192" s="419">
        <v>0.8</v>
      </c>
      <c r="AH192" s="419">
        <v>0.8</v>
      </c>
      <c r="AI192" s="419">
        <v>0.8</v>
      </c>
      <c r="AJ192" s="419">
        <v>0.8</v>
      </c>
      <c r="AK192" s="419">
        <v>0.8</v>
      </c>
      <c r="AL192" s="419">
        <v>0.8</v>
      </c>
      <c r="AM192" s="419">
        <v>0.8</v>
      </c>
      <c r="AN192" s="419">
        <v>0.8</v>
      </c>
      <c r="AO192" s="419"/>
      <c r="AP192" s="419"/>
      <c r="AQ192" s="419"/>
    </row>
    <row r="193" spans="1:43" x14ac:dyDescent="0.25">
      <c r="A193" s="384" t="s">
        <v>861</v>
      </c>
      <c r="B193" s="384"/>
      <c r="C193" s="384"/>
      <c r="D193" s="384"/>
      <c r="F193" s="9" t="s">
        <v>110</v>
      </c>
      <c r="G193" s="9" t="s">
        <v>803</v>
      </c>
      <c r="H193" s="9">
        <v>2025</v>
      </c>
      <c r="I193" t="s">
        <v>766</v>
      </c>
      <c r="J193" t="s">
        <v>767</v>
      </c>
      <c r="K193" s="420">
        <v>0.6</v>
      </c>
      <c r="L193" s="210"/>
      <c r="M193" s="419">
        <v>0.6</v>
      </c>
      <c r="N193" s="419">
        <v>0.6</v>
      </c>
      <c r="O193" s="419">
        <v>0.6</v>
      </c>
      <c r="P193" s="419">
        <v>0.6</v>
      </c>
      <c r="Q193" s="419">
        <v>0.6</v>
      </c>
      <c r="R193" s="419">
        <v>0.6</v>
      </c>
      <c r="S193" s="419">
        <v>0.6</v>
      </c>
      <c r="T193" s="419">
        <v>0.6</v>
      </c>
      <c r="U193" s="419">
        <v>0.6</v>
      </c>
      <c r="V193" s="419">
        <v>0.6</v>
      </c>
      <c r="W193" s="419">
        <v>0.6</v>
      </c>
      <c r="X193" s="419">
        <v>0.6</v>
      </c>
      <c r="Y193" s="419">
        <v>0.6</v>
      </c>
      <c r="Z193" s="419">
        <v>0.6</v>
      </c>
      <c r="AA193" s="419">
        <v>0.6</v>
      </c>
      <c r="AB193" s="419">
        <v>0.6</v>
      </c>
      <c r="AC193" s="419">
        <v>0.6</v>
      </c>
      <c r="AD193" s="419">
        <v>0.6</v>
      </c>
      <c r="AE193" s="419">
        <v>0.6</v>
      </c>
      <c r="AF193" s="419">
        <v>0.6</v>
      </c>
      <c r="AG193" s="419">
        <v>0.6</v>
      </c>
      <c r="AH193" s="419">
        <v>0.6</v>
      </c>
      <c r="AI193" s="419">
        <v>0.6</v>
      </c>
      <c r="AJ193" s="419">
        <v>0.6</v>
      </c>
      <c r="AK193" s="419">
        <v>0.6</v>
      </c>
      <c r="AL193" s="419">
        <v>0.6</v>
      </c>
      <c r="AM193" s="419">
        <v>0.6</v>
      </c>
      <c r="AN193" s="419">
        <v>0.6</v>
      </c>
      <c r="AO193" s="419"/>
      <c r="AP193" s="419"/>
      <c r="AQ193" s="419"/>
    </row>
    <row r="194" spans="1:43" x14ac:dyDescent="0.25">
      <c r="A194" s="384" t="s">
        <v>862</v>
      </c>
      <c r="B194" s="384"/>
      <c r="C194" s="384"/>
      <c r="D194" s="384"/>
      <c r="F194" s="9" t="s">
        <v>110</v>
      </c>
      <c r="G194" s="9" t="s">
        <v>803</v>
      </c>
      <c r="H194" s="9">
        <v>2025</v>
      </c>
      <c r="I194" t="s">
        <v>129</v>
      </c>
      <c r="J194" t="s">
        <v>768</v>
      </c>
      <c r="K194" s="420">
        <v>1</v>
      </c>
      <c r="L194" s="210"/>
      <c r="M194" s="419">
        <v>1</v>
      </c>
      <c r="N194" s="419">
        <v>1</v>
      </c>
      <c r="O194" s="419">
        <v>1</v>
      </c>
      <c r="P194" s="419">
        <v>1</v>
      </c>
      <c r="Q194" s="419">
        <v>1</v>
      </c>
      <c r="R194" s="419">
        <v>1</v>
      </c>
      <c r="S194" s="419">
        <v>1</v>
      </c>
      <c r="T194" s="419">
        <v>1</v>
      </c>
      <c r="U194" s="419">
        <v>1</v>
      </c>
      <c r="V194" s="419">
        <v>1</v>
      </c>
      <c r="W194" s="419">
        <v>1</v>
      </c>
      <c r="X194" s="419">
        <v>1</v>
      </c>
      <c r="Y194" s="419">
        <v>1</v>
      </c>
      <c r="Z194" s="419">
        <v>1</v>
      </c>
      <c r="AA194" s="419">
        <v>1</v>
      </c>
      <c r="AB194" s="419">
        <v>1</v>
      </c>
      <c r="AC194" s="419">
        <v>1</v>
      </c>
      <c r="AD194" s="419">
        <v>1</v>
      </c>
      <c r="AE194" s="419">
        <v>1</v>
      </c>
      <c r="AF194" s="419">
        <v>1</v>
      </c>
      <c r="AG194" s="419">
        <v>1</v>
      </c>
      <c r="AH194" s="419">
        <v>1</v>
      </c>
      <c r="AI194" s="419">
        <v>1</v>
      </c>
      <c r="AJ194" s="419">
        <v>1</v>
      </c>
      <c r="AK194" s="419">
        <v>1</v>
      </c>
      <c r="AL194" s="419">
        <v>1</v>
      </c>
      <c r="AM194" s="419">
        <v>1</v>
      </c>
      <c r="AN194" s="419">
        <v>1</v>
      </c>
      <c r="AO194" s="419"/>
      <c r="AP194" s="419"/>
      <c r="AQ194" s="419"/>
    </row>
    <row r="195" spans="1:43" x14ac:dyDescent="0.25">
      <c r="A195" s="384" t="s">
        <v>863</v>
      </c>
      <c r="B195" s="384"/>
      <c r="C195" s="384"/>
      <c r="D195" s="384"/>
      <c r="F195" s="9" t="s">
        <v>110</v>
      </c>
      <c r="G195" s="9" t="s">
        <v>803</v>
      </c>
      <c r="H195" s="9">
        <v>2025</v>
      </c>
      <c r="I195" t="s">
        <v>769</v>
      </c>
      <c r="J195" t="s">
        <v>770</v>
      </c>
      <c r="K195" s="418">
        <v>0.4</v>
      </c>
      <c r="L195" s="210"/>
      <c r="M195" s="419">
        <v>0.4</v>
      </c>
      <c r="N195" s="419">
        <v>0.4</v>
      </c>
      <c r="O195" s="419">
        <v>0.4</v>
      </c>
      <c r="P195" s="419">
        <v>0.4</v>
      </c>
      <c r="Q195" s="419">
        <v>0.4</v>
      </c>
      <c r="R195" s="419">
        <v>0.4</v>
      </c>
      <c r="S195" s="419">
        <v>0.4</v>
      </c>
      <c r="T195" s="419">
        <v>0.4</v>
      </c>
      <c r="U195" s="419">
        <v>0.4</v>
      </c>
      <c r="V195" s="419">
        <v>0.4</v>
      </c>
      <c r="W195" s="419">
        <v>0.4</v>
      </c>
      <c r="X195" s="419">
        <v>0.4</v>
      </c>
      <c r="Y195" s="419">
        <v>0.4</v>
      </c>
      <c r="Z195" s="419">
        <v>0.4</v>
      </c>
      <c r="AA195" s="419">
        <v>0.4</v>
      </c>
      <c r="AB195" s="419">
        <v>0.4</v>
      </c>
      <c r="AC195" s="419">
        <v>0.4</v>
      </c>
      <c r="AD195" s="419">
        <v>0.4</v>
      </c>
      <c r="AE195" s="419">
        <v>0.4</v>
      </c>
      <c r="AF195" s="419">
        <v>0.4</v>
      </c>
      <c r="AG195" s="419">
        <v>0.4</v>
      </c>
      <c r="AH195" s="419">
        <v>0.4</v>
      </c>
      <c r="AI195" s="419">
        <v>0.4</v>
      </c>
      <c r="AJ195" s="419">
        <v>0.4</v>
      </c>
      <c r="AK195" s="419">
        <v>0.4</v>
      </c>
      <c r="AL195" s="419">
        <v>0.4</v>
      </c>
      <c r="AM195" s="419">
        <v>0.4</v>
      </c>
      <c r="AN195" s="419">
        <v>0.4</v>
      </c>
      <c r="AO195" s="419"/>
      <c r="AP195" s="419"/>
      <c r="AQ195" s="419"/>
    </row>
    <row r="196" spans="1:43" x14ac:dyDescent="0.25">
      <c r="A196" s="384" t="s">
        <v>864</v>
      </c>
      <c r="B196" s="384"/>
      <c r="C196" s="384"/>
      <c r="D196" s="384"/>
      <c r="F196" s="9" t="s">
        <v>110</v>
      </c>
      <c r="G196" s="9" t="s">
        <v>803</v>
      </c>
      <c r="H196" s="9">
        <v>2025</v>
      </c>
      <c r="I196" t="s">
        <v>771</v>
      </c>
      <c r="J196" t="s">
        <v>331</v>
      </c>
      <c r="K196" s="420">
        <v>0.4</v>
      </c>
      <c r="L196" s="210"/>
      <c r="M196" s="419">
        <v>0.4</v>
      </c>
      <c r="N196" s="419">
        <v>0.4</v>
      </c>
      <c r="O196" s="419">
        <v>0.4</v>
      </c>
      <c r="P196" s="419">
        <v>0.4</v>
      </c>
      <c r="Q196" s="419">
        <v>0.4</v>
      </c>
      <c r="R196" s="419">
        <v>0.4</v>
      </c>
      <c r="S196" s="419">
        <v>0.4</v>
      </c>
      <c r="T196" s="419">
        <v>0.4</v>
      </c>
      <c r="U196" s="419">
        <v>0.4</v>
      </c>
      <c r="V196" s="419">
        <v>0.4</v>
      </c>
      <c r="W196" s="419">
        <v>0.4</v>
      </c>
      <c r="X196" s="419">
        <v>0.4</v>
      </c>
      <c r="Y196" s="419">
        <v>0.4</v>
      </c>
      <c r="Z196" s="419">
        <v>0.4</v>
      </c>
      <c r="AA196" s="419">
        <v>0.4</v>
      </c>
      <c r="AB196" s="419">
        <v>0.4</v>
      </c>
      <c r="AC196" s="419">
        <v>0.4</v>
      </c>
      <c r="AD196" s="419">
        <v>0.4</v>
      </c>
      <c r="AE196" s="419">
        <v>0.4</v>
      </c>
      <c r="AF196" s="419">
        <v>0.4</v>
      </c>
      <c r="AG196" s="419">
        <v>0.4</v>
      </c>
      <c r="AH196" s="419">
        <v>0.4</v>
      </c>
      <c r="AI196" s="419">
        <v>0.4</v>
      </c>
      <c r="AJ196" s="419">
        <v>0.4</v>
      </c>
      <c r="AK196" s="419">
        <v>0.4</v>
      </c>
      <c r="AL196" s="419">
        <v>0.4</v>
      </c>
      <c r="AM196" s="419">
        <v>0.4</v>
      </c>
      <c r="AN196" s="419">
        <v>0.4</v>
      </c>
      <c r="AO196" s="419"/>
      <c r="AP196" s="419"/>
      <c r="AQ196" s="419"/>
    </row>
    <row r="197" spans="1:43" x14ac:dyDescent="0.25">
      <c r="A197" s="384" t="s">
        <v>865</v>
      </c>
      <c r="B197" s="384"/>
      <c r="C197" s="384"/>
      <c r="D197" s="384"/>
      <c r="F197" s="9" t="s">
        <v>110</v>
      </c>
      <c r="G197" s="9" t="s">
        <v>803</v>
      </c>
      <c r="H197" s="9">
        <v>2025</v>
      </c>
      <c r="I197" t="s">
        <v>116</v>
      </c>
      <c r="J197" t="s">
        <v>772</v>
      </c>
      <c r="K197" s="420">
        <v>0.4</v>
      </c>
      <c r="L197" s="210"/>
      <c r="M197" s="419">
        <v>0.4</v>
      </c>
      <c r="N197" s="419">
        <v>0.4</v>
      </c>
      <c r="O197" s="419">
        <v>0.4</v>
      </c>
      <c r="P197" s="419">
        <v>0.4</v>
      </c>
      <c r="Q197" s="419">
        <v>0.4</v>
      </c>
      <c r="R197" s="419">
        <v>0.4</v>
      </c>
      <c r="S197" s="419">
        <v>0.4</v>
      </c>
      <c r="T197" s="419">
        <v>0.4</v>
      </c>
      <c r="U197" s="419">
        <v>0.4</v>
      </c>
      <c r="V197" s="419">
        <v>0.4</v>
      </c>
      <c r="W197" s="419">
        <v>0.4</v>
      </c>
      <c r="X197" s="419">
        <v>0.4</v>
      </c>
      <c r="Y197" s="419">
        <v>0.4</v>
      </c>
      <c r="Z197" s="419">
        <v>0.4</v>
      </c>
      <c r="AA197" s="419">
        <v>0.4</v>
      </c>
      <c r="AB197" s="419">
        <v>0.4</v>
      </c>
      <c r="AC197" s="419">
        <v>0.4</v>
      </c>
      <c r="AD197" s="419">
        <v>0.4</v>
      </c>
      <c r="AE197" s="419">
        <v>0.4</v>
      </c>
      <c r="AF197" s="419">
        <v>0.4</v>
      </c>
      <c r="AG197" s="419">
        <v>0.4</v>
      </c>
      <c r="AH197" s="419">
        <v>0.4</v>
      </c>
      <c r="AI197" s="419">
        <v>0.4</v>
      </c>
      <c r="AJ197" s="419">
        <v>0.4</v>
      </c>
      <c r="AK197" s="419">
        <v>0.4</v>
      </c>
      <c r="AL197" s="419">
        <v>0.4</v>
      </c>
      <c r="AM197" s="419">
        <v>0.4</v>
      </c>
      <c r="AN197" s="419">
        <v>0.4</v>
      </c>
      <c r="AO197" s="419"/>
      <c r="AP197" s="419"/>
      <c r="AQ197" s="419"/>
    </row>
    <row r="198" spans="1:43" x14ac:dyDescent="0.25">
      <c r="A198" s="384" t="s">
        <v>860</v>
      </c>
      <c r="B198" s="384"/>
      <c r="C198" s="384"/>
      <c r="D198" s="384"/>
      <c r="E198" s="9" t="s">
        <v>109</v>
      </c>
      <c r="F198" s="9" t="s">
        <v>110</v>
      </c>
      <c r="G198" s="9" t="s">
        <v>803</v>
      </c>
      <c r="H198" s="9">
        <v>2030</v>
      </c>
      <c r="I198" t="s">
        <v>125</v>
      </c>
      <c r="J198" t="s">
        <v>350</v>
      </c>
      <c r="K198" s="418">
        <v>0.8</v>
      </c>
      <c r="L198" s="210"/>
      <c r="M198" s="419">
        <v>0.82600000000000007</v>
      </c>
      <c r="N198" s="419">
        <v>0.82600000000000007</v>
      </c>
      <c r="O198" s="419">
        <v>0.82600000000000007</v>
      </c>
      <c r="P198" s="419">
        <v>0.82600000000000007</v>
      </c>
      <c r="Q198" s="419">
        <v>0.82600000000000007</v>
      </c>
      <c r="R198" s="419">
        <v>0.82600000000000007</v>
      </c>
      <c r="S198" s="419">
        <v>0.82600000000000007</v>
      </c>
      <c r="T198" s="419">
        <v>0.82600000000000007</v>
      </c>
      <c r="U198" s="419">
        <v>0.82600000000000007</v>
      </c>
      <c r="V198" s="419">
        <v>0.82600000000000007</v>
      </c>
      <c r="W198" s="419">
        <v>0.82600000000000007</v>
      </c>
      <c r="X198" s="419">
        <v>0.82600000000000007</v>
      </c>
      <c r="Y198" s="419">
        <v>0.82600000000000007</v>
      </c>
      <c r="Z198" s="419">
        <v>0.82600000000000007</v>
      </c>
      <c r="AA198" s="419">
        <v>0.82600000000000007</v>
      </c>
      <c r="AB198" s="419">
        <v>0.82600000000000007</v>
      </c>
      <c r="AC198" s="419">
        <v>0.82600000000000007</v>
      </c>
      <c r="AD198" s="419">
        <v>0.82600000000000007</v>
      </c>
      <c r="AE198" s="419">
        <v>0.82600000000000007</v>
      </c>
      <c r="AF198" s="419">
        <v>0.82600000000000007</v>
      </c>
      <c r="AG198" s="419">
        <v>0.82600000000000007</v>
      </c>
      <c r="AH198" s="419">
        <v>0.82600000000000007</v>
      </c>
      <c r="AI198" s="419">
        <v>0.82600000000000007</v>
      </c>
      <c r="AJ198" s="419">
        <v>0.82600000000000007</v>
      </c>
      <c r="AK198" s="419">
        <v>0.82600000000000007</v>
      </c>
      <c r="AL198" s="419">
        <v>0.82600000000000007</v>
      </c>
      <c r="AM198" s="419">
        <v>0.82600000000000007</v>
      </c>
      <c r="AN198" s="419">
        <v>0.82600000000000007</v>
      </c>
      <c r="AO198" s="419"/>
      <c r="AP198" s="419"/>
      <c r="AQ198" s="419"/>
    </row>
    <row r="199" spans="1:43" x14ac:dyDescent="0.25">
      <c r="A199" s="384" t="s">
        <v>861</v>
      </c>
      <c r="B199" s="384"/>
      <c r="C199" s="384"/>
      <c r="D199" s="384"/>
      <c r="F199" s="9" t="s">
        <v>110</v>
      </c>
      <c r="G199" s="9" t="s">
        <v>803</v>
      </c>
      <c r="H199" s="9">
        <v>2030</v>
      </c>
      <c r="I199" t="s">
        <v>766</v>
      </c>
      <c r="J199" t="s">
        <v>767</v>
      </c>
      <c r="K199" s="420">
        <v>0.6</v>
      </c>
      <c r="L199" s="210"/>
      <c r="M199" s="419">
        <v>0.61949999999999994</v>
      </c>
      <c r="N199" s="419">
        <v>0.61949999999999994</v>
      </c>
      <c r="O199" s="419">
        <v>0.61949999999999994</v>
      </c>
      <c r="P199" s="419">
        <v>0.61949999999999994</v>
      </c>
      <c r="Q199" s="419">
        <v>0.61949999999999994</v>
      </c>
      <c r="R199" s="419">
        <v>0.61949999999999994</v>
      </c>
      <c r="S199" s="419">
        <v>0.61949999999999994</v>
      </c>
      <c r="T199" s="419">
        <v>0.61949999999999994</v>
      </c>
      <c r="U199" s="419">
        <v>0.61949999999999994</v>
      </c>
      <c r="V199" s="419">
        <v>0.61949999999999994</v>
      </c>
      <c r="W199" s="419">
        <v>0.61949999999999994</v>
      </c>
      <c r="X199" s="419">
        <v>0.61949999999999994</v>
      </c>
      <c r="Y199" s="419">
        <v>0.61949999999999994</v>
      </c>
      <c r="Z199" s="419">
        <v>0.61949999999999994</v>
      </c>
      <c r="AA199" s="419">
        <v>0.61949999999999994</v>
      </c>
      <c r="AB199" s="419">
        <v>0.61949999999999994</v>
      </c>
      <c r="AC199" s="419">
        <v>0.61949999999999994</v>
      </c>
      <c r="AD199" s="419">
        <v>0.61949999999999994</v>
      </c>
      <c r="AE199" s="419">
        <v>0.61949999999999994</v>
      </c>
      <c r="AF199" s="419">
        <v>0.61949999999999994</v>
      </c>
      <c r="AG199" s="419">
        <v>0.61949999999999994</v>
      </c>
      <c r="AH199" s="419">
        <v>0.61949999999999994</v>
      </c>
      <c r="AI199" s="419">
        <v>0.61949999999999994</v>
      </c>
      <c r="AJ199" s="419">
        <v>0.61949999999999994</v>
      </c>
      <c r="AK199" s="419">
        <v>0.61949999999999994</v>
      </c>
      <c r="AL199" s="419">
        <v>0.61949999999999994</v>
      </c>
      <c r="AM199" s="419">
        <v>0.61949999999999994</v>
      </c>
      <c r="AN199" s="419">
        <v>0.61949999999999994</v>
      </c>
      <c r="AO199" s="419"/>
      <c r="AP199" s="419"/>
      <c r="AQ199" s="419"/>
    </row>
    <row r="200" spans="1:43" x14ac:dyDescent="0.25">
      <c r="A200" s="384" t="s">
        <v>862</v>
      </c>
      <c r="B200" s="384"/>
      <c r="C200" s="384"/>
      <c r="D200" s="384"/>
      <c r="F200" s="9" t="s">
        <v>110</v>
      </c>
      <c r="G200" s="9" t="s">
        <v>803</v>
      </c>
      <c r="H200" s="9">
        <v>2030</v>
      </c>
      <c r="I200" t="s">
        <v>129</v>
      </c>
      <c r="J200" t="s">
        <v>768</v>
      </c>
      <c r="K200" s="420">
        <v>1</v>
      </c>
      <c r="L200" s="210"/>
      <c r="M200" s="419">
        <v>1.0325</v>
      </c>
      <c r="N200" s="419">
        <v>1.0325</v>
      </c>
      <c r="O200" s="419">
        <v>1.0325</v>
      </c>
      <c r="P200" s="419">
        <v>1.0325</v>
      </c>
      <c r="Q200" s="419">
        <v>1.0325</v>
      </c>
      <c r="R200" s="419">
        <v>1.0325</v>
      </c>
      <c r="S200" s="419">
        <v>1.0325</v>
      </c>
      <c r="T200" s="419">
        <v>1.0325</v>
      </c>
      <c r="U200" s="419">
        <v>1.0325</v>
      </c>
      <c r="V200" s="419">
        <v>1.0325</v>
      </c>
      <c r="W200" s="419">
        <v>1.0325</v>
      </c>
      <c r="X200" s="419">
        <v>1.0325</v>
      </c>
      <c r="Y200" s="419">
        <v>1.0325</v>
      </c>
      <c r="Z200" s="419">
        <v>1.0325</v>
      </c>
      <c r="AA200" s="419">
        <v>1.0325</v>
      </c>
      <c r="AB200" s="419">
        <v>1.0325</v>
      </c>
      <c r="AC200" s="419">
        <v>1.0325</v>
      </c>
      <c r="AD200" s="419">
        <v>1.0325</v>
      </c>
      <c r="AE200" s="419">
        <v>1.0325</v>
      </c>
      <c r="AF200" s="419">
        <v>1.0325</v>
      </c>
      <c r="AG200" s="419">
        <v>1.0325</v>
      </c>
      <c r="AH200" s="419">
        <v>1.0325</v>
      </c>
      <c r="AI200" s="419">
        <v>1.0325</v>
      </c>
      <c r="AJ200" s="419">
        <v>1.0325</v>
      </c>
      <c r="AK200" s="419">
        <v>1.0325</v>
      </c>
      <c r="AL200" s="419">
        <v>1.0325</v>
      </c>
      <c r="AM200" s="419">
        <v>1.0325</v>
      </c>
      <c r="AN200" s="419">
        <v>1.0325</v>
      </c>
      <c r="AO200" s="419"/>
      <c r="AP200" s="419"/>
      <c r="AQ200" s="419"/>
    </row>
    <row r="201" spans="1:43" x14ac:dyDescent="0.25">
      <c r="A201" s="384" t="s">
        <v>863</v>
      </c>
      <c r="B201" s="384"/>
      <c r="C201" s="384"/>
      <c r="D201" s="384"/>
      <c r="F201" s="9" t="s">
        <v>110</v>
      </c>
      <c r="G201" s="9" t="s">
        <v>803</v>
      </c>
      <c r="H201" s="9">
        <v>2030</v>
      </c>
      <c r="I201" t="s">
        <v>769</v>
      </c>
      <c r="J201" t="s">
        <v>770</v>
      </c>
      <c r="K201" s="418">
        <v>0.4</v>
      </c>
      <c r="L201" s="210"/>
      <c r="M201" s="419">
        <v>0.41300000000000003</v>
      </c>
      <c r="N201" s="419">
        <v>0.41300000000000003</v>
      </c>
      <c r="O201" s="419">
        <v>0.41300000000000003</v>
      </c>
      <c r="P201" s="419">
        <v>0.41300000000000003</v>
      </c>
      <c r="Q201" s="419">
        <v>0.41300000000000003</v>
      </c>
      <c r="R201" s="419">
        <v>0.41300000000000003</v>
      </c>
      <c r="S201" s="419">
        <v>0.41300000000000003</v>
      </c>
      <c r="T201" s="419">
        <v>0.41300000000000003</v>
      </c>
      <c r="U201" s="419">
        <v>0.41300000000000003</v>
      </c>
      <c r="V201" s="419">
        <v>0.41300000000000003</v>
      </c>
      <c r="W201" s="419">
        <v>0.41300000000000003</v>
      </c>
      <c r="X201" s="419">
        <v>0.41300000000000003</v>
      </c>
      <c r="Y201" s="419">
        <v>0.41300000000000003</v>
      </c>
      <c r="Z201" s="419">
        <v>0.41300000000000003</v>
      </c>
      <c r="AA201" s="419">
        <v>0.41300000000000003</v>
      </c>
      <c r="AB201" s="419">
        <v>0.41300000000000003</v>
      </c>
      <c r="AC201" s="419">
        <v>0.41300000000000003</v>
      </c>
      <c r="AD201" s="419">
        <v>0.41300000000000003</v>
      </c>
      <c r="AE201" s="419">
        <v>0.41300000000000003</v>
      </c>
      <c r="AF201" s="419">
        <v>0.41300000000000003</v>
      </c>
      <c r="AG201" s="419">
        <v>0.41300000000000003</v>
      </c>
      <c r="AH201" s="419">
        <v>0.41300000000000003</v>
      </c>
      <c r="AI201" s="419">
        <v>0.41300000000000003</v>
      </c>
      <c r="AJ201" s="419">
        <v>0.41300000000000003</v>
      </c>
      <c r="AK201" s="419">
        <v>0.41300000000000003</v>
      </c>
      <c r="AL201" s="419">
        <v>0.41300000000000003</v>
      </c>
      <c r="AM201" s="419">
        <v>0.41300000000000003</v>
      </c>
      <c r="AN201" s="419">
        <v>0.41300000000000003</v>
      </c>
      <c r="AO201" s="419"/>
      <c r="AP201" s="419"/>
      <c r="AQ201" s="419"/>
    </row>
    <row r="202" spans="1:43" x14ac:dyDescent="0.25">
      <c r="A202" s="384" t="s">
        <v>864</v>
      </c>
      <c r="B202" s="384"/>
      <c r="C202" s="384"/>
      <c r="D202" s="384"/>
      <c r="F202" s="9" t="s">
        <v>110</v>
      </c>
      <c r="G202" s="9" t="s">
        <v>803</v>
      </c>
      <c r="H202" s="9">
        <v>2030</v>
      </c>
      <c r="I202" t="s">
        <v>771</v>
      </c>
      <c r="J202" t="s">
        <v>331</v>
      </c>
      <c r="K202" s="420">
        <v>0.4</v>
      </c>
      <c r="L202" s="210"/>
      <c r="M202" s="419">
        <v>0.41300000000000003</v>
      </c>
      <c r="N202" s="419">
        <v>0.41300000000000003</v>
      </c>
      <c r="O202" s="419">
        <v>0.41300000000000003</v>
      </c>
      <c r="P202" s="419">
        <v>0.41300000000000003</v>
      </c>
      <c r="Q202" s="419">
        <v>0.41300000000000003</v>
      </c>
      <c r="R202" s="419">
        <v>0.41300000000000003</v>
      </c>
      <c r="S202" s="419">
        <v>0.41300000000000003</v>
      </c>
      <c r="T202" s="419">
        <v>0.41300000000000003</v>
      </c>
      <c r="U202" s="419">
        <v>0.41300000000000003</v>
      </c>
      <c r="V202" s="419">
        <v>0.41300000000000003</v>
      </c>
      <c r="W202" s="419">
        <v>0.41300000000000003</v>
      </c>
      <c r="X202" s="419">
        <v>0.41300000000000003</v>
      </c>
      <c r="Y202" s="419">
        <v>0.41300000000000003</v>
      </c>
      <c r="Z202" s="419">
        <v>0.41300000000000003</v>
      </c>
      <c r="AA202" s="419">
        <v>0.41300000000000003</v>
      </c>
      <c r="AB202" s="419">
        <v>0.41300000000000003</v>
      </c>
      <c r="AC202" s="419">
        <v>0.41300000000000003</v>
      </c>
      <c r="AD202" s="419">
        <v>0.41300000000000003</v>
      </c>
      <c r="AE202" s="419">
        <v>0.41300000000000003</v>
      </c>
      <c r="AF202" s="419">
        <v>0.41300000000000003</v>
      </c>
      <c r="AG202" s="419">
        <v>0.41300000000000003</v>
      </c>
      <c r="AH202" s="419">
        <v>0.41300000000000003</v>
      </c>
      <c r="AI202" s="419">
        <v>0.41300000000000003</v>
      </c>
      <c r="AJ202" s="419">
        <v>0.41300000000000003</v>
      </c>
      <c r="AK202" s="419">
        <v>0.41300000000000003</v>
      </c>
      <c r="AL202" s="419">
        <v>0.41300000000000003</v>
      </c>
      <c r="AM202" s="419">
        <v>0.41300000000000003</v>
      </c>
      <c r="AN202" s="419">
        <v>0.41300000000000003</v>
      </c>
      <c r="AO202" s="419"/>
      <c r="AP202" s="419"/>
      <c r="AQ202" s="419"/>
    </row>
    <row r="203" spans="1:43" x14ac:dyDescent="0.25">
      <c r="A203" s="384" t="s">
        <v>865</v>
      </c>
      <c r="B203" s="384"/>
      <c r="C203" s="384"/>
      <c r="D203" s="384"/>
      <c r="F203" s="9" t="s">
        <v>110</v>
      </c>
      <c r="G203" s="9" t="s">
        <v>803</v>
      </c>
      <c r="H203" s="9">
        <v>2030</v>
      </c>
      <c r="I203" t="s">
        <v>116</v>
      </c>
      <c r="J203" t="s">
        <v>772</v>
      </c>
      <c r="K203" s="420">
        <v>0.4</v>
      </c>
      <c r="L203" s="210"/>
      <c r="M203" s="419">
        <v>0.41300000000000003</v>
      </c>
      <c r="N203" s="419">
        <v>0.41300000000000003</v>
      </c>
      <c r="O203" s="419">
        <v>0.41300000000000003</v>
      </c>
      <c r="P203" s="419">
        <v>0.41300000000000003</v>
      </c>
      <c r="Q203" s="419">
        <v>0.41300000000000003</v>
      </c>
      <c r="R203" s="419">
        <v>0.41300000000000003</v>
      </c>
      <c r="S203" s="419">
        <v>0.41300000000000003</v>
      </c>
      <c r="T203" s="419">
        <v>0.41300000000000003</v>
      </c>
      <c r="U203" s="419">
        <v>0.41300000000000003</v>
      </c>
      <c r="V203" s="419">
        <v>0.41300000000000003</v>
      </c>
      <c r="W203" s="419">
        <v>0.41300000000000003</v>
      </c>
      <c r="X203" s="419">
        <v>0.41300000000000003</v>
      </c>
      <c r="Y203" s="419">
        <v>0.41300000000000003</v>
      </c>
      <c r="Z203" s="419">
        <v>0.41300000000000003</v>
      </c>
      <c r="AA203" s="419">
        <v>0.41300000000000003</v>
      </c>
      <c r="AB203" s="419">
        <v>0.41300000000000003</v>
      </c>
      <c r="AC203" s="419">
        <v>0.41300000000000003</v>
      </c>
      <c r="AD203" s="419">
        <v>0.41300000000000003</v>
      </c>
      <c r="AE203" s="419">
        <v>0.41300000000000003</v>
      </c>
      <c r="AF203" s="419">
        <v>0.41300000000000003</v>
      </c>
      <c r="AG203" s="419">
        <v>0.41300000000000003</v>
      </c>
      <c r="AH203" s="419">
        <v>0.41300000000000003</v>
      </c>
      <c r="AI203" s="419">
        <v>0.41300000000000003</v>
      </c>
      <c r="AJ203" s="419">
        <v>0.41300000000000003</v>
      </c>
      <c r="AK203" s="419">
        <v>0.41300000000000003</v>
      </c>
      <c r="AL203" s="419">
        <v>0.41300000000000003</v>
      </c>
      <c r="AM203" s="419">
        <v>0.41300000000000003</v>
      </c>
      <c r="AN203" s="419">
        <v>0.41300000000000003</v>
      </c>
      <c r="AO203" s="419"/>
      <c r="AP203" s="419"/>
      <c r="AQ203" s="419"/>
    </row>
    <row r="204" spans="1:43" x14ac:dyDescent="0.25">
      <c r="A204" s="384" t="s">
        <v>860</v>
      </c>
      <c r="B204" s="384"/>
      <c r="C204" s="384"/>
      <c r="D204" s="384"/>
      <c r="E204" s="9" t="s">
        <v>109</v>
      </c>
      <c r="F204" s="9" t="s">
        <v>110</v>
      </c>
      <c r="G204" s="9" t="s">
        <v>803</v>
      </c>
      <c r="H204" s="9">
        <v>2050</v>
      </c>
      <c r="I204" t="s">
        <v>125</v>
      </c>
      <c r="J204" t="s">
        <v>350</v>
      </c>
      <c r="K204" s="418">
        <v>0.8</v>
      </c>
      <c r="L204" s="210"/>
      <c r="M204" s="419">
        <v>0.84419999999999984</v>
      </c>
      <c r="N204" s="419">
        <v>0.84419999999999984</v>
      </c>
      <c r="O204" s="419">
        <v>0.84419999999999984</v>
      </c>
      <c r="P204" s="419">
        <v>0.84419999999999984</v>
      </c>
      <c r="Q204" s="419">
        <v>0.84419999999999984</v>
      </c>
      <c r="R204" s="419">
        <v>0.84419999999999984</v>
      </c>
      <c r="S204" s="419">
        <v>0.84419999999999984</v>
      </c>
      <c r="T204" s="419">
        <v>0.84419999999999984</v>
      </c>
      <c r="U204" s="419">
        <v>0.84419999999999984</v>
      </c>
      <c r="V204" s="419">
        <v>0.84419999999999984</v>
      </c>
      <c r="W204" s="419">
        <v>0.84419999999999984</v>
      </c>
      <c r="X204" s="419">
        <v>0.84419999999999984</v>
      </c>
      <c r="Y204" s="419">
        <v>0.84419999999999984</v>
      </c>
      <c r="Z204" s="419">
        <v>0.84419999999999984</v>
      </c>
      <c r="AA204" s="419">
        <v>0.84419999999999984</v>
      </c>
      <c r="AB204" s="419">
        <v>0.84419999999999984</v>
      </c>
      <c r="AC204" s="419">
        <v>0.84419999999999984</v>
      </c>
      <c r="AD204" s="419">
        <v>0.84419999999999984</v>
      </c>
      <c r="AE204" s="419">
        <v>0.84419999999999984</v>
      </c>
      <c r="AF204" s="419">
        <v>0.84419999999999984</v>
      </c>
      <c r="AG204" s="419">
        <v>0.84419999999999984</v>
      </c>
      <c r="AH204" s="419">
        <v>0.84419999999999984</v>
      </c>
      <c r="AI204" s="419">
        <v>0.84419999999999984</v>
      </c>
      <c r="AJ204" s="419">
        <v>0.84419999999999984</v>
      </c>
      <c r="AK204" s="419">
        <v>0.84419999999999984</v>
      </c>
      <c r="AL204" s="419">
        <v>0.84419999999999984</v>
      </c>
      <c r="AM204" s="419">
        <v>0.84419999999999984</v>
      </c>
      <c r="AN204" s="419">
        <v>0.84419999999999984</v>
      </c>
      <c r="AO204" s="419"/>
      <c r="AP204" s="419"/>
      <c r="AQ204" s="419"/>
    </row>
    <row r="205" spans="1:43" x14ac:dyDescent="0.25">
      <c r="A205" s="384" t="s">
        <v>861</v>
      </c>
      <c r="B205" s="384"/>
      <c r="C205" s="384"/>
      <c r="D205" s="384"/>
      <c r="F205" s="9" t="s">
        <v>110</v>
      </c>
      <c r="G205" s="9" t="s">
        <v>803</v>
      </c>
      <c r="H205" s="9">
        <v>2050</v>
      </c>
      <c r="I205" t="s">
        <v>766</v>
      </c>
      <c r="J205" t="s">
        <v>767</v>
      </c>
      <c r="K205" s="420">
        <v>0.6</v>
      </c>
      <c r="L205" s="210"/>
      <c r="M205" s="419">
        <v>0.63314999999999988</v>
      </c>
      <c r="N205" s="419">
        <v>0.63314999999999988</v>
      </c>
      <c r="O205" s="419">
        <v>0.63314999999999988</v>
      </c>
      <c r="P205" s="419">
        <v>0.63314999999999988</v>
      </c>
      <c r="Q205" s="419">
        <v>0.63314999999999988</v>
      </c>
      <c r="R205" s="419">
        <v>0.63314999999999988</v>
      </c>
      <c r="S205" s="419">
        <v>0.63314999999999988</v>
      </c>
      <c r="T205" s="419">
        <v>0.63314999999999988</v>
      </c>
      <c r="U205" s="419">
        <v>0.63314999999999988</v>
      </c>
      <c r="V205" s="419">
        <v>0.63314999999999988</v>
      </c>
      <c r="W205" s="419">
        <v>0.63314999999999988</v>
      </c>
      <c r="X205" s="419">
        <v>0.63314999999999988</v>
      </c>
      <c r="Y205" s="419">
        <v>0.63314999999999988</v>
      </c>
      <c r="Z205" s="419">
        <v>0.63314999999999988</v>
      </c>
      <c r="AA205" s="419">
        <v>0.63314999999999988</v>
      </c>
      <c r="AB205" s="419">
        <v>0.63314999999999988</v>
      </c>
      <c r="AC205" s="419">
        <v>0.63314999999999988</v>
      </c>
      <c r="AD205" s="419">
        <v>0.63314999999999988</v>
      </c>
      <c r="AE205" s="419">
        <v>0.63314999999999988</v>
      </c>
      <c r="AF205" s="419">
        <v>0.63314999999999988</v>
      </c>
      <c r="AG205" s="419">
        <v>0.63314999999999988</v>
      </c>
      <c r="AH205" s="419">
        <v>0.63314999999999988</v>
      </c>
      <c r="AI205" s="419">
        <v>0.63314999999999988</v>
      </c>
      <c r="AJ205" s="419">
        <v>0.63314999999999988</v>
      </c>
      <c r="AK205" s="419">
        <v>0.63314999999999988</v>
      </c>
      <c r="AL205" s="419">
        <v>0.63314999999999988</v>
      </c>
      <c r="AM205" s="419">
        <v>0.63314999999999988</v>
      </c>
      <c r="AN205" s="419">
        <v>0.63314999999999988</v>
      </c>
      <c r="AO205" s="419"/>
      <c r="AP205" s="419"/>
      <c r="AQ205" s="419"/>
    </row>
    <row r="206" spans="1:43" x14ac:dyDescent="0.25">
      <c r="A206" s="384" t="s">
        <v>862</v>
      </c>
      <c r="B206" s="384"/>
      <c r="C206" s="384"/>
      <c r="D206" s="384"/>
      <c r="F206" s="9" t="s">
        <v>110</v>
      </c>
      <c r="G206" s="9" t="s">
        <v>803</v>
      </c>
      <c r="H206" s="9">
        <v>2050</v>
      </c>
      <c r="I206" t="s">
        <v>129</v>
      </c>
      <c r="J206" t="s">
        <v>768</v>
      </c>
      <c r="K206" s="420">
        <v>1</v>
      </c>
      <c r="L206" s="210"/>
      <c r="M206" s="419">
        <v>1.0552499999999998</v>
      </c>
      <c r="N206" s="419">
        <v>1.0552499999999998</v>
      </c>
      <c r="O206" s="419">
        <v>1.0552499999999998</v>
      </c>
      <c r="P206" s="419">
        <v>1.0552499999999998</v>
      </c>
      <c r="Q206" s="419">
        <v>1.0552499999999998</v>
      </c>
      <c r="R206" s="419">
        <v>1.0552499999999998</v>
      </c>
      <c r="S206" s="419">
        <v>1.0552499999999998</v>
      </c>
      <c r="T206" s="419">
        <v>1.0552499999999998</v>
      </c>
      <c r="U206" s="419">
        <v>1.0552499999999998</v>
      </c>
      <c r="V206" s="419">
        <v>1.0552499999999998</v>
      </c>
      <c r="W206" s="419">
        <v>1.0552499999999998</v>
      </c>
      <c r="X206" s="419">
        <v>1.0552499999999998</v>
      </c>
      <c r="Y206" s="419">
        <v>1.0552499999999998</v>
      </c>
      <c r="Z206" s="419">
        <v>1.0552499999999998</v>
      </c>
      <c r="AA206" s="419">
        <v>1.0552499999999998</v>
      </c>
      <c r="AB206" s="419">
        <v>1.0552499999999998</v>
      </c>
      <c r="AC206" s="419">
        <v>1.0552499999999998</v>
      </c>
      <c r="AD206" s="419">
        <v>1.0552499999999998</v>
      </c>
      <c r="AE206" s="419">
        <v>1.0552499999999998</v>
      </c>
      <c r="AF206" s="419">
        <v>1.0552499999999998</v>
      </c>
      <c r="AG206" s="419">
        <v>1.0552499999999998</v>
      </c>
      <c r="AH206" s="419">
        <v>1.0552499999999998</v>
      </c>
      <c r="AI206" s="419">
        <v>1.0552499999999998</v>
      </c>
      <c r="AJ206" s="419">
        <v>1.0552499999999998</v>
      </c>
      <c r="AK206" s="419">
        <v>1.0552499999999998</v>
      </c>
      <c r="AL206" s="419">
        <v>1.0552499999999998</v>
      </c>
      <c r="AM206" s="419">
        <v>1.0552499999999998</v>
      </c>
      <c r="AN206" s="419">
        <v>1.0552499999999998</v>
      </c>
      <c r="AO206" s="419"/>
      <c r="AP206" s="419"/>
      <c r="AQ206" s="419"/>
    </row>
    <row r="207" spans="1:43" x14ac:dyDescent="0.25">
      <c r="A207" s="384" t="s">
        <v>863</v>
      </c>
      <c r="B207" s="384"/>
      <c r="C207" s="384"/>
      <c r="D207" s="384"/>
      <c r="F207" s="9" t="s">
        <v>110</v>
      </c>
      <c r="G207" s="9" t="s">
        <v>803</v>
      </c>
      <c r="H207" s="9">
        <v>2050</v>
      </c>
      <c r="I207" t="s">
        <v>769</v>
      </c>
      <c r="J207" t="s">
        <v>770</v>
      </c>
      <c r="K207" s="418">
        <v>0.4</v>
      </c>
      <c r="L207" s="210"/>
      <c r="M207" s="419">
        <v>0.42209999999999992</v>
      </c>
      <c r="N207" s="419">
        <v>0.42209999999999992</v>
      </c>
      <c r="O207" s="419">
        <v>0.42209999999999992</v>
      </c>
      <c r="P207" s="419">
        <v>0.42209999999999992</v>
      </c>
      <c r="Q207" s="419">
        <v>0.42209999999999992</v>
      </c>
      <c r="R207" s="419">
        <v>0.42209999999999992</v>
      </c>
      <c r="S207" s="419">
        <v>0.42209999999999992</v>
      </c>
      <c r="T207" s="419">
        <v>0.42209999999999992</v>
      </c>
      <c r="U207" s="419">
        <v>0.42209999999999992</v>
      </c>
      <c r="V207" s="419">
        <v>0.42209999999999992</v>
      </c>
      <c r="W207" s="419">
        <v>0.42209999999999992</v>
      </c>
      <c r="X207" s="419">
        <v>0.42209999999999992</v>
      </c>
      <c r="Y207" s="419">
        <v>0.42209999999999992</v>
      </c>
      <c r="Z207" s="419">
        <v>0.42209999999999992</v>
      </c>
      <c r="AA207" s="419">
        <v>0.42209999999999992</v>
      </c>
      <c r="AB207" s="419">
        <v>0.42209999999999992</v>
      </c>
      <c r="AC207" s="419">
        <v>0.42209999999999992</v>
      </c>
      <c r="AD207" s="419">
        <v>0.42209999999999992</v>
      </c>
      <c r="AE207" s="419">
        <v>0.42209999999999992</v>
      </c>
      <c r="AF207" s="419">
        <v>0.42209999999999992</v>
      </c>
      <c r="AG207" s="419">
        <v>0.42209999999999992</v>
      </c>
      <c r="AH207" s="419">
        <v>0.42209999999999992</v>
      </c>
      <c r="AI207" s="419">
        <v>0.42209999999999992</v>
      </c>
      <c r="AJ207" s="419">
        <v>0.42209999999999992</v>
      </c>
      <c r="AK207" s="419">
        <v>0.42209999999999992</v>
      </c>
      <c r="AL207" s="419">
        <v>0.42209999999999992</v>
      </c>
      <c r="AM207" s="419">
        <v>0.42209999999999992</v>
      </c>
      <c r="AN207" s="419">
        <v>0.42209999999999992</v>
      </c>
      <c r="AO207" s="419"/>
      <c r="AP207" s="419"/>
      <c r="AQ207" s="419"/>
    </row>
    <row r="208" spans="1:43" x14ac:dyDescent="0.25">
      <c r="A208" s="384" t="s">
        <v>864</v>
      </c>
      <c r="B208" s="384"/>
      <c r="C208" s="384"/>
      <c r="D208" s="384"/>
      <c r="F208" s="9" t="s">
        <v>110</v>
      </c>
      <c r="G208" s="9" t="s">
        <v>803</v>
      </c>
      <c r="H208" s="9">
        <v>2050</v>
      </c>
      <c r="I208" t="s">
        <v>771</v>
      </c>
      <c r="J208" t="s">
        <v>331</v>
      </c>
      <c r="K208" s="420">
        <v>0.4</v>
      </c>
      <c r="L208" s="210"/>
      <c r="M208" s="419">
        <v>0.42209999999999992</v>
      </c>
      <c r="N208" s="419">
        <v>0.42209999999999992</v>
      </c>
      <c r="O208" s="419">
        <v>0.42209999999999992</v>
      </c>
      <c r="P208" s="419">
        <v>0.42209999999999992</v>
      </c>
      <c r="Q208" s="419">
        <v>0.42209999999999992</v>
      </c>
      <c r="R208" s="419">
        <v>0.42209999999999992</v>
      </c>
      <c r="S208" s="419">
        <v>0.42209999999999992</v>
      </c>
      <c r="T208" s="419">
        <v>0.42209999999999992</v>
      </c>
      <c r="U208" s="419">
        <v>0.42209999999999992</v>
      </c>
      <c r="V208" s="419">
        <v>0.42209999999999992</v>
      </c>
      <c r="W208" s="419">
        <v>0.42209999999999992</v>
      </c>
      <c r="X208" s="419">
        <v>0.42209999999999992</v>
      </c>
      <c r="Y208" s="419">
        <v>0.42209999999999992</v>
      </c>
      <c r="Z208" s="419">
        <v>0.42209999999999992</v>
      </c>
      <c r="AA208" s="419">
        <v>0.42209999999999992</v>
      </c>
      <c r="AB208" s="419">
        <v>0.42209999999999992</v>
      </c>
      <c r="AC208" s="419">
        <v>0.42209999999999992</v>
      </c>
      <c r="AD208" s="419">
        <v>0.42209999999999992</v>
      </c>
      <c r="AE208" s="419">
        <v>0.42209999999999992</v>
      </c>
      <c r="AF208" s="419">
        <v>0.42209999999999992</v>
      </c>
      <c r="AG208" s="419">
        <v>0.42209999999999992</v>
      </c>
      <c r="AH208" s="419">
        <v>0.42209999999999992</v>
      </c>
      <c r="AI208" s="419">
        <v>0.42209999999999992</v>
      </c>
      <c r="AJ208" s="419">
        <v>0.42209999999999992</v>
      </c>
      <c r="AK208" s="419">
        <v>0.42209999999999992</v>
      </c>
      <c r="AL208" s="419">
        <v>0.42209999999999992</v>
      </c>
      <c r="AM208" s="419">
        <v>0.42209999999999992</v>
      </c>
      <c r="AN208" s="419">
        <v>0.42209999999999992</v>
      </c>
      <c r="AO208" s="419"/>
      <c r="AP208" s="419"/>
      <c r="AQ208" s="419"/>
    </row>
    <row r="209" spans="1:43" x14ac:dyDescent="0.25">
      <c r="A209" s="384" t="s">
        <v>865</v>
      </c>
      <c r="B209" s="384"/>
      <c r="C209" s="384"/>
      <c r="D209" s="384"/>
      <c r="F209" s="9" t="s">
        <v>110</v>
      </c>
      <c r="G209" s="9" t="s">
        <v>803</v>
      </c>
      <c r="H209" s="9">
        <v>2050</v>
      </c>
      <c r="I209" t="s">
        <v>116</v>
      </c>
      <c r="J209" t="s">
        <v>772</v>
      </c>
      <c r="K209" s="420">
        <v>0.4</v>
      </c>
      <c r="L209" s="210"/>
      <c r="M209" s="419">
        <v>0.42209999999999992</v>
      </c>
      <c r="N209" s="419">
        <v>0.42209999999999992</v>
      </c>
      <c r="O209" s="419">
        <v>0.42209999999999992</v>
      </c>
      <c r="P209" s="419">
        <v>0.42209999999999992</v>
      </c>
      <c r="Q209" s="419">
        <v>0.42209999999999992</v>
      </c>
      <c r="R209" s="419">
        <v>0.42209999999999992</v>
      </c>
      <c r="S209" s="419">
        <v>0.42209999999999992</v>
      </c>
      <c r="T209" s="419">
        <v>0.42209999999999992</v>
      </c>
      <c r="U209" s="419">
        <v>0.42209999999999992</v>
      </c>
      <c r="V209" s="419">
        <v>0.42209999999999992</v>
      </c>
      <c r="W209" s="419">
        <v>0.42209999999999992</v>
      </c>
      <c r="X209" s="419">
        <v>0.42209999999999992</v>
      </c>
      <c r="Y209" s="419">
        <v>0.42209999999999992</v>
      </c>
      <c r="Z209" s="419">
        <v>0.42209999999999992</v>
      </c>
      <c r="AA209" s="419">
        <v>0.42209999999999992</v>
      </c>
      <c r="AB209" s="419">
        <v>0.42209999999999992</v>
      </c>
      <c r="AC209" s="419">
        <v>0.42209999999999992</v>
      </c>
      <c r="AD209" s="419">
        <v>0.42209999999999992</v>
      </c>
      <c r="AE209" s="419">
        <v>0.42209999999999992</v>
      </c>
      <c r="AF209" s="419">
        <v>0.42209999999999992</v>
      </c>
      <c r="AG209" s="419">
        <v>0.42209999999999992</v>
      </c>
      <c r="AH209" s="419">
        <v>0.42209999999999992</v>
      </c>
      <c r="AI209" s="419">
        <v>0.42209999999999992</v>
      </c>
      <c r="AJ209" s="419">
        <v>0.42209999999999992</v>
      </c>
      <c r="AK209" s="419">
        <v>0.42209999999999992</v>
      </c>
      <c r="AL209" s="419">
        <v>0.42209999999999992</v>
      </c>
      <c r="AM209" s="419">
        <v>0.42209999999999992</v>
      </c>
      <c r="AN209" s="419">
        <v>0.42209999999999992</v>
      </c>
      <c r="AO209" s="419"/>
      <c r="AP209" s="419"/>
      <c r="AQ209" s="419"/>
    </row>
    <row r="210" spans="1:43" x14ac:dyDescent="0.25">
      <c r="A210" s="384" t="s">
        <v>866</v>
      </c>
      <c r="B210" s="384"/>
      <c r="C210" s="384"/>
      <c r="D210" s="384"/>
      <c r="E210" s="9" t="s">
        <v>109</v>
      </c>
      <c r="F210" s="9" t="s">
        <v>110</v>
      </c>
      <c r="G210" s="9" t="s">
        <v>805</v>
      </c>
      <c r="H210" s="9">
        <v>2030</v>
      </c>
      <c r="I210" t="s">
        <v>125</v>
      </c>
      <c r="J210" t="s">
        <v>350</v>
      </c>
      <c r="K210" s="418">
        <v>0.8</v>
      </c>
      <c r="L210" s="210"/>
      <c r="M210" s="419">
        <v>0.89600000000000013</v>
      </c>
      <c r="N210" s="419">
        <v>0.89600000000000013</v>
      </c>
      <c r="O210" s="419">
        <v>0.89600000000000013</v>
      </c>
      <c r="P210" s="419">
        <v>0.89600000000000013</v>
      </c>
      <c r="Q210" s="419">
        <v>0.89600000000000013</v>
      </c>
      <c r="R210" s="419">
        <v>0.89600000000000013</v>
      </c>
      <c r="S210" s="419">
        <v>0.89600000000000013</v>
      </c>
      <c r="T210" s="419">
        <v>0.89600000000000013</v>
      </c>
      <c r="U210" s="419">
        <v>0.89600000000000013</v>
      </c>
      <c r="V210" s="419">
        <v>0.89600000000000013</v>
      </c>
      <c r="W210" s="419">
        <v>0.89600000000000013</v>
      </c>
      <c r="X210" s="419">
        <v>0.89600000000000013</v>
      </c>
      <c r="Y210" s="419">
        <v>0.89600000000000013</v>
      </c>
      <c r="Z210" s="419">
        <v>0.89600000000000013</v>
      </c>
      <c r="AA210" s="419">
        <v>0.89600000000000013</v>
      </c>
      <c r="AB210" s="419">
        <v>0.89600000000000013</v>
      </c>
      <c r="AC210" s="419">
        <v>0.89600000000000013</v>
      </c>
      <c r="AD210" s="419">
        <v>0.89600000000000013</v>
      </c>
      <c r="AE210" s="419">
        <v>0.89600000000000013</v>
      </c>
      <c r="AF210" s="419">
        <v>0.89600000000000013</v>
      </c>
      <c r="AG210" s="419">
        <v>0.89600000000000013</v>
      </c>
      <c r="AH210" s="419">
        <v>0.89600000000000013</v>
      </c>
      <c r="AI210" s="419">
        <v>0.89600000000000013</v>
      </c>
      <c r="AJ210" s="419">
        <v>0.89600000000000013</v>
      </c>
      <c r="AK210" s="419">
        <v>0.89600000000000013</v>
      </c>
      <c r="AL210" s="419">
        <v>0.89600000000000013</v>
      </c>
      <c r="AM210" s="419">
        <v>0.89600000000000013</v>
      </c>
      <c r="AN210" s="419">
        <v>0.89600000000000013</v>
      </c>
      <c r="AO210" s="419"/>
      <c r="AP210" s="419"/>
      <c r="AQ210" s="419"/>
    </row>
    <row r="211" spans="1:43" x14ac:dyDescent="0.25">
      <c r="A211" s="384" t="s">
        <v>867</v>
      </c>
      <c r="B211" s="384"/>
      <c r="C211" s="384"/>
      <c r="D211" s="384"/>
      <c r="F211" s="9" t="s">
        <v>110</v>
      </c>
      <c r="G211" s="9" t="s">
        <v>805</v>
      </c>
      <c r="H211" s="9">
        <v>2030</v>
      </c>
      <c r="I211" t="s">
        <v>766</v>
      </c>
      <c r="J211" t="s">
        <v>767</v>
      </c>
      <c r="K211" s="420">
        <v>0.6</v>
      </c>
      <c r="L211" s="210"/>
      <c r="M211" s="419">
        <v>0.67200000000000004</v>
      </c>
      <c r="N211" s="419">
        <v>0.67200000000000004</v>
      </c>
      <c r="O211" s="419">
        <v>0.67200000000000004</v>
      </c>
      <c r="P211" s="419">
        <v>0.67200000000000004</v>
      </c>
      <c r="Q211" s="419">
        <v>0.67200000000000004</v>
      </c>
      <c r="R211" s="419">
        <v>0.67200000000000004</v>
      </c>
      <c r="S211" s="419">
        <v>0.67200000000000004</v>
      </c>
      <c r="T211" s="419">
        <v>0.67200000000000004</v>
      </c>
      <c r="U211" s="419">
        <v>0.67200000000000004</v>
      </c>
      <c r="V211" s="419">
        <v>0.67200000000000004</v>
      </c>
      <c r="W211" s="419">
        <v>0.67200000000000004</v>
      </c>
      <c r="X211" s="419">
        <v>0.67200000000000004</v>
      </c>
      <c r="Y211" s="419">
        <v>0.67200000000000004</v>
      </c>
      <c r="Z211" s="419">
        <v>0.67200000000000004</v>
      </c>
      <c r="AA211" s="419">
        <v>0.67200000000000004</v>
      </c>
      <c r="AB211" s="419">
        <v>0.67200000000000004</v>
      </c>
      <c r="AC211" s="419">
        <v>0.67200000000000004</v>
      </c>
      <c r="AD211" s="419">
        <v>0.67200000000000004</v>
      </c>
      <c r="AE211" s="419">
        <v>0.67200000000000004</v>
      </c>
      <c r="AF211" s="419">
        <v>0.67200000000000004</v>
      </c>
      <c r="AG211" s="419">
        <v>0.67200000000000004</v>
      </c>
      <c r="AH211" s="419">
        <v>0.67200000000000004</v>
      </c>
      <c r="AI211" s="419">
        <v>0.67200000000000004</v>
      </c>
      <c r="AJ211" s="419">
        <v>0.67200000000000004</v>
      </c>
      <c r="AK211" s="419">
        <v>0.67200000000000004</v>
      </c>
      <c r="AL211" s="419">
        <v>0.67200000000000004</v>
      </c>
      <c r="AM211" s="419">
        <v>0.67200000000000004</v>
      </c>
      <c r="AN211" s="419">
        <v>0.67200000000000004</v>
      </c>
      <c r="AO211" s="419"/>
      <c r="AP211" s="419"/>
      <c r="AQ211" s="419"/>
    </row>
    <row r="212" spans="1:43" x14ac:dyDescent="0.25">
      <c r="A212" s="384" t="s">
        <v>868</v>
      </c>
      <c r="B212" s="384"/>
      <c r="C212" s="384"/>
      <c r="D212" s="384"/>
      <c r="F212" s="9" t="s">
        <v>110</v>
      </c>
      <c r="G212" s="9" t="s">
        <v>805</v>
      </c>
      <c r="H212" s="9">
        <v>2030</v>
      </c>
      <c r="I212" t="s">
        <v>129</v>
      </c>
      <c r="J212" t="s">
        <v>768</v>
      </c>
      <c r="K212" s="420">
        <v>1</v>
      </c>
      <c r="L212" s="210"/>
      <c r="M212" s="419">
        <v>1.1200000000000001</v>
      </c>
      <c r="N212" s="419">
        <v>1.1200000000000001</v>
      </c>
      <c r="O212" s="419">
        <v>1.1200000000000001</v>
      </c>
      <c r="P212" s="419">
        <v>1.1200000000000001</v>
      </c>
      <c r="Q212" s="419">
        <v>1.1200000000000001</v>
      </c>
      <c r="R212" s="419">
        <v>1.1200000000000001</v>
      </c>
      <c r="S212" s="419">
        <v>1.1200000000000001</v>
      </c>
      <c r="T212" s="419">
        <v>1.1200000000000001</v>
      </c>
      <c r="U212" s="419">
        <v>1.1200000000000001</v>
      </c>
      <c r="V212" s="419">
        <v>1.1200000000000001</v>
      </c>
      <c r="W212" s="419">
        <v>1.1200000000000001</v>
      </c>
      <c r="X212" s="419">
        <v>1.1200000000000001</v>
      </c>
      <c r="Y212" s="419">
        <v>1.1200000000000001</v>
      </c>
      <c r="Z212" s="419">
        <v>1.1200000000000001</v>
      </c>
      <c r="AA212" s="419">
        <v>1.1200000000000001</v>
      </c>
      <c r="AB212" s="419">
        <v>1.1200000000000001</v>
      </c>
      <c r="AC212" s="419">
        <v>1.1200000000000001</v>
      </c>
      <c r="AD212" s="419">
        <v>1.1200000000000001</v>
      </c>
      <c r="AE212" s="419">
        <v>1.1200000000000001</v>
      </c>
      <c r="AF212" s="419">
        <v>1.1200000000000001</v>
      </c>
      <c r="AG212" s="419">
        <v>1.1200000000000001</v>
      </c>
      <c r="AH212" s="419">
        <v>1.1200000000000001</v>
      </c>
      <c r="AI212" s="419">
        <v>1.1200000000000001</v>
      </c>
      <c r="AJ212" s="419">
        <v>1.1200000000000001</v>
      </c>
      <c r="AK212" s="419">
        <v>1.1200000000000001</v>
      </c>
      <c r="AL212" s="419">
        <v>1.1200000000000001</v>
      </c>
      <c r="AM212" s="419">
        <v>1.1200000000000001</v>
      </c>
      <c r="AN212" s="419">
        <v>1.1200000000000001</v>
      </c>
      <c r="AO212" s="419"/>
      <c r="AP212" s="419"/>
      <c r="AQ212" s="419"/>
    </row>
    <row r="213" spans="1:43" x14ac:dyDescent="0.25">
      <c r="A213" s="384" t="s">
        <v>869</v>
      </c>
      <c r="B213" s="384"/>
      <c r="C213" s="384"/>
      <c r="D213" s="384"/>
      <c r="F213" s="9" t="s">
        <v>110</v>
      </c>
      <c r="G213" s="9" t="s">
        <v>805</v>
      </c>
      <c r="H213" s="9">
        <v>2030</v>
      </c>
      <c r="I213" t="s">
        <v>769</v>
      </c>
      <c r="J213" t="s">
        <v>770</v>
      </c>
      <c r="K213" s="418">
        <v>0.4</v>
      </c>
      <c r="L213" s="210"/>
      <c r="M213" s="419">
        <v>0.44800000000000006</v>
      </c>
      <c r="N213" s="419">
        <v>0.44800000000000006</v>
      </c>
      <c r="O213" s="419">
        <v>0.44800000000000006</v>
      </c>
      <c r="P213" s="419">
        <v>0.44800000000000006</v>
      </c>
      <c r="Q213" s="419">
        <v>0.44800000000000006</v>
      </c>
      <c r="R213" s="419">
        <v>0.44800000000000006</v>
      </c>
      <c r="S213" s="419">
        <v>0.44800000000000006</v>
      </c>
      <c r="T213" s="419">
        <v>0.44800000000000006</v>
      </c>
      <c r="U213" s="419">
        <v>0.44800000000000006</v>
      </c>
      <c r="V213" s="419">
        <v>0.44800000000000006</v>
      </c>
      <c r="W213" s="419">
        <v>0.44800000000000006</v>
      </c>
      <c r="X213" s="419">
        <v>0.44800000000000006</v>
      </c>
      <c r="Y213" s="419">
        <v>0.44800000000000006</v>
      </c>
      <c r="Z213" s="419">
        <v>0.44800000000000006</v>
      </c>
      <c r="AA213" s="419">
        <v>0.44800000000000006</v>
      </c>
      <c r="AB213" s="419">
        <v>0.44800000000000006</v>
      </c>
      <c r="AC213" s="419">
        <v>0.44800000000000006</v>
      </c>
      <c r="AD213" s="419">
        <v>0.44800000000000006</v>
      </c>
      <c r="AE213" s="419">
        <v>0.44800000000000006</v>
      </c>
      <c r="AF213" s="419">
        <v>0.44800000000000006</v>
      </c>
      <c r="AG213" s="419">
        <v>0.44800000000000006</v>
      </c>
      <c r="AH213" s="419">
        <v>0.44800000000000006</v>
      </c>
      <c r="AI213" s="419">
        <v>0.44800000000000006</v>
      </c>
      <c r="AJ213" s="419">
        <v>0.44800000000000006</v>
      </c>
      <c r="AK213" s="419">
        <v>0.44800000000000006</v>
      </c>
      <c r="AL213" s="419">
        <v>0.44800000000000006</v>
      </c>
      <c r="AM213" s="419">
        <v>0.44800000000000006</v>
      </c>
      <c r="AN213" s="419">
        <v>0.44800000000000006</v>
      </c>
      <c r="AO213" s="419"/>
      <c r="AP213" s="419"/>
      <c r="AQ213" s="419"/>
    </row>
    <row r="214" spans="1:43" x14ac:dyDescent="0.25">
      <c r="A214" s="384" t="s">
        <v>870</v>
      </c>
      <c r="B214" s="384"/>
      <c r="C214" s="384"/>
      <c r="D214" s="384"/>
      <c r="F214" s="9" t="s">
        <v>110</v>
      </c>
      <c r="G214" s="9" t="s">
        <v>805</v>
      </c>
      <c r="H214" s="9">
        <v>2030</v>
      </c>
      <c r="I214" t="s">
        <v>771</v>
      </c>
      <c r="J214" t="s">
        <v>331</v>
      </c>
      <c r="K214" s="420">
        <v>0.4</v>
      </c>
      <c r="L214" s="210"/>
      <c r="M214" s="419">
        <v>0.44800000000000006</v>
      </c>
      <c r="N214" s="419">
        <v>0.44800000000000006</v>
      </c>
      <c r="O214" s="419">
        <v>0.44800000000000006</v>
      </c>
      <c r="P214" s="419">
        <v>0.44800000000000006</v>
      </c>
      <c r="Q214" s="419">
        <v>0.44800000000000006</v>
      </c>
      <c r="R214" s="419">
        <v>0.44800000000000006</v>
      </c>
      <c r="S214" s="419">
        <v>0.44800000000000006</v>
      </c>
      <c r="T214" s="419">
        <v>0.44800000000000006</v>
      </c>
      <c r="U214" s="419">
        <v>0.44800000000000006</v>
      </c>
      <c r="V214" s="419">
        <v>0.44800000000000006</v>
      </c>
      <c r="W214" s="419">
        <v>0.44800000000000006</v>
      </c>
      <c r="X214" s="419">
        <v>0.44800000000000006</v>
      </c>
      <c r="Y214" s="419">
        <v>0.44800000000000006</v>
      </c>
      <c r="Z214" s="419">
        <v>0.44800000000000006</v>
      </c>
      <c r="AA214" s="419">
        <v>0.44800000000000006</v>
      </c>
      <c r="AB214" s="419">
        <v>0.44800000000000006</v>
      </c>
      <c r="AC214" s="419">
        <v>0.44800000000000006</v>
      </c>
      <c r="AD214" s="419">
        <v>0.44800000000000006</v>
      </c>
      <c r="AE214" s="419">
        <v>0.44800000000000006</v>
      </c>
      <c r="AF214" s="419">
        <v>0.44800000000000006</v>
      </c>
      <c r="AG214" s="419">
        <v>0.44800000000000006</v>
      </c>
      <c r="AH214" s="419">
        <v>0.44800000000000006</v>
      </c>
      <c r="AI214" s="419">
        <v>0.44800000000000006</v>
      </c>
      <c r="AJ214" s="419">
        <v>0.44800000000000006</v>
      </c>
      <c r="AK214" s="419">
        <v>0.44800000000000006</v>
      </c>
      <c r="AL214" s="419">
        <v>0.44800000000000006</v>
      </c>
      <c r="AM214" s="419">
        <v>0.44800000000000006</v>
      </c>
      <c r="AN214" s="419">
        <v>0.44800000000000006</v>
      </c>
      <c r="AO214" s="419"/>
      <c r="AP214" s="419"/>
      <c r="AQ214" s="419"/>
    </row>
    <row r="215" spans="1:43" x14ac:dyDescent="0.25">
      <c r="A215" s="384" t="s">
        <v>871</v>
      </c>
      <c r="B215" s="384"/>
      <c r="C215" s="384"/>
      <c r="D215" s="384"/>
      <c r="F215" s="9" t="s">
        <v>110</v>
      </c>
      <c r="G215" s="9" t="s">
        <v>805</v>
      </c>
      <c r="H215" s="9">
        <v>2030</v>
      </c>
      <c r="I215" t="s">
        <v>116</v>
      </c>
      <c r="J215" t="s">
        <v>772</v>
      </c>
      <c r="K215" s="420">
        <v>0.4</v>
      </c>
      <c r="L215" s="210"/>
      <c r="M215" s="419">
        <v>0.44800000000000006</v>
      </c>
      <c r="N215" s="419">
        <v>0.44800000000000006</v>
      </c>
      <c r="O215" s="419">
        <v>0.44800000000000006</v>
      </c>
      <c r="P215" s="419">
        <v>0.44800000000000006</v>
      </c>
      <c r="Q215" s="419">
        <v>0.44800000000000006</v>
      </c>
      <c r="R215" s="419">
        <v>0.44800000000000006</v>
      </c>
      <c r="S215" s="419">
        <v>0.44800000000000006</v>
      </c>
      <c r="T215" s="419">
        <v>0.44800000000000006</v>
      </c>
      <c r="U215" s="419">
        <v>0.44800000000000006</v>
      </c>
      <c r="V215" s="419">
        <v>0.44800000000000006</v>
      </c>
      <c r="W215" s="419">
        <v>0.44800000000000006</v>
      </c>
      <c r="X215" s="419">
        <v>0.44800000000000006</v>
      </c>
      <c r="Y215" s="419">
        <v>0.44800000000000006</v>
      </c>
      <c r="Z215" s="419">
        <v>0.44800000000000006</v>
      </c>
      <c r="AA215" s="419">
        <v>0.44800000000000006</v>
      </c>
      <c r="AB215" s="419">
        <v>0.44800000000000006</v>
      </c>
      <c r="AC215" s="419">
        <v>0.44800000000000006</v>
      </c>
      <c r="AD215" s="419">
        <v>0.44800000000000006</v>
      </c>
      <c r="AE215" s="419">
        <v>0.44800000000000006</v>
      </c>
      <c r="AF215" s="419">
        <v>0.44800000000000006</v>
      </c>
      <c r="AG215" s="419">
        <v>0.44800000000000006</v>
      </c>
      <c r="AH215" s="419">
        <v>0.44800000000000006</v>
      </c>
      <c r="AI215" s="419">
        <v>0.44800000000000006</v>
      </c>
      <c r="AJ215" s="419">
        <v>0.44800000000000006</v>
      </c>
      <c r="AK215" s="419">
        <v>0.44800000000000006</v>
      </c>
      <c r="AL215" s="419">
        <v>0.44800000000000006</v>
      </c>
      <c r="AM215" s="419">
        <v>0.44800000000000006</v>
      </c>
      <c r="AN215" s="419">
        <v>0.44800000000000006</v>
      </c>
      <c r="AO215" s="419"/>
      <c r="AP215" s="419"/>
      <c r="AQ215" s="419"/>
    </row>
    <row r="216" spans="1:43" x14ac:dyDescent="0.25">
      <c r="A216" s="384" t="s">
        <v>866</v>
      </c>
      <c r="B216" s="384"/>
      <c r="C216" s="384"/>
      <c r="D216" s="384"/>
      <c r="E216" s="9" t="s">
        <v>109</v>
      </c>
      <c r="F216" s="9" t="s">
        <v>110</v>
      </c>
      <c r="G216" s="9" t="s">
        <v>805</v>
      </c>
      <c r="H216" s="9">
        <v>2050</v>
      </c>
      <c r="I216" t="s">
        <v>125</v>
      </c>
      <c r="J216" t="s">
        <v>350</v>
      </c>
      <c r="K216" s="418">
        <v>0.8</v>
      </c>
      <c r="L216" s="210"/>
      <c r="M216" s="419">
        <v>1.016</v>
      </c>
      <c r="N216" s="419">
        <v>1.016</v>
      </c>
      <c r="O216" s="419">
        <v>1.016</v>
      </c>
      <c r="P216" s="419">
        <v>1.016</v>
      </c>
      <c r="Q216" s="419">
        <v>1.016</v>
      </c>
      <c r="R216" s="419">
        <v>1.016</v>
      </c>
      <c r="S216" s="419">
        <v>1.016</v>
      </c>
      <c r="T216" s="419">
        <v>1.016</v>
      </c>
      <c r="U216" s="419">
        <v>1.016</v>
      </c>
      <c r="V216" s="419">
        <v>1.016</v>
      </c>
      <c r="W216" s="419">
        <v>1.016</v>
      </c>
      <c r="X216" s="419">
        <v>1.016</v>
      </c>
      <c r="Y216" s="419">
        <v>1.016</v>
      </c>
      <c r="Z216" s="419">
        <v>1.016</v>
      </c>
      <c r="AA216" s="419">
        <v>1.016</v>
      </c>
      <c r="AB216" s="419">
        <v>1.016</v>
      </c>
      <c r="AC216" s="419">
        <v>1.016</v>
      </c>
      <c r="AD216" s="419">
        <v>1.016</v>
      </c>
      <c r="AE216" s="419">
        <v>1.016</v>
      </c>
      <c r="AF216" s="419">
        <v>1.016</v>
      </c>
      <c r="AG216" s="419">
        <v>1.016</v>
      </c>
      <c r="AH216" s="419">
        <v>1.016</v>
      </c>
      <c r="AI216" s="419">
        <v>1.016</v>
      </c>
      <c r="AJ216" s="419">
        <v>1.016</v>
      </c>
      <c r="AK216" s="419">
        <v>1.016</v>
      </c>
      <c r="AL216" s="419">
        <v>1.016</v>
      </c>
      <c r="AM216" s="419">
        <v>1.016</v>
      </c>
      <c r="AN216" s="419">
        <v>1.016</v>
      </c>
      <c r="AO216" s="419"/>
      <c r="AP216" s="419"/>
      <c r="AQ216" s="419"/>
    </row>
    <row r="217" spans="1:43" x14ac:dyDescent="0.25">
      <c r="A217" s="384" t="s">
        <v>867</v>
      </c>
      <c r="B217" s="384"/>
      <c r="C217" s="384"/>
      <c r="D217" s="384"/>
      <c r="F217" s="9" t="s">
        <v>110</v>
      </c>
      <c r="G217" s="9" t="s">
        <v>805</v>
      </c>
      <c r="H217" s="9">
        <v>2050</v>
      </c>
      <c r="I217" t="s">
        <v>766</v>
      </c>
      <c r="J217" t="s">
        <v>767</v>
      </c>
      <c r="K217" s="420">
        <v>0.6</v>
      </c>
      <c r="L217" s="210"/>
      <c r="M217" s="419">
        <v>0.76200000000000001</v>
      </c>
      <c r="N217" s="419">
        <v>0.76200000000000001</v>
      </c>
      <c r="O217" s="419">
        <v>0.76200000000000001</v>
      </c>
      <c r="P217" s="419">
        <v>0.76200000000000001</v>
      </c>
      <c r="Q217" s="419">
        <v>0.76200000000000001</v>
      </c>
      <c r="R217" s="419">
        <v>0.76200000000000001</v>
      </c>
      <c r="S217" s="419">
        <v>0.76200000000000001</v>
      </c>
      <c r="T217" s="419">
        <v>0.76200000000000001</v>
      </c>
      <c r="U217" s="419">
        <v>0.76200000000000001</v>
      </c>
      <c r="V217" s="419">
        <v>0.76200000000000001</v>
      </c>
      <c r="W217" s="419">
        <v>0.76200000000000001</v>
      </c>
      <c r="X217" s="419">
        <v>0.76200000000000001</v>
      </c>
      <c r="Y217" s="419">
        <v>0.76200000000000001</v>
      </c>
      <c r="Z217" s="419">
        <v>0.76200000000000001</v>
      </c>
      <c r="AA217" s="419">
        <v>0.76200000000000001</v>
      </c>
      <c r="AB217" s="419">
        <v>0.76200000000000001</v>
      </c>
      <c r="AC217" s="419">
        <v>0.76200000000000001</v>
      </c>
      <c r="AD217" s="419">
        <v>0.76200000000000001</v>
      </c>
      <c r="AE217" s="419">
        <v>0.76200000000000001</v>
      </c>
      <c r="AF217" s="419">
        <v>0.76200000000000001</v>
      </c>
      <c r="AG217" s="419">
        <v>0.76200000000000001</v>
      </c>
      <c r="AH217" s="419">
        <v>0.76200000000000001</v>
      </c>
      <c r="AI217" s="419">
        <v>0.76200000000000001</v>
      </c>
      <c r="AJ217" s="419">
        <v>0.76200000000000001</v>
      </c>
      <c r="AK217" s="419">
        <v>0.76200000000000001</v>
      </c>
      <c r="AL217" s="419">
        <v>0.76200000000000001</v>
      </c>
      <c r="AM217" s="419">
        <v>0.76200000000000001</v>
      </c>
      <c r="AN217" s="419">
        <v>0.76200000000000001</v>
      </c>
      <c r="AO217" s="419"/>
      <c r="AP217" s="419"/>
      <c r="AQ217" s="419"/>
    </row>
    <row r="218" spans="1:43" x14ac:dyDescent="0.25">
      <c r="A218" s="384" t="s">
        <v>868</v>
      </c>
      <c r="B218" s="384"/>
      <c r="C218" s="384"/>
      <c r="D218" s="384"/>
      <c r="F218" s="9" t="s">
        <v>110</v>
      </c>
      <c r="G218" s="9" t="s">
        <v>805</v>
      </c>
      <c r="H218" s="9">
        <v>2050</v>
      </c>
      <c r="I218" t="s">
        <v>129</v>
      </c>
      <c r="J218" t="s">
        <v>768</v>
      </c>
      <c r="K218" s="420">
        <v>1</v>
      </c>
      <c r="L218" s="210"/>
      <c r="M218" s="419">
        <v>1.27</v>
      </c>
      <c r="N218" s="419">
        <v>1.27</v>
      </c>
      <c r="O218" s="419">
        <v>1.27</v>
      </c>
      <c r="P218" s="419">
        <v>1.27</v>
      </c>
      <c r="Q218" s="419">
        <v>1.27</v>
      </c>
      <c r="R218" s="419">
        <v>1.27</v>
      </c>
      <c r="S218" s="419">
        <v>1.27</v>
      </c>
      <c r="T218" s="419">
        <v>1.27</v>
      </c>
      <c r="U218" s="419">
        <v>1.27</v>
      </c>
      <c r="V218" s="419">
        <v>1.27</v>
      </c>
      <c r="W218" s="419">
        <v>1.27</v>
      </c>
      <c r="X218" s="419">
        <v>1.27</v>
      </c>
      <c r="Y218" s="419">
        <v>1.27</v>
      </c>
      <c r="Z218" s="419">
        <v>1.27</v>
      </c>
      <c r="AA218" s="419">
        <v>1.27</v>
      </c>
      <c r="AB218" s="419">
        <v>1.27</v>
      </c>
      <c r="AC218" s="419">
        <v>1.27</v>
      </c>
      <c r="AD218" s="419">
        <v>1.27</v>
      </c>
      <c r="AE218" s="419">
        <v>1.27</v>
      </c>
      <c r="AF218" s="419">
        <v>1.27</v>
      </c>
      <c r="AG218" s="419">
        <v>1.27</v>
      </c>
      <c r="AH218" s="419">
        <v>1.27</v>
      </c>
      <c r="AI218" s="419">
        <v>1.27</v>
      </c>
      <c r="AJ218" s="419">
        <v>1.27</v>
      </c>
      <c r="AK218" s="419">
        <v>1.27</v>
      </c>
      <c r="AL218" s="419">
        <v>1.27</v>
      </c>
      <c r="AM218" s="419">
        <v>1.27</v>
      </c>
      <c r="AN218" s="419">
        <v>1.27</v>
      </c>
      <c r="AO218" s="419"/>
      <c r="AP218" s="419"/>
      <c r="AQ218" s="419"/>
    </row>
    <row r="219" spans="1:43" x14ac:dyDescent="0.25">
      <c r="A219" s="384" t="s">
        <v>869</v>
      </c>
      <c r="B219" s="384"/>
      <c r="C219" s="384"/>
      <c r="D219" s="384"/>
      <c r="F219" s="9" t="s">
        <v>110</v>
      </c>
      <c r="G219" s="9" t="s">
        <v>805</v>
      </c>
      <c r="H219" s="9">
        <v>2050</v>
      </c>
      <c r="I219" t="s">
        <v>769</v>
      </c>
      <c r="J219" t="s">
        <v>770</v>
      </c>
      <c r="K219" s="418">
        <v>0.4</v>
      </c>
      <c r="L219" s="210"/>
      <c r="M219" s="419">
        <v>0.50800000000000001</v>
      </c>
      <c r="N219" s="419">
        <v>0.50800000000000001</v>
      </c>
      <c r="O219" s="419">
        <v>0.50800000000000001</v>
      </c>
      <c r="P219" s="419">
        <v>0.50800000000000001</v>
      </c>
      <c r="Q219" s="419">
        <v>0.50800000000000001</v>
      </c>
      <c r="R219" s="419">
        <v>0.50800000000000001</v>
      </c>
      <c r="S219" s="419">
        <v>0.50800000000000001</v>
      </c>
      <c r="T219" s="419">
        <v>0.50800000000000001</v>
      </c>
      <c r="U219" s="419">
        <v>0.50800000000000001</v>
      </c>
      <c r="V219" s="419">
        <v>0.50800000000000001</v>
      </c>
      <c r="W219" s="419">
        <v>0.50800000000000001</v>
      </c>
      <c r="X219" s="419">
        <v>0.50800000000000001</v>
      </c>
      <c r="Y219" s="419">
        <v>0.50800000000000001</v>
      </c>
      <c r="Z219" s="419">
        <v>0.50800000000000001</v>
      </c>
      <c r="AA219" s="419">
        <v>0.50800000000000001</v>
      </c>
      <c r="AB219" s="419">
        <v>0.50800000000000001</v>
      </c>
      <c r="AC219" s="419">
        <v>0.50800000000000001</v>
      </c>
      <c r="AD219" s="419">
        <v>0.50800000000000001</v>
      </c>
      <c r="AE219" s="419">
        <v>0.50800000000000001</v>
      </c>
      <c r="AF219" s="419">
        <v>0.50800000000000001</v>
      </c>
      <c r="AG219" s="419">
        <v>0.50800000000000001</v>
      </c>
      <c r="AH219" s="419">
        <v>0.50800000000000001</v>
      </c>
      <c r="AI219" s="419">
        <v>0.50800000000000001</v>
      </c>
      <c r="AJ219" s="419">
        <v>0.50800000000000001</v>
      </c>
      <c r="AK219" s="419">
        <v>0.50800000000000001</v>
      </c>
      <c r="AL219" s="419">
        <v>0.50800000000000001</v>
      </c>
      <c r="AM219" s="419">
        <v>0.50800000000000001</v>
      </c>
      <c r="AN219" s="419">
        <v>0.50800000000000001</v>
      </c>
      <c r="AO219" s="419"/>
      <c r="AP219" s="419"/>
      <c r="AQ219" s="419"/>
    </row>
    <row r="220" spans="1:43" x14ac:dyDescent="0.25">
      <c r="A220" s="384" t="s">
        <v>870</v>
      </c>
      <c r="B220" s="384"/>
      <c r="C220" s="384"/>
      <c r="D220" s="384"/>
      <c r="F220" s="9" t="s">
        <v>110</v>
      </c>
      <c r="G220" s="9" t="s">
        <v>805</v>
      </c>
      <c r="H220" s="9">
        <v>2050</v>
      </c>
      <c r="I220" t="s">
        <v>771</v>
      </c>
      <c r="J220" t="s">
        <v>331</v>
      </c>
      <c r="K220" s="420">
        <v>0.4</v>
      </c>
      <c r="L220" s="210"/>
      <c r="M220" s="419">
        <v>0.50800000000000001</v>
      </c>
      <c r="N220" s="419">
        <v>0.50800000000000001</v>
      </c>
      <c r="O220" s="419">
        <v>0.50800000000000001</v>
      </c>
      <c r="P220" s="419">
        <v>0.50800000000000001</v>
      </c>
      <c r="Q220" s="419">
        <v>0.50800000000000001</v>
      </c>
      <c r="R220" s="419">
        <v>0.50800000000000001</v>
      </c>
      <c r="S220" s="419">
        <v>0.50800000000000001</v>
      </c>
      <c r="T220" s="419">
        <v>0.50800000000000001</v>
      </c>
      <c r="U220" s="419">
        <v>0.50800000000000001</v>
      </c>
      <c r="V220" s="419">
        <v>0.50800000000000001</v>
      </c>
      <c r="W220" s="419">
        <v>0.50800000000000001</v>
      </c>
      <c r="X220" s="419">
        <v>0.50800000000000001</v>
      </c>
      <c r="Y220" s="419">
        <v>0.50800000000000001</v>
      </c>
      <c r="Z220" s="419">
        <v>0.50800000000000001</v>
      </c>
      <c r="AA220" s="419">
        <v>0.50800000000000001</v>
      </c>
      <c r="AB220" s="419">
        <v>0.50800000000000001</v>
      </c>
      <c r="AC220" s="419">
        <v>0.50800000000000001</v>
      </c>
      <c r="AD220" s="419">
        <v>0.50800000000000001</v>
      </c>
      <c r="AE220" s="419">
        <v>0.50800000000000001</v>
      </c>
      <c r="AF220" s="419">
        <v>0.50800000000000001</v>
      </c>
      <c r="AG220" s="419">
        <v>0.50800000000000001</v>
      </c>
      <c r="AH220" s="419">
        <v>0.50800000000000001</v>
      </c>
      <c r="AI220" s="419">
        <v>0.50800000000000001</v>
      </c>
      <c r="AJ220" s="419">
        <v>0.50800000000000001</v>
      </c>
      <c r="AK220" s="419">
        <v>0.50800000000000001</v>
      </c>
      <c r="AL220" s="419">
        <v>0.50800000000000001</v>
      </c>
      <c r="AM220" s="419">
        <v>0.50800000000000001</v>
      </c>
      <c r="AN220" s="419">
        <v>0.50800000000000001</v>
      </c>
      <c r="AO220" s="419"/>
      <c r="AP220" s="419"/>
      <c r="AQ220" s="419"/>
    </row>
    <row r="221" spans="1:43" x14ac:dyDescent="0.25">
      <c r="A221" s="384" t="s">
        <v>871</v>
      </c>
      <c r="B221" s="384"/>
      <c r="C221" s="384"/>
      <c r="D221" s="384"/>
      <c r="E221" s="47"/>
      <c r="F221" s="47" t="s">
        <v>110</v>
      </c>
      <c r="G221" s="47" t="s">
        <v>805</v>
      </c>
      <c r="H221" s="47">
        <v>2050</v>
      </c>
      <c r="I221" s="216" t="s">
        <v>116</v>
      </c>
      <c r="J221" s="216" t="s">
        <v>772</v>
      </c>
      <c r="K221" s="425">
        <v>0.4</v>
      </c>
      <c r="L221" s="426"/>
      <c r="M221" s="427">
        <v>0.50800000000000001</v>
      </c>
      <c r="N221" s="427">
        <v>0.50800000000000001</v>
      </c>
      <c r="O221" s="427">
        <v>0.50800000000000001</v>
      </c>
      <c r="P221" s="427">
        <v>0.50800000000000001</v>
      </c>
      <c r="Q221" s="427">
        <v>0.50800000000000001</v>
      </c>
      <c r="R221" s="427">
        <v>0.50800000000000001</v>
      </c>
      <c r="S221" s="427">
        <v>0.50800000000000001</v>
      </c>
      <c r="T221" s="427">
        <v>0.50800000000000001</v>
      </c>
      <c r="U221" s="427">
        <v>0.50800000000000001</v>
      </c>
      <c r="V221" s="427">
        <v>0.50800000000000001</v>
      </c>
      <c r="W221" s="427">
        <v>0.50800000000000001</v>
      </c>
      <c r="X221" s="427">
        <v>0.50800000000000001</v>
      </c>
      <c r="Y221" s="427">
        <v>0.50800000000000001</v>
      </c>
      <c r="Z221" s="427">
        <v>0.50800000000000001</v>
      </c>
      <c r="AA221" s="427">
        <v>0.50800000000000001</v>
      </c>
      <c r="AB221" s="427">
        <v>0.50800000000000001</v>
      </c>
      <c r="AC221" s="427">
        <v>0.50800000000000001</v>
      </c>
      <c r="AD221" s="427">
        <v>0.50800000000000001</v>
      </c>
      <c r="AE221" s="427">
        <v>0.50800000000000001</v>
      </c>
      <c r="AF221" s="427">
        <v>0.50800000000000001</v>
      </c>
      <c r="AG221" s="427">
        <v>0.50800000000000001</v>
      </c>
      <c r="AH221" s="427">
        <v>0.50800000000000001</v>
      </c>
      <c r="AI221" s="427">
        <v>0.50800000000000001</v>
      </c>
      <c r="AJ221" s="427">
        <v>0.50800000000000001</v>
      </c>
      <c r="AK221" s="427">
        <v>0.50800000000000001</v>
      </c>
      <c r="AL221" s="427">
        <v>0.50800000000000001</v>
      </c>
      <c r="AM221" s="427">
        <v>0.50800000000000001</v>
      </c>
      <c r="AN221" s="427">
        <v>0.50800000000000001</v>
      </c>
      <c r="AO221" s="419"/>
      <c r="AP221" s="419"/>
      <c r="AQ221" s="419"/>
    </row>
    <row r="222" spans="1:43" x14ac:dyDescent="0.25">
      <c r="A222" s="384"/>
      <c r="B222" s="384"/>
      <c r="C222" s="384"/>
      <c r="D222" s="384"/>
      <c r="I222"/>
      <c r="J222"/>
      <c r="K222" s="409"/>
      <c r="L222" s="210"/>
      <c r="M222" s="419"/>
      <c r="N222" s="419"/>
      <c r="O222" s="419"/>
      <c r="P222" s="419"/>
      <c r="Q222" s="419"/>
      <c r="R222" s="419"/>
      <c r="S222" s="419"/>
      <c r="T222" s="419"/>
      <c r="U222" s="419"/>
      <c r="V222" s="419"/>
      <c r="W222" s="419"/>
      <c r="X222" s="419"/>
      <c r="Y222" s="419"/>
      <c r="Z222" s="419"/>
      <c r="AA222" s="419"/>
      <c r="AB222" s="419"/>
      <c r="AC222" s="419"/>
      <c r="AD222" s="419"/>
      <c r="AE222" s="419"/>
      <c r="AF222" s="419"/>
      <c r="AG222" s="419"/>
      <c r="AH222" s="419"/>
      <c r="AI222" s="419"/>
      <c r="AJ222" s="419"/>
      <c r="AK222" s="419"/>
      <c r="AL222" s="419"/>
      <c r="AM222" s="419"/>
      <c r="AN222" s="419"/>
      <c r="AO222" s="419"/>
      <c r="AP222" s="419"/>
      <c r="AQ222" s="419"/>
    </row>
    <row r="223" spans="1:43" x14ac:dyDescent="0.25">
      <c r="A223" s="384"/>
      <c r="B223" s="384"/>
      <c r="C223" s="384"/>
      <c r="D223" s="384"/>
      <c r="I223"/>
      <c r="J223"/>
      <c r="K223" s="408"/>
      <c r="L223" s="210"/>
      <c r="M223" s="419"/>
      <c r="N223" s="419"/>
      <c r="O223" s="419"/>
      <c r="P223" s="419"/>
      <c r="Q223" s="419"/>
      <c r="R223" s="419"/>
      <c r="S223" s="419"/>
      <c r="T223" s="419"/>
      <c r="U223" s="419"/>
      <c r="V223" s="419"/>
      <c r="W223" s="419"/>
      <c r="X223" s="419"/>
      <c r="Y223" s="419"/>
      <c r="Z223" s="419"/>
      <c r="AA223" s="419"/>
      <c r="AB223" s="419"/>
      <c r="AC223" s="419"/>
      <c r="AD223" s="419"/>
      <c r="AE223" s="419"/>
      <c r="AF223" s="419"/>
      <c r="AG223" s="419"/>
      <c r="AH223" s="419"/>
      <c r="AI223" s="419"/>
      <c r="AJ223" s="419"/>
      <c r="AK223" s="419"/>
      <c r="AL223" s="419"/>
      <c r="AM223" s="419"/>
      <c r="AN223" s="419"/>
      <c r="AO223" s="419"/>
      <c r="AP223" s="419"/>
      <c r="AQ223" s="419"/>
    </row>
    <row r="224" spans="1:43" x14ac:dyDescent="0.25">
      <c r="A224" s="384"/>
      <c r="B224" s="384"/>
      <c r="C224" s="384"/>
      <c r="D224" s="384"/>
      <c r="I224"/>
      <c r="J224"/>
      <c r="K224" s="408"/>
      <c r="L224" s="210"/>
      <c r="M224" s="419"/>
      <c r="N224" s="419"/>
      <c r="O224" s="419"/>
      <c r="P224" s="419"/>
      <c r="Q224" s="419"/>
      <c r="R224" s="419"/>
      <c r="S224" s="419"/>
      <c r="T224" s="419"/>
      <c r="U224" s="419"/>
      <c r="V224" s="419"/>
      <c r="W224" s="419"/>
      <c r="X224" s="419"/>
      <c r="Y224" s="419"/>
      <c r="Z224" s="419"/>
      <c r="AA224" s="419"/>
      <c r="AB224" s="419"/>
      <c r="AC224" s="419"/>
      <c r="AD224" s="419"/>
      <c r="AE224" s="419"/>
      <c r="AF224" s="419"/>
      <c r="AG224" s="419"/>
      <c r="AH224" s="419"/>
      <c r="AI224" s="419"/>
      <c r="AJ224" s="419"/>
      <c r="AK224" s="419"/>
      <c r="AL224" s="419"/>
      <c r="AM224" s="419"/>
      <c r="AN224" s="419"/>
      <c r="AO224" s="419"/>
      <c r="AP224" s="419"/>
      <c r="AQ224" s="419"/>
    </row>
    <row r="225" spans="1:43" x14ac:dyDescent="0.25">
      <c r="A225" s="384"/>
      <c r="B225" s="384"/>
      <c r="C225" s="384"/>
      <c r="D225" s="384"/>
      <c r="I225"/>
      <c r="J225"/>
      <c r="K225" s="408"/>
      <c r="L225" s="210"/>
      <c r="M225" s="419"/>
      <c r="N225" s="419"/>
      <c r="O225" s="419"/>
      <c r="P225" s="419"/>
      <c r="Q225" s="419"/>
      <c r="R225" s="419"/>
      <c r="S225" s="419"/>
      <c r="T225" s="419"/>
      <c r="U225" s="419"/>
      <c r="V225" s="419"/>
      <c r="W225" s="419"/>
      <c r="X225" s="419"/>
      <c r="Y225" s="419"/>
      <c r="Z225" s="419"/>
      <c r="AA225" s="419"/>
      <c r="AB225" s="419"/>
      <c r="AC225" s="419"/>
      <c r="AD225" s="419"/>
      <c r="AE225" s="419"/>
      <c r="AF225" s="419"/>
      <c r="AG225" s="419"/>
      <c r="AH225" s="419"/>
      <c r="AI225" s="419"/>
      <c r="AJ225" s="419"/>
      <c r="AK225" s="419"/>
      <c r="AL225" s="419"/>
      <c r="AM225" s="419"/>
      <c r="AN225" s="419"/>
      <c r="AO225" s="419"/>
      <c r="AP225" s="419"/>
      <c r="AQ225" s="419"/>
    </row>
    <row r="226" spans="1:43" x14ac:dyDescent="0.25">
      <c r="A226" s="384"/>
      <c r="B226" s="384"/>
      <c r="C226" s="384"/>
      <c r="D226" s="384"/>
      <c r="I226"/>
      <c r="J226"/>
      <c r="K226" s="409"/>
      <c r="L226" s="210"/>
      <c r="M226" s="419"/>
      <c r="N226" s="419"/>
      <c r="O226" s="419"/>
      <c r="P226" s="419"/>
      <c r="Q226" s="419"/>
      <c r="R226" s="419"/>
      <c r="S226" s="419"/>
      <c r="T226" s="419"/>
      <c r="U226" s="419"/>
      <c r="V226" s="419"/>
      <c r="W226" s="419"/>
      <c r="X226" s="419"/>
      <c r="Y226" s="419"/>
      <c r="Z226" s="419"/>
      <c r="AA226" s="419"/>
      <c r="AB226" s="419"/>
      <c r="AC226" s="419"/>
      <c r="AD226" s="419"/>
      <c r="AE226" s="419"/>
      <c r="AF226" s="419"/>
      <c r="AG226" s="419"/>
      <c r="AH226" s="419"/>
      <c r="AI226" s="419"/>
      <c r="AJ226" s="419"/>
      <c r="AK226" s="419"/>
      <c r="AL226" s="419"/>
      <c r="AM226" s="419"/>
      <c r="AN226" s="419"/>
      <c r="AO226" s="419"/>
      <c r="AP226" s="419"/>
      <c r="AQ226" s="419"/>
    </row>
    <row r="227" spans="1:43" x14ac:dyDescent="0.25">
      <c r="A227" s="384"/>
      <c r="B227" s="384"/>
      <c r="C227" s="384"/>
      <c r="D227" s="384"/>
      <c r="I227"/>
      <c r="J227"/>
      <c r="K227" s="409"/>
      <c r="L227" s="210"/>
      <c r="M227" s="419"/>
      <c r="N227" s="419"/>
      <c r="O227" s="419"/>
      <c r="P227" s="419"/>
      <c r="Q227" s="419"/>
      <c r="R227" s="419"/>
      <c r="S227" s="419"/>
      <c r="T227" s="419"/>
      <c r="U227" s="419"/>
      <c r="V227" s="419"/>
      <c r="W227" s="419"/>
      <c r="X227" s="419"/>
      <c r="Y227" s="419"/>
      <c r="Z227" s="419"/>
      <c r="AA227" s="419"/>
      <c r="AB227" s="419"/>
      <c r="AC227" s="419"/>
      <c r="AD227" s="419"/>
      <c r="AE227" s="419"/>
      <c r="AF227" s="419"/>
      <c r="AG227" s="419"/>
      <c r="AH227" s="419"/>
      <c r="AI227" s="419"/>
      <c r="AJ227" s="419"/>
      <c r="AK227" s="419"/>
      <c r="AL227" s="419"/>
      <c r="AM227" s="419"/>
      <c r="AN227" s="419"/>
      <c r="AO227" s="419"/>
      <c r="AP227" s="419"/>
      <c r="AQ227" s="419"/>
    </row>
    <row r="228" spans="1:43" x14ac:dyDescent="0.25">
      <c r="A228" s="384"/>
      <c r="B228" s="384"/>
      <c r="C228" s="384"/>
      <c r="D228" s="384"/>
      <c r="G228" s="405"/>
      <c r="H228" s="405"/>
      <c r="M228" s="398"/>
      <c r="N228" s="398"/>
      <c r="O228" s="398"/>
      <c r="P228" s="398"/>
      <c r="Q228" s="398"/>
      <c r="R228" s="398"/>
      <c r="S228" s="398"/>
      <c r="T228" s="398"/>
      <c r="U228" s="398"/>
      <c r="V228" s="398"/>
      <c r="W228" s="398"/>
      <c r="X228" s="398"/>
      <c r="Y228" s="398"/>
      <c r="Z228" s="398"/>
      <c r="AA228" s="398"/>
      <c r="AB228" s="398"/>
      <c r="AC228" s="398"/>
      <c r="AD228" s="398"/>
      <c r="AE228" s="398"/>
      <c r="AF228" s="398"/>
      <c r="AG228" s="398"/>
      <c r="AH228" s="398"/>
      <c r="AI228" s="398"/>
      <c r="AJ228" s="9"/>
      <c r="AK228" s="9"/>
      <c r="AL228" s="9"/>
      <c r="AM228" s="9"/>
    </row>
    <row r="229" spans="1:43" x14ac:dyDescent="0.25">
      <c r="A229" s="384"/>
      <c r="B229" s="384"/>
      <c r="C229" s="384"/>
      <c r="D229" s="384"/>
      <c r="E229" s="387" t="s">
        <v>872</v>
      </c>
      <c r="F229" s="387"/>
      <c r="G229" s="387"/>
      <c r="H229" s="387"/>
      <c r="I229" s="387"/>
      <c r="J229" s="387"/>
      <c r="K229" s="388"/>
      <c r="L229" s="388"/>
      <c r="M229" s="387"/>
      <c r="N229" s="387"/>
      <c r="O229" s="387"/>
      <c r="P229" s="387"/>
      <c r="Q229" s="410"/>
      <c r="R229" s="410"/>
      <c r="S229" s="410"/>
      <c r="T229" s="410"/>
      <c r="U229" s="410"/>
      <c r="V229" s="410"/>
      <c r="W229" s="410"/>
      <c r="X229" s="410"/>
      <c r="Y229" s="410"/>
      <c r="Z229" s="410"/>
      <c r="AA229" s="410"/>
      <c r="AB229" s="410"/>
      <c r="AC229" s="410"/>
      <c r="AD229" s="410"/>
      <c r="AE229" s="410"/>
      <c r="AF229" s="410"/>
      <c r="AG229" s="410"/>
      <c r="AH229" s="410"/>
      <c r="AI229" s="410"/>
      <c r="AJ229" s="410"/>
      <c r="AK229" s="410"/>
      <c r="AL229" s="410"/>
      <c r="AM229" s="410"/>
      <c r="AN229" s="410"/>
      <c r="AO229" s="375"/>
      <c r="AP229" s="375"/>
      <c r="AQ229" s="375"/>
    </row>
    <row r="230" spans="1:43" ht="15.75" thickBot="1" x14ac:dyDescent="0.3">
      <c r="A230" s="384"/>
      <c r="B230" s="384"/>
      <c r="C230" s="384"/>
      <c r="D230" s="384"/>
      <c r="E230" s="363" t="s">
        <v>765</v>
      </c>
      <c r="F230" s="390" t="s">
        <v>85</v>
      </c>
      <c r="G230" s="390" t="s">
        <v>794</v>
      </c>
      <c r="H230" s="390" t="s">
        <v>582</v>
      </c>
      <c r="I230" s="390" t="s">
        <v>873</v>
      </c>
      <c r="J230" s="390" t="s">
        <v>874</v>
      </c>
      <c r="K230" s="391" t="s">
        <v>224</v>
      </c>
      <c r="L230" s="391"/>
      <c r="M230" s="54" t="s">
        <v>162</v>
      </c>
      <c r="N230" s="54" t="s">
        <v>164</v>
      </c>
      <c r="O230" s="54" t="s">
        <v>166</v>
      </c>
      <c r="P230" s="54" t="s">
        <v>168</v>
      </c>
      <c r="Q230" s="54" t="s">
        <v>170</v>
      </c>
      <c r="R230" s="54" t="s">
        <v>173</v>
      </c>
      <c r="S230" s="54" t="s">
        <v>175</v>
      </c>
      <c r="T230" s="54" t="s">
        <v>177</v>
      </c>
      <c r="U230" s="54" t="s">
        <v>179</v>
      </c>
      <c r="V230" s="54" t="s">
        <v>181</v>
      </c>
      <c r="W230" s="54" t="s">
        <v>183</v>
      </c>
      <c r="X230" s="54" t="s">
        <v>185</v>
      </c>
      <c r="Y230" s="54" t="s">
        <v>188</v>
      </c>
      <c r="Z230" s="54" t="s">
        <v>190</v>
      </c>
      <c r="AA230" s="54" t="s">
        <v>192</v>
      </c>
      <c r="AB230" s="54" t="s">
        <v>194</v>
      </c>
      <c r="AC230" s="54" t="s">
        <v>196</v>
      </c>
      <c r="AD230" s="54" t="s">
        <v>198</v>
      </c>
      <c r="AE230" s="54" t="s">
        <v>9</v>
      </c>
      <c r="AF230" s="54" t="s">
        <v>201</v>
      </c>
      <c r="AG230" s="54" t="s">
        <v>203</v>
      </c>
      <c r="AH230" s="54" t="s">
        <v>205</v>
      </c>
      <c r="AI230" s="54" t="s">
        <v>207</v>
      </c>
      <c r="AJ230" s="54" t="s">
        <v>210</v>
      </c>
      <c r="AK230" s="54" t="s">
        <v>212</v>
      </c>
      <c r="AL230" s="54" t="s">
        <v>214</v>
      </c>
      <c r="AM230" s="54" t="s">
        <v>217</v>
      </c>
      <c r="AN230" s="54" t="s">
        <v>219</v>
      </c>
      <c r="AO230" s="370"/>
      <c r="AP230" s="370"/>
      <c r="AQ230" s="370"/>
    </row>
    <row r="231" spans="1:43" x14ac:dyDescent="0.25">
      <c r="A231" s="384"/>
      <c r="B231" s="384"/>
      <c r="C231" s="384"/>
      <c r="D231" s="384"/>
      <c r="E231" s="12" t="s">
        <v>799</v>
      </c>
      <c r="F231" s="12"/>
      <c r="G231" s="12"/>
      <c r="H231" s="12"/>
      <c r="I231" s="12" t="s">
        <v>875</v>
      </c>
      <c r="J231" s="12"/>
      <c r="K231" s="393"/>
      <c r="L231" s="393"/>
      <c r="M231" s="394"/>
      <c r="N231" s="394"/>
      <c r="O231" s="394"/>
      <c r="P231" s="394"/>
      <c r="Q231" s="394"/>
      <c r="R231" s="394"/>
      <c r="S231" s="394"/>
      <c r="T231" s="394"/>
      <c r="U231" s="394"/>
      <c r="V231" s="394"/>
      <c r="W231" s="394"/>
      <c r="X231" s="394"/>
      <c r="Y231" s="394"/>
      <c r="Z231" s="394"/>
      <c r="AA231" s="394"/>
      <c r="AB231" s="394"/>
      <c r="AC231" s="394"/>
      <c r="AD231" s="394"/>
      <c r="AE231" s="394"/>
      <c r="AF231" s="394"/>
      <c r="AG231" s="394"/>
      <c r="AH231" s="394"/>
      <c r="AI231" s="394"/>
    </row>
    <row r="232" spans="1:43" x14ac:dyDescent="0.25">
      <c r="A232" s="384"/>
      <c r="B232" s="384"/>
      <c r="C232" s="384"/>
      <c r="D232" s="384"/>
      <c r="E232" s="9" t="s">
        <v>103</v>
      </c>
      <c r="F232" s="9" t="s">
        <v>104</v>
      </c>
      <c r="G232" s="9" t="s">
        <v>801</v>
      </c>
      <c r="H232" s="9">
        <v>2020</v>
      </c>
      <c r="I232" s="411">
        <v>289.24807172406372</v>
      </c>
      <c r="J232" s="411">
        <v>1</v>
      </c>
      <c r="K232" s="210" t="s">
        <v>809</v>
      </c>
      <c r="L232" s="210"/>
      <c r="M232" s="428">
        <f>M$256*$J232</f>
        <v>1</v>
      </c>
      <c r="N232" s="428">
        <f t="shared" ref="N232:AN241" si="0">N$256*$J232</f>
        <v>1</v>
      </c>
      <c r="O232" s="428">
        <f t="shared" si="0"/>
        <v>1</v>
      </c>
      <c r="P232" s="428">
        <f t="shared" si="0"/>
        <v>1</v>
      </c>
      <c r="Q232" s="428">
        <f t="shared" si="0"/>
        <v>1</v>
      </c>
      <c r="R232" s="428">
        <f t="shared" si="0"/>
        <v>1</v>
      </c>
      <c r="S232" s="428">
        <f t="shared" si="0"/>
        <v>1</v>
      </c>
      <c r="T232" s="428">
        <f t="shared" si="0"/>
        <v>1</v>
      </c>
      <c r="U232" s="428">
        <f t="shared" si="0"/>
        <v>1</v>
      </c>
      <c r="V232" s="428">
        <f t="shared" si="0"/>
        <v>1</v>
      </c>
      <c r="W232" s="428">
        <f t="shared" si="0"/>
        <v>1</v>
      </c>
      <c r="X232" s="428">
        <f t="shared" si="0"/>
        <v>1</v>
      </c>
      <c r="Y232" s="428">
        <f t="shared" si="0"/>
        <v>1</v>
      </c>
      <c r="Z232" s="428">
        <f t="shared" si="0"/>
        <v>1</v>
      </c>
      <c r="AA232" s="428">
        <f t="shared" si="0"/>
        <v>1</v>
      </c>
      <c r="AB232" s="428">
        <f t="shared" si="0"/>
        <v>1</v>
      </c>
      <c r="AC232" s="428">
        <f t="shared" si="0"/>
        <v>1</v>
      </c>
      <c r="AD232" s="428">
        <f t="shared" si="0"/>
        <v>1</v>
      </c>
      <c r="AE232" s="428">
        <f t="shared" si="0"/>
        <v>1</v>
      </c>
      <c r="AF232" s="428">
        <f t="shared" si="0"/>
        <v>1</v>
      </c>
      <c r="AG232" s="428">
        <f t="shared" si="0"/>
        <v>1</v>
      </c>
      <c r="AH232" s="428">
        <f t="shared" si="0"/>
        <v>1</v>
      </c>
      <c r="AI232" s="428">
        <f t="shared" si="0"/>
        <v>1</v>
      </c>
      <c r="AJ232" s="428">
        <f t="shared" si="0"/>
        <v>1</v>
      </c>
      <c r="AK232" s="428">
        <f t="shared" si="0"/>
        <v>1</v>
      </c>
      <c r="AL232" s="428">
        <f t="shared" si="0"/>
        <v>1</v>
      </c>
      <c r="AM232" s="428">
        <f t="shared" si="0"/>
        <v>1</v>
      </c>
      <c r="AN232" s="428">
        <f t="shared" si="0"/>
        <v>1</v>
      </c>
      <c r="AO232" s="428"/>
      <c r="AP232" s="428"/>
      <c r="AQ232" s="428"/>
    </row>
    <row r="233" spans="1:43" x14ac:dyDescent="0.25">
      <c r="A233" s="384"/>
      <c r="B233" s="384"/>
      <c r="C233" s="384"/>
      <c r="D233" s="384"/>
      <c r="E233" s="9" t="s">
        <v>103</v>
      </c>
      <c r="F233" s="9" t="s">
        <v>104</v>
      </c>
      <c r="G233" s="9" t="s">
        <v>803</v>
      </c>
      <c r="H233" s="9">
        <v>2025</v>
      </c>
      <c r="I233" s="411"/>
      <c r="J233" s="411">
        <v>1</v>
      </c>
      <c r="K233" s="210" t="s">
        <v>809</v>
      </c>
      <c r="L233" s="210"/>
      <c r="M233" s="428">
        <f t="shared" ref="M233:AB255" si="1">M$256*$J233</f>
        <v>1</v>
      </c>
      <c r="N233" s="428">
        <f t="shared" si="1"/>
        <v>1</v>
      </c>
      <c r="O233" s="428">
        <f t="shared" si="1"/>
        <v>1</v>
      </c>
      <c r="P233" s="428">
        <f t="shared" si="1"/>
        <v>1</v>
      </c>
      <c r="Q233" s="428">
        <f t="shared" si="1"/>
        <v>1</v>
      </c>
      <c r="R233" s="428">
        <f t="shared" si="1"/>
        <v>1</v>
      </c>
      <c r="S233" s="428">
        <f t="shared" si="1"/>
        <v>1</v>
      </c>
      <c r="T233" s="428">
        <f t="shared" si="1"/>
        <v>1</v>
      </c>
      <c r="U233" s="428">
        <f t="shared" si="1"/>
        <v>1</v>
      </c>
      <c r="V233" s="428">
        <f t="shared" si="1"/>
        <v>1</v>
      </c>
      <c r="W233" s="428">
        <f t="shared" si="1"/>
        <v>1</v>
      </c>
      <c r="X233" s="428">
        <f t="shared" si="1"/>
        <v>1</v>
      </c>
      <c r="Y233" s="428">
        <f t="shared" si="1"/>
        <v>1</v>
      </c>
      <c r="Z233" s="428">
        <f t="shared" si="1"/>
        <v>1</v>
      </c>
      <c r="AA233" s="428">
        <f t="shared" si="1"/>
        <v>1</v>
      </c>
      <c r="AB233" s="428">
        <f t="shared" si="1"/>
        <v>1</v>
      </c>
      <c r="AC233" s="428">
        <f t="shared" si="0"/>
        <v>1</v>
      </c>
      <c r="AD233" s="428">
        <f t="shared" si="0"/>
        <v>1</v>
      </c>
      <c r="AE233" s="428">
        <f t="shared" si="0"/>
        <v>1</v>
      </c>
      <c r="AF233" s="428">
        <f t="shared" si="0"/>
        <v>1</v>
      </c>
      <c r="AG233" s="428">
        <f t="shared" si="0"/>
        <v>1</v>
      </c>
      <c r="AH233" s="428">
        <f t="shared" si="0"/>
        <v>1</v>
      </c>
      <c r="AI233" s="428">
        <f t="shared" si="0"/>
        <v>1</v>
      </c>
      <c r="AJ233" s="428">
        <f t="shared" si="0"/>
        <v>1</v>
      </c>
      <c r="AK233" s="428">
        <f t="shared" si="0"/>
        <v>1</v>
      </c>
      <c r="AL233" s="428">
        <f t="shared" si="0"/>
        <v>1</v>
      </c>
      <c r="AM233" s="428">
        <f t="shared" si="0"/>
        <v>1</v>
      </c>
      <c r="AN233" s="428">
        <f t="shared" si="0"/>
        <v>1</v>
      </c>
      <c r="AO233" s="428"/>
      <c r="AP233" s="428"/>
      <c r="AQ233" s="428"/>
    </row>
    <row r="234" spans="1:43" x14ac:dyDescent="0.25">
      <c r="A234" s="384"/>
      <c r="B234" s="384"/>
      <c r="C234" s="384"/>
      <c r="D234" s="384"/>
      <c r="F234" s="9" t="s">
        <v>104</v>
      </c>
      <c r="G234" s="9" t="s">
        <v>803</v>
      </c>
      <c r="H234" s="9">
        <v>2030</v>
      </c>
      <c r="I234" s="411"/>
      <c r="J234" s="411">
        <v>0.9</v>
      </c>
      <c r="K234" s="210" t="s">
        <v>809</v>
      </c>
      <c r="M234" s="428">
        <f t="shared" si="1"/>
        <v>0.9</v>
      </c>
      <c r="N234" s="428">
        <f t="shared" si="0"/>
        <v>0.9</v>
      </c>
      <c r="O234" s="428">
        <f t="shared" si="0"/>
        <v>0.9</v>
      </c>
      <c r="P234" s="428">
        <f t="shared" si="0"/>
        <v>0.9</v>
      </c>
      <c r="Q234" s="428">
        <f t="shared" si="0"/>
        <v>0.9</v>
      </c>
      <c r="R234" s="428">
        <f t="shared" si="0"/>
        <v>0.9</v>
      </c>
      <c r="S234" s="428">
        <f t="shared" si="0"/>
        <v>0.9</v>
      </c>
      <c r="T234" s="428">
        <f t="shared" si="0"/>
        <v>0.9</v>
      </c>
      <c r="U234" s="428">
        <f t="shared" si="0"/>
        <v>0.9</v>
      </c>
      <c r="V234" s="428">
        <f t="shared" si="0"/>
        <v>0.9</v>
      </c>
      <c r="W234" s="428">
        <f t="shared" si="0"/>
        <v>0.9</v>
      </c>
      <c r="X234" s="428">
        <f t="shared" si="0"/>
        <v>0.9</v>
      </c>
      <c r="Y234" s="428">
        <f t="shared" si="0"/>
        <v>0.9</v>
      </c>
      <c r="Z234" s="428">
        <f t="shared" si="0"/>
        <v>0.9</v>
      </c>
      <c r="AA234" s="428">
        <f t="shared" si="0"/>
        <v>0.9</v>
      </c>
      <c r="AB234" s="428">
        <f t="shared" si="0"/>
        <v>0.9</v>
      </c>
      <c r="AC234" s="428">
        <f t="shared" si="0"/>
        <v>0.9</v>
      </c>
      <c r="AD234" s="428">
        <f t="shared" si="0"/>
        <v>0.9</v>
      </c>
      <c r="AE234" s="428">
        <f t="shared" si="0"/>
        <v>0.9</v>
      </c>
      <c r="AF234" s="428">
        <f t="shared" si="0"/>
        <v>0.9</v>
      </c>
      <c r="AG234" s="428">
        <f t="shared" si="0"/>
        <v>0.9</v>
      </c>
      <c r="AH234" s="428">
        <f t="shared" si="0"/>
        <v>0.9</v>
      </c>
      <c r="AI234" s="428">
        <f t="shared" si="0"/>
        <v>0.9</v>
      </c>
      <c r="AJ234" s="428">
        <f t="shared" si="0"/>
        <v>0.9</v>
      </c>
      <c r="AK234" s="428">
        <f t="shared" si="0"/>
        <v>0.9</v>
      </c>
      <c r="AL234" s="428">
        <f t="shared" si="0"/>
        <v>0.9</v>
      </c>
      <c r="AM234" s="428">
        <f t="shared" si="0"/>
        <v>0.9</v>
      </c>
      <c r="AN234" s="428">
        <f t="shared" si="0"/>
        <v>0.9</v>
      </c>
      <c r="AO234" s="428"/>
      <c r="AP234" s="428"/>
      <c r="AQ234" s="428"/>
    </row>
    <row r="235" spans="1:43" x14ac:dyDescent="0.25">
      <c r="A235" s="384"/>
      <c r="B235" s="384"/>
      <c r="C235" s="384"/>
      <c r="D235" s="384"/>
      <c r="F235" s="9" t="s">
        <v>104</v>
      </c>
      <c r="G235" s="9" t="s">
        <v>803</v>
      </c>
      <c r="H235" s="9">
        <v>2050</v>
      </c>
      <c r="I235" s="411"/>
      <c r="J235" s="411">
        <v>0.8</v>
      </c>
      <c r="K235" s="210" t="s">
        <v>809</v>
      </c>
      <c r="M235" s="428">
        <f t="shared" si="1"/>
        <v>0.8</v>
      </c>
      <c r="N235" s="428">
        <f t="shared" si="0"/>
        <v>0.8</v>
      </c>
      <c r="O235" s="428">
        <f t="shared" si="0"/>
        <v>0.8</v>
      </c>
      <c r="P235" s="428">
        <f t="shared" si="0"/>
        <v>0.8</v>
      </c>
      <c r="Q235" s="428">
        <f t="shared" si="0"/>
        <v>0.8</v>
      </c>
      <c r="R235" s="428">
        <f t="shared" si="0"/>
        <v>0.8</v>
      </c>
      <c r="S235" s="428">
        <f t="shared" si="0"/>
        <v>0.8</v>
      </c>
      <c r="T235" s="428">
        <f t="shared" si="0"/>
        <v>0.8</v>
      </c>
      <c r="U235" s="428">
        <f t="shared" si="0"/>
        <v>0.8</v>
      </c>
      <c r="V235" s="428">
        <f t="shared" si="0"/>
        <v>0.8</v>
      </c>
      <c r="W235" s="428">
        <f t="shared" si="0"/>
        <v>0.8</v>
      </c>
      <c r="X235" s="428">
        <f t="shared" si="0"/>
        <v>0.8</v>
      </c>
      <c r="Y235" s="428">
        <f t="shared" si="0"/>
        <v>0.8</v>
      </c>
      <c r="Z235" s="428">
        <f t="shared" si="0"/>
        <v>0.8</v>
      </c>
      <c r="AA235" s="428">
        <f t="shared" si="0"/>
        <v>0.8</v>
      </c>
      <c r="AB235" s="428">
        <f t="shared" si="0"/>
        <v>0.8</v>
      </c>
      <c r="AC235" s="428">
        <f t="shared" si="0"/>
        <v>0.8</v>
      </c>
      <c r="AD235" s="428">
        <f t="shared" si="0"/>
        <v>0.8</v>
      </c>
      <c r="AE235" s="428">
        <f t="shared" si="0"/>
        <v>0.8</v>
      </c>
      <c r="AF235" s="428">
        <f t="shared" si="0"/>
        <v>0.8</v>
      </c>
      <c r="AG235" s="428">
        <f t="shared" si="0"/>
        <v>0.8</v>
      </c>
      <c r="AH235" s="428">
        <f t="shared" si="0"/>
        <v>0.8</v>
      </c>
      <c r="AI235" s="428">
        <f t="shared" si="0"/>
        <v>0.8</v>
      </c>
      <c r="AJ235" s="428">
        <f t="shared" si="0"/>
        <v>0.8</v>
      </c>
      <c r="AK235" s="428">
        <f t="shared" si="0"/>
        <v>0.8</v>
      </c>
      <c r="AL235" s="428">
        <f t="shared" si="0"/>
        <v>0.8</v>
      </c>
      <c r="AM235" s="428">
        <f t="shared" si="0"/>
        <v>0.8</v>
      </c>
      <c r="AN235" s="428">
        <f t="shared" si="0"/>
        <v>0.8</v>
      </c>
      <c r="AO235" s="428"/>
      <c r="AP235" s="428"/>
      <c r="AQ235" s="428"/>
    </row>
    <row r="236" spans="1:43" x14ac:dyDescent="0.25">
      <c r="A236" s="384"/>
      <c r="B236" s="384"/>
      <c r="C236" s="384"/>
      <c r="D236" s="384"/>
      <c r="E236" s="9" t="s">
        <v>103</v>
      </c>
      <c r="F236" s="9" t="s">
        <v>104</v>
      </c>
      <c r="G236" s="9" t="s">
        <v>805</v>
      </c>
      <c r="H236" s="9">
        <v>2030</v>
      </c>
      <c r="I236" s="411"/>
      <c r="J236" s="411">
        <v>4.8301198058184998</v>
      </c>
      <c r="K236" s="210" t="s">
        <v>809</v>
      </c>
      <c r="L236" s="210"/>
      <c r="M236" s="428">
        <f t="shared" si="1"/>
        <v>4.8301198058184998</v>
      </c>
      <c r="N236" s="428">
        <f t="shared" si="0"/>
        <v>4.8301198058184998</v>
      </c>
      <c r="O236" s="428">
        <f t="shared" si="0"/>
        <v>4.8301198058184998</v>
      </c>
      <c r="P236" s="428">
        <f t="shared" si="0"/>
        <v>4.8301198058184998</v>
      </c>
      <c r="Q236" s="428">
        <f t="shared" si="0"/>
        <v>4.8301198058184998</v>
      </c>
      <c r="R236" s="428">
        <f t="shared" si="0"/>
        <v>4.8301198058184998</v>
      </c>
      <c r="S236" s="428">
        <f t="shared" si="0"/>
        <v>4.8301198058184998</v>
      </c>
      <c r="T236" s="428">
        <f t="shared" si="0"/>
        <v>4.8301198058184998</v>
      </c>
      <c r="U236" s="428">
        <f t="shared" si="0"/>
        <v>4.8301198058184998</v>
      </c>
      <c r="V236" s="428">
        <f t="shared" si="0"/>
        <v>4.8301198058184998</v>
      </c>
      <c r="W236" s="428">
        <f t="shared" si="0"/>
        <v>4.8301198058184998</v>
      </c>
      <c r="X236" s="428">
        <f t="shared" si="0"/>
        <v>4.8301198058184998</v>
      </c>
      <c r="Y236" s="428">
        <f t="shared" si="0"/>
        <v>4.8301198058184998</v>
      </c>
      <c r="Z236" s="428">
        <f t="shared" si="0"/>
        <v>4.8301198058184998</v>
      </c>
      <c r="AA236" s="428">
        <f t="shared" si="0"/>
        <v>4.8301198058184998</v>
      </c>
      <c r="AB236" s="428">
        <f t="shared" si="0"/>
        <v>4.8301198058184998</v>
      </c>
      <c r="AC236" s="428">
        <f t="shared" si="0"/>
        <v>4.8301198058184998</v>
      </c>
      <c r="AD236" s="428">
        <f t="shared" si="0"/>
        <v>4.8301198058184998</v>
      </c>
      <c r="AE236" s="428">
        <f t="shared" si="0"/>
        <v>4.8301198058184998</v>
      </c>
      <c r="AF236" s="428">
        <f t="shared" si="0"/>
        <v>4.8301198058184998</v>
      </c>
      <c r="AG236" s="428">
        <f t="shared" si="0"/>
        <v>4.8301198058184998</v>
      </c>
      <c r="AH236" s="428">
        <f t="shared" si="0"/>
        <v>4.8301198058184998</v>
      </c>
      <c r="AI236" s="428">
        <f t="shared" si="0"/>
        <v>4.8301198058184998</v>
      </c>
      <c r="AJ236" s="428">
        <f t="shared" si="0"/>
        <v>4.8301198058184998</v>
      </c>
      <c r="AK236" s="428">
        <f t="shared" si="0"/>
        <v>4.8301198058184998</v>
      </c>
      <c r="AL236" s="428">
        <f t="shared" si="0"/>
        <v>4.8301198058184998</v>
      </c>
      <c r="AM236" s="428">
        <f t="shared" si="0"/>
        <v>4.8301198058184998</v>
      </c>
      <c r="AN236" s="428">
        <f t="shared" si="0"/>
        <v>4.8301198058184998</v>
      </c>
      <c r="AO236" s="428"/>
      <c r="AP236" s="428"/>
      <c r="AQ236" s="428"/>
    </row>
    <row r="237" spans="1:43" x14ac:dyDescent="0.25">
      <c r="A237" s="384"/>
      <c r="B237" s="384"/>
      <c r="C237" s="384"/>
      <c r="D237" s="384"/>
      <c r="F237" s="9" t="s">
        <v>104</v>
      </c>
      <c r="G237" s="9" t="s">
        <v>805</v>
      </c>
      <c r="H237" s="9">
        <v>2050</v>
      </c>
      <c r="I237" s="411"/>
      <c r="J237" s="411">
        <v>3.356698309603912</v>
      </c>
      <c r="K237" s="210" t="s">
        <v>809</v>
      </c>
      <c r="M237" s="428">
        <f t="shared" si="1"/>
        <v>3.356698309603912</v>
      </c>
      <c r="N237" s="428">
        <f t="shared" si="0"/>
        <v>3.356698309603912</v>
      </c>
      <c r="O237" s="428">
        <f t="shared" si="0"/>
        <v>3.356698309603912</v>
      </c>
      <c r="P237" s="428">
        <f t="shared" si="0"/>
        <v>3.356698309603912</v>
      </c>
      <c r="Q237" s="428">
        <f t="shared" si="0"/>
        <v>3.356698309603912</v>
      </c>
      <c r="R237" s="428">
        <f t="shared" si="0"/>
        <v>3.356698309603912</v>
      </c>
      <c r="S237" s="428">
        <f t="shared" si="0"/>
        <v>3.356698309603912</v>
      </c>
      <c r="T237" s="428">
        <f t="shared" si="0"/>
        <v>3.356698309603912</v>
      </c>
      <c r="U237" s="428">
        <f t="shared" si="0"/>
        <v>3.356698309603912</v>
      </c>
      <c r="V237" s="428">
        <f t="shared" si="0"/>
        <v>3.356698309603912</v>
      </c>
      <c r="W237" s="428">
        <f t="shared" si="0"/>
        <v>3.356698309603912</v>
      </c>
      <c r="X237" s="428">
        <f t="shared" si="0"/>
        <v>3.356698309603912</v>
      </c>
      <c r="Y237" s="428">
        <f t="shared" si="0"/>
        <v>3.356698309603912</v>
      </c>
      <c r="Z237" s="428">
        <f t="shared" si="0"/>
        <v>3.356698309603912</v>
      </c>
      <c r="AA237" s="428">
        <f t="shared" si="0"/>
        <v>3.356698309603912</v>
      </c>
      <c r="AB237" s="428">
        <f t="shared" si="0"/>
        <v>3.356698309603912</v>
      </c>
      <c r="AC237" s="428">
        <f t="shared" si="0"/>
        <v>3.356698309603912</v>
      </c>
      <c r="AD237" s="428">
        <f t="shared" si="0"/>
        <v>3.356698309603912</v>
      </c>
      <c r="AE237" s="428">
        <f t="shared" si="0"/>
        <v>3.356698309603912</v>
      </c>
      <c r="AF237" s="428">
        <f t="shared" si="0"/>
        <v>3.356698309603912</v>
      </c>
      <c r="AG237" s="428">
        <f t="shared" si="0"/>
        <v>3.356698309603912</v>
      </c>
      <c r="AH237" s="428">
        <f t="shared" si="0"/>
        <v>3.356698309603912</v>
      </c>
      <c r="AI237" s="428">
        <f t="shared" si="0"/>
        <v>3.356698309603912</v>
      </c>
      <c r="AJ237" s="428">
        <f t="shared" si="0"/>
        <v>3.356698309603912</v>
      </c>
      <c r="AK237" s="428">
        <f t="shared" si="0"/>
        <v>3.356698309603912</v>
      </c>
      <c r="AL237" s="428">
        <f t="shared" si="0"/>
        <v>3.356698309603912</v>
      </c>
      <c r="AM237" s="428">
        <f t="shared" si="0"/>
        <v>3.356698309603912</v>
      </c>
      <c r="AN237" s="428">
        <f t="shared" si="0"/>
        <v>3.356698309603912</v>
      </c>
      <c r="AO237" s="428"/>
      <c r="AP237" s="428"/>
      <c r="AQ237" s="428"/>
    </row>
    <row r="238" spans="1:43" x14ac:dyDescent="0.25">
      <c r="A238" s="384"/>
      <c r="B238" s="384"/>
      <c r="C238" s="384"/>
      <c r="D238" s="384"/>
      <c r="E238" s="9" t="s">
        <v>105</v>
      </c>
      <c r="F238" s="9" t="s">
        <v>106</v>
      </c>
      <c r="G238" s="9" t="s">
        <v>801</v>
      </c>
      <c r="H238" s="9">
        <v>2020</v>
      </c>
      <c r="I238" s="429">
        <v>867.74421517219116</v>
      </c>
      <c r="J238" s="429">
        <v>1</v>
      </c>
      <c r="K238" s="210" t="s">
        <v>809</v>
      </c>
      <c r="L238" s="210"/>
      <c r="M238" s="428">
        <f t="shared" si="1"/>
        <v>1</v>
      </c>
      <c r="N238" s="428">
        <f t="shared" si="0"/>
        <v>1</v>
      </c>
      <c r="O238" s="428">
        <f t="shared" si="0"/>
        <v>1</v>
      </c>
      <c r="P238" s="428">
        <f t="shared" si="0"/>
        <v>1</v>
      </c>
      <c r="Q238" s="428">
        <f t="shared" si="0"/>
        <v>1</v>
      </c>
      <c r="R238" s="428">
        <f t="shared" si="0"/>
        <v>1</v>
      </c>
      <c r="S238" s="428">
        <f t="shared" si="0"/>
        <v>1</v>
      </c>
      <c r="T238" s="428">
        <f t="shared" si="0"/>
        <v>1</v>
      </c>
      <c r="U238" s="428">
        <f t="shared" si="0"/>
        <v>1</v>
      </c>
      <c r="V238" s="428">
        <f t="shared" si="0"/>
        <v>1</v>
      </c>
      <c r="W238" s="428">
        <f t="shared" si="0"/>
        <v>1</v>
      </c>
      <c r="X238" s="428">
        <f t="shared" si="0"/>
        <v>1</v>
      </c>
      <c r="Y238" s="428">
        <f t="shared" si="0"/>
        <v>1</v>
      </c>
      <c r="Z238" s="428">
        <f t="shared" si="0"/>
        <v>1</v>
      </c>
      <c r="AA238" s="428">
        <f t="shared" si="0"/>
        <v>1</v>
      </c>
      <c r="AB238" s="428">
        <f t="shared" si="0"/>
        <v>1</v>
      </c>
      <c r="AC238" s="428">
        <f t="shared" si="0"/>
        <v>1</v>
      </c>
      <c r="AD238" s="428">
        <f t="shared" si="0"/>
        <v>1</v>
      </c>
      <c r="AE238" s="428">
        <f t="shared" si="0"/>
        <v>1</v>
      </c>
      <c r="AF238" s="428">
        <f t="shared" si="0"/>
        <v>1</v>
      </c>
      <c r="AG238" s="428">
        <f t="shared" si="0"/>
        <v>1</v>
      </c>
      <c r="AH238" s="428">
        <f t="shared" si="0"/>
        <v>1</v>
      </c>
      <c r="AI238" s="428">
        <f t="shared" si="0"/>
        <v>1</v>
      </c>
      <c r="AJ238" s="428">
        <f t="shared" si="0"/>
        <v>1</v>
      </c>
      <c r="AK238" s="428">
        <f t="shared" si="0"/>
        <v>1</v>
      </c>
      <c r="AL238" s="428">
        <f t="shared" si="0"/>
        <v>1</v>
      </c>
      <c r="AM238" s="428">
        <f t="shared" si="0"/>
        <v>1</v>
      </c>
      <c r="AN238" s="428">
        <f t="shared" si="0"/>
        <v>1</v>
      </c>
      <c r="AO238" s="428"/>
      <c r="AP238" s="428"/>
      <c r="AQ238" s="428"/>
    </row>
    <row r="239" spans="1:43" x14ac:dyDescent="0.25">
      <c r="A239" s="384"/>
      <c r="B239" s="384"/>
      <c r="C239" s="384"/>
      <c r="D239" s="384"/>
      <c r="E239" s="9" t="s">
        <v>105</v>
      </c>
      <c r="F239" s="9" t="s">
        <v>106</v>
      </c>
      <c r="G239" s="9" t="s">
        <v>803</v>
      </c>
      <c r="H239" s="9">
        <v>2025</v>
      </c>
      <c r="I239" s="411"/>
      <c r="J239" s="411">
        <v>1</v>
      </c>
      <c r="K239" s="210" t="s">
        <v>809</v>
      </c>
      <c r="M239" s="428">
        <f t="shared" si="1"/>
        <v>1</v>
      </c>
      <c r="N239" s="428">
        <f t="shared" si="0"/>
        <v>1</v>
      </c>
      <c r="O239" s="428">
        <f t="shared" si="0"/>
        <v>1</v>
      </c>
      <c r="P239" s="428">
        <f t="shared" si="0"/>
        <v>1</v>
      </c>
      <c r="Q239" s="428">
        <f t="shared" si="0"/>
        <v>1</v>
      </c>
      <c r="R239" s="428">
        <f t="shared" si="0"/>
        <v>1</v>
      </c>
      <c r="S239" s="428">
        <f t="shared" si="0"/>
        <v>1</v>
      </c>
      <c r="T239" s="428">
        <f t="shared" si="0"/>
        <v>1</v>
      </c>
      <c r="U239" s="428">
        <f t="shared" si="0"/>
        <v>1</v>
      </c>
      <c r="V239" s="428">
        <f t="shared" si="0"/>
        <v>1</v>
      </c>
      <c r="W239" s="428">
        <f t="shared" si="0"/>
        <v>1</v>
      </c>
      <c r="X239" s="428">
        <f t="shared" si="0"/>
        <v>1</v>
      </c>
      <c r="Y239" s="428">
        <f t="shared" si="0"/>
        <v>1</v>
      </c>
      <c r="Z239" s="428">
        <f t="shared" si="0"/>
        <v>1</v>
      </c>
      <c r="AA239" s="428">
        <f t="shared" si="0"/>
        <v>1</v>
      </c>
      <c r="AB239" s="428">
        <f t="shared" si="0"/>
        <v>1</v>
      </c>
      <c r="AC239" s="428">
        <f t="shared" si="0"/>
        <v>1</v>
      </c>
      <c r="AD239" s="428">
        <f t="shared" si="0"/>
        <v>1</v>
      </c>
      <c r="AE239" s="428">
        <f t="shared" si="0"/>
        <v>1</v>
      </c>
      <c r="AF239" s="428">
        <f t="shared" si="0"/>
        <v>1</v>
      </c>
      <c r="AG239" s="428">
        <f t="shared" si="0"/>
        <v>1</v>
      </c>
      <c r="AH239" s="428">
        <f t="shared" si="0"/>
        <v>1</v>
      </c>
      <c r="AI239" s="428">
        <f t="shared" si="0"/>
        <v>1</v>
      </c>
      <c r="AJ239" s="428">
        <f t="shared" si="0"/>
        <v>1</v>
      </c>
      <c r="AK239" s="428">
        <f t="shared" si="0"/>
        <v>1</v>
      </c>
      <c r="AL239" s="428">
        <f t="shared" si="0"/>
        <v>1</v>
      </c>
      <c r="AM239" s="428">
        <f t="shared" si="0"/>
        <v>1</v>
      </c>
      <c r="AN239" s="428">
        <f t="shared" si="0"/>
        <v>1</v>
      </c>
      <c r="AO239" s="428"/>
      <c r="AP239" s="428"/>
      <c r="AQ239" s="428"/>
    </row>
    <row r="240" spans="1:43" x14ac:dyDescent="0.25">
      <c r="A240" s="384"/>
      <c r="B240" s="384"/>
      <c r="C240" s="384"/>
      <c r="D240" s="384"/>
      <c r="F240" s="9" t="s">
        <v>106</v>
      </c>
      <c r="G240" s="9" t="s">
        <v>803</v>
      </c>
      <c r="H240" s="9">
        <v>2030</v>
      </c>
      <c r="I240" s="411"/>
      <c r="J240" s="411">
        <v>0.90100000000000002</v>
      </c>
      <c r="K240" s="210" t="s">
        <v>809</v>
      </c>
      <c r="M240" s="428">
        <f t="shared" si="1"/>
        <v>0.90100000000000002</v>
      </c>
      <c r="N240" s="428">
        <f t="shared" si="0"/>
        <v>0.90100000000000002</v>
      </c>
      <c r="O240" s="428">
        <f t="shared" si="0"/>
        <v>0.90100000000000002</v>
      </c>
      <c r="P240" s="428">
        <f t="shared" si="0"/>
        <v>0.90100000000000002</v>
      </c>
      <c r="Q240" s="428">
        <f t="shared" si="0"/>
        <v>0.90100000000000002</v>
      </c>
      <c r="R240" s="428">
        <f t="shared" si="0"/>
        <v>0.90100000000000002</v>
      </c>
      <c r="S240" s="428">
        <f t="shared" si="0"/>
        <v>0.90100000000000002</v>
      </c>
      <c r="T240" s="428">
        <f t="shared" si="0"/>
        <v>0.90100000000000002</v>
      </c>
      <c r="U240" s="428">
        <f t="shared" si="0"/>
        <v>0.90100000000000002</v>
      </c>
      <c r="V240" s="428">
        <f t="shared" si="0"/>
        <v>0.90100000000000002</v>
      </c>
      <c r="W240" s="428">
        <f t="shared" si="0"/>
        <v>0.90100000000000002</v>
      </c>
      <c r="X240" s="428">
        <f t="shared" si="0"/>
        <v>0.90100000000000002</v>
      </c>
      <c r="Y240" s="428">
        <f t="shared" si="0"/>
        <v>0.90100000000000002</v>
      </c>
      <c r="Z240" s="428">
        <f t="shared" si="0"/>
        <v>0.90100000000000002</v>
      </c>
      <c r="AA240" s="428">
        <f t="shared" si="0"/>
        <v>0.90100000000000002</v>
      </c>
      <c r="AB240" s="428">
        <f t="shared" si="0"/>
        <v>0.90100000000000002</v>
      </c>
      <c r="AC240" s="428">
        <f t="shared" si="0"/>
        <v>0.90100000000000002</v>
      </c>
      <c r="AD240" s="428">
        <f t="shared" si="0"/>
        <v>0.90100000000000002</v>
      </c>
      <c r="AE240" s="428">
        <f t="shared" si="0"/>
        <v>0.90100000000000002</v>
      </c>
      <c r="AF240" s="428">
        <f t="shared" si="0"/>
        <v>0.90100000000000002</v>
      </c>
      <c r="AG240" s="428">
        <f t="shared" si="0"/>
        <v>0.90100000000000002</v>
      </c>
      <c r="AH240" s="428">
        <f t="shared" si="0"/>
        <v>0.90100000000000002</v>
      </c>
      <c r="AI240" s="428">
        <f t="shared" si="0"/>
        <v>0.90100000000000002</v>
      </c>
      <c r="AJ240" s="428">
        <f t="shared" si="0"/>
        <v>0.90100000000000002</v>
      </c>
      <c r="AK240" s="428">
        <f t="shared" si="0"/>
        <v>0.90100000000000002</v>
      </c>
      <c r="AL240" s="428">
        <f t="shared" si="0"/>
        <v>0.90100000000000002</v>
      </c>
      <c r="AM240" s="428">
        <f t="shared" si="0"/>
        <v>0.90100000000000002</v>
      </c>
      <c r="AN240" s="428">
        <f t="shared" si="0"/>
        <v>0.90100000000000002</v>
      </c>
      <c r="AO240" s="428"/>
      <c r="AP240" s="428"/>
      <c r="AQ240" s="428"/>
    </row>
    <row r="241" spans="1:43" s="375" customFormat="1" x14ac:dyDescent="0.25">
      <c r="A241" s="384"/>
      <c r="B241" s="384"/>
      <c r="C241" s="384"/>
      <c r="D241" s="384"/>
      <c r="E241" s="9"/>
      <c r="F241" s="9" t="s">
        <v>106</v>
      </c>
      <c r="G241" s="9" t="s">
        <v>803</v>
      </c>
      <c r="H241" s="9">
        <v>2050</v>
      </c>
      <c r="I241" s="429"/>
      <c r="J241" s="411">
        <v>0.7991120976692565</v>
      </c>
      <c r="K241" s="210" t="s">
        <v>809</v>
      </c>
      <c r="L241" s="210"/>
      <c r="M241" s="428">
        <f t="shared" si="1"/>
        <v>0.7991120976692565</v>
      </c>
      <c r="N241" s="428">
        <f t="shared" si="0"/>
        <v>0.7991120976692565</v>
      </c>
      <c r="O241" s="428">
        <f t="shared" si="0"/>
        <v>0.7991120976692565</v>
      </c>
      <c r="P241" s="428">
        <f t="shared" si="0"/>
        <v>0.7991120976692565</v>
      </c>
      <c r="Q241" s="428">
        <f t="shared" si="0"/>
        <v>0.7991120976692565</v>
      </c>
      <c r="R241" s="428">
        <f t="shared" si="0"/>
        <v>0.7991120976692565</v>
      </c>
      <c r="S241" s="428">
        <f t="shared" si="0"/>
        <v>0.7991120976692565</v>
      </c>
      <c r="T241" s="428">
        <f t="shared" si="0"/>
        <v>0.7991120976692565</v>
      </c>
      <c r="U241" s="428">
        <f t="shared" si="0"/>
        <v>0.7991120976692565</v>
      </c>
      <c r="V241" s="428">
        <f t="shared" si="0"/>
        <v>0.7991120976692565</v>
      </c>
      <c r="W241" s="428">
        <f t="shared" si="0"/>
        <v>0.7991120976692565</v>
      </c>
      <c r="X241" s="428">
        <f t="shared" si="0"/>
        <v>0.7991120976692565</v>
      </c>
      <c r="Y241" s="428">
        <f t="shared" si="0"/>
        <v>0.7991120976692565</v>
      </c>
      <c r="Z241" s="428">
        <f t="shared" si="0"/>
        <v>0.7991120976692565</v>
      </c>
      <c r="AA241" s="428">
        <f t="shared" si="0"/>
        <v>0.7991120976692565</v>
      </c>
      <c r="AB241" s="428">
        <f t="shared" si="0"/>
        <v>0.7991120976692565</v>
      </c>
      <c r="AC241" s="428">
        <f t="shared" si="0"/>
        <v>0.7991120976692565</v>
      </c>
      <c r="AD241" s="428">
        <f t="shared" si="0"/>
        <v>0.7991120976692565</v>
      </c>
      <c r="AE241" s="428">
        <f t="shared" si="0"/>
        <v>0.7991120976692565</v>
      </c>
      <c r="AF241" s="428">
        <f t="shared" si="0"/>
        <v>0.7991120976692565</v>
      </c>
      <c r="AG241" s="428">
        <f t="shared" si="0"/>
        <v>0.7991120976692565</v>
      </c>
      <c r="AH241" s="428">
        <f t="shared" si="0"/>
        <v>0.7991120976692565</v>
      </c>
      <c r="AI241" s="428">
        <f t="shared" si="0"/>
        <v>0.7991120976692565</v>
      </c>
      <c r="AJ241" s="428">
        <f t="shared" si="0"/>
        <v>0.7991120976692565</v>
      </c>
      <c r="AK241" s="428">
        <f t="shared" si="0"/>
        <v>0.7991120976692565</v>
      </c>
      <c r="AL241" s="428">
        <f t="shared" si="0"/>
        <v>0.7991120976692565</v>
      </c>
      <c r="AM241" s="428">
        <f t="shared" si="0"/>
        <v>0.7991120976692565</v>
      </c>
      <c r="AN241" s="428">
        <f t="shared" si="0"/>
        <v>0.7991120976692565</v>
      </c>
      <c r="AO241" s="428"/>
      <c r="AP241" s="428"/>
      <c r="AQ241" s="428"/>
    </row>
    <row r="242" spans="1:43" s="375" customFormat="1" x14ac:dyDescent="0.25">
      <c r="A242" s="384"/>
      <c r="B242" s="384"/>
      <c r="C242" s="384"/>
      <c r="D242" s="384"/>
      <c r="E242" s="9" t="s">
        <v>105</v>
      </c>
      <c r="F242" s="9" t="s">
        <v>106</v>
      </c>
      <c r="G242" s="9" t="s">
        <v>805</v>
      </c>
      <c r="H242" s="9">
        <v>2030</v>
      </c>
      <c r="I242" s="429"/>
      <c r="J242" s="411">
        <v>1.8303943275090835</v>
      </c>
      <c r="K242" s="210" t="s">
        <v>809</v>
      </c>
      <c r="L242" s="210"/>
      <c r="M242" s="428">
        <f t="shared" si="1"/>
        <v>1.8303943275090835</v>
      </c>
      <c r="N242" s="428">
        <f t="shared" ref="N242:AN251" si="2">N$256*$J242</f>
        <v>1.8303943275090835</v>
      </c>
      <c r="O242" s="428">
        <f t="shared" si="2"/>
        <v>1.8303943275090835</v>
      </c>
      <c r="P242" s="428">
        <f t="shared" si="2"/>
        <v>1.8303943275090835</v>
      </c>
      <c r="Q242" s="428">
        <f t="shared" si="2"/>
        <v>1.8303943275090835</v>
      </c>
      <c r="R242" s="428">
        <f t="shared" si="2"/>
        <v>1.8303943275090835</v>
      </c>
      <c r="S242" s="428">
        <f t="shared" si="2"/>
        <v>1.8303943275090835</v>
      </c>
      <c r="T242" s="428">
        <f t="shared" si="2"/>
        <v>1.8303943275090835</v>
      </c>
      <c r="U242" s="428">
        <f t="shared" si="2"/>
        <v>1.8303943275090835</v>
      </c>
      <c r="V242" s="428">
        <f t="shared" si="2"/>
        <v>1.8303943275090835</v>
      </c>
      <c r="W242" s="428">
        <f t="shared" si="2"/>
        <v>1.8303943275090835</v>
      </c>
      <c r="X242" s="428">
        <f t="shared" si="2"/>
        <v>1.8303943275090835</v>
      </c>
      <c r="Y242" s="428">
        <f t="shared" si="2"/>
        <v>1.8303943275090835</v>
      </c>
      <c r="Z242" s="428">
        <f t="shared" si="2"/>
        <v>1.8303943275090835</v>
      </c>
      <c r="AA242" s="428">
        <f t="shared" si="2"/>
        <v>1.8303943275090835</v>
      </c>
      <c r="AB242" s="428">
        <f t="shared" si="2"/>
        <v>1.8303943275090835</v>
      </c>
      <c r="AC242" s="428">
        <f t="shared" si="2"/>
        <v>1.8303943275090835</v>
      </c>
      <c r="AD242" s="428">
        <f t="shared" si="2"/>
        <v>1.8303943275090835</v>
      </c>
      <c r="AE242" s="428">
        <f t="shared" si="2"/>
        <v>1.8303943275090835</v>
      </c>
      <c r="AF242" s="428">
        <f t="shared" si="2"/>
        <v>1.8303943275090835</v>
      </c>
      <c r="AG242" s="428">
        <f t="shared" si="2"/>
        <v>1.8303943275090835</v>
      </c>
      <c r="AH242" s="428">
        <f t="shared" si="2"/>
        <v>1.8303943275090835</v>
      </c>
      <c r="AI242" s="428">
        <f t="shared" si="2"/>
        <v>1.8303943275090835</v>
      </c>
      <c r="AJ242" s="428">
        <f t="shared" si="2"/>
        <v>1.8303943275090835</v>
      </c>
      <c r="AK242" s="428">
        <f t="shared" si="2"/>
        <v>1.8303943275090835</v>
      </c>
      <c r="AL242" s="428">
        <f t="shared" si="2"/>
        <v>1.8303943275090835</v>
      </c>
      <c r="AM242" s="428">
        <f t="shared" si="2"/>
        <v>1.8303943275090835</v>
      </c>
      <c r="AN242" s="428">
        <f t="shared" si="2"/>
        <v>1.8303943275090835</v>
      </c>
      <c r="AO242" s="428"/>
      <c r="AP242" s="428"/>
      <c r="AQ242" s="428"/>
    </row>
    <row r="243" spans="1:43" s="375" customFormat="1" x14ac:dyDescent="0.25">
      <c r="A243" s="384"/>
      <c r="B243" s="384"/>
      <c r="C243" s="384"/>
      <c r="D243" s="384"/>
      <c r="E243" s="9"/>
      <c r="F243" s="9" t="s">
        <v>106</v>
      </c>
      <c r="G243" s="9" t="s">
        <v>805</v>
      </c>
      <c r="H243" s="9">
        <v>2050</v>
      </c>
      <c r="I243" s="411"/>
      <c r="J243" s="411">
        <v>1.5659635371863274</v>
      </c>
      <c r="K243" s="210" t="s">
        <v>809</v>
      </c>
      <c r="M243" s="428">
        <f t="shared" si="1"/>
        <v>1.5659635371863274</v>
      </c>
      <c r="N243" s="428">
        <f t="shared" si="2"/>
        <v>1.5659635371863274</v>
      </c>
      <c r="O243" s="428">
        <f t="shared" si="2"/>
        <v>1.5659635371863274</v>
      </c>
      <c r="P243" s="428">
        <f t="shared" si="2"/>
        <v>1.5659635371863274</v>
      </c>
      <c r="Q243" s="428">
        <f t="shared" si="2"/>
        <v>1.5659635371863274</v>
      </c>
      <c r="R243" s="428">
        <f t="shared" si="2"/>
        <v>1.5659635371863274</v>
      </c>
      <c r="S243" s="428">
        <f t="shared" si="2"/>
        <v>1.5659635371863274</v>
      </c>
      <c r="T243" s="428">
        <f t="shared" si="2"/>
        <v>1.5659635371863274</v>
      </c>
      <c r="U243" s="428">
        <f t="shared" si="2"/>
        <v>1.5659635371863274</v>
      </c>
      <c r="V243" s="428">
        <f t="shared" si="2"/>
        <v>1.5659635371863274</v>
      </c>
      <c r="W243" s="428">
        <f t="shared" si="2"/>
        <v>1.5659635371863274</v>
      </c>
      <c r="X243" s="428">
        <f t="shared" si="2"/>
        <v>1.5659635371863274</v>
      </c>
      <c r="Y243" s="428">
        <f t="shared" si="2"/>
        <v>1.5659635371863274</v>
      </c>
      <c r="Z243" s="428">
        <f t="shared" si="2"/>
        <v>1.5659635371863274</v>
      </c>
      <c r="AA243" s="428">
        <f t="shared" si="2"/>
        <v>1.5659635371863274</v>
      </c>
      <c r="AB243" s="428">
        <f t="shared" si="2"/>
        <v>1.5659635371863274</v>
      </c>
      <c r="AC243" s="428">
        <f t="shared" si="2"/>
        <v>1.5659635371863274</v>
      </c>
      <c r="AD243" s="428">
        <f t="shared" si="2"/>
        <v>1.5659635371863274</v>
      </c>
      <c r="AE243" s="428">
        <f t="shared" si="2"/>
        <v>1.5659635371863274</v>
      </c>
      <c r="AF243" s="428">
        <f t="shared" si="2"/>
        <v>1.5659635371863274</v>
      </c>
      <c r="AG243" s="428">
        <f t="shared" si="2"/>
        <v>1.5659635371863274</v>
      </c>
      <c r="AH243" s="428">
        <f t="shared" si="2"/>
        <v>1.5659635371863274</v>
      </c>
      <c r="AI243" s="428">
        <f t="shared" si="2"/>
        <v>1.5659635371863274</v>
      </c>
      <c r="AJ243" s="428">
        <f t="shared" si="2"/>
        <v>1.5659635371863274</v>
      </c>
      <c r="AK243" s="428">
        <f t="shared" si="2"/>
        <v>1.5659635371863274</v>
      </c>
      <c r="AL243" s="428">
        <f t="shared" si="2"/>
        <v>1.5659635371863274</v>
      </c>
      <c r="AM243" s="428">
        <f t="shared" si="2"/>
        <v>1.5659635371863274</v>
      </c>
      <c r="AN243" s="428">
        <f t="shared" si="2"/>
        <v>1.5659635371863274</v>
      </c>
      <c r="AO243" s="428"/>
      <c r="AP243" s="428"/>
      <c r="AQ243" s="428"/>
    </row>
    <row r="244" spans="1:43" s="375" customFormat="1" x14ac:dyDescent="0.25">
      <c r="A244" s="384"/>
      <c r="B244" s="384"/>
      <c r="C244" s="384"/>
      <c r="D244" s="384"/>
      <c r="E244" s="9" t="s">
        <v>107</v>
      </c>
      <c r="F244" s="9" t="s">
        <v>108</v>
      </c>
      <c r="G244" s="9" t="s">
        <v>801</v>
      </c>
      <c r="H244" s="9">
        <v>2020</v>
      </c>
      <c r="I244" s="429">
        <v>819.5362032181805</v>
      </c>
      <c r="J244" s="429">
        <v>1</v>
      </c>
      <c r="K244" s="210" t="s">
        <v>809</v>
      </c>
      <c r="L244" s="210"/>
      <c r="M244" s="428">
        <f t="shared" si="1"/>
        <v>1</v>
      </c>
      <c r="N244" s="428">
        <f t="shared" si="2"/>
        <v>1</v>
      </c>
      <c r="O244" s="428">
        <f t="shared" si="2"/>
        <v>1</v>
      </c>
      <c r="P244" s="428">
        <f t="shared" si="2"/>
        <v>1</v>
      </c>
      <c r="Q244" s="428">
        <f t="shared" si="2"/>
        <v>1</v>
      </c>
      <c r="R244" s="428">
        <f t="shared" si="2"/>
        <v>1</v>
      </c>
      <c r="S244" s="428">
        <f t="shared" si="2"/>
        <v>1</v>
      </c>
      <c r="T244" s="428">
        <f t="shared" si="2"/>
        <v>1</v>
      </c>
      <c r="U244" s="428">
        <f t="shared" si="2"/>
        <v>1</v>
      </c>
      <c r="V244" s="428">
        <f t="shared" si="2"/>
        <v>1</v>
      </c>
      <c r="W244" s="428">
        <f t="shared" si="2"/>
        <v>1</v>
      </c>
      <c r="X244" s="428">
        <f t="shared" si="2"/>
        <v>1</v>
      </c>
      <c r="Y244" s="428">
        <f t="shared" si="2"/>
        <v>1</v>
      </c>
      <c r="Z244" s="428">
        <f t="shared" si="2"/>
        <v>1</v>
      </c>
      <c r="AA244" s="428">
        <f t="shared" si="2"/>
        <v>1</v>
      </c>
      <c r="AB244" s="428">
        <f t="shared" si="2"/>
        <v>1</v>
      </c>
      <c r="AC244" s="428">
        <f t="shared" si="2"/>
        <v>1</v>
      </c>
      <c r="AD244" s="428">
        <f t="shared" si="2"/>
        <v>1</v>
      </c>
      <c r="AE244" s="428">
        <f t="shared" si="2"/>
        <v>1</v>
      </c>
      <c r="AF244" s="428">
        <f t="shared" si="2"/>
        <v>1</v>
      </c>
      <c r="AG244" s="428">
        <f t="shared" si="2"/>
        <v>1</v>
      </c>
      <c r="AH244" s="428">
        <f t="shared" si="2"/>
        <v>1</v>
      </c>
      <c r="AI244" s="428">
        <f t="shared" si="2"/>
        <v>1</v>
      </c>
      <c r="AJ244" s="428">
        <f t="shared" si="2"/>
        <v>1</v>
      </c>
      <c r="AK244" s="428">
        <f t="shared" si="2"/>
        <v>1</v>
      </c>
      <c r="AL244" s="428">
        <f t="shared" si="2"/>
        <v>1</v>
      </c>
      <c r="AM244" s="428">
        <f t="shared" si="2"/>
        <v>1</v>
      </c>
      <c r="AN244" s="428">
        <f t="shared" si="2"/>
        <v>1</v>
      </c>
      <c r="AO244" s="428"/>
      <c r="AP244" s="428"/>
      <c r="AQ244" s="428"/>
    </row>
    <row r="245" spans="1:43" s="375" customFormat="1" x14ac:dyDescent="0.25">
      <c r="A245" s="384"/>
      <c r="B245" s="384"/>
      <c r="C245" s="384"/>
      <c r="D245" s="384"/>
      <c r="E245" s="9" t="s">
        <v>107</v>
      </c>
      <c r="F245" s="9" t="s">
        <v>108</v>
      </c>
      <c r="G245" s="9" t="s">
        <v>803</v>
      </c>
      <c r="H245" s="9">
        <v>2025</v>
      </c>
      <c r="I245" s="429"/>
      <c r="J245" s="429">
        <v>1</v>
      </c>
      <c r="K245" s="210" t="s">
        <v>809</v>
      </c>
      <c r="M245" s="428">
        <f t="shared" si="1"/>
        <v>1</v>
      </c>
      <c r="N245" s="428">
        <f t="shared" si="2"/>
        <v>1</v>
      </c>
      <c r="O245" s="428">
        <f t="shared" si="2"/>
        <v>1</v>
      </c>
      <c r="P245" s="428">
        <f t="shared" si="2"/>
        <v>1</v>
      </c>
      <c r="Q245" s="428">
        <f t="shared" si="2"/>
        <v>1</v>
      </c>
      <c r="R245" s="428">
        <f t="shared" si="2"/>
        <v>1</v>
      </c>
      <c r="S245" s="428">
        <f t="shared" si="2"/>
        <v>1</v>
      </c>
      <c r="T245" s="428">
        <f t="shared" si="2"/>
        <v>1</v>
      </c>
      <c r="U245" s="428">
        <f t="shared" si="2"/>
        <v>1</v>
      </c>
      <c r="V245" s="428">
        <f t="shared" si="2"/>
        <v>1</v>
      </c>
      <c r="W245" s="428">
        <f t="shared" si="2"/>
        <v>1</v>
      </c>
      <c r="X245" s="428">
        <f t="shared" si="2"/>
        <v>1</v>
      </c>
      <c r="Y245" s="428">
        <f t="shared" si="2"/>
        <v>1</v>
      </c>
      <c r="Z245" s="428">
        <f t="shared" si="2"/>
        <v>1</v>
      </c>
      <c r="AA245" s="428">
        <f t="shared" si="2"/>
        <v>1</v>
      </c>
      <c r="AB245" s="428">
        <f t="shared" si="2"/>
        <v>1</v>
      </c>
      <c r="AC245" s="428">
        <f t="shared" si="2"/>
        <v>1</v>
      </c>
      <c r="AD245" s="428">
        <f t="shared" si="2"/>
        <v>1</v>
      </c>
      <c r="AE245" s="428">
        <f t="shared" si="2"/>
        <v>1</v>
      </c>
      <c r="AF245" s="428">
        <f t="shared" si="2"/>
        <v>1</v>
      </c>
      <c r="AG245" s="428">
        <f t="shared" si="2"/>
        <v>1</v>
      </c>
      <c r="AH245" s="428">
        <f t="shared" si="2"/>
        <v>1</v>
      </c>
      <c r="AI245" s="428">
        <f t="shared" si="2"/>
        <v>1</v>
      </c>
      <c r="AJ245" s="428">
        <f t="shared" si="2"/>
        <v>1</v>
      </c>
      <c r="AK245" s="428">
        <f t="shared" si="2"/>
        <v>1</v>
      </c>
      <c r="AL245" s="428">
        <f t="shared" si="2"/>
        <v>1</v>
      </c>
      <c r="AM245" s="428">
        <f t="shared" si="2"/>
        <v>1</v>
      </c>
      <c r="AN245" s="428">
        <f t="shared" si="2"/>
        <v>1</v>
      </c>
      <c r="AO245" s="428"/>
      <c r="AP245" s="428"/>
      <c r="AQ245" s="428"/>
    </row>
    <row r="246" spans="1:43" s="375" customFormat="1" x14ac:dyDescent="0.25">
      <c r="A246" s="384"/>
      <c r="B246" s="384"/>
      <c r="C246" s="384"/>
      <c r="D246" s="384"/>
      <c r="E246" s="9"/>
      <c r="F246" s="9" t="s">
        <v>108</v>
      </c>
      <c r="G246" s="9" t="s">
        <v>803</v>
      </c>
      <c r="H246" s="9">
        <v>2030</v>
      </c>
      <c r="I246" s="411"/>
      <c r="J246" s="411">
        <v>0.88800000000000012</v>
      </c>
      <c r="K246" s="210" t="s">
        <v>809</v>
      </c>
      <c r="M246" s="428">
        <f t="shared" si="1"/>
        <v>0.88800000000000012</v>
      </c>
      <c r="N246" s="428">
        <f t="shared" si="2"/>
        <v>0.88800000000000012</v>
      </c>
      <c r="O246" s="428">
        <f t="shared" si="2"/>
        <v>0.88800000000000012</v>
      </c>
      <c r="P246" s="428">
        <f t="shared" si="2"/>
        <v>0.88800000000000012</v>
      </c>
      <c r="Q246" s="428">
        <f t="shared" si="2"/>
        <v>0.88800000000000012</v>
      </c>
      <c r="R246" s="428">
        <f t="shared" si="2"/>
        <v>0.88800000000000012</v>
      </c>
      <c r="S246" s="428">
        <f t="shared" si="2"/>
        <v>0.88800000000000012</v>
      </c>
      <c r="T246" s="428">
        <f t="shared" si="2"/>
        <v>0.88800000000000012</v>
      </c>
      <c r="U246" s="428">
        <f t="shared" si="2"/>
        <v>0.88800000000000012</v>
      </c>
      <c r="V246" s="428">
        <f t="shared" si="2"/>
        <v>0.88800000000000012</v>
      </c>
      <c r="W246" s="428">
        <f t="shared" si="2"/>
        <v>0.88800000000000012</v>
      </c>
      <c r="X246" s="428">
        <f t="shared" si="2"/>
        <v>0.88800000000000012</v>
      </c>
      <c r="Y246" s="428">
        <f t="shared" si="2"/>
        <v>0.88800000000000012</v>
      </c>
      <c r="Z246" s="428">
        <f t="shared" si="2"/>
        <v>0.88800000000000012</v>
      </c>
      <c r="AA246" s="428">
        <f t="shared" si="2"/>
        <v>0.88800000000000012</v>
      </c>
      <c r="AB246" s="428">
        <f t="shared" si="2"/>
        <v>0.88800000000000012</v>
      </c>
      <c r="AC246" s="428">
        <f t="shared" si="2"/>
        <v>0.88800000000000012</v>
      </c>
      <c r="AD246" s="428">
        <f t="shared" si="2"/>
        <v>0.88800000000000012</v>
      </c>
      <c r="AE246" s="428">
        <f t="shared" si="2"/>
        <v>0.88800000000000012</v>
      </c>
      <c r="AF246" s="428">
        <f t="shared" si="2"/>
        <v>0.88800000000000012</v>
      </c>
      <c r="AG246" s="428">
        <f t="shared" si="2"/>
        <v>0.88800000000000012</v>
      </c>
      <c r="AH246" s="428">
        <f t="shared" si="2"/>
        <v>0.88800000000000012</v>
      </c>
      <c r="AI246" s="428">
        <f t="shared" si="2"/>
        <v>0.88800000000000012</v>
      </c>
      <c r="AJ246" s="428">
        <f t="shared" si="2"/>
        <v>0.88800000000000012</v>
      </c>
      <c r="AK246" s="428">
        <f t="shared" si="2"/>
        <v>0.88800000000000012</v>
      </c>
      <c r="AL246" s="428">
        <f t="shared" si="2"/>
        <v>0.88800000000000012</v>
      </c>
      <c r="AM246" s="428">
        <f t="shared" si="2"/>
        <v>0.88800000000000012</v>
      </c>
      <c r="AN246" s="428">
        <f t="shared" si="2"/>
        <v>0.88800000000000012</v>
      </c>
      <c r="AO246" s="428"/>
      <c r="AP246" s="428"/>
      <c r="AQ246" s="428"/>
    </row>
    <row r="247" spans="1:43" s="375" customFormat="1" x14ac:dyDescent="0.25">
      <c r="A247" s="384"/>
      <c r="B247" s="384"/>
      <c r="C247" s="384"/>
      <c r="D247" s="384"/>
      <c r="E247" s="9"/>
      <c r="F247" s="9" t="s">
        <v>108</v>
      </c>
      <c r="G247" s="9" t="s">
        <v>803</v>
      </c>
      <c r="H247" s="9">
        <v>2050</v>
      </c>
      <c r="I247" s="411"/>
      <c r="J247" s="411">
        <v>0.81081081081081086</v>
      </c>
      <c r="K247" s="210" t="s">
        <v>809</v>
      </c>
      <c r="L247" s="210"/>
      <c r="M247" s="428">
        <f t="shared" si="1"/>
        <v>0.81081081081081086</v>
      </c>
      <c r="N247" s="428">
        <f t="shared" si="2"/>
        <v>0.81081081081081086</v>
      </c>
      <c r="O247" s="428">
        <f t="shared" si="2"/>
        <v>0.81081081081081086</v>
      </c>
      <c r="P247" s="428">
        <f t="shared" si="2"/>
        <v>0.81081081081081086</v>
      </c>
      <c r="Q247" s="428">
        <f t="shared" si="2"/>
        <v>0.81081081081081086</v>
      </c>
      <c r="R247" s="428">
        <f t="shared" si="2"/>
        <v>0.81081081081081086</v>
      </c>
      <c r="S247" s="428">
        <f t="shared" si="2"/>
        <v>0.81081081081081086</v>
      </c>
      <c r="T247" s="428">
        <f t="shared" si="2"/>
        <v>0.81081081081081086</v>
      </c>
      <c r="U247" s="428">
        <f t="shared" si="2"/>
        <v>0.81081081081081086</v>
      </c>
      <c r="V247" s="428">
        <f t="shared" si="2"/>
        <v>0.81081081081081086</v>
      </c>
      <c r="W247" s="428">
        <f t="shared" si="2"/>
        <v>0.81081081081081086</v>
      </c>
      <c r="X247" s="428">
        <f t="shared" si="2"/>
        <v>0.81081081081081086</v>
      </c>
      <c r="Y247" s="428">
        <f t="shared" si="2"/>
        <v>0.81081081081081086</v>
      </c>
      <c r="Z247" s="428">
        <f t="shared" si="2"/>
        <v>0.81081081081081086</v>
      </c>
      <c r="AA247" s="428">
        <f t="shared" si="2"/>
        <v>0.81081081081081086</v>
      </c>
      <c r="AB247" s="428">
        <f t="shared" si="2"/>
        <v>0.81081081081081086</v>
      </c>
      <c r="AC247" s="428">
        <f t="shared" si="2"/>
        <v>0.81081081081081086</v>
      </c>
      <c r="AD247" s="428">
        <f t="shared" si="2"/>
        <v>0.81081081081081086</v>
      </c>
      <c r="AE247" s="428">
        <f t="shared" si="2"/>
        <v>0.81081081081081086</v>
      </c>
      <c r="AF247" s="428">
        <f t="shared" si="2"/>
        <v>0.81081081081081086</v>
      </c>
      <c r="AG247" s="428">
        <f t="shared" si="2"/>
        <v>0.81081081081081086</v>
      </c>
      <c r="AH247" s="428">
        <f t="shared" si="2"/>
        <v>0.81081081081081086</v>
      </c>
      <c r="AI247" s="428">
        <f t="shared" si="2"/>
        <v>0.81081081081081086</v>
      </c>
      <c r="AJ247" s="428">
        <f t="shared" si="2"/>
        <v>0.81081081081081086</v>
      </c>
      <c r="AK247" s="428">
        <f t="shared" si="2"/>
        <v>0.81081081081081086</v>
      </c>
      <c r="AL247" s="428">
        <f t="shared" si="2"/>
        <v>0.81081081081081086</v>
      </c>
      <c r="AM247" s="428">
        <f t="shared" si="2"/>
        <v>0.81081081081081086</v>
      </c>
      <c r="AN247" s="428">
        <f t="shared" si="2"/>
        <v>0.81081081081081086</v>
      </c>
      <c r="AO247" s="428"/>
      <c r="AP247" s="428"/>
      <c r="AQ247" s="428"/>
    </row>
    <row r="248" spans="1:43" s="375" customFormat="1" x14ac:dyDescent="0.25">
      <c r="A248" s="384"/>
      <c r="B248" s="384"/>
      <c r="C248" s="384"/>
      <c r="D248" s="384"/>
      <c r="E248" s="9" t="s">
        <v>107</v>
      </c>
      <c r="F248" s="9" t="s">
        <v>108</v>
      </c>
      <c r="G248" s="9" t="s">
        <v>805</v>
      </c>
      <c r="H248" s="9">
        <v>2030</v>
      </c>
      <c r="I248" s="411"/>
      <c r="J248" s="411">
        <v>3.1901617991904869</v>
      </c>
      <c r="K248" s="210" t="s">
        <v>809</v>
      </c>
      <c r="L248" s="210"/>
      <c r="M248" s="428">
        <f t="shared" si="1"/>
        <v>3.1901617991904869</v>
      </c>
      <c r="N248" s="428">
        <f t="shared" si="2"/>
        <v>3.1901617991904869</v>
      </c>
      <c r="O248" s="428">
        <f t="shared" si="2"/>
        <v>3.1901617991904869</v>
      </c>
      <c r="P248" s="428">
        <f t="shared" si="2"/>
        <v>3.1901617991904869</v>
      </c>
      <c r="Q248" s="428">
        <f t="shared" si="2"/>
        <v>3.1901617991904869</v>
      </c>
      <c r="R248" s="428">
        <f t="shared" si="2"/>
        <v>3.1901617991904869</v>
      </c>
      <c r="S248" s="428">
        <f t="shared" si="2"/>
        <v>3.1901617991904869</v>
      </c>
      <c r="T248" s="428">
        <f t="shared" si="2"/>
        <v>3.1901617991904869</v>
      </c>
      <c r="U248" s="428">
        <f t="shared" si="2"/>
        <v>3.1901617991904869</v>
      </c>
      <c r="V248" s="428">
        <f t="shared" si="2"/>
        <v>3.1901617991904869</v>
      </c>
      <c r="W248" s="428">
        <f t="shared" si="2"/>
        <v>3.1901617991904869</v>
      </c>
      <c r="X248" s="428">
        <f t="shared" si="2"/>
        <v>3.1901617991904869</v>
      </c>
      <c r="Y248" s="428">
        <f t="shared" si="2"/>
        <v>3.1901617991904869</v>
      </c>
      <c r="Z248" s="428">
        <f t="shared" si="2"/>
        <v>3.1901617991904869</v>
      </c>
      <c r="AA248" s="428">
        <f t="shared" si="2"/>
        <v>3.1901617991904869</v>
      </c>
      <c r="AB248" s="428">
        <f t="shared" si="2"/>
        <v>3.1901617991904869</v>
      </c>
      <c r="AC248" s="428">
        <f t="shared" si="2"/>
        <v>3.1901617991904869</v>
      </c>
      <c r="AD248" s="428">
        <f t="shared" si="2"/>
        <v>3.1901617991904869</v>
      </c>
      <c r="AE248" s="428">
        <f t="shared" si="2"/>
        <v>3.1901617991904869</v>
      </c>
      <c r="AF248" s="428">
        <f t="shared" si="2"/>
        <v>3.1901617991904869</v>
      </c>
      <c r="AG248" s="428">
        <f t="shared" si="2"/>
        <v>3.1901617991904869</v>
      </c>
      <c r="AH248" s="428">
        <f t="shared" si="2"/>
        <v>3.1901617991904869</v>
      </c>
      <c r="AI248" s="428">
        <f t="shared" si="2"/>
        <v>3.1901617991904869</v>
      </c>
      <c r="AJ248" s="428">
        <f t="shared" si="2"/>
        <v>3.1901617991904869</v>
      </c>
      <c r="AK248" s="428">
        <f t="shared" si="2"/>
        <v>3.1901617991904869</v>
      </c>
      <c r="AL248" s="428">
        <f t="shared" si="2"/>
        <v>3.1901617991904869</v>
      </c>
      <c r="AM248" s="428">
        <f t="shared" si="2"/>
        <v>3.1901617991904869</v>
      </c>
      <c r="AN248" s="428">
        <f t="shared" si="2"/>
        <v>3.1901617991904869</v>
      </c>
      <c r="AO248" s="428"/>
      <c r="AP248" s="428"/>
      <c r="AQ248" s="428"/>
    </row>
    <row r="249" spans="1:43" s="375" customFormat="1" x14ac:dyDescent="0.25">
      <c r="A249" s="384"/>
      <c r="B249" s="384"/>
      <c r="C249" s="384"/>
      <c r="D249" s="384"/>
      <c r="E249" s="9"/>
      <c r="F249" s="9" t="s">
        <v>108</v>
      </c>
      <c r="G249" s="9" t="s">
        <v>805</v>
      </c>
      <c r="H249" s="9">
        <v>2050</v>
      </c>
      <c r="I249" s="411"/>
      <c r="J249" s="411">
        <v>1.9307523050067719</v>
      </c>
      <c r="K249" s="210" t="s">
        <v>809</v>
      </c>
      <c r="M249" s="428">
        <f t="shared" si="1"/>
        <v>1.9307523050067719</v>
      </c>
      <c r="N249" s="428">
        <f t="shared" si="2"/>
        <v>1.9307523050067719</v>
      </c>
      <c r="O249" s="428">
        <f t="shared" si="2"/>
        <v>1.9307523050067719</v>
      </c>
      <c r="P249" s="428">
        <f t="shared" si="2"/>
        <v>1.9307523050067719</v>
      </c>
      <c r="Q249" s="428">
        <f t="shared" si="2"/>
        <v>1.9307523050067719</v>
      </c>
      <c r="R249" s="428">
        <f t="shared" si="2"/>
        <v>1.9307523050067719</v>
      </c>
      <c r="S249" s="428">
        <f t="shared" si="2"/>
        <v>1.9307523050067719</v>
      </c>
      <c r="T249" s="428">
        <f t="shared" si="2"/>
        <v>1.9307523050067719</v>
      </c>
      <c r="U249" s="428">
        <f t="shared" si="2"/>
        <v>1.9307523050067719</v>
      </c>
      <c r="V249" s="428">
        <f t="shared" si="2"/>
        <v>1.9307523050067719</v>
      </c>
      <c r="W249" s="428">
        <f t="shared" si="2"/>
        <v>1.9307523050067719</v>
      </c>
      <c r="X249" s="428">
        <f t="shared" si="2"/>
        <v>1.9307523050067719</v>
      </c>
      <c r="Y249" s="428">
        <f t="shared" si="2"/>
        <v>1.9307523050067719</v>
      </c>
      <c r="Z249" s="428">
        <f t="shared" si="2"/>
        <v>1.9307523050067719</v>
      </c>
      <c r="AA249" s="428">
        <f t="shared" si="2"/>
        <v>1.9307523050067719</v>
      </c>
      <c r="AB249" s="428">
        <f t="shared" si="2"/>
        <v>1.9307523050067719</v>
      </c>
      <c r="AC249" s="428">
        <f t="shared" si="2"/>
        <v>1.9307523050067719</v>
      </c>
      <c r="AD249" s="428">
        <f t="shared" si="2"/>
        <v>1.9307523050067719</v>
      </c>
      <c r="AE249" s="428">
        <f t="shared" si="2"/>
        <v>1.9307523050067719</v>
      </c>
      <c r="AF249" s="428">
        <f t="shared" si="2"/>
        <v>1.9307523050067719</v>
      </c>
      <c r="AG249" s="428">
        <f t="shared" si="2"/>
        <v>1.9307523050067719</v>
      </c>
      <c r="AH249" s="428">
        <f t="shared" si="2"/>
        <v>1.9307523050067719</v>
      </c>
      <c r="AI249" s="428">
        <f t="shared" si="2"/>
        <v>1.9307523050067719</v>
      </c>
      <c r="AJ249" s="428">
        <f t="shared" si="2"/>
        <v>1.9307523050067719</v>
      </c>
      <c r="AK249" s="428">
        <f t="shared" si="2"/>
        <v>1.9307523050067719</v>
      </c>
      <c r="AL249" s="428">
        <f t="shared" si="2"/>
        <v>1.9307523050067719</v>
      </c>
      <c r="AM249" s="428">
        <f t="shared" si="2"/>
        <v>1.9307523050067719</v>
      </c>
      <c r="AN249" s="428">
        <f t="shared" si="2"/>
        <v>1.9307523050067719</v>
      </c>
      <c r="AO249" s="428"/>
      <c r="AP249" s="428"/>
      <c r="AQ249" s="428"/>
    </row>
    <row r="250" spans="1:43" s="375" customFormat="1" x14ac:dyDescent="0.25">
      <c r="A250" s="384"/>
      <c r="B250" s="384"/>
      <c r="C250" s="384"/>
      <c r="D250" s="384"/>
      <c r="E250" s="9" t="s">
        <v>109</v>
      </c>
      <c r="F250" s="9" t="s">
        <v>110</v>
      </c>
      <c r="G250" s="9" t="s">
        <v>801</v>
      </c>
      <c r="H250" s="9">
        <v>2020</v>
      </c>
      <c r="I250" s="429">
        <v>819.5362032181805</v>
      </c>
      <c r="J250" s="429">
        <v>1</v>
      </c>
      <c r="K250" s="210" t="s">
        <v>809</v>
      </c>
      <c r="L250" s="210"/>
      <c r="M250" s="428">
        <f t="shared" si="1"/>
        <v>1</v>
      </c>
      <c r="N250" s="428">
        <f t="shared" si="2"/>
        <v>1</v>
      </c>
      <c r="O250" s="428">
        <f t="shared" si="2"/>
        <v>1</v>
      </c>
      <c r="P250" s="428">
        <f t="shared" si="2"/>
        <v>1</v>
      </c>
      <c r="Q250" s="428">
        <f t="shared" si="2"/>
        <v>1</v>
      </c>
      <c r="R250" s="428">
        <f t="shared" si="2"/>
        <v>1</v>
      </c>
      <c r="S250" s="428">
        <f t="shared" si="2"/>
        <v>1</v>
      </c>
      <c r="T250" s="428">
        <f t="shared" si="2"/>
        <v>1</v>
      </c>
      <c r="U250" s="428">
        <f t="shared" si="2"/>
        <v>1</v>
      </c>
      <c r="V250" s="428">
        <f t="shared" si="2"/>
        <v>1</v>
      </c>
      <c r="W250" s="428">
        <f t="shared" si="2"/>
        <v>1</v>
      </c>
      <c r="X250" s="428">
        <f t="shared" si="2"/>
        <v>1</v>
      </c>
      <c r="Y250" s="428">
        <f t="shared" si="2"/>
        <v>1</v>
      </c>
      <c r="Z250" s="428">
        <f t="shared" si="2"/>
        <v>1</v>
      </c>
      <c r="AA250" s="428">
        <f t="shared" si="2"/>
        <v>1</v>
      </c>
      <c r="AB250" s="428">
        <f t="shared" si="2"/>
        <v>1</v>
      </c>
      <c r="AC250" s="428">
        <f t="shared" si="2"/>
        <v>1</v>
      </c>
      <c r="AD250" s="428">
        <f t="shared" si="2"/>
        <v>1</v>
      </c>
      <c r="AE250" s="428">
        <f t="shared" si="2"/>
        <v>1</v>
      </c>
      <c r="AF250" s="428">
        <f t="shared" si="2"/>
        <v>1</v>
      </c>
      <c r="AG250" s="428">
        <f t="shared" si="2"/>
        <v>1</v>
      </c>
      <c r="AH250" s="428">
        <f t="shared" si="2"/>
        <v>1</v>
      </c>
      <c r="AI250" s="428">
        <f t="shared" si="2"/>
        <v>1</v>
      </c>
      <c r="AJ250" s="428">
        <f t="shared" si="2"/>
        <v>1</v>
      </c>
      <c r="AK250" s="428">
        <f t="shared" si="2"/>
        <v>1</v>
      </c>
      <c r="AL250" s="428">
        <f t="shared" si="2"/>
        <v>1</v>
      </c>
      <c r="AM250" s="428">
        <f t="shared" si="2"/>
        <v>1</v>
      </c>
      <c r="AN250" s="428">
        <f t="shared" si="2"/>
        <v>1</v>
      </c>
      <c r="AO250" s="428"/>
      <c r="AP250" s="428"/>
      <c r="AQ250" s="428"/>
    </row>
    <row r="251" spans="1:43" s="375" customFormat="1" x14ac:dyDescent="0.25">
      <c r="A251" s="384"/>
      <c r="B251" s="384"/>
      <c r="C251" s="384"/>
      <c r="D251" s="384"/>
      <c r="E251" s="9" t="s">
        <v>109</v>
      </c>
      <c r="F251" s="9" t="s">
        <v>110</v>
      </c>
      <c r="G251" s="9" t="s">
        <v>803</v>
      </c>
      <c r="H251" s="9">
        <v>2025</v>
      </c>
      <c r="I251" s="429"/>
      <c r="J251" s="429">
        <v>1</v>
      </c>
      <c r="K251" s="210" t="s">
        <v>809</v>
      </c>
      <c r="M251" s="428">
        <f t="shared" si="1"/>
        <v>1</v>
      </c>
      <c r="N251" s="428">
        <f t="shared" si="2"/>
        <v>1</v>
      </c>
      <c r="O251" s="428">
        <f t="shared" si="2"/>
        <v>1</v>
      </c>
      <c r="P251" s="428">
        <f t="shared" si="2"/>
        <v>1</v>
      </c>
      <c r="Q251" s="428">
        <f t="shared" si="2"/>
        <v>1</v>
      </c>
      <c r="R251" s="428">
        <f t="shared" si="2"/>
        <v>1</v>
      </c>
      <c r="S251" s="428">
        <f t="shared" si="2"/>
        <v>1</v>
      </c>
      <c r="T251" s="428">
        <f t="shared" si="2"/>
        <v>1</v>
      </c>
      <c r="U251" s="428">
        <f t="shared" si="2"/>
        <v>1</v>
      </c>
      <c r="V251" s="428">
        <f t="shared" si="2"/>
        <v>1</v>
      </c>
      <c r="W251" s="428">
        <f t="shared" si="2"/>
        <v>1</v>
      </c>
      <c r="X251" s="428">
        <f t="shared" si="2"/>
        <v>1</v>
      </c>
      <c r="Y251" s="428">
        <f t="shared" si="2"/>
        <v>1</v>
      </c>
      <c r="Z251" s="428">
        <f t="shared" ref="N251:AN255" si="3">Z$256*$J251</f>
        <v>1</v>
      </c>
      <c r="AA251" s="428">
        <f t="shared" si="3"/>
        <v>1</v>
      </c>
      <c r="AB251" s="428">
        <f t="shared" si="3"/>
        <v>1</v>
      </c>
      <c r="AC251" s="428">
        <f t="shared" si="3"/>
        <v>1</v>
      </c>
      <c r="AD251" s="428">
        <f t="shared" si="3"/>
        <v>1</v>
      </c>
      <c r="AE251" s="428">
        <f t="shared" si="3"/>
        <v>1</v>
      </c>
      <c r="AF251" s="428">
        <f t="shared" si="3"/>
        <v>1</v>
      </c>
      <c r="AG251" s="428">
        <f t="shared" si="3"/>
        <v>1</v>
      </c>
      <c r="AH251" s="428">
        <f t="shared" si="3"/>
        <v>1</v>
      </c>
      <c r="AI251" s="428">
        <f t="shared" si="3"/>
        <v>1</v>
      </c>
      <c r="AJ251" s="428">
        <f t="shared" si="3"/>
        <v>1</v>
      </c>
      <c r="AK251" s="428">
        <f t="shared" si="3"/>
        <v>1</v>
      </c>
      <c r="AL251" s="428">
        <f t="shared" si="3"/>
        <v>1</v>
      </c>
      <c r="AM251" s="428">
        <f t="shared" si="3"/>
        <v>1</v>
      </c>
      <c r="AN251" s="428">
        <f t="shared" si="3"/>
        <v>1</v>
      </c>
      <c r="AO251" s="428"/>
      <c r="AP251" s="428"/>
      <c r="AQ251" s="428"/>
    </row>
    <row r="252" spans="1:43" s="375" customFormat="1" x14ac:dyDescent="0.25">
      <c r="A252" s="384"/>
      <c r="B252" s="384"/>
      <c r="C252" s="384"/>
      <c r="D252" s="384"/>
      <c r="E252" s="9"/>
      <c r="F252" s="9" t="s">
        <v>110</v>
      </c>
      <c r="G252" s="9" t="s">
        <v>803</v>
      </c>
      <c r="H252" s="9">
        <v>2030</v>
      </c>
      <c r="I252" s="429"/>
      <c r="J252" s="429">
        <v>0.88800000000000012</v>
      </c>
      <c r="K252" s="210" t="s">
        <v>809</v>
      </c>
      <c r="M252" s="428">
        <f t="shared" si="1"/>
        <v>0.88800000000000012</v>
      </c>
      <c r="N252" s="428">
        <f t="shared" si="3"/>
        <v>0.88800000000000012</v>
      </c>
      <c r="O252" s="428">
        <f t="shared" si="3"/>
        <v>0.88800000000000012</v>
      </c>
      <c r="P252" s="428">
        <f t="shared" si="3"/>
        <v>0.88800000000000012</v>
      </c>
      <c r="Q252" s="428">
        <f t="shared" si="3"/>
        <v>0.88800000000000012</v>
      </c>
      <c r="R252" s="428">
        <f t="shared" si="3"/>
        <v>0.88800000000000012</v>
      </c>
      <c r="S252" s="428">
        <f t="shared" si="3"/>
        <v>0.88800000000000012</v>
      </c>
      <c r="T252" s="428">
        <f t="shared" si="3"/>
        <v>0.88800000000000012</v>
      </c>
      <c r="U252" s="428">
        <f t="shared" si="3"/>
        <v>0.88800000000000012</v>
      </c>
      <c r="V252" s="428">
        <f t="shared" si="3"/>
        <v>0.88800000000000012</v>
      </c>
      <c r="W252" s="428">
        <f t="shared" si="3"/>
        <v>0.88800000000000012</v>
      </c>
      <c r="X252" s="428">
        <f t="shared" si="3"/>
        <v>0.88800000000000012</v>
      </c>
      <c r="Y252" s="428">
        <f t="shared" si="3"/>
        <v>0.88800000000000012</v>
      </c>
      <c r="Z252" s="428">
        <f t="shared" si="3"/>
        <v>0.88800000000000012</v>
      </c>
      <c r="AA252" s="428">
        <f t="shared" si="3"/>
        <v>0.88800000000000012</v>
      </c>
      <c r="AB252" s="428">
        <f t="shared" si="3"/>
        <v>0.88800000000000012</v>
      </c>
      <c r="AC252" s="428">
        <f t="shared" si="3"/>
        <v>0.88800000000000012</v>
      </c>
      <c r="AD252" s="428">
        <f t="shared" si="3"/>
        <v>0.88800000000000012</v>
      </c>
      <c r="AE252" s="428">
        <f t="shared" si="3"/>
        <v>0.88800000000000012</v>
      </c>
      <c r="AF252" s="428">
        <f t="shared" si="3"/>
        <v>0.88800000000000012</v>
      </c>
      <c r="AG252" s="428">
        <f t="shared" si="3"/>
        <v>0.88800000000000012</v>
      </c>
      <c r="AH252" s="428">
        <f t="shared" si="3"/>
        <v>0.88800000000000012</v>
      </c>
      <c r="AI252" s="428">
        <f t="shared" si="3"/>
        <v>0.88800000000000012</v>
      </c>
      <c r="AJ252" s="428">
        <f t="shared" si="3"/>
        <v>0.88800000000000012</v>
      </c>
      <c r="AK252" s="428">
        <f t="shared" si="3"/>
        <v>0.88800000000000012</v>
      </c>
      <c r="AL252" s="428">
        <f t="shared" si="3"/>
        <v>0.88800000000000012</v>
      </c>
      <c r="AM252" s="428">
        <f t="shared" si="3"/>
        <v>0.88800000000000012</v>
      </c>
      <c r="AN252" s="428">
        <f t="shared" si="3"/>
        <v>0.88800000000000012</v>
      </c>
      <c r="AO252" s="428"/>
      <c r="AP252" s="428"/>
      <c r="AQ252" s="428"/>
    </row>
    <row r="253" spans="1:43" s="375" customFormat="1" x14ac:dyDescent="0.25">
      <c r="A253" s="384"/>
      <c r="B253" s="384"/>
      <c r="C253" s="384"/>
      <c r="D253" s="384"/>
      <c r="E253" s="9"/>
      <c r="F253" s="9" t="s">
        <v>110</v>
      </c>
      <c r="G253" s="9" t="s">
        <v>803</v>
      </c>
      <c r="H253" s="9">
        <v>2050</v>
      </c>
      <c r="I253" s="429"/>
      <c r="J253" s="429">
        <v>0.81081081081081086</v>
      </c>
      <c r="K253" s="210" t="s">
        <v>809</v>
      </c>
      <c r="L253" s="210"/>
      <c r="M253" s="428">
        <f t="shared" si="1"/>
        <v>0.81081081081081086</v>
      </c>
      <c r="N253" s="428">
        <f t="shared" si="3"/>
        <v>0.81081081081081086</v>
      </c>
      <c r="O253" s="428">
        <f t="shared" si="3"/>
        <v>0.81081081081081086</v>
      </c>
      <c r="P253" s="428">
        <f t="shared" si="3"/>
        <v>0.81081081081081086</v>
      </c>
      <c r="Q253" s="428">
        <f t="shared" si="3"/>
        <v>0.81081081081081086</v>
      </c>
      <c r="R253" s="428">
        <f t="shared" si="3"/>
        <v>0.81081081081081086</v>
      </c>
      <c r="S253" s="428">
        <f t="shared" si="3"/>
        <v>0.81081081081081086</v>
      </c>
      <c r="T253" s="428">
        <f t="shared" si="3"/>
        <v>0.81081081081081086</v>
      </c>
      <c r="U253" s="428">
        <f t="shared" si="3"/>
        <v>0.81081081081081086</v>
      </c>
      <c r="V253" s="428">
        <f t="shared" si="3"/>
        <v>0.81081081081081086</v>
      </c>
      <c r="W253" s="428">
        <f t="shared" si="3"/>
        <v>0.81081081081081086</v>
      </c>
      <c r="X253" s="428">
        <f t="shared" si="3"/>
        <v>0.81081081081081086</v>
      </c>
      <c r="Y253" s="428">
        <f t="shared" si="3"/>
        <v>0.81081081081081086</v>
      </c>
      <c r="Z253" s="428">
        <f t="shared" si="3"/>
        <v>0.81081081081081086</v>
      </c>
      <c r="AA253" s="428">
        <f t="shared" si="3"/>
        <v>0.81081081081081086</v>
      </c>
      <c r="AB253" s="428">
        <f t="shared" si="3"/>
        <v>0.81081081081081086</v>
      </c>
      <c r="AC253" s="428">
        <f t="shared" si="3"/>
        <v>0.81081081081081086</v>
      </c>
      <c r="AD253" s="428">
        <f t="shared" si="3"/>
        <v>0.81081081081081086</v>
      </c>
      <c r="AE253" s="428">
        <f t="shared" si="3"/>
        <v>0.81081081081081086</v>
      </c>
      <c r="AF253" s="428">
        <f t="shared" si="3"/>
        <v>0.81081081081081086</v>
      </c>
      <c r="AG253" s="428">
        <f t="shared" si="3"/>
        <v>0.81081081081081086</v>
      </c>
      <c r="AH253" s="428">
        <f t="shared" si="3"/>
        <v>0.81081081081081086</v>
      </c>
      <c r="AI253" s="428">
        <f t="shared" si="3"/>
        <v>0.81081081081081086</v>
      </c>
      <c r="AJ253" s="428">
        <f t="shared" si="3"/>
        <v>0.81081081081081086</v>
      </c>
      <c r="AK253" s="428">
        <f t="shared" si="3"/>
        <v>0.81081081081081086</v>
      </c>
      <c r="AL253" s="428">
        <f t="shared" si="3"/>
        <v>0.81081081081081086</v>
      </c>
      <c r="AM253" s="428">
        <f t="shared" si="3"/>
        <v>0.81081081081081086</v>
      </c>
      <c r="AN253" s="428">
        <f t="shared" si="3"/>
        <v>0.81081081081081086</v>
      </c>
      <c r="AO253" s="428"/>
      <c r="AP253" s="428"/>
      <c r="AQ253" s="428"/>
    </row>
    <row r="254" spans="1:43" s="375" customFormat="1" x14ac:dyDescent="0.25">
      <c r="A254" s="384"/>
      <c r="B254" s="384"/>
      <c r="C254" s="384"/>
      <c r="D254" s="384"/>
      <c r="E254" s="9" t="s">
        <v>109</v>
      </c>
      <c r="F254" s="9" t="s">
        <v>110</v>
      </c>
      <c r="G254" s="9" t="s">
        <v>805</v>
      </c>
      <c r="H254" s="9">
        <v>2030</v>
      </c>
      <c r="I254" s="429"/>
      <c r="J254" s="429">
        <v>3.1901617991904869</v>
      </c>
      <c r="K254" s="210" t="s">
        <v>809</v>
      </c>
      <c r="L254" s="210"/>
      <c r="M254" s="428">
        <f t="shared" si="1"/>
        <v>3.1901617991904869</v>
      </c>
      <c r="N254" s="428">
        <f t="shared" si="3"/>
        <v>3.1901617991904869</v>
      </c>
      <c r="O254" s="428">
        <f t="shared" si="3"/>
        <v>3.1901617991904869</v>
      </c>
      <c r="P254" s="428">
        <f t="shared" si="3"/>
        <v>3.1901617991904869</v>
      </c>
      <c r="Q254" s="428">
        <f t="shared" si="3"/>
        <v>3.1901617991904869</v>
      </c>
      <c r="R254" s="428">
        <f t="shared" si="3"/>
        <v>3.1901617991904869</v>
      </c>
      <c r="S254" s="428">
        <f t="shared" si="3"/>
        <v>3.1901617991904869</v>
      </c>
      <c r="T254" s="428">
        <f t="shared" si="3"/>
        <v>3.1901617991904869</v>
      </c>
      <c r="U254" s="428">
        <f t="shared" si="3"/>
        <v>3.1901617991904869</v>
      </c>
      <c r="V254" s="428">
        <f t="shared" si="3"/>
        <v>3.1901617991904869</v>
      </c>
      <c r="W254" s="428">
        <f t="shared" si="3"/>
        <v>3.1901617991904869</v>
      </c>
      <c r="X254" s="428">
        <f t="shared" si="3"/>
        <v>3.1901617991904869</v>
      </c>
      <c r="Y254" s="428">
        <f t="shared" si="3"/>
        <v>3.1901617991904869</v>
      </c>
      <c r="Z254" s="428">
        <f t="shared" si="3"/>
        <v>3.1901617991904869</v>
      </c>
      <c r="AA254" s="428">
        <f t="shared" si="3"/>
        <v>3.1901617991904869</v>
      </c>
      <c r="AB254" s="428">
        <f t="shared" si="3"/>
        <v>3.1901617991904869</v>
      </c>
      <c r="AC254" s="428">
        <f t="shared" si="3"/>
        <v>3.1901617991904869</v>
      </c>
      <c r="AD254" s="428">
        <f t="shared" si="3"/>
        <v>3.1901617991904869</v>
      </c>
      <c r="AE254" s="428">
        <f t="shared" si="3"/>
        <v>3.1901617991904869</v>
      </c>
      <c r="AF254" s="428">
        <f t="shared" si="3"/>
        <v>3.1901617991904869</v>
      </c>
      <c r="AG254" s="428">
        <f t="shared" si="3"/>
        <v>3.1901617991904869</v>
      </c>
      <c r="AH254" s="428">
        <f t="shared" si="3"/>
        <v>3.1901617991904869</v>
      </c>
      <c r="AI254" s="428">
        <f t="shared" si="3"/>
        <v>3.1901617991904869</v>
      </c>
      <c r="AJ254" s="428">
        <f t="shared" si="3"/>
        <v>3.1901617991904869</v>
      </c>
      <c r="AK254" s="428">
        <f t="shared" si="3"/>
        <v>3.1901617991904869</v>
      </c>
      <c r="AL254" s="428">
        <f t="shared" si="3"/>
        <v>3.1901617991904869</v>
      </c>
      <c r="AM254" s="428">
        <f t="shared" si="3"/>
        <v>3.1901617991904869</v>
      </c>
      <c r="AN254" s="428">
        <f t="shared" si="3"/>
        <v>3.1901617991904869</v>
      </c>
      <c r="AO254" s="428"/>
      <c r="AP254" s="428"/>
      <c r="AQ254" s="428"/>
    </row>
    <row r="255" spans="1:43" s="375" customFormat="1" x14ac:dyDescent="0.25">
      <c r="A255" s="384"/>
      <c r="B255" s="384"/>
      <c r="C255" s="384"/>
      <c r="D255" s="384"/>
      <c r="E255" s="47"/>
      <c r="F255" s="47" t="s">
        <v>110</v>
      </c>
      <c r="G255" s="47" t="s">
        <v>805</v>
      </c>
      <c r="H255" s="47">
        <v>2050</v>
      </c>
      <c r="I255" s="430"/>
      <c r="J255" s="430">
        <v>1.9307523050067719</v>
      </c>
      <c r="K255" s="426" t="s">
        <v>809</v>
      </c>
      <c r="L255" s="414"/>
      <c r="M255" s="428">
        <f t="shared" si="1"/>
        <v>1.9307523050067719</v>
      </c>
      <c r="N255" s="428">
        <f t="shared" si="3"/>
        <v>1.9307523050067719</v>
      </c>
      <c r="O255" s="428">
        <f t="shared" si="3"/>
        <v>1.9307523050067719</v>
      </c>
      <c r="P255" s="428">
        <f t="shared" si="3"/>
        <v>1.9307523050067719</v>
      </c>
      <c r="Q255" s="428">
        <f t="shared" si="3"/>
        <v>1.9307523050067719</v>
      </c>
      <c r="R255" s="428">
        <f t="shared" si="3"/>
        <v>1.9307523050067719</v>
      </c>
      <c r="S255" s="428">
        <f t="shared" si="3"/>
        <v>1.9307523050067719</v>
      </c>
      <c r="T255" s="428">
        <f t="shared" si="3"/>
        <v>1.9307523050067719</v>
      </c>
      <c r="U255" s="428">
        <f t="shared" si="3"/>
        <v>1.9307523050067719</v>
      </c>
      <c r="V255" s="428">
        <f t="shared" si="3"/>
        <v>1.9307523050067719</v>
      </c>
      <c r="W255" s="428">
        <f t="shared" si="3"/>
        <v>1.9307523050067719</v>
      </c>
      <c r="X255" s="428">
        <f t="shared" si="3"/>
        <v>1.9307523050067719</v>
      </c>
      <c r="Y255" s="428">
        <f t="shared" si="3"/>
        <v>1.9307523050067719</v>
      </c>
      <c r="Z255" s="428">
        <f t="shared" si="3"/>
        <v>1.9307523050067719</v>
      </c>
      <c r="AA255" s="428">
        <f t="shared" si="3"/>
        <v>1.9307523050067719</v>
      </c>
      <c r="AB255" s="428">
        <f t="shared" si="3"/>
        <v>1.9307523050067719</v>
      </c>
      <c r="AC255" s="428">
        <f t="shared" si="3"/>
        <v>1.9307523050067719</v>
      </c>
      <c r="AD255" s="428">
        <f t="shared" si="3"/>
        <v>1.9307523050067719</v>
      </c>
      <c r="AE255" s="428">
        <f t="shared" si="3"/>
        <v>1.9307523050067719</v>
      </c>
      <c r="AF255" s="428">
        <f t="shared" si="3"/>
        <v>1.9307523050067719</v>
      </c>
      <c r="AG255" s="428">
        <f t="shared" si="3"/>
        <v>1.9307523050067719</v>
      </c>
      <c r="AH255" s="428">
        <f t="shared" si="3"/>
        <v>1.9307523050067719</v>
      </c>
      <c r="AI255" s="428">
        <f t="shared" si="3"/>
        <v>1.9307523050067719</v>
      </c>
      <c r="AJ255" s="428">
        <f t="shared" si="3"/>
        <v>1.9307523050067719</v>
      </c>
      <c r="AK255" s="428">
        <f t="shared" si="3"/>
        <v>1.9307523050067719</v>
      </c>
      <c r="AL255" s="428">
        <f t="shared" si="3"/>
        <v>1.9307523050067719</v>
      </c>
      <c r="AM255" s="428">
        <f t="shared" si="3"/>
        <v>1.9307523050067719</v>
      </c>
      <c r="AN255" s="428">
        <f t="shared" si="3"/>
        <v>1.9307523050067719</v>
      </c>
      <c r="AO255" s="428"/>
      <c r="AP255" s="428"/>
      <c r="AQ255" s="428"/>
    </row>
    <row r="256" spans="1:43" s="375" customFormat="1" x14ac:dyDescent="0.25">
      <c r="A256" s="384"/>
      <c r="B256" s="384"/>
      <c r="C256" s="384"/>
      <c r="D256" s="384"/>
      <c r="E256" s="9"/>
      <c r="F256" s="9"/>
      <c r="G256" s="9"/>
      <c r="H256" s="9"/>
      <c r="I256" s="9"/>
      <c r="J256" s="405" t="s">
        <v>876</v>
      </c>
      <c r="K256" s="416"/>
      <c r="L256" s="416"/>
      <c r="M256" s="431">
        <v>1</v>
      </c>
      <c r="N256" s="431">
        <v>1</v>
      </c>
      <c r="O256" s="431">
        <v>1</v>
      </c>
      <c r="P256" s="431">
        <v>1</v>
      </c>
      <c r="Q256" s="431">
        <v>1</v>
      </c>
      <c r="R256" s="431">
        <v>1</v>
      </c>
      <c r="S256" s="431">
        <v>1</v>
      </c>
      <c r="T256" s="431">
        <v>1</v>
      </c>
      <c r="U256" s="431">
        <v>1</v>
      </c>
      <c r="V256" s="431">
        <v>1</v>
      </c>
      <c r="W256" s="431">
        <v>1</v>
      </c>
      <c r="X256" s="431">
        <v>1</v>
      </c>
      <c r="Y256" s="431">
        <v>1</v>
      </c>
      <c r="Z256" s="431">
        <v>1</v>
      </c>
      <c r="AA256" s="431">
        <v>1</v>
      </c>
      <c r="AB256" s="431">
        <v>1</v>
      </c>
      <c r="AC256" s="431">
        <v>1</v>
      </c>
      <c r="AD256" s="431">
        <v>1</v>
      </c>
      <c r="AE256" s="431">
        <v>1</v>
      </c>
      <c r="AF256" s="431">
        <v>1</v>
      </c>
      <c r="AG256" s="431">
        <v>1</v>
      </c>
      <c r="AH256" s="431">
        <v>1</v>
      </c>
      <c r="AI256" s="431">
        <v>1</v>
      </c>
      <c r="AJ256" s="431">
        <v>1</v>
      </c>
      <c r="AK256" s="431">
        <v>1</v>
      </c>
      <c r="AL256" s="431">
        <v>1</v>
      </c>
      <c r="AM256" s="431">
        <v>1</v>
      </c>
      <c r="AN256" s="431">
        <v>1</v>
      </c>
      <c r="AO256" s="431"/>
      <c r="AP256" s="431"/>
      <c r="AQ256" s="431"/>
    </row>
    <row r="257" spans="1:43" x14ac:dyDescent="0.25">
      <c r="A257" s="384"/>
      <c r="B257" s="384"/>
      <c r="C257" s="384"/>
      <c r="D257" s="384"/>
      <c r="J257" s="405" t="s">
        <v>877</v>
      </c>
      <c r="K257" s="432">
        <v>0.05</v>
      </c>
      <c r="L257" s="416"/>
      <c r="M257" s="398">
        <v>0.05</v>
      </c>
      <c r="N257" s="398">
        <v>0.05</v>
      </c>
      <c r="O257" s="398">
        <v>0.05</v>
      </c>
      <c r="P257" s="398">
        <v>0.05</v>
      </c>
      <c r="Q257" s="398">
        <v>0.05</v>
      </c>
      <c r="R257" s="398">
        <v>0.05</v>
      </c>
      <c r="S257" s="398">
        <v>0.05</v>
      </c>
      <c r="T257" s="398">
        <v>0.05</v>
      </c>
      <c r="U257" s="398">
        <v>0.05</v>
      </c>
      <c r="V257" s="398">
        <v>0.05</v>
      </c>
      <c r="W257" s="398">
        <v>0.05</v>
      </c>
      <c r="X257" s="398">
        <v>0.05</v>
      </c>
      <c r="Y257" s="398">
        <v>0.05</v>
      </c>
      <c r="Z257" s="398">
        <v>0.05</v>
      </c>
      <c r="AA257" s="398">
        <v>0.05</v>
      </c>
      <c r="AB257" s="398">
        <v>0.05</v>
      </c>
      <c r="AC257" s="398">
        <v>0.05</v>
      </c>
      <c r="AD257" s="398">
        <v>0.05</v>
      </c>
      <c r="AE257" s="398">
        <v>0.05</v>
      </c>
      <c r="AF257" s="398">
        <v>0.05</v>
      </c>
      <c r="AG257" s="398">
        <v>0.05</v>
      </c>
      <c r="AH257" s="398">
        <v>0.05</v>
      </c>
      <c r="AI257" s="398">
        <v>0.05</v>
      </c>
      <c r="AJ257" s="398">
        <v>0.05</v>
      </c>
      <c r="AK257" s="398">
        <v>0.05</v>
      </c>
      <c r="AL257" s="398">
        <v>0.05</v>
      </c>
      <c r="AM257" s="398">
        <v>0.05</v>
      </c>
      <c r="AN257" s="398">
        <v>0.05</v>
      </c>
      <c r="AO257" s="398"/>
      <c r="AP257" s="398"/>
      <c r="AQ257" s="398"/>
    </row>
    <row r="258" spans="1:43" x14ac:dyDescent="0.25">
      <c r="A258" s="384"/>
      <c r="B258" s="384"/>
      <c r="C258" s="384"/>
      <c r="D258" s="384"/>
      <c r="Z258" s="431"/>
    </row>
    <row r="259" spans="1:43" x14ac:dyDescent="0.25">
      <c r="A259" s="384"/>
      <c r="B259" s="384"/>
      <c r="C259" s="384"/>
      <c r="D259" s="384"/>
      <c r="E259" s="387" t="s">
        <v>878</v>
      </c>
      <c r="F259" s="387"/>
      <c r="G259" s="387"/>
      <c r="H259" s="387"/>
      <c r="I259" s="387"/>
      <c r="J259" s="387"/>
      <c r="K259" s="388"/>
      <c r="L259" s="388"/>
      <c r="M259" s="387"/>
      <c r="N259" s="387"/>
      <c r="O259" s="387"/>
      <c r="P259" s="387"/>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410"/>
      <c r="AL259" s="410"/>
      <c r="AM259" s="410"/>
      <c r="AN259" s="410"/>
      <c r="AO259" s="375"/>
      <c r="AP259" s="375"/>
      <c r="AQ259" s="375"/>
    </row>
    <row r="260" spans="1:43" ht="15.75" thickBot="1" x14ac:dyDescent="0.3">
      <c r="A260" s="384"/>
      <c r="B260" s="384"/>
      <c r="C260" s="384"/>
      <c r="D260" s="384"/>
      <c r="E260" s="363" t="s">
        <v>765</v>
      </c>
      <c r="F260" s="390" t="s">
        <v>85</v>
      </c>
      <c r="G260" s="390" t="s">
        <v>794</v>
      </c>
      <c r="H260" s="390" t="s">
        <v>582</v>
      </c>
      <c r="I260" s="390" t="s">
        <v>796</v>
      </c>
      <c r="J260" s="390" t="s">
        <v>85</v>
      </c>
      <c r="K260" s="392" t="s">
        <v>879</v>
      </c>
      <c r="L260" s="391"/>
      <c r="M260" s="54" t="s">
        <v>162</v>
      </c>
      <c r="N260" s="54" t="s">
        <v>164</v>
      </c>
      <c r="O260" s="54" t="s">
        <v>166</v>
      </c>
      <c r="P260" s="54" t="s">
        <v>168</v>
      </c>
      <c r="Q260" s="54" t="s">
        <v>170</v>
      </c>
      <c r="R260" s="54" t="s">
        <v>173</v>
      </c>
      <c r="S260" s="54" t="s">
        <v>175</v>
      </c>
      <c r="T260" s="54" t="s">
        <v>177</v>
      </c>
      <c r="U260" s="54" t="s">
        <v>179</v>
      </c>
      <c r="V260" s="54" t="s">
        <v>181</v>
      </c>
      <c r="W260" s="54" t="s">
        <v>183</v>
      </c>
      <c r="X260" s="54" t="s">
        <v>185</v>
      </c>
      <c r="Y260" s="54" t="s">
        <v>188</v>
      </c>
      <c r="Z260" s="54" t="s">
        <v>190</v>
      </c>
      <c r="AA260" s="54" t="s">
        <v>192</v>
      </c>
      <c r="AB260" s="54" t="s">
        <v>194</v>
      </c>
      <c r="AC260" s="54" t="s">
        <v>196</v>
      </c>
      <c r="AD260" s="54" t="s">
        <v>198</v>
      </c>
      <c r="AE260" s="54" t="s">
        <v>9</v>
      </c>
      <c r="AF260" s="54" t="s">
        <v>201</v>
      </c>
      <c r="AG260" s="54" t="s">
        <v>203</v>
      </c>
      <c r="AH260" s="54" t="s">
        <v>205</v>
      </c>
      <c r="AI260" s="54" t="s">
        <v>207</v>
      </c>
      <c r="AJ260" s="54" t="s">
        <v>210</v>
      </c>
      <c r="AK260" s="54" t="s">
        <v>212</v>
      </c>
      <c r="AL260" s="54" t="s">
        <v>214</v>
      </c>
      <c r="AM260" s="54" t="s">
        <v>217</v>
      </c>
      <c r="AN260" s="54" t="s">
        <v>219</v>
      </c>
      <c r="AO260" s="370"/>
      <c r="AP260" s="370"/>
      <c r="AQ260" s="370"/>
    </row>
    <row r="261" spans="1:43" x14ac:dyDescent="0.25">
      <c r="A261" s="384"/>
      <c r="B261" s="384"/>
      <c r="C261" s="384"/>
      <c r="D261" s="384"/>
      <c r="E261" s="12" t="s">
        <v>799</v>
      </c>
      <c r="F261" s="12"/>
      <c r="G261" s="12"/>
      <c r="H261" s="12"/>
      <c r="I261" s="12"/>
      <c r="J261" s="12"/>
      <c r="K261" s="393"/>
      <c r="L261" s="393"/>
      <c r="M261" s="394"/>
      <c r="N261" s="394"/>
      <c r="O261" s="394"/>
      <c r="P261" s="394"/>
      <c r="Q261" s="394"/>
      <c r="R261" s="394"/>
      <c r="S261" s="394"/>
      <c r="T261" s="394"/>
      <c r="U261" s="394"/>
      <c r="V261" s="394"/>
      <c r="W261" s="394"/>
      <c r="X261" s="394"/>
      <c r="Y261" s="394"/>
      <c r="Z261" s="394"/>
      <c r="AA261" s="394"/>
      <c r="AB261" s="394"/>
      <c r="AC261" s="394"/>
      <c r="AD261" s="394"/>
      <c r="AE261" s="394"/>
      <c r="AF261" s="394"/>
      <c r="AG261" s="394"/>
      <c r="AH261" s="394"/>
      <c r="AI261" s="394"/>
      <c r="AJ261" s="9"/>
      <c r="AK261" s="9"/>
      <c r="AL261" s="9"/>
      <c r="AM261" s="9"/>
    </row>
    <row r="262" spans="1:43" x14ac:dyDescent="0.25">
      <c r="A262" s="384" t="s">
        <v>813</v>
      </c>
      <c r="B262" s="384"/>
      <c r="C262" s="384"/>
      <c r="D262" s="384"/>
      <c r="E262" s="405" t="s">
        <v>103</v>
      </c>
      <c r="F262" s="405" t="s">
        <v>104</v>
      </c>
      <c r="G262" s="405" t="s">
        <v>801</v>
      </c>
      <c r="H262" s="405">
        <v>2020</v>
      </c>
      <c r="I262" t="s">
        <v>125</v>
      </c>
      <c r="J262" t="s">
        <v>350</v>
      </c>
      <c r="K262" s="396">
        <v>1</v>
      </c>
      <c r="L262" s="210"/>
      <c r="M262" s="433">
        <f>M$232*$I$232</f>
        <v>289.24807172406372</v>
      </c>
      <c r="N262" s="433">
        <f t="shared" ref="N262:AN267" si="4">N$232*$I$232</f>
        <v>289.24807172406372</v>
      </c>
      <c r="O262" s="433">
        <f t="shared" si="4"/>
        <v>289.24807172406372</v>
      </c>
      <c r="P262" s="433">
        <f t="shared" si="4"/>
        <v>289.24807172406372</v>
      </c>
      <c r="Q262" s="433">
        <f t="shared" si="4"/>
        <v>289.24807172406372</v>
      </c>
      <c r="R262" s="433">
        <f t="shared" si="4"/>
        <v>289.24807172406372</v>
      </c>
      <c r="S262" s="433">
        <f t="shared" si="4"/>
        <v>289.24807172406372</v>
      </c>
      <c r="T262" s="433">
        <f t="shared" si="4"/>
        <v>289.24807172406372</v>
      </c>
      <c r="U262" s="433">
        <f t="shared" si="4"/>
        <v>289.24807172406372</v>
      </c>
      <c r="V262" s="433">
        <f t="shared" si="4"/>
        <v>289.24807172406372</v>
      </c>
      <c r="W262" s="433">
        <f t="shared" si="4"/>
        <v>289.24807172406372</v>
      </c>
      <c r="X262" s="433">
        <f t="shared" si="4"/>
        <v>289.24807172406372</v>
      </c>
      <c r="Y262" s="433">
        <f t="shared" si="4"/>
        <v>289.24807172406372</v>
      </c>
      <c r="Z262" s="433">
        <f t="shared" si="4"/>
        <v>289.24807172406372</v>
      </c>
      <c r="AA262" s="433">
        <f t="shared" si="4"/>
        <v>289.24807172406372</v>
      </c>
      <c r="AB262" s="433">
        <f t="shared" si="4"/>
        <v>289.24807172406372</v>
      </c>
      <c r="AC262" s="433">
        <f t="shared" si="4"/>
        <v>289.24807172406372</v>
      </c>
      <c r="AD262" s="433">
        <f t="shared" si="4"/>
        <v>289.24807172406372</v>
      </c>
      <c r="AE262" s="433">
        <f t="shared" si="4"/>
        <v>289.24807172406372</v>
      </c>
      <c r="AF262" s="433">
        <f t="shared" si="4"/>
        <v>289.24807172406372</v>
      </c>
      <c r="AG262" s="433">
        <f t="shared" si="4"/>
        <v>289.24807172406372</v>
      </c>
      <c r="AH262" s="433">
        <f t="shared" si="4"/>
        <v>289.24807172406372</v>
      </c>
      <c r="AI262" s="433">
        <f t="shared" si="4"/>
        <v>289.24807172406372</v>
      </c>
      <c r="AJ262" s="433">
        <f t="shared" si="4"/>
        <v>289.24807172406372</v>
      </c>
      <c r="AK262" s="433">
        <f t="shared" si="4"/>
        <v>289.24807172406372</v>
      </c>
      <c r="AL262" s="433">
        <f t="shared" si="4"/>
        <v>289.24807172406372</v>
      </c>
      <c r="AM262" s="433">
        <f t="shared" si="4"/>
        <v>289.24807172406372</v>
      </c>
      <c r="AN262" s="433">
        <f t="shared" si="4"/>
        <v>289.24807172406372</v>
      </c>
      <c r="AO262" s="433"/>
      <c r="AP262" s="433"/>
      <c r="AQ262" s="433"/>
    </row>
    <row r="263" spans="1:43" x14ac:dyDescent="0.25">
      <c r="A263" s="384" t="s">
        <v>814</v>
      </c>
      <c r="B263" s="384"/>
      <c r="C263" s="384"/>
      <c r="D263" s="384"/>
      <c r="E263" s="405"/>
      <c r="F263" s="405" t="s">
        <v>104</v>
      </c>
      <c r="G263" s="405" t="s">
        <v>801</v>
      </c>
      <c r="H263" s="405">
        <v>2020</v>
      </c>
      <c r="I263" t="s">
        <v>766</v>
      </c>
      <c r="J263" t="s">
        <v>767</v>
      </c>
      <c r="K263" s="396">
        <v>1</v>
      </c>
      <c r="L263" s="210"/>
      <c r="M263" s="433">
        <f t="shared" ref="M263:AB267" si="5">M$232*$I$232</f>
        <v>289.24807172406372</v>
      </c>
      <c r="N263" s="433">
        <f t="shared" si="5"/>
        <v>289.24807172406372</v>
      </c>
      <c r="O263" s="433">
        <f t="shared" si="5"/>
        <v>289.24807172406372</v>
      </c>
      <c r="P263" s="433">
        <f t="shared" si="5"/>
        <v>289.24807172406372</v>
      </c>
      <c r="Q263" s="433">
        <f t="shared" si="5"/>
        <v>289.24807172406372</v>
      </c>
      <c r="R263" s="433">
        <f t="shared" si="5"/>
        <v>289.24807172406372</v>
      </c>
      <c r="S263" s="433">
        <f t="shared" si="5"/>
        <v>289.24807172406372</v>
      </c>
      <c r="T263" s="433">
        <f t="shared" si="5"/>
        <v>289.24807172406372</v>
      </c>
      <c r="U263" s="433">
        <f t="shared" si="5"/>
        <v>289.24807172406372</v>
      </c>
      <c r="V263" s="433">
        <f t="shared" si="5"/>
        <v>289.24807172406372</v>
      </c>
      <c r="W263" s="433">
        <f t="shared" si="5"/>
        <v>289.24807172406372</v>
      </c>
      <c r="X263" s="433">
        <f t="shared" si="5"/>
        <v>289.24807172406372</v>
      </c>
      <c r="Y263" s="433">
        <f t="shared" si="5"/>
        <v>289.24807172406372</v>
      </c>
      <c r="Z263" s="433">
        <f t="shared" si="5"/>
        <v>289.24807172406372</v>
      </c>
      <c r="AA263" s="433">
        <f t="shared" si="5"/>
        <v>289.24807172406372</v>
      </c>
      <c r="AB263" s="433">
        <f t="shared" si="5"/>
        <v>289.24807172406372</v>
      </c>
      <c r="AC263" s="433">
        <f t="shared" si="4"/>
        <v>289.24807172406372</v>
      </c>
      <c r="AD263" s="433">
        <f t="shared" si="4"/>
        <v>289.24807172406372</v>
      </c>
      <c r="AE263" s="433">
        <f t="shared" si="4"/>
        <v>289.24807172406372</v>
      </c>
      <c r="AF263" s="433">
        <f t="shared" si="4"/>
        <v>289.24807172406372</v>
      </c>
      <c r="AG263" s="433">
        <f t="shared" si="4"/>
        <v>289.24807172406372</v>
      </c>
      <c r="AH263" s="433">
        <f t="shared" si="4"/>
        <v>289.24807172406372</v>
      </c>
      <c r="AI263" s="433">
        <f t="shared" si="4"/>
        <v>289.24807172406372</v>
      </c>
      <c r="AJ263" s="433">
        <f t="shared" si="4"/>
        <v>289.24807172406372</v>
      </c>
      <c r="AK263" s="433">
        <f t="shared" si="4"/>
        <v>289.24807172406372</v>
      </c>
      <c r="AL263" s="433">
        <f t="shared" si="4"/>
        <v>289.24807172406372</v>
      </c>
      <c r="AM263" s="433">
        <f t="shared" si="4"/>
        <v>289.24807172406372</v>
      </c>
      <c r="AN263" s="433">
        <f t="shared" si="4"/>
        <v>289.24807172406372</v>
      </c>
      <c r="AO263" s="433"/>
      <c r="AP263" s="433"/>
      <c r="AQ263" s="433"/>
    </row>
    <row r="264" spans="1:43" x14ac:dyDescent="0.25">
      <c r="A264" s="384" t="s">
        <v>815</v>
      </c>
      <c r="B264" s="384"/>
      <c r="C264" s="384"/>
      <c r="D264" s="384"/>
      <c r="E264" s="405"/>
      <c r="F264" s="405" t="s">
        <v>104</v>
      </c>
      <c r="G264" s="405" t="s">
        <v>801</v>
      </c>
      <c r="H264" s="405">
        <v>2020</v>
      </c>
      <c r="I264" t="s">
        <v>129</v>
      </c>
      <c r="J264" t="s">
        <v>768</v>
      </c>
      <c r="K264" s="396">
        <v>1</v>
      </c>
      <c r="L264" s="210"/>
      <c r="M264" s="433">
        <f t="shared" si="5"/>
        <v>289.24807172406372</v>
      </c>
      <c r="N264" s="433">
        <f t="shared" si="4"/>
        <v>289.24807172406372</v>
      </c>
      <c r="O264" s="433">
        <f t="shared" si="4"/>
        <v>289.24807172406372</v>
      </c>
      <c r="P264" s="433">
        <f t="shared" si="4"/>
        <v>289.24807172406372</v>
      </c>
      <c r="Q264" s="433">
        <f t="shared" si="4"/>
        <v>289.24807172406372</v>
      </c>
      <c r="R264" s="433">
        <f t="shared" si="4"/>
        <v>289.24807172406372</v>
      </c>
      <c r="S264" s="433">
        <f t="shared" si="4"/>
        <v>289.24807172406372</v>
      </c>
      <c r="T264" s="433">
        <f t="shared" si="4"/>
        <v>289.24807172406372</v>
      </c>
      <c r="U264" s="433">
        <f t="shared" si="4"/>
        <v>289.24807172406372</v>
      </c>
      <c r="V264" s="433">
        <f t="shared" si="4"/>
        <v>289.24807172406372</v>
      </c>
      <c r="W264" s="433">
        <f t="shared" si="4"/>
        <v>289.24807172406372</v>
      </c>
      <c r="X264" s="433">
        <f t="shared" si="4"/>
        <v>289.24807172406372</v>
      </c>
      <c r="Y264" s="433">
        <f t="shared" si="4"/>
        <v>289.24807172406372</v>
      </c>
      <c r="Z264" s="433">
        <f t="shared" si="4"/>
        <v>289.24807172406372</v>
      </c>
      <c r="AA264" s="433">
        <f t="shared" si="4"/>
        <v>289.24807172406372</v>
      </c>
      <c r="AB264" s="433">
        <f t="shared" si="4"/>
        <v>289.24807172406372</v>
      </c>
      <c r="AC264" s="433">
        <f t="shared" si="4"/>
        <v>289.24807172406372</v>
      </c>
      <c r="AD264" s="433">
        <f t="shared" si="4"/>
        <v>289.24807172406372</v>
      </c>
      <c r="AE264" s="433">
        <f t="shared" si="4"/>
        <v>289.24807172406372</v>
      </c>
      <c r="AF264" s="433">
        <f t="shared" si="4"/>
        <v>289.24807172406372</v>
      </c>
      <c r="AG264" s="433">
        <f t="shared" si="4"/>
        <v>289.24807172406372</v>
      </c>
      <c r="AH264" s="433">
        <f t="shared" si="4"/>
        <v>289.24807172406372</v>
      </c>
      <c r="AI264" s="433">
        <f t="shared" si="4"/>
        <v>289.24807172406372</v>
      </c>
      <c r="AJ264" s="433">
        <f t="shared" si="4"/>
        <v>289.24807172406372</v>
      </c>
      <c r="AK264" s="433">
        <f t="shared" si="4"/>
        <v>289.24807172406372</v>
      </c>
      <c r="AL264" s="433">
        <f t="shared" si="4"/>
        <v>289.24807172406372</v>
      </c>
      <c r="AM264" s="433">
        <f t="shared" si="4"/>
        <v>289.24807172406372</v>
      </c>
      <c r="AN264" s="433">
        <f t="shared" si="4"/>
        <v>289.24807172406372</v>
      </c>
      <c r="AO264" s="433"/>
      <c r="AP264" s="433"/>
      <c r="AQ264" s="433"/>
    </row>
    <row r="265" spans="1:43" x14ac:dyDescent="0.25">
      <c r="A265" s="384" t="s">
        <v>816</v>
      </c>
      <c r="B265" s="384"/>
      <c r="C265" s="384"/>
      <c r="D265" s="384"/>
      <c r="E265" s="405"/>
      <c r="F265" s="405" t="s">
        <v>104</v>
      </c>
      <c r="G265" s="405" t="s">
        <v>801</v>
      </c>
      <c r="H265" s="405">
        <v>2020</v>
      </c>
      <c r="I265" t="s">
        <v>769</v>
      </c>
      <c r="J265" t="s">
        <v>770</v>
      </c>
      <c r="K265" s="396">
        <v>1</v>
      </c>
      <c r="L265" s="210"/>
      <c r="M265" s="433">
        <f t="shared" si="5"/>
        <v>289.24807172406372</v>
      </c>
      <c r="N265" s="433">
        <f t="shared" si="4"/>
        <v>289.24807172406372</v>
      </c>
      <c r="O265" s="433">
        <f t="shared" si="4"/>
        <v>289.24807172406372</v>
      </c>
      <c r="P265" s="433">
        <f t="shared" si="4"/>
        <v>289.24807172406372</v>
      </c>
      <c r="Q265" s="433">
        <f t="shared" si="4"/>
        <v>289.24807172406372</v>
      </c>
      <c r="R265" s="433">
        <f t="shared" si="4"/>
        <v>289.24807172406372</v>
      </c>
      <c r="S265" s="433">
        <f t="shared" si="4"/>
        <v>289.24807172406372</v>
      </c>
      <c r="T265" s="433">
        <f t="shared" si="4"/>
        <v>289.24807172406372</v>
      </c>
      <c r="U265" s="433">
        <f t="shared" si="4"/>
        <v>289.24807172406372</v>
      </c>
      <c r="V265" s="433">
        <f t="shared" si="4"/>
        <v>289.24807172406372</v>
      </c>
      <c r="W265" s="433">
        <f t="shared" si="4"/>
        <v>289.24807172406372</v>
      </c>
      <c r="X265" s="433">
        <f t="shared" si="4"/>
        <v>289.24807172406372</v>
      </c>
      <c r="Y265" s="433">
        <f t="shared" si="4"/>
        <v>289.24807172406372</v>
      </c>
      <c r="Z265" s="433">
        <f t="shared" si="4"/>
        <v>289.24807172406372</v>
      </c>
      <c r="AA265" s="433">
        <f t="shared" si="4"/>
        <v>289.24807172406372</v>
      </c>
      <c r="AB265" s="433">
        <f t="shared" si="4"/>
        <v>289.24807172406372</v>
      </c>
      <c r="AC265" s="433">
        <f t="shared" si="4"/>
        <v>289.24807172406372</v>
      </c>
      <c r="AD265" s="433">
        <f t="shared" si="4"/>
        <v>289.24807172406372</v>
      </c>
      <c r="AE265" s="433">
        <f t="shared" si="4"/>
        <v>289.24807172406372</v>
      </c>
      <c r="AF265" s="433">
        <f t="shared" si="4"/>
        <v>289.24807172406372</v>
      </c>
      <c r="AG265" s="433">
        <f t="shared" si="4"/>
        <v>289.24807172406372</v>
      </c>
      <c r="AH265" s="433">
        <f t="shared" si="4"/>
        <v>289.24807172406372</v>
      </c>
      <c r="AI265" s="433">
        <f t="shared" si="4"/>
        <v>289.24807172406372</v>
      </c>
      <c r="AJ265" s="433">
        <f t="shared" si="4"/>
        <v>289.24807172406372</v>
      </c>
      <c r="AK265" s="433">
        <f t="shared" si="4"/>
        <v>289.24807172406372</v>
      </c>
      <c r="AL265" s="433">
        <f t="shared" si="4"/>
        <v>289.24807172406372</v>
      </c>
      <c r="AM265" s="433">
        <f t="shared" si="4"/>
        <v>289.24807172406372</v>
      </c>
      <c r="AN265" s="433">
        <f t="shared" si="4"/>
        <v>289.24807172406372</v>
      </c>
      <c r="AO265" s="433"/>
      <c r="AP265" s="433"/>
      <c r="AQ265" s="433"/>
    </row>
    <row r="266" spans="1:43" x14ac:dyDescent="0.25">
      <c r="A266" s="384" t="s">
        <v>817</v>
      </c>
      <c r="B266" s="384"/>
      <c r="C266" s="384"/>
      <c r="D266" s="384"/>
      <c r="E266" s="405"/>
      <c r="F266" s="405" t="s">
        <v>104</v>
      </c>
      <c r="G266" s="405" t="s">
        <v>801</v>
      </c>
      <c r="H266" s="405">
        <v>2020</v>
      </c>
      <c r="I266" t="s">
        <v>771</v>
      </c>
      <c r="J266" t="s">
        <v>331</v>
      </c>
      <c r="K266" s="396">
        <v>1</v>
      </c>
      <c r="L266" s="210"/>
      <c r="M266" s="433">
        <f t="shared" si="5"/>
        <v>289.24807172406372</v>
      </c>
      <c r="N266" s="433">
        <f t="shared" si="4"/>
        <v>289.24807172406372</v>
      </c>
      <c r="O266" s="433">
        <f t="shared" si="4"/>
        <v>289.24807172406372</v>
      </c>
      <c r="P266" s="433">
        <f t="shared" si="4"/>
        <v>289.24807172406372</v>
      </c>
      <c r="Q266" s="433">
        <f t="shared" si="4"/>
        <v>289.24807172406372</v>
      </c>
      <c r="R266" s="433">
        <f t="shared" si="4"/>
        <v>289.24807172406372</v>
      </c>
      <c r="S266" s="433">
        <f t="shared" si="4"/>
        <v>289.24807172406372</v>
      </c>
      <c r="T266" s="433">
        <f t="shared" si="4"/>
        <v>289.24807172406372</v>
      </c>
      <c r="U266" s="433">
        <f t="shared" si="4"/>
        <v>289.24807172406372</v>
      </c>
      <c r="V266" s="433">
        <f t="shared" si="4"/>
        <v>289.24807172406372</v>
      </c>
      <c r="W266" s="433">
        <f t="shared" si="4"/>
        <v>289.24807172406372</v>
      </c>
      <c r="X266" s="433">
        <f t="shared" si="4"/>
        <v>289.24807172406372</v>
      </c>
      <c r="Y266" s="433">
        <f t="shared" si="4"/>
        <v>289.24807172406372</v>
      </c>
      <c r="Z266" s="433">
        <f t="shared" si="4"/>
        <v>289.24807172406372</v>
      </c>
      <c r="AA266" s="433">
        <f t="shared" si="4"/>
        <v>289.24807172406372</v>
      </c>
      <c r="AB266" s="433">
        <f t="shared" si="4"/>
        <v>289.24807172406372</v>
      </c>
      <c r="AC266" s="433">
        <f t="shared" si="4"/>
        <v>289.24807172406372</v>
      </c>
      <c r="AD266" s="433">
        <f t="shared" si="4"/>
        <v>289.24807172406372</v>
      </c>
      <c r="AE266" s="433">
        <f t="shared" si="4"/>
        <v>289.24807172406372</v>
      </c>
      <c r="AF266" s="433">
        <f t="shared" si="4"/>
        <v>289.24807172406372</v>
      </c>
      <c r="AG266" s="433">
        <f t="shared" si="4"/>
        <v>289.24807172406372</v>
      </c>
      <c r="AH266" s="433">
        <f t="shared" si="4"/>
        <v>289.24807172406372</v>
      </c>
      <c r="AI266" s="433">
        <f t="shared" si="4"/>
        <v>289.24807172406372</v>
      </c>
      <c r="AJ266" s="433">
        <f t="shared" si="4"/>
        <v>289.24807172406372</v>
      </c>
      <c r="AK266" s="433">
        <f t="shared" si="4"/>
        <v>289.24807172406372</v>
      </c>
      <c r="AL266" s="433">
        <f t="shared" si="4"/>
        <v>289.24807172406372</v>
      </c>
      <c r="AM266" s="433">
        <f t="shared" si="4"/>
        <v>289.24807172406372</v>
      </c>
      <c r="AN266" s="433">
        <f t="shared" si="4"/>
        <v>289.24807172406372</v>
      </c>
      <c r="AO266" s="433"/>
      <c r="AP266" s="433"/>
      <c r="AQ266" s="433"/>
    </row>
    <row r="267" spans="1:43" x14ac:dyDescent="0.25">
      <c r="A267" s="384" t="s">
        <v>818</v>
      </c>
      <c r="B267" s="384"/>
      <c r="C267" s="384"/>
      <c r="D267" s="384"/>
      <c r="F267" s="9" t="s">
        <v>104</v>
      </c>
      <c r="G267" s="405" t="s">
        <v>801</v>
      </c>
      <c r="H267" s="405">
        <v>2020</v>
      </c>
      <c r="I267" t="s">
        <v>116</v>
      </c>
      <c r="J267" t="s">
        <v>772</v>
      </c>
      <c r="K267" s="396">
        <v>1</v>
      </c>
      <c r="L267" s="210"/>
      <c r="M267" s="433">
        <f t="shared" si="5"/>
        <v>289.24807172406372</v>
      </c>
      <c r="N267" s="433">
        <f t="shared" si="4"/>
        <v>289.24807172406372</v>
      </c>
      <c r="O267" s="433">
        <f t="shared" si="4"/>
        <v>289.24807172406372</v>
      </c>
      <c r="P267" s="433">
        <f t="shared" si="4"/>
        <v>289.24807172406372</v>
      </c>
      <c r="Q267" s="433">
        <f t="shared" si="4"/>
        <v>289.24807172406372</v>
      </c>
      <c r="R267" s="433">
        <f t="shared" si="4"/>
        <v>289.24807172406372</v>
      </c>
      <c r="S267" s="433">
        <f t="shared" si="4"/>
        <v>289.24807172406372</v>
      </c>
      <c r="T267" s="433">
        <f t="shared" si="4"/>
        <v>289.24807172406372</v>
      </c>
      <c r="U267" s="433">
        <f t="shared" si="4"/>
        <v>289.24807172406372</v>
      </c>
      <c r="V267" s="433">
        <f t="shared" si="4"/>
        <v>289.24807172406372</v>
      </c>
      <c r="W267" s="433">
        <f t="shared" si="4"/>
        <v>289.24807172406372</v>
      </c>
      <c r="X267" s="433">
        <f t="shared" si="4"/>
        <v>289.24807172406372</v>
      </c>
      <c r="Y267" s="433">
        <f t="shared" si="4"/>
        <v>289.24807172406372</v>
      </c>
      <c r="Z267" s="433">
        <f t="shared" si="4"/>
        <v>289.24807172406372</v>
      </c>
      <c r="AA267" s="433">
        <f t="shared" si="4"/>
        <v>289.24807172406372</v>
      </c>
      <c r="AB267" s="433">
        <f t="shared" si="4"/>
        <v>289.24807172406372</v>
      </c>
      <c r="AC267" s="433">
        <f t="shared" si="4"/>
        <v>289.24807172406372</v>
      </c>
      <c r="AD267" s="433">
        <f t="shared" si="4"/>
        <v>289.24807172406372</v>
      </c>
      <c r="AE267" s="433">
        <f t="shared" si="4"/>
        <v>289.24807172406372</v>
      </c>
      <c r="AF267" s="433">
        <f t="shared" si="4"/>
        <v>289.24807172406372</v>
      </c>
      <c r="AG267" s="433">
        <f t="shared" si="4"/>
        <v>289.24807172406372</v>
      </c>
      <c r="AH267" s="433">
        <f t="shared" si="4"/>
        <v>289.24807172406372</v>
      </c>
      <c r="AI267" s="433">
        <f t="shared" si="4"/>
        <v>289.24807172406372</v>
      </c>
      <c r="AJ267" s="433">
        <f t="shared" si="4"/>
        <v>289.24807172406372</v>
      </c>
      <c r="AK267" s="433">
        <f t="shared" si="4"/>
        <v>289.24807172406372</v>
      </c>
      <c r="AL267" s="433">
        <f t="shared" si="4"/>
        <v>289.24807172406372</v>
      </c>
      <c r="AM267" s="433">
        <f t="shared" si="4"/>
        <v>289.24807172406372</v>
      </c>
      <c r="AN267" s="433">
        <f t="shared" si="4"/>
        <v>289.24807172406372</v>
      </c>
      <c r="AO267" s="433"/>
      <c r="AP267" s="433"/>
      <c r="AQ267" s="433"/>
    </row>
    <row r="268" spans="1:43" x14ac:dyDescent="0.25">
      <c r="A268" s="384" t="s">
        <v>819</v>
      </c>
      <c r="B268" s="384"/>
      <c r="C268" s="384"/>
      <c r="D268" s="384"/>
      <c r="E268" s="405" t="s">
        <v>103</v>
      </c>
      <c r="F268" s="405" t="s">
        <v>104</v>
      </c>
      <c r="G268" s="405" t="s">
        <v>803</v>
      </c>
      <c r="H268" s="405">
        <v>2025</v>
      </c>
      <c r="I268" t="s">
        <v>125</v>
      </c>
      <c r="J268" t="s">
        <v>350</v>
      </c>
      <c r="K268" s="396">
        <v>1</v>
      </c>
      <c r="L268" s="210"/>
      <c r="M268" s="433">
        <f>M$233*$I$232</f>
        <v>289.24807172406372</v>
      </c>
      <c r="N268" s="433">
        <f t="shared" ref="N268:AN273" si="6">N$233*$I$232</f>
        <v>289.24807172406372</v>
      </c>
      <c r="O268" s="433">
        <f t="shared" si="6"/>
        <v>289.24807172406372</v>
      </c>
      <c r="P268" s="433">
        <f t="shared" si="6"/>
        <v>289.24807172406372</v>
      </c>
      <c r="Q268" s="433">
        <f t="shared" si="6"/>
        <v>289.24807172406372</v>
      </c>
      <c r="R268" s="433">
        <f t="shared" si="6"/>
        <v>289.24807172406372</v>
      </c>
      <c r="S268" s="433">
        <f t="shared" si="6"/>
        <v>289.24807172406372</v>
      </c>
      <c r="T268" s="433">
        <f t="shared" si="6"/>
        <v>289.24807172406372</v>
      </c>
      <c r="U268" s="433">
        <f t="shared" si="6"/>
        <v>289.24807172406372</v>
      </c>
      <c r="V268" s="433">
        <f t="shared" si="6"/>
        <v>289.24807172406372</v>
      </c>
      <c r="W268" s="433">
        <f t="shared" si="6"/>
        <v>289.24807172406372</v>
      </c>
      <c r="X268" s="433">
        <f t="shared" si="6"/>
        <v>289.24807172406372</v>
      </c>
      <c r="Y268" s="433">
        <f t="shared" si="6"/>
        <v>289.24807172406372</v>
      </c>
      <c r="Z268" s="433">
        <f t="shared" si="6"/>
        <v>289.24807172406372</v>
      </c>
      <c r="AA268" s="433">
        <f t="shared" si="6"/>
        <v>289.24807172406372</v>
      </c>
      <c r="AB268" s="433">
        <f t="shared" si="6"/>
        <v>289.24807172406372</v>
      </c>
      <c r="AC268" s="433">
        <f t="shared" si="6"/>
        <v>289.24807172406372</v>
      </c>
      <c r="AD268" s="433">
        <f t="shared" si="6"/>
        <v>289.24807172406372</v>
      </c>
      <c r="AE268" s="433">
        <f t="shared" si="6"/>
        <v>289.24807172406372</v>
      </c>
      <c r="AF268" s="433">
        <f t="shared" si="6"/>
        <v>289.24807172406372</v>
      </c>
      <c r="AG268" s="433">
        <f t="shared" si="6"/>
        <v>289.24807172406372</v>
      </c>
      <c r="AH268" s="433">
        <f t="shared" si="6"/>
        <v>289.24807172406372</v>
      </c>
      <c r="AI268" s="433">
        <f t="shared" si="6"/>
        <v>289.24807172406372</v>
      </c>
      <c r="AJ268" s="433">
        <f t="shared" si="6"/>
        <v>289.24807172406372</v>
      </c>
      <c r="AK268" s="433">
        <f t="shared" si="6"/>
        <v>289.24807172406372</v>
      </c>
      <c r="AL268" s="433">
        <f t="shared" si="6"/>
        <v>289.24807172406372</v>
      </c>
      <c r="AM268" s="433">
        <f t="shared" si="6"/>
        <v>289.24807172406372</v>
      </c>
      <c r="AN268" s="433">
        <f t="shared" si="6"/>
        <v>289.24807172406372</v>
      </c>
      <c r="AO268" s="433"/>
      <c r="AP268" s="433"/>
      <c r="AQ268" s="433"/>
    </row>
    <row r="269" spans="1:43" x14ac:dyDescent="0.25">
      <c r="A269" s="384" t="s">
        <v>820</v>
      </c>
      <c r="B269" s="384"/>
      <c r="C269" s="384"/>
      <c r="D269" s="384"/>
      <c r="E269" s="405"/>
      <c r="F269" s="405" t="s">
        <v>104</v>
      </c>
      <c r="G269" s="405" t="s">
        <v>803</v>
      </c>
      <c r="H269" s="405">
        <v>2025</v>
      </c>
      <c r="I269" t="s">
        <v>766</v>
      </c>
      <c r="J269" t="s">
        <v>767</v>
      </c>
      <c r="K269" s="396">
        <v>1</v>
      </c>
      <c r="L269" s="210"/>
      <c r="M269" s="433">
        <f t="shared" ref="M269:AB273" si="7">M$233*$I$232</f>
        <v>289.24807172406372</v>
      </c>
      <c r="N269" s="433">
        <f t="shared" si="7"/>
        <v>289.24807172406372</v>
      </c>
      <c r="O269" s="433">
        <f t="shared" si="7"/>
        <v>289.24807172406372</v>
      </c>
      <c r="P269" s="433">
        <f t="shared" si="7"/>
        <v>289.24807172406372</v>
      </c>
      <c r="Q269" s="433">
        <f t="shared" si="7"/>
        <v>289.24807172406372</v>
      </c>
      <c r="R269" s="433">
        <f t="shared" si="7"/>
        <v>289.24807172406372</v>
      </c>
      <c r="S269" s="433">
        <f t="shared" si="7"/>
        <v>289.24807172406372</v>
      </c>
      <c r="T269" s="433">
        <f t="shared" si="7"/>
        <v>289.24807172406372</v>
      </c>
      <c r="U269" s="433">
        <f t="shared" si="7"/>
        <v>289.24807172406372</v>
      </c>
      <c r="V269" s="433">
        <f t="shared" si="7"/>
        <v>289.24807172406372</v>
      </c>
      <c r="W269" s="433">
        <f t="shared" si="7"/>
        <v>289.24807172406372</v>
      </c>
      <c r="X269" s="433">
        <f t="shared" si="7"/>
        <v>289.24807172406372</v>
      </c>
      <c r="Y269" s="433">
        <f t="shared" si="7"/>
        <v>289.24807172406372</v>
      </c>
      <c r="Z269" s="433">
        <f t="shared" si="7"/>
        <v>289.24807172406372</v>
      </c>
      <c r="AA269" s="433">
        <f t="shared" si="7"/>
        <v>289.24807172406372</v>
      </c>
      <c r="AB269" s="433">
        <f t="shared" si="7"/>
        <v>289.24807172406372</v>
      </c>
      <c r="AC269" s="433">
        <f t="shared" si="6"/>
        <v>289.24807172406372</v>
      </c>
      <c r="AD269" s="433">
        <f t="shared" si="6"/>
        <v>289.24807172406372</v>
      </c>
      <c r="AE269" s="433">
        <f t="shared" si="6"/>
        <v>289.24807172406372</v>
      </c>
      <c r="AF269" s="433">
        <f t="shared" si="6"/>
        <v>289.24807172406372</v>
      </c>
      <c r="AG269" s="433">
        <f t="shared" si="6"/>
        <v>289.24807172406372</v>
      </c>
      <c r="AH269" s="433">
        <f t="shared" si="6"/>
        <v>289.24807172406372</v>
      </c>
      <c r="AI269" s="433">
        <f t="shared" si="6"/>
        <v>289.24807172406372</v>
      </c>
      <c r="AJ269" s="433">
        <f t="shared" si="6"/>
        <v>289.24807172406372</v>
      </c>
      <c r="AK269" s="433">
        <f t="shared" si="6"/>
        <v>289.24807172406372</v>
      </c>
      <c r="AL269" s="433">
        <f t="shared" si="6"/>
        <v>289.24807172406372</v>
      </c>
      <c r="AM269" s="433">
        <f t="shared" si="6"/>
        <v>289.24807172406372</v>
      </c>
      <c r="AN269" s="433">
        <f t="shared" si="6"/>
        <v>289.24807172406372</v>
      </c>
      <c r="AO269" s="433"/>
      <c r="AP269" s="433"/>
      <c r="AQ269" s="433"/>
    </row>
    <row r="270" spans="1:43" x14ac:dyDescent="0.25">
      <c r="A270" s="384" t="s">
        <v>821</v>
      </c>
      <c r="B270" s="384"/>
      <c r="C270" s="384"/>
      <c r="D270" s="384"/>
      <c r="E270" s="405"/>
      <c r="F270" s="405" t="s">
        <v>104</v>
      </c>
      <c r="G270" s="405" t="s">
        <v>803</v>
      </c>
      <c r="H270" s="405">
        <v>2025</v>
      </c>
      <c r="I270" t="s">
        <v>129</v>
      </c>
      <c r="J270" t="s">
        <v>768</v>
      </c>
      <c r="K270" s="396">
        <v>1</v>
      </c>
      <c r="L270" s="210"/>
      <c r="M270" s="433">
        <f t="shared" si="7"/>
        <v>289.24807172406372</v>
      </c>
      <c r="N270" s="433">
        <f t="shared" si="6"/>
        <v>289.24807172406372</v>
      </c>
      <c r="O270" s="433">
        <f t="shared" si="6"/>
        <v>289.24807172406372</v>
      </c>
      <c r="P270" s="433">
        <f t="shared" si="6"/>
        <v>289.24807172406372</v>
      </c>
      <c r="Q270" s="433">
        <f t="shared" si="6"/>
        <v>289.24807172406372</v>
      </c>
      <c r="R270" s="433">
        <f t="shared" si="6"/>
        <v>289.24807172406372</v>
      </c>
      <c r="S270" s="433">
        <f t="shared" si="6"/>
        <v>289.24807172406372</v>
      </c>
      <c r="T270" s="433">
        <f t="shared" si="6"/>
        <v>289.24807172406372</v>
      </c>
      <c r="U270" s="433">
        <f t="shared" si="6"/>
        <v>289.24807172406372</v>
      </c>
      <c r="V270" s="433">
        <f t="shared" si="6"/>
        <v>289.24807172406372</v>
      </c>
      <c r="W270" s="433">
        <f t="shared" si="6"/>
        <v>289.24807172406372</v>
      </c>
      <c r="X270" s="433">
        <f t="shared" si="6"/>
        <v>289.24807172406372</v>
      </c>
      <c r="Y270" s="433">
        <f t="shared" si="6"/>
        <v>289.24807172406372</v>
      </c>
      <c r="Z270" s="433">
        <f t="shared" si="6"/>
        <v>289.24807172406372</v>
      </c>
      <c r="AA270" s="433">
        <f t="shared" si="6"/>
        <v>289.24807172406372</v>
      </c>
      <c r="AB270" s="433">
        <f t="shared" si="6"/>
        <v>289.24807172406372</v>
      </c>
      <c r="AC270" s="433">
        <f t="shared" si="6"/>
        <v>289.24807172406372</v>
      </c>
      <c r="AD270" s="433">
        <f t="shared" si="6"/>
        <v>289.24807172406372</v>
      </c>
      <c r="AE270" s="433">
        <f t="shared" si="6"/>
        <v>289.24807172406372</v>
      </c>
      <c r="AF270" s="433">
        <f t="shared" si="6"/>
        <v>289.24807172406372</v>
      </c>
      <c r="AG270" s="433">
        <f t="shared" si="6"/>
        <v>289.24807172406372</v>
      </c>
      <c r="AH270" s="433">
        <f t="shared" si="6"/>
        <v>289.24807172406372</v>
      </c>
      <c r="AI270" s="433">
        <f t="shared" si="6"/>
        <v>289.24807172406372</v>
      </c>
      <c r="AJ270" s="433">
        <f t="shared" si="6"/>
        <v>289.24807172406372</v>
      </c>
      <c r="AK270" s="433">
        <f t="shared" si="6"/>
        <v>289.24807172406372</v>
      </c>
      <c r="AL270" s="433">
        <f t="shared" si="6"/>
        <v>289.24807172406372</v>
      </c>
      <c r="AM270" s="433">
        <f t="shared" si="6"/>
        <v>289.24807172406372</v>
      </c>
      <c r="AN270" s="433">
        <f t="shared" si="6"/>
        <v>289.24807172406372</v>
      </c>
      <c r="AO270" s="433"/>
      <c r="AP270" s="433"/>
      <c r="AQ270" s="433"/>
    </row>
    <row r="271" spans="1:43" x14ac:dyDescent="0.25">
      <c r="A271" s="384" t="s">
        <v>822</v>
      </c>
      <c r="B271" s="384"/>
      <c r="C271" s="384"/>
      <c r="D271" s="384"/>
      <c r="E271" s="405"/>
      <c r="F271" s="405" t="s">
        <v>104</v>
      </c>
      <c r="G271" s="405" t="s">
        <v>803</v>
      </c>
      <c r="H271" s="405">
        <v>2025</v>
      </c>
      <c r="I271" t="s">
        <v>769</v>
      </c>
      <c r="J271" t="s">
        <v>770</v>
      </c>
      <c r="K271" s="396">
        <v>1</v>
      </c>
      <c r="L271" s="210"/>
      <c r="M271" s="433">
        <f t="shared" si="7"/>
        <v>289.24807172406372</v>
      </c>
      <c r="N271" s="433">
        <f t="shared" si="6"/>
        <v>289.24807172406372</v>
      </c>
      <c r="O271" s="433">
        <f t="shared" si="6"/>
        <v>289.24807172406372</v>
      </c>
      <c r="P271" s="433">
        <f t="shared" si="6"/>
        <v>289.24807172406372</v>
      </c>
      <c r="Q271" s="433">
        <f t="shared" si="6"/>
        <v>289.24807172406372</v>
      </c>
      <c r="R271" s="433">
        <f t="shared" si="6"/>
        <v>289.24807172406372</v>
      </c>
      <c r="S271" s="433">
        <f t="shared" si="6"/>
        <v>289.24807172406372</v>
      </c>
      <c r="T271" s="433">
        <f t="shared" si="6"/>
        <v>289.24807172406372</v>
      </c>
      <c r="U271" s="433">
        <f t="shared" si="6"/>
        <v>289.24807172406372</v>
      </c>
      <c r="V271" s="433">
        <f t="shared" si="6"/>
        <v>289.24807172406372</v>
      </c>
      <c r="W271" s="433">
        <f t="shared" si="6"/>
        <v>289.24807172406372</v>
      </c>
      <c r="X271" s="433">
        <f t="shared" si="6"/>
        <v>289.24807172406372</v>
      </c>
      <c r="Y271" s="433">
        <f t="shared" si="6"/>
        <v>289.24807172406372</v>
      </c>
      <c r="Z271" s="433">
        <f t="shared" si="6"/>
        <v>289.24807172406372</v>
      </c>
      <c r="AA271" s="433">
        <f t="shared" si="6"/>
        <v>289.24807172406372</v>
      </c>
      <c r="AB271" s="433">
        <f t="shared" si="6"/>
        <v>289.24807172406372</v>
      </c>
      <c r="AC271" s="433">
        <f t="shared" si="6"/>
        <v>289.24807172406372</v>
      </c>
      <c r="AD271" s="433">
        <f t="shared" si="6"/>
        <v>289.24807172406372</v>
      </c>
      <c r="AE271" s="433">
        <f t="shared" si="6"/>
        <v>289.24807172406372</v>
      </c>
      <c r="AF271" s="433">
        <f t="shared" si="6"/>
        <v>289.24807172406372</v>
      </c>
      <c r="AG271" s="433">
        <f t="shared" si="6"/>
        <v>289.24807172406372</v>
      </c>
      <c r="AH271" s="433">
        <f t="shared" si="6"/>
        <v>289.24807172406372</v>
      </c>
      <c r="AI271" s="433">
        <f t="shared" si="6"/>
        <v>289.24807172406372</v>
      </c>
      <c r="AJ271" s="433">
        <f t="shared" si="6"/>
        <v>289.24807172406372</v>
      </c>
      <c r="AK271" s="433">
        <f t="shared" si="6"/>
        <v>289.24807172406372</v>
      </c>
      <c r="AL271" s="433">
        <f t="shared" si="6"/>
        <v>289.24807172406372</v>
      </c>
      <c r="AM271" s="433">
        <f t="shared" si="6"/>
        <v>289.24807172406372</v>
      </c>
      <c r="AN271" s="433">
        <f t="shared" si="6"/>
        <v>289.24807172406372</v>
      </c>
      <c r="AO271" s="433"/>
      <c r="AP271" s="433"/>
      <c r="AQ271" s="433"/>
    </row>
    <row r="272" spans="1:43" x14ac:dyDescent="0.25">
      <c r="A272" s="384" t="s">
        <v>823</v>
      </c>
      <c r="B272" s="384"/>
      <c r="C272" s="384"/>
      <c r="D272" s="384"/>
      <c r="E272" s="405"/>
      <c r="F272" s="405" t="s">
        <v>104</v>
      </c>
      <c r="G272" s="405" t="s">
        <v>803</v>
      </c>
      <c r="H272" s="405">
        <v>2025</v>
      </c>
      <c r="I272" t="s">
        <v>771</v>
      </c>
      <c r="J272" t="s">
        <v>331</v>
      </c>
      <c r="K272" s="396">
        <v>1</v>
      </c>
      <c r="L272" s="210"/>
      <c r="M272" s="433">
        <f t="shared" si="7"/>
        <v>289.24807172406372</v>
      </c>
      <c r="N272" s="433">
        <f t="shared" si="6"/>
        <v>289.24807172406372</v>
      </c>
      <c r="O272" s="433">
        <f t="shared" si="6"/>
        <v>289.24807172406372</v>
      </c>
      <c r="P272" s="433">
        <f t="shared" si="6"/>
        <v>289.24807172406372</v>
      </c>
      <c r="Q272" s="433">
        <f t="shared" si="6"/>
        <v>289.24807172406372</v>
      </c>
      <c r="R272" s="433">
        <f t="shared" si="6"/>
        <v>289.24807172406372</v>
      </c>
      <c r="S272" s="433">
        <f t="shared" si="6"/>
        <v>289.24807172406372</v>
      </c>
      <c r="T272" s="433">
        <f t="shared" si="6"/>
        <v>289.24807172406372</v>
      </c>
      <c r="U272" s="433">
        <f t="shared" si="6"/>
        <v>289.24807172406372</v>
      </c>
      <c r="V272" s="433">
        <f t="shared" si="6"/>
        <v>289.24807172406372</v>
      </c>
      <c r="W272" s="433">
        <f t="shared" si="6"/>
        <v>289.24807172406372</v>
      </c>
      <c r="X272" s="433">
        <f t="shared" si="6"/>
        <v>289.24807172406372</v>
      </c>
      <c r="Y272" s="433">
        <f t="shared" si="6"/>
        <v>289.24807172406372</v>
      </c>
      <c r="Z272" s="433">
        <f t="shared" si="6"/>
        <v>289.24807172406372</v>
      </c>
      <c r="AA272" s="433">
        <f t="shared" si="6"/>
        <v>289.24807172406372</v>
      </c>
      <c r="AB272" s="433">
        <f t="shared" si="6"/>
        <v>289.24807172406372</v>
      </c>
      <c r="AC272" s="433">
        <f t="shared" si="6"/>
        <v>289.24807172406372</v>
      </c>
      <c r="AD272" s="433">
        <f t="shared" si="6"/>
        <v>289.24807172406372</v>
      </c>
      <c r="AE272" s="433">
        <f t="shared" si="6"/>
        <v>289.24807172406372</v>
      </c>
      <c r="AF272" s="433">
        <f t="shared" si="6"/>
        <v>289.24807172406372</v>
      </c>
      <c r="AG272" s="433">
        <f t="shared" si="6"/>
        <v>289.24807172406372</v>
      </c>
      <c r="AH272" s="433">
        <f t="shared" si="6"/>
        <v>289.24807172406372</v>
      </c>
      <c r="AI272" s="433">
        <f t="shared" si="6"/>
        <v>289.24807172406372</v>
      </c>
      <c r="AJ272" s="433">
        <f t="shared" si="6"/>
        <v>289.24807172406372</v>
      </c>
      <c r="AK272" s="433">
        <f t="shared" si="6"/>
        <v>289.24807172406372</v>
      </c>
      <c r="AL272" s="433">
        <f t="shared" si="6"/>
        <v>289.24807172406372</v>
      </c>
      <c r="AM272" s="433">
        <f t="shared" si="6"/>
        <v>289.24807172406372</v>
      </c>
      <c r="AN272" s="433">
        <f t="shared" si="6"/>
        <v>289.24807172406372</v>
      </c>
      <c r="AO272" s="433"/>
      <c r="AP272" s="433"/>
      <c r="AQ272" s="433"/>
    </row>
    <row r="273" spans="1:43" x14ac:dyDescent="0.25">
      <c r="A273" s="384" t="s">
        <v>824</v>
      </c>
      <c r="B273" s="384"/>
      <c r="C273" s="384"/>
      <c r="D273" s="384"/>
      <c r="F273" s="9" t="s">
        <v>104</v>
      </c>
      <c r="G273" s="405" t="s">
        <v>803</v>
      </c>
      <c r="H273" s="405">
        <v>2025</v>
      </c>
      <c r="I273" t="s">
        <v>116</v>
      </c>
      <c r="J273" t="s">
        <v>772</v>
      </c>
      <c r="K273" s="396">
        <v>1</v>
      </c>
      <c r="L273" s="210"/>
      <c r="M273" s="433">
        <f t="shared" si="7"/>
        <v>289.24807172406372</v>
      </c>
      <c r="N273" s="433">
        <f t="shared" si="6"/>
        <v>289.24807172406372</v>
      </c>
      <c r="O273" s="433">
        <f t="shared" si="6"/>
        <v>289.24807172406372</v>
      </c>
      <c r="P273" s="433">
        <f t="shared" si="6"/>
        <v>289.24807172406372</v>
      </c>
      <c r="Q273" s="433">
        <f t="shared" si="6"/>
        <v>289.24807172406372</v>
      </c>
      <c r="R273" s="433">
        <f t="shared" si="6"/>
        <v>289.24807172406372</v>
      </c>
      <c r="S273" s="433">
        <f t="shared" si="6"/>
        <v>289.24807172406372</v>
      </c>
      <c r="T273" s="433">
        <f t="shared" si="6"/>
        <v>289.24807172406372</v>
      </c>
      <c r="U273" s="433">
        <f t="shared" si="6"/>
        <v>289.24807172406372</v>
      </c>
      <c r="V273" s="433">
        <f t="shared" si="6"/>
        <v>289.24807172406372</v>
      </c>
      <c r="W273" s="433">
        <f t="shared" si="6"/>
        <v>289.24807172406372</v>
      </c>
      <c r="X273" s="433">
        <f t="shared" si="6"/>
        <v>289.24807172406372</v>
      </c>
      <c r="Y273" s="433">
        <f t="shared" si="6"/>
        <v>289.24807172406372</v>
      </c>
      <c r="Z273" s="433">
        <f t="shared" si="6"/>
        <v>289.24807172406372</v>
      </c>
      <c r="AA273" s="433">
        <f t="shared" si="6"/>
        <v>289.24807172406372</v>
      </c>
      <c r="AB273" s="433">
        <f t="shared" si="6"/>
        <v>289.24807172406372</v>
      </c>
      <c r="AC273" s="433">
        <f t="shared" si="6"/>
        <v>289.24807172406372</v>
      </c>
      <c r="AD273" s="433">
        <f t="shared" si="6"/>
        <v>289.24807172406372</v>
      </c>
      <c r="AE273" s="433">
        <f t="shared" si="6"/>
        <v>289.24807172406372</v>
      </c>
      <c r="AF273" s="433">
        <f t="shared" si="6"/>
        <v>289.24807172406372</v>
      </c>
      <c r="AG273" s="433">
        <f t="shared" si="6"/>
        <v>289.24807172406372</v>
      </c>
      <c r="AH273" s="433">
        <f t="shared" si="6"/>
        <v>289.24807172406372</v>
      </c>
      <c r="AI273" s="433">
        <f t="shared" si="6"/>
        <v>289.24807172406372</v>
      </c>
      <c r="AJ273" s="433">
        <f t="shared" si="6"/>
        <v>289.24807172406372</v>
      </c>
      <c r="AK273" s="433">
        <f t="shared" si="6"/>
        <v>289.24807172406372</v>
      </c>
      <c r="AL273" s="433">
        <f t="shared" si="6"/>
        <v>289.24807172406372</v>
      </c>
      <c r="AM273" s="433">
        <f t="shared" si="6"/>
        <v>289.24807172406372</v>
      </c>
      <c r="AN273" s="433">
        <f t="shared" si="6"/>
        <v>289.24807172406372</v>
      </c>
      <c r="AO273" s="433"/>
      <c r="AP273" s="433"/>
      <c r="AQ273" s="433"/>
    </row>
    <row r="274" spans="1:43" x14ac:dyDescent="0.25">
      <c r="A274" s="384" t="s">
        <v>819</v>
      </c>
      <c r="B274" s="384"/>
      <c r="C274" s="384"/>
      <c r="D274" s="384"/>
      <c r="E274" s="405" t="s">
        <v>103</v>
      </c>
      <c r="F274" s="405" t="s">
        <v>104</v>
      </c>
      <c r="G274" s="405" t="s">
        <v>803</v>
      </c>
      <c r="H274" s="405">
        <v>2030</v>
      </c>
      <c r="I274" t="s">
        <v>125</v>
      </c>
      <c r="J274" t="s">
        <v>350</v>
      </c>
      <c r="K274" s="396">
        <v>1</v>
      </c>
      <c r="L274" s="210"/>
      <c r="M274" s="433">
        <f>M$234*$I$232</f>
        <v>260.32326455165736</v>
      </c>
      <c r="N274" s="433">
        <f t="shared" ref="N274:AN279" si="8">N$234*$I$232</f>
        <v>260.32326455165736</v>
      </c>
      <c r="O274" s="433">
        <f t="shared" si="8"/>
        <v>260.32326455165736</v>
      </c>
      <c r="P274" s="433">
        <f t="shared" si="8"/>
        <v>260.32326455165736</v>
      </c>
      <c r="Q274" s="433">
        <f t="shared" si="8"/>
        <v>260.32326455165736</v>
      </c>
      <c r="R274" s="433">
        <f t="shared" si="8"/>
        <v>260.32326455165736</v>
      </c>
      <c r="S274" s="433">
        <f t="shared" si="8"/>
        <v>260.32326455165736</v>
      </c>
      <c r="T274" s="433">
        <f t="shared" si="8"/>
        <v>260.32326455165736</v>
      </c>
      <c r="U274" s="433">
        <f t="shared" si="8"/>
        <v>260.32326455165736</v>
      </c>
      <c r="V274" s="433">
        <f t="shared" si="8"/>
        <v>260.32326455165736</v>
      </c>
      <c r="W274" s="433">
        <f t="shared" si="8"/>
        <v>260.32326455165736</v>
      </c>
      <c r="X274" s="433">
        <f t="shared" si="8"/>
        <v>260.32326455165736</v>
      </c>
      <c r="Y274" s="433">
        <f t="shared" si="8"/>
        <v>260.32326455165736</v>
      </c>
      <c r="Z274" s="433">
        <f t="shared" si="8"/>
        <v>260.32326455165736</v>
      </c>
      <c r="AA274" s="433">
        <f t="shared" si="8"/>
        <v>260.32326455165736</v>
      </c>
      <c r="AB274" s="433">
        <f t="shared" si="8"/>
        <v>260.32326455165736</v>
      </c>
      <c r="AC274" s="433">
        <f t="shared" si="8"/>
        <v>260.32326455165736</v>
      </c>
      <c r="AD274" s="433">
        <f t="shared" si="8"/>
        <v>260.32326455165736</v>
      </c>
      <c r="AE274" s="433">
        <f t="shared" si="8"/>
        <v>260.32326455165736</v>
      </c>
      <c r="AF274" s="433">
        <f t="shared" si="8"/>
        <v>260.32326455165736</v>
      </c>
      <c r="AG274" s="433">
        <f t="shared" si="8"/>
        <v>260.32326455165736</v>
      </c>
      <c r="AH274" s="433">
        <f t="shared" si="8"/>
        <v>260.32326455165736</v>
      </c>
      <c r="AI274" s="433">
        <f t="shared" si="8"/>
        <v>260.32326455165736</v>
      </c>
      <c r="AJ274" s="433">
        <f t="shared" si="8"/>
        <v>260.32326455165736</v>
      </c>
      <c r="AK274" s="433">
        <f t="shared" si="8"/>
        <v>260.32326455165736</v>
      </c>
      <c r="AL274" s="433">
        <f t="shared" si="8"/>
        <v>260.32326455165736</v>
      </c>
      <c r="AM274" s="433">
        <f t="shared" si="8"/>
        <v>260.32326455165736</v>
      </c>
      <c r="AN274" s="433">
        <f t="shared" si="8"/>
        <v>260.32326455165736</v>
      </c>
      <c r="AO274" s="433"/>
      <c r="AP274" s="433"/>
      <c r="AQ274" s="433"/>
    </row>
    <row r="275" spans="1:43" x14ac:dyDescent="0.25">
      <c r="A275" s="384" t="s">
        <v>820</v>
      </c>
      <c r="B275" s="384"/>
      <c r="C275" s="384"/>
      <c r="D275" s="384"/>
      <c r="E275" s="405"/>
      <c r="F275" s="405" t="s">
        <v>104</v>
      </c>
      <c r="G275" s="405" t="s">
        <v>803</v>
      </c>
      <c r="H275" s="405">
        <v>2030</v>
      </c>
      <c r="I275" t="s">
        <v>766</v>
      </c>
      <c r="J275" t="s">
        <v>767</v>
      </c>
      <c r="K275" s="396">
        <v>1</v>
      </c>
      <c r="L275" s="210"/>
      <c r="M275" s="433">
        <f t="shared" ref="M275:AB279" si="9">M$234*$I$232</f>
        <v>260.32326455165736</v>
      </c>
      <c r="N275" s="433">
        <f t="shared" si="9"/>
        <v>260.32326455165736</v>
      </c>
      <c r="O275" s="433">
        <f t="shared" si="9"/>
        <v>260.32326455165736</v>
      </c>
      <c r="P275" s="433">
        <f t="shared" si="9"/>
        <v>260.32326455165736</v>
      </c>
      <c r="Q275" s="433">
        <f t="shared" si="9"/>
        <v>260.32326455165736</v>
      </c>
      <c r="R275" s="433">
        <f t="shared" si="9"/>
        <v>260.32326455165736</v>
      </c>
      <c r="S275" s="433">
        <f t="shared" si="9"/>
        <v>260.32326455165736</v>
      </c>
      <c r="T275" s="433">
        <f t="shared" si="9"/>
        <v>260.32326455165736</v>
      </c>
      <c r="U275" s="433">
        <f t="shared" si="9"/>
        <v>260.32326455165736</v>
      </c>
      <c r="V275" s="433">
        <f t="shared" si="9"/>
        <v>260.32326455165736</v>
      </c>
      <c r="W275" s="433">
        <f t="shared" si="9"/>
        <v>260.32326455165736</v>
      </c>
      <c r="X275" s="433">
        <f t="shared" si="9"/>
        <v>260.32326455165736</v>
      </c>
      <c r="Y275" s="433">
        <f t="shared" si="9"/>
        <v>260.32326455165736</v>
      </c>
      <c r="Z275" s="433">
        <f t="shared" si="9"/>
        <v>260.32326455165736</v>
      </c>
      <c r="AA275" s="433">
        <f t="shared" si="9"/>
        <v>260.32326455165736</v>
      </c>
      <c r="AB275" s="433">
        <f t="shared" si="9"/>
        <v>260.32326455165736</v>
      </c>
      <c r="AC275" s="433">
        <f t="shared" si="8"/>
        <v>260.32326455165736</v>
      </c>
      <c r="AD275" s="433">
        <f t="shared" si="8"/>
        <v>260.32326455165736</v>
      </c>
      <c r="AE275" s="433">
        <f t="shared" si="8"/>
        <v>260.32326455165736</v>
      </c>
      <c r="AF275" s="433">
        <f t="shared" si="8"/>
        <v>260.32326455165736</v>
      </c>
      <c r="AG275" s="433">
        <f t="shared" si="8"/>
        <v>260.32326455165736</v>
      </c>
      <c r="AH275" s="433">
        <f t="shared" si="8"/>
        <v>260.32326455165736</v>
      </c>
      <c r="AI275" s="433">
        <f t="shared" si="8"/>
        <v>260.32326455165736</v>
      </c>
      <c r="AJ275" s="433">
        <f t="shared" si="8"/>
        <v>260.32326455165736</v>
      </c>
      <c r="AK275" s="433">
        <f t="shared" si="8"/>
        <v>260.32326455165736</v>
      </c>
      <c r="AL275" s="433">
        <f t="shared" si="8"/>
        <v>260.32326455165736</v>
      </c>
      <c r="AM275" s="433">
        <f t="shared" si="8"/>
        <v>260.32326455165736</v>
      </c>
      <c r="AN275" s="433">
        <f t="shared" si="8"/>
        <v>260.32326455165736</v>
      </c>
      <c r="AO275" s="433"/>
      <c r="AP275" s="433"/>
      <c r="AQ275" s="433"/>
    </row>
    <row r="276" spans="1:43" x14ac:dyDescent="0.25">
      <c r="A276" s="384" t="s">
        <v>821</v>
      </c>
      <c r="B276" s="384"/>
      <c r="C276" s="384"/>
      <c r="D276" s="384"/>
      <c r="E276" s="405"/>
      <c r="F276" s="405" t="s">
        <v>104</v>
      </c>
      <c r="G276" s="405" t="s">
        <v>803</v>
      </c>
      <c r="H276" s="405">
        <v>2030</v>
      </c>
      <c r="I276" t="s">
        <v>129</v>
      </c>
      <c r="J276" t="s">
        <v>768</v>
      </c>
      <c r="K276" s="396">
        <v>1</v>
      </c>
      <c r="L276" s="210"/>
      <c r="M276" s="433">
        <f t="shared" si="9"/>
        <v>260.32326455165736</v>
      </c>
      <c r="N276" s="433">
        <f t="shared" si="8"/>
        <v>260.32326455165736</v>
      </c>
      <c r="O276" s="433">
        <f t="shared" si="8"/>
        <v>260.32326455165736</v>
      </c>
      <c r="P276" s="433">
        <f t="shared" si="8"/>
        <v>260.32326455165736</v>
      </c>
      <c r="Q276" s="433">
        <f t="shared" si="8"/>
        <v>260.32326455165736</v>
      </c>
      <c r="R276" s="433">
        <f t="shared" si="8"/>
        <v>260.32326455165736</v>
      </c>
      <c r="S276" s="433">
        <f t="shared" si="8"/>
        <v>260.32326455165736</v>
      </c>
      <c r="T276" s="433">
        <f t="shared" si="8"/>
        <v>260.32326455165736</v>
      </c>
      <c r="U276" s="433">
        <f t="shared" si="8"/>
        <v>260.32326455165736</v>
      </c>
      <c r="V276" s="433">
        <f t="shared" si="8"/>
        <v>260.32326455165736</v>
      </c>
      <c r="W276" s="433">
        <f t="shared" si="8"/>
        <v>260.32326455165736</v>
      </c>
      <c r="X276" s="433">
        <f t="shared" si="8"/>
        <v>260.32326455165736</v>
      </c>
      <c r="Y276" s="433">
        <f t="shared" si="8"/>
        <v>260.32326455165736</v>
      </c>
      <c r="Z276" s="433">
        <f t="shared" si="8"/>
        <v>260.32326455165736</v>
      </c>
      <c r="AA276" s="433">
        <f t="shared" si="8"/>
        <v>260.32326455165736</v>
      </c>
      <c r="AB276" s="433">
        <f t="shared" si="8"/>
        <v>260.32326455165736</v>
      </c>
      <c r="AC276" s="433">
        <f t="shared" si="8"/>
        <v>260.32326455165736</v>
      </c>
      <c r="AD276" s="433">
        <f t="shared" si="8"/>
        <v>260.32326455165736</v>
      </c>
      <c r="AE276" s="433">
        <f t="shared" si="8"/>
        <v>260.32326455165736</v>
      </c>
      <c r="AF276" s="433">
        <f t="shared" si="8"/>
        <v>260.32326455165736</v>
      </c>
      <c r="AG276" s="433">
        <f t="shared" si="8"/>
        <v>260.32326455165736</v>
      </c>
      <c r="AH276" s="433">
        <f t="shared" si="8"/>
        <v>260.32326455165736</v>
      </c>
      <c r="AI276" s="433">
        <f t="shared" si="8"/>
        <v>260.32326455165736</v>
      </c>
      <c r="AJ276" s="433">
        <f t="shared" si="8"/>
        <v>260.32326455165736</v>
      </c>
      <c r="AK276" s="433">
        <f t="shared" si="8"/>
        <v>260.32326455165736</v>
      </c>
      <c r="AL276" s="433">
        <f t="shared" si="8"/>
        <v>260.32326455165736</v>
      </c>
      <c r="AM276" s="433">
        <f t="shared" si="8"/>
        <v>260.32326455165736</v>
      </c>
      <c r="AN276" s="433">
        <f t="shared" si="8"/>
        <v>260.32326455165736</v>
      </c>
      <c r="AO276" s="433"/>
      <c r="AP276" s="433"/>
      <c r="AQ276" s="433"/>
    </row>
    <row r="277" spans="1:43" x14ac:dyDescent="0.25">
      <c r="A277" s="384" t="s">
        <v>822</v>
      </c>
      <c r="B277" s="384"/>
      <c r="C277" s="384"/>
      <c r="D277" s="384"/>
      <c r="E277" s="405"/>
      <c r="F277" s="405" t="s">
        <v>104</v>
      </c>
      <c r="G277" s="405" t="s">
        <v>803</v>
      </c>
      <c r="H277" s="405">
        <v>2030</v>
      </c>
      <c r="I277" t="s">
        <v>769</v>
      </c>
      <c r="J277" t="s">
        <v>770</v>
      </c>
      <c r="K277" s="396">
        <v>1</v>
      </c>
      <c r="L277" s="210"/>
      <c r="M277" s="433">
        <f t="shared" si="9"/>
        <v>260.32326455165736</v>
      </c>
      <c r="N277" s="433">
        <f t="shared" si="8"/>
        <v>260.32326455165736</v>
      </c>
      <c r="O277" s="433">
        <f t="shared" si="8"/>
        <v>260.32326455165736</v>
      </c>
      <c r="P277" s="433">
        <f t="shared" si="8"/>
        <v>260.32326455165736</v>
      </c>
      <c r="Q277" s="433">
        <f t="shared" si="8"/>
        <v>260.32326455165736</v>
      </c>
      <c r="R277" s="433">
        <f t="shared" si="8"/>
        <v>260.32326455165736</v>
      </c>
      <c r="S277" s="433">
        <f t="shared" si="8"/>
        <v>260.32326455165736</v>
      </c>
      <c r="T277" s="433">
        <f t="shared" si="8"/>
        <v>260.32326455165736</v>
      </c>
      <c r="U277" s="433">
        <f t="shared" si="8"/>
        <v>260.32326455165736</v>
      </c>
      <c r="V277" s="433">
        <f t="shared" si="8"/>
        <v>260.32326455165736</v>
      </c>
      <c r="W277" s="433">
        <f t="shared" si="8"/>
        <v>260.32326455165736</v>
      </c>
      <c r="X277" s="433">
        <f t="shared" si="8"/>
        <v>260.32326455165736</v>
      </c>
      <c r="Y277" s="433">
        <f t="shared" si="8"/>
        <v>260.32326455165736</v>
      </c>
      <c r="Z277" s="433">
        <f t="shared" si="8"/>
        <v>260.32326455165736</v>
      </c>
      <c r="AA277" s="433">
        <f t="shared" si="8"/>
        <v>260.32326455165736</v>
      </c>
      <c r="AB277" s="433">
        <f t="shared" si="8"/>
        <v>260.32326455165736</v>
      </c>
      <c r="AC277" s="433">
        <f t="shared" si="8"/>
        <v>260.32326455165736</v>
      </c>
      <c r="AD277" s="433">
        <f t="shared" si="8"/>
        <v>260.32326455165736</v>
      </c>
      <c r="AE277" s="433">
        <f t="shared" si="8"/>
        <v>260.32326455165736</v>
      </c>
      <c r="AF277" s="433">
        <f t="shared" si="8"/>
        <v>260.32326455165736</v>
      </c>
      <c r="AG277" s="433">
        <f t="shared" si="8"/>
        <v>260.32326455165736</v>
      </c>
      <c r="AH277" s="433">
        <f t="shared" si="8"/>
        <v>260.32326455165736</v>
      </c>
      <c r="AI277" s="433">
        <f t="shared" si="8"/>
        <v>260.32326455165736</v>
      </c>
      <c r="AJ277" s="433">
        <f t="shared" si="8"/>
        <v>260.32326455165736</v>
      </c>
      <c r="AK277" s="433">
        <f t="shared" si="8"/>
        <v>260.32326455165736</v>
      </c>
      <c r="AL277" s="433">
        <f t="shared" si="8"/>
        <v>260.32326455165736</v>
      </c>
      <c r="AM277" s="433">
        <f t="shared" si="8"/>
        <v>260.32326455165736</v>
      </c>
      <c r="AN277" s="433">
        <f t="shared" si="8"/>
        <v>260.32326455165736</v>
      </c>
      <c r="AO277" s="433"/>
      <c r="AP277" s="433"/>
      <c r="AQ277" s="433"/>
    </row>
    <row r="278" spans="1:43" x14ac:dyDescent="0.25">
      <c r="A278" s="384" t="s">
        <v>823</v>
      </c>
      <c r="B278" s="384"/>
      <c r="C278" s="384"/>
      <c r="D278" s="384"/>
      <c r="E278" s="405"/>
      <c r="F278" s="405" t="s">
        <v>104</v>
      </c>
      <c r="G278" s="405" t="s">
        <v>803</v>
      </c>
      <c r="H278" s="405">
        <v>2030</v>
      </c>
      <c r="I278" t="s">
        <v>771</v>
      </c>
      <c r="J278" t="s">
        <v>331</v>
      </c>
      <c r="K278" s="396">
        <v>1</v>
      </c>
      <c r="L278" s="210"/>
      <c r="M278" s="433">
        <f t="shared" si="9"/>
        <v>260.32326455165736</v>
      </c>
      <c r="N278" s="433">
        <f t="shared" si="8"/>
        <v>260.32326455165736</v>
      </c>
      <c r="O278" s="433">
        <f t="shared" si="8"/>
        <v>260.32326455165736</v>
      </c>
      <c r="P278" s="433">
        <f t="shared" si="8"/>
        <v>260.32326455165736</v>
      </c>
      <c r="Q278" s="433">
        <f t="shared" si="8"/>
        <v>260.32326455165736</v>
      </c>
      <c r="R278" s="433">
        <f t="shared" si="8"/>
        <v>260.32326455165736</v>
      </c>
      <c r="S278" s="433">
        <f t="shared" si="8"/>
        <v>260.32326455165736</v>
      </c>
      <c r="T278" s="433">
        <f t="shared" si="8"/>
        <v>260.32326455165736</v>
      </c>
      <c r="U278" s="433">
        <f t="shared" si="8"/>
        <v>260.32326455165736</v>
      </c>
      <c r="V278" s="433">
        <f t="shared" si="8"/>
        <v>260.32326455165736</v>
      </c>
      <c r="W278" s="433">
        <f t="shared" si="8"/>
        <v>260.32326455165736</v>
      </c>
      <c r="X278" s="433">
        <f t="shared" si="8"/>
        <v>260.32326455165736</v>
      </c>
      <c r="Y278" s="433">
        <f t="shared" si="8"/>
        <v>260.32326455165736</v>
      </c>
      <c r="Z278" s="433">
        <f t="shared" si="8"/>
        <v>260.32326455165736</v>
      </c>
      <c r="AA278" s="433">
        <f t="shared" si="8"/>
        <v>260.32326455165736</v>
      </c>
      <c r="AB278" s="433">
        <f t="shared" si="8"/>
        <v>260.32326455165736</v>
      </c>
      <c r="AC278" s="433">
        <f t="shared" si="8"/>
        <v>260.32326455165736</v>
      </c>
      <c r="AD278" s="433">
        <f t="shared" si="8"/>
        <v>260.32326455165736</v>
      </c>
      <c r="AE278" s="433">
        <f t="shared" si="8"/>
        <v>260.32326455165736</v>
      </c>
      <c r="AF278" s="433">
        <f t="shared" si="8"/>
        <v>260.32326455165736</v>
      </c>
      <c r="AG278" s="433">
        <f t="shared" si="8"/>
        <v>260.32326455165736</v>
      </c>
      <c r="AH278" s="433">
        <f t="shared" si="8"/>
        <v>260.32326455165736</v>
      </c>
      <c r="AI278" s="433">
        <f t="shared" si="8"/>
        <v>260.32326455165736</v>
      </c>
      <c r="AJ278" s="433">
        <f t="shared" si="8"/>
        <v>260.32326455165736</v>
      </c>
      <c r="AK278" s="433">
        <f t="shared" si="8"/>
        <v>260.32326455165736</v>
      </c>
      <c r="AL278" s="433">
        <f t="shared" si="8"/>
        <v>260.32326455165736</v>
      </c>
      <c r="AM278" s="433">
        <f t="shared" si="8"/>
        <v>260.32326455165736</v>
      </c>
      <c r="AN278" s="433">
        <f t="shared" si="8"/>
        <v>260.32326455165736</v>
      </c>
      <c r="AO278" s="433"/>
      <c r="AP278" s="433"/>
      <c r="AQ278" s="433"/>
    </row>
    <row r="279" spans="1:43" x14ac:dyDescent="0.25">
      <c r="A279" s="384" t="s">
        <v>824</v>
      </c>
      <c r="B279" s="384"/>
      <c r="C279" s="384"/>
      <c r="D279" s="384"/>
      <c r="F279" s="9" t="s">
        <v>104</v>
      </c>
      <c r="G279" s="405" t="s">
        <v>803</v>
      </c>
      <c r="H279" s="405">
        <v>2030</v>
      </c>
      <c r="I279" t="s">
        <v>116</v>
      </c>
      <c r="J279" t="s">
        <v>772</v>
      </c>
      <c r="K279" s="396">
        <v>1</v>
      </c>
      <c r="L279" s="210"/>
      <c r="M279" s="433">
        <f t="shared" si="9"/>
        <v>260.32326455165736</v>
      </c>
      <c r="N279" s="433">
        <f t="shared" si="8"/>
        <v>260.32326455165736</v>
      </c>
      <c r="O279" s="433">
        <f t="shared" si="8"/>
        <v>260.32326455165736</v>
      </c>
      <c r="P279" s="433">
        <f t="shared" si="8"/>
        <v>260.32326455165736</v>
      </c>
      <c r="Q279" s="433">
        <f t="shared" si="8"/>
        <v>260.32326455165736</v>
      </c>
      <c r="R279" s="433">
        <f t="shared" si="8"/>
        <v>260.32326455165736</v>
      </c>
      <c r="S279" s="433">
        <f t="shared" si="8"/>
        <v>260.32326455165736</v>
      </c>
      <c r="T279" s="433">
        <f t="shared" si="8"/>
        <v>260.32326455165736</v>
      </c>
      <c r="U279" s="433">
        <f t="shared" si="8"/>
        <v>260.32326455165736</v>
      </c>
      <c r="V279" s="433">
        <f t="shared" si="8"/>
        <v>260.32326455165736</v>
      </c>
      <c r="W279" s="433">
        <f t="shared" si="8"/>
        <v>260.32326455165736</v>
      </c>
      <c r="X279" s="433">
        <f t="shared" si="8"/>
        <v>260.32326455165736</v>
      </c>
      <c r="Y279" s="433">
        <f t="shared" si="8"/>
        <v>260.32326455165736</v>
      </c>
      <c r="Z279" s="433">
        <f t="shared" si="8"/>
        <v>260.32326455165736</v>
      </c>
      <c r="AA279" s="433">
        <f t="shared" si="8"/>
        <v>260.32326455165736</v>
      </c>
      <c r="AB279" s="433">
        <f t="shared" si="8"/>
        <v>260.32326455165736</v>
      </c>
      <c r="AC279" s="433">
        <f t="shared" si="8"/>
        <v>260.32326455165736</v>
      </c>
      <c r="AD279" s="433">
        <f t="shared" si="8"/>
        <v>260.32326455165736</v>
      </c>
      <c r="AE279" s="433">
        <f t="shared" si="8"/>
        <v>260.32326455165736</v>
      </c>
      <c r="AF279" s="433">
        <f t="shared" si="8"/>
        <v>260.32326455165736</v>
      </c>
      <c r="AG279" s="433">
        <f t="shared" si="8"/>
        <v>260.32326455165736</v>
      </c>
      <c r="AH279" s="433">
        <f t="shared" si="8"/>
        <v>260.32326455165736</v>
      </c>
      <c r="AI279" s="433">
        <f t="shared" si="8"/>
        <v>260.32326455165736</v>
      </c>
      <c r="AJ279" s="433">
        <f t="shared" si="8"/>
        <v>260.32326455165736</v>
      </c>
      <c r="AK279" s="433">
        <f t="shared" si="8"/>
        <v>260.32326455165736</v>
      </c>
      <c r="AL279" s="433">
        <f t="shared" si="8"/>
        <v>260.32326455165736</v>
      </c>
      <c r="AM279" s="433">
        <f t="shared" si="8"/>
        <v>260.32326455165736</v>
      </c>
      <c r="AN279" s="433">
        <f t="shared" si="8"/>
        <v>260.32326455165736</v>
      </c>
      <c r="AO279" s="433"/>
      <c r="AP279" s="433"/>
      <c r="AQ279" s="433"/>
    </row>
    <row r="280" spans="1:43" x14ac:dyDescent="0.25">
      <c r="A280" s="384" t="s">
        <v>819</v>
      </c>
      <c r="B280" s="384"/>
      <c r="C280" s="384"/>
      <c r="D280" s="384"/>
      <c r="E280" s="405" t="s">
        <v>103</v>
      </c>
      <c r="F280" s="405" t="s">
        <v>104</v>
      </c>
      <c r="G280" s="405" t="s">
        <v>803</v>
      </c>
      <c r="H280" s="405">
        <v>2050</v>
      </c>
      <c r="I280" t="s">
        <v>125</v>
      </c>
      <c r="J280" t="s">
        <v>350</v>
      </c>
      <c r="K280" s="396">
        <v>1</v>
      </c>
      <c r="L280" s="210"/>
      <c r="M280" s="433">
        <f>M$235*$I$232</f>
        <v>231.398457379251</v>
      </c>
      <c r="N280" s="433">
        <f t="shared" ref="N280:AN285" si="10">N$235*$I$232</f>
        <v>231.398457379251</v>
      </c>
      <c r="O280" s="433">
        <f t="shared" si="10"/>
        <v>231.398457379251</v>
      </c>
      <c r="P280" s="433">
        <f t="shared" si="10"/>
        <v>231.398457379251</v>
      </c>
      <c r="Q280" s="433">
        <f t="shared" si="10"/>
        <v>231.398457379251</v>
      </c>
      <c r="R280" s="433">
        <f t="shared" si="10"/>
        <v>231.398457379251</v>
      </c>
      <c r="S280" s="433">
        <f t="shared" si="10"/>
        <v>231.398457379251</v>
      </c>
      <c r="T280" s="433">
        <f t="shared" si="10"/>
        <v>231.398457379251</v>
      </c>
      <c r="U280" s="433">
        <f t="shared" si="10"/>
        <v>231.398457379251</v>
      </c>
      <c r="V280" s="433">
        <f t="shared" si="10"/>
        <v>231.398457379251</v>
      </c>
      <c r="W280" s="433">
        <f t="shared" si="10"/>
        <v>231.398457379251</v>
      </c>
      <c r="X280" s="433">
        <f t="shared" si="10"/>
        <v>231.398457379251</v>
      </c>
      <c r="Y280" s="433">
        <f t="shared" si="10"/>
        <v>231.398457379251</v>
      </c>
      <c r="Z280" s="433">
        <f t="shared" si="10"/>
        <v>231.398457379251</v>
      </c>
      <c r="AA280" s="433">
        <f t="shared" si="10"/>
        <v>231.398457379251</v>
      </c>
      <c r="AB280" s="433">
        <f t="shared" si="10"/>
        <v>231.398457379251</v>
      </c>
      <c r="AC280" s="433">
        <f t="shared" si="10"/>
        <v>231.398457379251</v>
      </c>
      <c r="AD280" s="433">
        <f t="shared" si="10"/>
        <v>231.398457379251</v>
      </c>
      <c r="AE280" s="433">
        <f t="shared" si="10"/>
        <v>231.398457379251</v>
      </c>
      <c r="AF280" s="433">
        <f t="shared" si="10"/>
        <v>231.398457379251</v>
      </c>
      <c r="AG280" s="433">
        <f t="shared" si="10"/>
        <v>231.398457379251</v>
      </c>
      <c r="AH280" s="433">
        <f t="shared" si="10"/>
        <v>231.398457379251</v>
      </c>
      <c r="AI280" s="433">
        <f t="shared" si="10"/>
        <v>231.398457379251</v>
      </c>
      <c r="AJ280" s="433">
        <f t="shared" si="10"/>
        <v>231.398457379251</v>
      </c>
      <c r="AK280" s="433">
        <f t="shared" si="10"/>
        <v>231.398457379251</v>
      </c>
      <c r="AL280" s="433">
        <f t="shared" si="10"/>
        <v>231.398457379251</v>
      </c>
      <c r="AM280" s="433">
        <f t="shared" si="10"/>
        <v>231.398457379251</v>
      </c>
      <c r="AN280" s="433">
        <f t="shared" si="10"/>
        <v>231.398457379251</v>
      </c>
      <c r="AO280" s="433"/>
      <c r="AP280" s="433"/>
      <c r="AQ280" s="433"/>
    </row>
    <row r="281" spans="1:43" x14ac:dyDescent="0.25">
      <c r="A281" s="384" t="s">
        <v>820</v>
      </c>
      <c r="B281" s="384"/>
      <c r="C281" s="384"/>
      <c r="D281" s="384"/>
      <c r="E281" s="405"/>
      <c r="F281" s="405" t="s">
        <v>104</v>
      </c>
      <c r="G281" s="405" t="s">
        <v>803</v>
      </c>
      <c r="H281" s="405">
        <v>2050</v>
      </c>
      <c r="I281" t="s">
        <v>766</v>
      </c>
      <c r="J281" t="s">
        <v>767</v>
      </c>
      <c r="K281" s="396">
        <v>1</v>
      </c>
      <c r="L281" s="210"/>
      <c r="M281" s="433">
        <f t="shared" ref="M281:AB285" si="11">M$235*$I$232</f>
        <v>231.398457379251</v>
      </c>
      <c r="N281" s="433">
        <f t="shared" si="11"/>
        <v>231.398457379251</v>
      </c>
      <c r="O281" s="433">
        <f t="shared" si="11"/>
        <v>231.398457379251</v>
      </c>
      <c r="P281" s="433">
        <f t="shared" si="11"/>
        <v>231.398457379251</v>
      </c>
      <c r="Q281" s="433">
        <f t="shared" si="11"/>
        <v>231.398457379251</v>
      </c>
      <c r="R281" s="433">
        <f t="shared" si="11"/>
        <v>231.398457379251</v>
      </c>
      <c r="S281" s="433">
        <f t="shared" si="11"/>
        <v>231.398457379251</v>
      </c>
      <c r="T281" s="433">
        <f t="shared" si="11"/>
        <v>231.398457379251</v>
      </c>
      <c r="U281" s="433">
        <f t="shared" si="11"/>
        <v>231.398457379251</v>
      </c>
      <c r="V281" s="433">
        <f t="shared" si="11"/>
        <v>231.398457379251</v>
      </c>
      <c r="W281" s="433">
        <f t="shared" si="11"/>
        <v>231.398457379251</v>
      </c>
      <c r="X281" s="433">
        <f t="shared" si="11"/>
        <v>231.398457379251</v>
      </c>
      <c r="Y281" s="433">
        <f t="shared" si="11"/>
        <v>231.398457379251</v>
      </c>
      <c r="Z281" s="433">
        <f t="shared" si="11"/>
        <v>231.398457379251</v>
      </c>
      <c r="AA281" s="433">
        <f t="shared" si="11"/>
        <v>231.398457379251</v>
      </c>
      <c r="AB281" s="433">
        <f t="shared" si="11"/>
        <v>231.398457379251</v>
      </c>
      <c r="AC281" s="433">
        <f t="shared" si="10"/>
        <v>231.398457379251</v>
      </c>
      <c r="AD281" s="433">
        <f t="shared" si="10"/>
        <v>231.398457379251</v>
      </c>
      <c r="AE281" s="433">
        <f t="shared" si="10"/>
        <v>231.398457379251</v>
      </c>
      <c r="AF281" s="433">
        <f t="shared" si="10"/>
        <v>231.398457379251</v>
      </c>
      <c r="AG281" s="433">
        <f t="shared" si="10"/>
        <v>231.398457379251</v>
      </c>
      <c r="AH281" s="433">
        <f t="shared" si="10"/>
        <v>231.398457379251</v>
      </c>
      <c r="AI281" s="433">
        <f t="shared" si="10"/>
        <v>231.398457379251</v>
      </c>
      <c r="AJ281" s="433">
        <f t="shared" si="10"/>
        <v>231.398457379251</v>
      </c>
      <c r="AK281" s="433">
        <f t="shared" si="10"/>
        <v>231.398457379251</v>
      </c>
      <c r="AL281" s="433">
        <f t="shared" si="10"/>
        <v>231.398457379251</v>
      </c>
      <c r="AM281" s="433">
        <f t="shared" si="10"/>
        <v>231.398457379251</v>
      </c>
      <c r="AN281" s="433">
        <f t="shared" si="10"/>
        <v>231.398457379251</v>
      </c>
      <c r="AO281" s="433"/>
      <c r="AP281" s="433"/>
      <c r="AQ281" s="433"/>
    </row>
    <row r="282" spans="1:43" x14ac:dyDescent="0.25">
      <c r="A282" s="384" t="s">
        <v>821</v>
      </c>
      <c r="B282" s="384"/>
      <c r="C282" s="384"/>
      <c r="D282" s="384"/>
      <c r="E282" s="405"/>
      <c r="F282" s="405" t="s">
        <v>104</v>
      </c>
      <c r="G282" s="405" t="s">
        <v>803</v>
      </c>
      <c r="H282" s="405">
        <v>2050</v>
      </c>
      <c r="I282" t="s">
        <v>129</v>
      </c>
      <c r="J282" t="s">
        <v>768</v>
      </c>
      <c r="K282" s="396">
        <v>1</v>
      </c>
      <c r="L282" s="210"/>
      <c r="M282" s="433">
        <f t="shared" si="11"/>
        <v>231.398457379251</v>
      </c>
      <c r="N282" s="433">
        <f t="shared" si="10"/>
        <v>231.398457379251</v>
      </c>
      <c r="O282" s="433">
        <f t="shared" si="10"/>
        <v>231.398457379251</v>
      </c>
      <c r="P282" s="433">
        <f t="shared" si="10"/>
        <v>231.398457379251</v>
      </c>
      <c r="Q282" s="433">
        <f t="shared" si="10"/>
        <v>231.398457379251</v>
      </c>
      <c r="R282" s="433">
        <f t="shared" si="10"/>
        <v>231.398457379251</v>
      </c>
      <c r="S282" s="433">
        <f t="shared" si="10"/>
        <v>231.398457379251</v>
      </c>
      <c r="T282" s="433">
        <f t="shared" si="10"/>
        <v>231.398457379251</v>
      </c>
      <c r="U282" s="433">
        <f t="shared" si="10"/>
        <v>231.398457379251</v>
      </c>
      <c r="V282" s="433">
        <f t="shared" si="10"/>
        <v>231.398457379251</v>
      </c>
      <c r="W282" s="433">
        <f t="shared" si="10"/>
        <v>231.398457379251</v>
      </c>
      <c r="X282" s="433">
        <f t="shared" si="10"/>
        <v>231.398457379251</v>
      </c>
      <c r="Y282" s="433">
        <f t="shared" si="10"/>
        <v>231.398457379251</v>
      </c>
      <c r="Z282" s="433">
        <f t="shared" si="10"/>
        <v>231.398457379251</v>
      </c>
      <c r="AA282" s="433">
        <f t="shared" si="10"/>
        <v>231.398457379251</v>
      </c>
      <c r="AB282" s="433">
        <f t="shared" si="10"/>
        <v>231.398457379251</v>
      </c>
      <c r="AC282" s="433">
        <f t="shared" si="10"/>
        <v>231.398457379251</v>
      </c>
      <c r="AD282" s="433">
        <f t="shared" si="10"/>
        <v>231.398457379251</v>
      </c>
      <c r="AE282" s="433">
        <f t="shared" si="10"/>
        <v>231.398457379251</v>
      </c>
      <c r="AF282" s="433">
        <f t="shared" si="10"/>
        <v>231.398457379251</v>
      </c>
      <c r="AG282" s="433">
        <f t="shared" si="10"/>
        <v>231.398457379251</v>
      </c>
      <c r="AH282" s="433">
        <f t="shared" si="10"/>
        <v>231.398457379251</v>
      </c>
      <c r="AI282" s="433">
        <f t="shared" si="10"/>
        <v>231.398457379251</v>
      </c>
      <c r="AJ282" s="433">
        <f t="shared" si="10"/>
        <v>231.398457379251</v>
      </c>
      <c r="AK282" s="433">
        <f t="shared" si="10"/>
        <v>231.398457379251</v>
      </c>
      <c r="AL282" s="433">
        <f t="shared" si="10"/>
        <v>231.398457379251</v>
      </c>
      <c r="AM282" s="433">
        <f t="shared" si="10"/>
        <v>231.398457379251</v>
      </c>
      <c r="AN282" s="433">
        <f t="shared" si="10"/>
        <v>231.398457379251</v>
      </c>
      <c r="AO282" s="433"/>
      <c r="AP282" s="433"/>
      <c r="AQ282" s="433"/>
    </row>
    <row r="283" spans="1:43" x14ac:dyDescent="0.25">
      <c r="A283" s="384" t="s">
        <v>822</v>
      </c>
      <c r="B283" s="384"/>
      <c r="C283" s="384"/>
      <c r="D283" s="384"/>
      <c r="E283" s="405"/>
      <c r="F283" s="405" t="s">
        <v>104</v>
      </c>
      <c r="G283" s="405" t="s">
        <v>803</v>
      </c>
      <c r="H283" s="405">
        <v>2050</v>
      </c>
      <c r="I283" t="s">
        <v>769</v>
      </c>
      <c r="J283" t="s">
        <v>770</v>
      </c>
      <c r="K283" s="396">
        <v>1</v>
      </c>
      <c r="L283" s="210"/>
      <c r="M283" s="433">
        <f t="shared" si="11"/>
        <v>231.398457379251</v>
      </c>
      <c r="N283" s="433">
        <f t="shared" si="10"/>
        <v>231.398457379251</v>
      </c>
      <c r="O283" s="433">
        <f t="shared" si="10"/>
        <v>231.398457379251</v>
      </c>
      <c r="P283" s="433">
        <f t="shared" si="10"/>
        <v>231.398457379251</v>
      </c>
      <c r="Q283" s="433">
        <f t="shared" si="10"/>
        <v>231.398457379251</v>
      </c>
      <c r="R283" s="433">
        <f t="shared" si="10"/>
        <v>231.398457379251</v>
      </c>
      <c r="S283" s="433">
        <f t="shared" si="10"/>
        <v>231.398457379251</v>
      </c>
      <c r="T283" s="433">
        <f t="shared" si="10"/>
        <v>231.398457379251</v>
      </c>
      <c r="U283" s="433">
        <f t="shared" si="10"/>
        <v>231.398457379251</v>
      </c>
      <c r="V283" s="433">
        <f t="shared" si="10"/>
        <v>231.398457379251</v>
      </c>
      <c r="W283" s="433">
        <f t="shared" si="10"/>
        <v>231.398457379251</v>
      </c>
      <c r="X283" s="433">
        <f t="shared" si="10"/>
        <v>231.398457379251</v>
      </c>
      <c r="Y283" s="433">
        <f t="shared" si="10"/>
        <v>231.398457379251</v>
      </c>
      <c r="Z283" s="433">
        <f t="shared" si="10"/>
        <v>231.398457379251</v>
      </c>
      <c r="AA283" s="433">
        <f t="shared" si="10"/>
        <v>231.398457379251</v>
      </c>
      <c r="AB283" s="433">
        <f t="shared" si="10"/>
        <v>231.398457379251</v>
      </c>
      <c r="AC283" s="433">
        <f t="shared" si="10"/>
        <v>231.398457379251</v>
      </c>
      <c r="AD283" s="433">
        <f t="shared" si="10"/>
        <v>231.398457379251</v>
      </c>
      <c r="AE283" s="433">
        <f t="shared" si="10"/>
        <v>231.398457379251</v>
      </c>
      <c r="AF283" s="433">
        <f t="shared" si="10"/>
        <v>231.398457379251</v>
      </c>
      <c r="AG283" s="433">
        <f t="shared" si="10"/>
        <v>231.398457379251</v>
      </c>
      <c r="AH283" s="433">
        <f t="shared" si="10"/>
        <v>231.398457379251</v>
      </c>
      <c r="AI283" s="433">
        <f t="shared" si="10"/>
        <v>231.398457379251</v>
      </c>
      <c r="AJ283" s="433">
        <f t="shared" si="10"/>
        <v>231.398457379251</v>
      </c>
      <c r="AK283" s="433">
        <f t="shared" si="10"/>
        <v>231.398457379251</v>
      </c>
      <c r="AL283" s="433">
        <f t="shared" si="10"/>
        <v>231.398457379251</v>
      </c>
      <c r="AM283" s="433">
        <f t="shared" si="10"/>
        <v>231.398457379251</v>
      </c>
      <c r="AN283" s="433">
        <f t="shared" si="10"/>
        <v>231.398457379251</v>
      </c>
      <c r="AO283" s="433"/>
      <c r="AP283" s="433"/>
      <c r="AQ283" s="433"/>
    </row>
    <row r="284" spans="1:43" x14ac:dyDescent="0.25">
      <c r="A284" s="384" t="s">
        <v>823</v>
      </c>
      <c r="B284" s="384"/>
      <c r="C284" s="384"/>
      <c r="D284" s="384"/>
      <c r="E284" s="405"/>
      <c r="F284" s="405" t="s">
        <v>104</v>
      </c>
      <c r="G284" s="405" t="s">
        <v>803</v>
      </c>
      <c r="H284" s="405">
        <v>2050</v>
      </c>
      <c r="I284" t="s">
        <v>771</v>
      </c>
      <c r="J284" t="s">
        <v>331</v>
      </c>
      <c r="K284" s="396">
        <v>1</v>
      </c>
      <c r="L284" s="210"/>
      <c r="M284" s="433">
        <f t="shared" si="11"/>
        <v>231.398457379251</v>
      </c>
      <c r="N284" s="433">
        <f t="shared" si="10"/>
        <v>231.398457379251</v>
      </c>
      <c r="O284" s="433">
        <f t="shared" si="10"/>
        <v>231.398457379251</v>
      </c>
      <c r="P284" s="433">
        <f t="shared" si="10"/>
        <v>231.398457379251</v>
      </c>
      <c r="Q284" s="433">
        <f t="shared" si="10"/>
        <v>231.398457379251</v>
      </c>
      <c r="R284" s="433">
        <f t="shared" si="10"/>
        <v>231.398457379251</v>
      </c>
      <c r="S284" s="433">
        <f t="shared" si="10"/>
        <v>231.398457379251</v>
      </c>
      <c r="T284" s="433">
        <f t="shared" si="10"/>
        <v>231.398457379251</v>
      </c>
      <c r="U284" s="433">
        <f t="shared" si="10"/>
        <v>231.398457379251</v>
      </c>
      <c r="V284" s="433">
        <f t="shared" si="10"/>
        <v>231.398457379251</v>
      </c>
      <c r="W284" s="433">
        <f t="shared" si="10"/>
        <v>231.398457379251</v>
      </c>
      <c r="X284" s="433">
        <f t="shared" si="10"/>
        <v>231.398457379251</v>
      </c>
      <c r="Y284" s="433">
        <f t="shared" si="10"/>
        <v>231.398457379251</v>
      </c>
      <c r="Z284" s="433">
        <f t="shared" si="10"/>
        <v>231.398457379251</v>
      </c>
      <c r="AA284" s="433">
        <f t="shared" si="10"/>
        <v>231.398457379251</v>
      </c>
      <c r="AB284" s="433">
        <f t="shared" si="10"/>
        <v>231.398457379251</v>
      </c>
      <c r="AC284" s="433">
        <f t="shared" si="10"/>
        <v>231.398457379251</v>
      </c>
      <c r="AD284" s="433">
        <f t="shared" si="10"/>
        <v>231.398457379251</v>
      </c>
      <c r="AE284" s="433">
        <f t="shared" si="10"/>
        <v>231.398457379251</v>
      </c>
      <c r="AF284" s="433">
        <f t="shared" si="10"/>
        <v>231.398457379251</v>
      </c>
      <c r="AG284" s="433">
        <f t="shared" si="10"/>
        <v>231.398457379251</v>
      </c>
      <c r="AH284" s="433">
        <f t="shared" si="10"/>
        <v>231.398457379251</v>
      </c>
      <c r="AI284" s="433">
        <f t="shared" si="10"/>
        <v>231.398457379251</v>
      </c>
      <c r="AJ284" s="433">
        <f t="shared" si="10"/>
        <v>231.398457379251</v>
      </c>
      <c r="AK284" s="433">
        <f t="shared" si="10"/>
        <v>231.398457379251</v>
      </c>
      <c r="AL284" s="433">
        <f t="shared" si="10"/>
        <v>231.398457379251</v>
      </c>
      <c r="AM284" s="433">
        <f t="shared" si="10"/>
        <v>231.398457379251</v>
      </c>
      <c r="AN284" s="433">
        <f t="shared" si="10"/>
        <v>231.398457379251</v>
      </c>
      <c r="AO284" s="433"/>
      <c r="AP284" s="433"/>
      <c r="AQ284" s="433"/>
    </row>
    <row r="285" spans="1:43" x14ac:dyDescent="0.25">
      <c r="A285" s="384" t="s">
        <v>824</v>
      </c>
      <c r="B285" s="384"/>
      <c r="C285" s="384"/>
      <c r="D285" s="384"/>
      <c r="F285" s="9" t="s">
        <v>104</v>
      </c>
      <c r="G285" s="405" t="s">
        <v>803</v>
      </c>
      <c r="H285" s="405">
        <v>2050</v>
      </c>
      <c r="I285" t="s">
        <v>116</v>
      </c>
      <c r="J285" t="s">
        <v>772</v>
      </c>
      <c r="K285" s="396">
        <v>1</v>
      </c>
      <c r="L285" s="210"/>
      <c r="M285" s="433">
        <f t="shared" si="11"/>
        <v>231.398457379251</v>
      </c>
      <c r="N285" s="433">
        <f t="shared" si="10"/>
        <v>231.398457379251</v>
      </c>
      <c r="O285" s="433">
        <f t="shared" si="10"/>
        <v>231.398457379251</v>
      </c>
      <c r="P285" s="433">
        <f t="shared" si="10"/>
        <v>231.398457379251</v>
      </c>
      <c r="Q285" s="433">
        <f t="shared" si="10"/>
        <v>231.398457379251</v>
      </c>
      <c r="R285" s="433">
        <f t="shared" si="10"/>
        <v>231.398457379251</v>
      </c>
      <c r="S285" s="433">
        <f t="shared" si="10"/>
        <v>231.398457379251</v>
      </c>
      <c r="T285" s="433">
        <f t="shared" si="10"/>
        <v>231.398457379251</v>
      </c>
      <c r="U285" s="433">
        <f t="shared" si="10"/>
        <v>231.398457379251</v>
      </c>
      <c r="V285" s="433">
        <f t="shared" si="10"/>
        <v>231.398457379251</v>
      </c>
      <c r="W285" s="433">
        <f t="shared" si="10"/>
        <v>231.398457379251</v>
      </c>
      <c r="X285" s="433">
        <f t="shared" si="10"/>
        <v>231.398457379251</v>
      </c>
      <c r="Y285" s="433">
        <f t="shared" si="10"/>
        <v>231.398457379251</v>
      </c>
      <c r="Z285" s="433">
        <f t="shared" si="10"/>
        <v>231.398457379251</v>
      </c>
      <c r="AA285" s="433">
        <f t="shared" si="10"/>
        <v>231.398457379251</v>
      </c>
      <c r="AB285" s="433">
        <f t="shared" si="10"/>
        <v>231.398457379251</v>
      </c>
      <c r="AC285" s="433">
        <f t="shared" si="10"/>
        <v>231.398457379251</v>
      </c>
      <c r="AD285" s="433">
        <f t="shared" si="10"/>
        <v>231.398457379251</v>
      </c>
      <c r="AE285" s="433">
        <f t="shared" si="10"/>
        <v>231.398457379251</v>
      </c>
      <c r="AF285" s="433">
        <f t="shared" si="10"/>
        <v>231.398457379251</v>
      </c>
      <c r="AG285" s="433">
        <f t="shared" si="10"/>
        <v>231.398457379251</v>
      </c>
      <c r="AH285" s="433">
        <f t="shared" si="10"/>
        <v>231.398457379251</v>
      </c>
      <c r="AI285" s="433">
        <f t="shared" si="10"/>
        <v>231.398457379251</v>
      </c>
      <c r="AJ285" s="433">
        <f t="shared" si="10"/>
        <v>231.398457379251</v>
      </c>
      <c r="AK285" s="433">
        <f t="shared" si="10"/>
        <v>231.398457379251</v>
      </c>
      <c r="AL285" s="433">
        <f t="shared" si="10"/>
        <v>231.398457379251</v>
      </c>
      <c r="AM285" s="433">
        <f t="shared" si="10"/>
        <v>231.398457379251</v>
      </c>
      <c r="AN285" s="433">
        <f t="shared" si="10"/>
        <v>231.398457379251</v>
      </c>
      <c r="AO285" s="433"/>
      <c r="AP285" s="433"/>
      <c r="AQ285" s="433"/>
    </row>
    <row r="286" spans="1:43" x14ac:dyDescent="0.25">
      <c r="A286" s="384" t="s">
        <v>825</v>
      </c>
      <c r="B286" s="384"/>
      <c r="C286" s="384"/>
      <c r="D286" s="384"/>
      <c r="E286" s="405" t="s">
        <v>103</v>
      </c>
      <c r="F286" s="405" t="s">
        <v>104</v>
      </c>
      <c r="G286" s="405" t="s">
        <v>805</v>
      </c>
      <c r="H286" s="405">
        <v>2030</v>
      </c>
      <c r="I286" t="s">
        <v>125</v>
      </c>
      <c r="J286" t="s">
        <v>350</v>
      </c>
      <c r="K286" s="396">
        <v>1</v>
      </c>
      <c r="L286" s="210"/>
      <c r="M286" s="433">
        <f>M$236*$I$232</f>
        <v>1397.1028400292103</v>
      </c>
      <c r="N286" s="433">
        <f t="shared" ref="N286:AN292" si="12">N$236*$I$232</f>
        <v>1397.1028400292103</v>
      </c>
      <c r="O286" s="433">
        <f t="shared" si="12"/>
        <v>1397.1028400292103</v>
      </c>
      <c r="P286" s="433">
        <f t="shared" si="12"/>
        <v>1397.1028400292103</v>
      </c>
      <c r="Q286" s="433">
        <f t="shared" si="12"/>
        <v>1397.1028400292103</v>
      </c>
      <c r="R286" s="433">
        <f t="shared" si="12"/>
        <v>1397.1028400292103</v>
      </c>
      <c r="S286" s="433">
        <f t="shared" si="12"/>
        <v>1397.1028400292103</v>
      </c>
      <c r="T286" s="433">
        <f t="shared" si="12"/>
        <v>1397.1028400292103</v>
      </c>
      <c r="U286" s="433">
        <f t="shared" si="12"/>
        <v>1397.1028400292103</v>
      </c>
      <c r="V286" s="433">
        <f t="shared" si="12"/>
        <v>1397.1028400292103</v>
      </c>
      <c r="W286" s="433">
        <f t="shared" si="12"/>
        <v>1397.1028400292103</v>
      </c>
      <c r="X286" s="433">
        <f t="shared" si="12"/>
        <v>1397.1028400292103</v>
      </c>
      <c r="Y286" s="433">
        <f t="shared" si="12"/>
        <v>1397.1028400292103</v>
      </c>
      <c r="Z286" s="433">
        <f t="shared" si="12"/>
        <v>1397.1028400292103</v>
      </c>
      <c r="AA286" s="433">
        <f t="shared" si="12"/>
        <v>1397.1028400292103</v>
      </c>
      <c r="AB286" s="433">
        <f t="shared" si="12"/>
        <v>1397.1028400292103</v>
      </c>
      <c r="AC286" s="433">
        <f t="shared" si="12"/>
        <v>1397.1028400292103</v>
      </c>
      <c r="AD286" s="433">
        <f t="shared" si="12"/>
        <v>1397.1028400292103</v>
      </c>
      <c r="AE286" s="433">
        <f t="shared" si="12"/>
        <v>1397.1028400292103</v>
      </c>
      <c r="AF286" s="433">
        <f t="shared" si="12"/>
        <v>1397.1028400292103</v>
      </c>
      <c r="AG286" s="433">
        <f t="shared" si="12"/>
        <v>1397.1028400292103</v>
      </c>
      <c r="AH286" s="433">
        <f t="shared" si="12"/>
        <v>1397.1028400292103</v>
      </c>
      <c r="AI286" s="433">
        <f t="shared" si="12"/>
        <v>1397.1028400292103</v>
      </c>
      <c r="AJ286" s="433">
        <f t="shared" si="12"/>
        <v>1397.1028400292103</v>
      </c>
      <c r="AK286" s="433">
        <f t="shared" si="12"/>
        <v>1397.1028400292103</v>
      </c>
      <c r="AL286" s="433">
        <f t="shared" si="12"/>
        <v>1397.1028400292103</v>
      </c>
      <c r="AM286" s="433">
        <f t="shared" si="12"/>
        <v>1397.1028400292103</v>
      </c>
      <c r="AN286" s="433">
        <f t="shared" si="12"/>
        <v>1397.1028400292103</v>
      </c>
      <c r="AO286" s="433"/>
      <c r="AP286" s="433"/>
      <c r="AQ286" s="433"/>
    </row>
    <row r="287" spans="1:43" x14ac:dyDescent="0.25">
      <c r="A287" s="384" t="s">
        <v>826</v>
      </c>
      <c r="B287" s="384"/>
      <c r="C287" s="384"/>
      <c r="D287" s="384"/>
      <c r="E287" s="405"/>
      <c r="F287" s="405" t="s">
        <v>104</v>
      </c>
      <c r="G287" s="405" t="s">
        <v>805</v>
      </c>
      <c r="H287" s="405">
        <v>2030</v>
      </c>
      <c r="I287" t="s">
        <v>766</v>
      </c>
      <c r="J287" t="s">
        <v>767</v>
      </c>
      <c r="K287" s="396">
        <v>1</v>
      </c>
      <c r="L287" s="210"/>
      <c r="M287" s="433">
        <f t="shared" ref="M287:AB292" si="13">M$236*$I$232</f>
        <v>1397.1028400292103</v>
      </c>
      <c r="N287" s="433">
        <f t="shared" si="13"/>
        <v>1397.1028400292103</v>
      </c>
      <c r="O287" s="433">
        <f t="shared" si="13"/>
        <v>1397.1028400292103</v>
      </c>
      <c r="P287" s="433">
        <f t="shared" si="13"/>
        <v>1397.1028400292103</v>
      </c>
      <c r="Q287" s="433">
        <f t="shared" si="13"/>
        <v>1397.1028400292103</v>
      </c>
      <c r="R287" s="433">
        <f t="shared" si="13"/>
        <v>1397.1028400292103</v>
      </c>
      <c r="S287" s="433">
        <f t="shared" si="13"/>
        <v>1397.1028400292103</v>
      </c>
      <c r="T287" s="433">
        <f t="shared" si="13"/>
        <v>1397.1028400292103</v>
      </c>
      <c r="U287" s="433">
        <f t="shared" si="13"/>
        <v>1397.1028400292103</v>
      </c>
      <c r="V287" s="433">
        <f t="shared" si="13"/>
        <v>1397.1028400292103</v>
      </c>
      <c r="W287" s="433">
        <f t="shared" si="13"/>
        <v>1397.1028400292103</v>
      </c>
      <c r="X287" s="433">
        <f t="shared" si="13"/>
        <v>1397.1028400292103</v>
      </c>
      <c r="Y287" s="433">
        <f t="shared" si="13"/>
        <v>1397.1028400292103</v>
      </c>
      <c r="Z287" s="433">
        <f t="shared" si="13"/>
        <v>1397.1028400292103</v>
      </c>
      <c r="AA287" s="433">
        <f t="shared" si="13"/>
        <v>1397.1028400292103</v>
      </c>
      <c r="AB287" s="433">
        <f t="shared" si="13"/>
        <v>1397.1028400292103</v>
      </c>
      <c r="AC287" s="433">
        <f t="shared" si="12"/>
        <v>1397.1028400292103</v>
      </c>
      <c r="AD287" s="433">
        <f t="shared" si="12"/>
        <v>1397.1028400292103</v>
      </c>
      <c r="AE287" s="433">
        <f t="shared" si="12"/>
        <v>1397.1028400292103</v>
      </c>
      <c r="AF287" s="433">
        <f t="shared" si="12"/>
        <v>1397.1028400292103</v>
      </c>
      <c r="AG287" s="433">
        <f t="shared" si="12"/>
        <v>1397.1028400292103</v>
      </c>
      <c r="AH287" s="433">
        <f t="shared" si="12"/>
        <v>1397.1028400292103</v>
      </c>
      <c r="AI287" s="433">
        <f t="shared" si="12"/>
        <v>1397.1028400292103</v>
      </c>
      <c r="AJ287" s="433">
        <f t="shared" si="12"/>
        <v>1397.1028400292103</v>
      </c>
      <c r="AK287" s="433">
        <f t="shared" si="12"/>
        <v>1397.1028400292103</v>
      </c>
      <c r="AL287" s="433">
        <f t="shared" si="12"/>
        <v>1397.1028400292103</v>
      </c>
      <c r="AM287" s="433">
        <f t="shared" si="12"/>
        <v>1397.1028400292103</v>
      </c>
      <c r="AN287" s="433">
        <f t="shared" si="12"/>
        <v>1397.1028400292103</v>
      </c>
      <c r="AO287" s="433"/>
      <c r="AP287" s="433"/>
      <c r="AQ287" s="433"/>
    </row>
    <row r="288" spans="1:43" x14ac:dyDescent="0.25">
      <c r="A288" s="384" t="s">
        <v>827</v>
      </c>
      <c r="B288" s="384"/>
      <c r="C288" s="384"/>
      <c r="D288" s="384"/>
      <c r="E288" s="405"/>
      <c r="F288" s="405" t="s">
        <v>104</v>
      </c>
      <c r="G288" s="405" t="s">
        <v>805</v>
      </c>
      <c r="H288" s="405">
        <v>2030</v>
      </c>
      <c r="I288" t="s">
        <v>129</v>
      </c>
      <c r="J288" t="s">
        <v>768</v>
      </c>
      <c r="K288" s="396">
        <v>1</v>
      </c>
      <c r="L288" s="210"/>
      <c r="M288" s="433">
        <f t="shared" si="13"/>
        <v>1397.1028400292103</v>
      </c>
      <c r="N288" s="433">
        <f t="shared" si="12"/>
        <v>1397.1028400292103</v>
      </c>
      <c r="O288" s="433">
        <f t="shared" si="12"/>
        <v>1397.1028400292103</v>
      </c>
      <c r="P288" s="433">
        <f t="shared" si="12"/>
        <v>1397.1028400292103</v>
      </c>
      <c r="Q288" s="433">
        <f t="shared" si="12"/>
        <v>1397.1028400292103</v>
      </c>
      <c r="R288" s="433">
        <f t="shared" si="12"/>
        <v>1397.1028400292103</v>
      </c>
      <c r="S288" s="433">
        <f t="shared" si="12"/>
        <v>1397.1028400292103</v>
      </c>
      <c r="T288" s="433">
        <f t="shared" si="12"/>
        <v>1397.1028400292103</v>
      </c>
      <c r="U288" s="433">
        <f t="shared" si="12"/>
        <v>1397.1028400292103</v>
      </c>
      <c r="V288" s="433">
        <f t="shared" si="12"/>
        <v>1397.1028400292103</v>
      </c>
      <c r="W288" s="433">
        <f t="shared" si="12"/>
        <v>1397.1028400292103</v>
      </c>
      <c r="X288" s="433">
        <f t="shared" si="12"/>
        <v>1397.1028400292103</v>
      </c>
      <c r="Y288" s="433">
        <f t="shared" si="12"/>
        <v>1397.1028400292103</v>
      </c>
      <c r="Z288" s="433">
        <f t="shared" si="12"/>
        <v>1397.1028400292103</v>
      </c>
      <c r="AA288" s="433">
        <f t="shared" si="12"/>
        <v>1397.1028400292103</v>
      </c>
      <c r="AB288" s="433">
        <f t="shared" si="12"/>
        <v>1397.1028400292103</v>
      </c>
      <c r="AC288" s="433">
        <f t="shared" si="12"/>
        <v>1397.1028400292103</v>
      </c>
      <c r="AD288" s="433">
        <f t="shared" si="12"/>
        <v>1397.1028400292103</v>
      </c>
      <c r="AE288" s="433">
        <f t="shared" si="12"/>
        <v>1397.1028400292103</v>
      </c>
      <c r="AF288" s="433">
        <f t="shared" si="12"/>
        <v>1397.1028400292103</v>
      </c>
      <c r="AG288" s="433">
        <f t="shared" si="12"/>
        <v>1397.1028400292103</v>
      </c>
      <c r="AH288" s="433">
        <f t="shared" si="12"/>
        <v>1397.1028400292103</v>
      </c>
      <c r="AI288" s="433">
        <f t="shared" si="12"/>
        <v>1397.1028400292103</v>
      </c>
      <c r="AJ288" s="433">
        <f t="shared" si="12"/>
        <v>1397.1028400292103</v>
      </c>
      <c r="AK288" s="433">
        <f t="shared" si="12"/>
        <v>1397.1028400292103</v>
      </c>
      <c r="AL288" s="433">
        <f t="shared" si="12"/>
        <v>1397.1028400292103</v>
      </c>
      <c r="AM288" s="433">
        <f t="shared" si="12"/>
        <v>1397.1028400292103</v>
      </c>
      <c r="AN288" s="433">
        <f t="shared" si="12"/>
        <v>1397.1028400292103</v>
      </c>
      <c r="AO288" s="433"/>
      <c r="AP288" s="433"/>
      <c r="AQ288" s="433"/>
    </row>
    <row r="289" spans="1:43" x14ac:dyDescent="0.25">
      <c r="A289" s="384" t="s">
        <v>828</v>
      </c>
      <c r="B289" s="384"/>
      <c r="C289" s="384"/>
      <c r="D289" s="384"/>
      <c r="E289" s="405"/>
      <c r="F289" s="405" t="s">
        <v>104</v>
      </c>
      <c r="G289" s="405" t="s">
        <v>805</v>
      </c>
      <c r="H289" s="405">
        <v>2030</v>
      </c>
      <c r="I289" t="s">
        <v>769</v>
      </c>
      <c r="J289" t="s">
        <v>770</v>
      </c>
      <c r="K289" s="396">
        <v>1</v>
      </c>
      <c r="L289" s="210"/>
      <c r="M289" s="433">
        <f t="shared" si="13"/>
        <v>1397.1028400292103</v>
      </c>
      <c r="N289" s="433">
        <f t="shared" si="12"/>
        <v>1397.1028400292103</v>
      </c>
      <c r="O289" s="433">
        <f t="shared" si="12"/>
        <v>1397.1028400292103</v>
      </c>
      <c r="P289" s="433">
        <f t="shared" si="12"/>
        <v>1397.1028400292103</v>
      </c>
      <c r="Q289" s="433">
        <f t="shared" si="12"/>
        <v>1397.1028400292103</v>
      </c>
      <c r="R289" s="433">
        <f t="shared" si="12"/>
        <v>1397.1028400292103</v>
      </c>
      <c r="S289" s="433">
        <f t="shared" si="12"/>
        <v>1397.1028400292103</v>
      </c>
      <c r="T289" s="433">
        <f t="shared" si="12"/>
        <v>1397.1028400292103</v>
      </c>
      <c r="U289" s="433">
        <f t="shared" si="12"/>
        <v>1397.1028400292103</v>
      </c>
      <c r="V289" s="433">
        <f t="shared" si="12"/>
        <v>1397.1028400292103</v>
      </c>
      <c r="W289" s="433">
        <f t="shared" si="12"/>
        <v>1397.1028400292103</v>
      </c>
      <c r="X289" s="433">
        <f t="shared" si="12"/>
        <v>1397.1028400292103</v>
      </c>
      <c r="Y289" s="433">
        <f t="shared" si="12"/>
        <v>1397.1028400292103</v>
      </c>
      <c r="Z289" s="433">
        <f t="shared" si="12"/>
        <v>1397.1028400292103</v>
      </c>
      <c r="AA289" s="433">
        <f t="shared" si="12"/>
        <v>1397.1028400292103</v>
      </c>
      <c r="AB289" s="433">
        <f t="shared" si="12"/>
        <v>1397.1028400292103</v>
      </c>
      <c r="AC289" s="433">
        <f t="shared" si="12"/>
        <v>1397.1028400292103</v>
      </c>
      <c r="AD289" s="433">
        <f t="shared" si="12"/>
        <v>1397.1028400292103</v>
      </c>
      <c r="AE289" s="433">
        <f t="shared" si="12"/>
        <v>1397.1028400292103</v>
      </c>
      <c r="AF289" s="433">
        <f t="shared" si="12"/>
        <v>1397.1028400292103</v>
      </c>
      <c r="AG289" s="433">
        <f t="shared" si="12"/>
        <v>1397.1028400292103</v>
      </c>
      <c r="AH289" s="433">
        <f t="shared" si="12"/>
        <v>1397.1028400292103</v>
      </c>
      <c r="AI289" s="433">
        <f t="shared" si="12"/>
        <v>1397.1028400292103</v>
      </c>
      <c r="AJ289" s="433">
        <f t="shared" si="12"/>
        <v>1397.1028400292103</v>
      </c>
      <c r="AK289" s="433">
        <f t="shared" si="12"/>
        <v>1397.1028400292103</v>
      </c>
      <c r="AL289" s="433">
        <f t="shared" si="12"/>
        <v>1397.1028400292103</v>
      </c>
      <c r="AM289" s="433">
        <f t="shared" si="12"/>
        <v>1397.1028400292103</v>
      </c>
      <c r="AN289" s="433">
        <f t="shared" si="12"/>
        <v>1397.1028400292103</v>
      </c>
      <c r="AO289" s="433"/>
      <c r="AP289" s="433"/>
      <c r="AQ289" s="433"/>
    </row>
    <row r="290" spans="1:43" x14ac:dyDescent="0.25">
      <c r="A290" s="384" t="s">
        <v>829</v>
      </c>
      <c r="B290" s="384"/>
      <c r="C290" s="384"/>
      <c r="D290" s="384"/>
      <c r="E290" s="405"/>
      <c r="F290" s="405" t="s">
        <v>104</v>
      </c>
      <c r="G290" s="405" t="s">
        <v>805</v>
      </c>
      <c r="H290" s="405">
        <v>2030</v>
      </c>
      <c r="I290" t="s">
        <v>771</v>
      </c>
      <c r="J290" t="s">
        <v>331</v>
      </c>
      <c r="K290" s="396">
        <v>1</v>
      </c>
      <c r="L290" s="210"/>
      <c r="M290" s="433">
        <f t="shared" si="13"/>
        <v>1397.1028400292103</v>
      </c>
      <c r="N290" s="433">
        <f t="shared" si="12"/>
        <v>1397.1028400292103</v>
      </c>
      <c r="O290" s="433">
        <f t="shared" si="12"/>
        <v>1397.1028400292103</v>
      </c>
      <c r="P290" s="433">
        <f t="shared" si="12"/>
        <v>1397.1028400292103</v>
      </c>
      <c r="Q290" s="433">
        <f t="shared" si="12"/>
        <v>1397.1028400292103</v>
      </c>
      <c r="R290" s="433">
        <f t="shared" si="12"/>
        <v>1397.1028400292103</v>
      </c>
      <c r="S290" s="433">
        <f t="shared" si="12"/>
        <v>1397.1028400292103</v>
      </c>
      <c r="T290" s="433">
        <f t="shared" si="12"/>
        <v>1397.1028400292103</v>
      </c>
      <c r="U290" s="433">
        <f t="shared" si="12"/>
        <v>1397.1028400292103</v>
      </c>
      <c r="V290" s="433">
        <f t="shared" si="12"/>
        <v>1397.1028400292103</v>
      </c>
      <c r="W290" s="433">
        <f t="shared" si="12"/>
        <v>1397.1028400292103</v>
      </c>
      <c r="X290" s="433">
        <f t="shared" si="12"/>
        <v>1397.1028400292103</v>
      </c>
      <c r="Y290" s="433">
        <f t="shared" si="12"/>
        <v>1397.1028400292103</v>
      </c>
      <c r="Z290" s="433">
        <f t="shared" si="12"/>
        <v>1397.1028400292103</v>
      </c>
      <c r="AA290" s="433">
        <f t="shared" si="12"/>
        <v>1397.1028400292103</v>
      </c>
      <c r="AB290" s="433">
        <f t="shared" si="12"/>
        <v>1397.1028400292103</v>
      </c>
      <c r="AC290" s="433">
        <f t="shared" si="12"/>
        <v>1397.1028400292103</v>
      </c>
      <c r="AD290" s="433">
        <f t="shared" si="12"/>
        <v>1397.1028400292103</v>
      </c>
      <c r="AE290" s="433">
        <f t="shared" si="12"/>
        <v>1397.1028400292103</v>
      </c>
      <c r="AF290" s="433">
        <f t="shared" si="12"/>
        <v>1397.1028400292103</v>
      </c>
      <c r="AG290" s="433">
        <f t="shared" si="12"/>
        <v>1397.1028400292103</v>
      </c>
      <c r="AH290" s="433">
        <f t="shared" si="12"/>
        <v>1397.1028400292103</v>
      </c>
      <c r="AI290" s="433">
        <f t="shared" si="12"/>
        <v>1397.1028400292103</v>
      </c>
      <c r="AJ290" s="433">
        <f t="shared" si="12"/>
        <v>1397.1028400292103</v>
      </c>
      <c r="AK290" s="433">
        <f t="shared" si="12"/>
        <v>1397.1028400292103</v>
      </c>
      <c r="AL290" s="433">
        <f t="shared" si="12"/>
        <v>1397.1028400292103</v>
      </c>
      <c r="AM290" s="433">
        <f t="shared" si="12"/>
        <v>1397.1028400292103</v>
      </c>
      <c r="AN290" s="433">
        <f t="shared" si="12"/>
        <v>1397.1028400292103</v>
      </c>
      <c r="AO290" s="433"/>
      <c r="AP290" s="433"/>
      <c r="AQ290" s="433"/>
    </row>
    <row r="291" spans="1:43" x14ac:dyDescent="0.25">
      <c r="A291" s="384" t="s">
        <v>830</v>
      </c>
      <c r="B291" s="384"/>
      <c r="C291" s="384"/>
      <c r="D291" s="384"/>
      <c r="F291" s="9" t="s">
        <v>104</v>
      </c>
      <c r="G291" s="405" t="s">
        <v>805</v>
      </c>
      <c r="H291" s="405">
        <v>2030</v>
      </c>
      <c r="I291" t="s">
        <v>116</v>
      </c>
      <c r="J291" t="s">
        <v>772</v>
      </c>
      <c r="K291" s="396">
        <v>1</v>
      </c>
      <c r="L291" s="210"/>
      <c r="M291" s="433">
        <f t="shared" si="13"/>
        <v>1397.1028400292103</v>
      </c>
      <c r="N291" s="433">
        <f t="shared" si="12"/>
        <v>1397.1028400292103</v>
      </c>
      <c r="O291" s="433">
        <f t="shared" si="12"/>
        <v>1397.1028400292103</v>
      </c>
      <c r="P291" s="433">
        <f t="shared" si="12"/>
        <v>1397.1028400292103</v>
      </c>
      <c r="Q291" s="433">
        <f t="shared" si="12"/>
        <v>1397.1028400292103</v>
      </c>
      <c r="R291" s="433">
        <f t="shared" si="12"/>
        <v>1397.1028400292103</v>
      </c>
      <c r="S291" s="433">
        <f t="shared" si="12"/>
        <v>1397.1028400292103</v>
      </c>
      <c r="T291" s="433">
        <f t="shared" si="12"/>
        <v>1397.1028400292103</v>
      </c>
      <c r="U291" s="433">
        <f t="shared" si="12"/>
        <v>1397.1028400292103</v>
      </c>
      <c r="V291" s="433">
        <f t="shared" si="12"/>
        <v>1397.1028400292103</v>
      </c>
      <c r="W291" s="433">
        <f t="shared" si="12"/>
        <v>1397.1028400292103</v>
      </c>
      <c r="X291" s="433">
        <f t="shared" si="12"/>
        <v>1397.1028400292103</v>
      </c>
      <c r="Y291" s="433">
        <f t="shared" si="12"/>
        <v>1397.1028400292103</v>
      </c>
      <c r="Z291" s="433">
        <f t="shared" si="12"/>
        <v>1397.1028400292103</v>
      </c>
      <c r="AA291" s="433">
        <f t="shared" si="12"/>
        <v>1397.1028400292103</v>
      </c>
      <c r="AB291" s="433">
        <f t="shared" si="12"/>
        <v>1397.1028400292103</v>
      </c>
      <c r="AC291" s="433">
        <f t="shared" si="12"/>
        <v>1397.1028400292103</v>
      </c>
      <c r="AD291" s="433">
        <f t="shared" si="12"/>
        <v>1397.1028400292103</v>
      </c>
      <c r="AE291" s="433">
        <f t="shared" si="12"/>
        <v>1397.1028400292103</v>
      </c>
      <c r="AF291" s="433">
        <f t="shared" si="12"/>
        <v>1397.1028400292103</v>
      </c>
      <c r="AG291" s="433">
        <f t="shared" si="12"/>
        <v>1397.1028400292103</v>
      </c>
      <c r="AH291" s="433">
        <f t="shared" si="12"/>
        <v>1397.1028400292103</v>
      </c>
      <c r="AI291" s="433">
        <f t="shared" si="12"/>
        <v>1397.1028400292103</v>
      </c>
      <c r="AJ291" s="433">
        <f t="shared" si="12"/>
        <v>1397.1028400292103</v>
      </c>
      <c r="AK291" s="433">
        <f t="shared" si="12"/>
        <v>1397.1028400292103</v>
      </c>
      <c r="AL291" s="433">
        <f t="shared" si="12"/>
        <v>1397.1028400292103</v>
      </c>
      <c r="AM291" s="433">
        <f t="shared" si="12"/>
        <v>1397.1028400292103</v>
      </c>
      <c r="AN291" s="433">
        <f t="shared" si="12"/>
        <v>1397.1028400292103</v>
      </c>
      <c r="AO291" s="433"/>
      <c r="AP291" s="433"/>
      <c r="AQ291" s="433"/>
    </row>
    <row r="292" spans="1:43" x14ac:dyDescent="0.25">
      <c r="A292" s="384" t="s">
        <v>832</v>
      </c>
      <c r="B292" s="384"/>
      <c r="C292" s="384"/>
      <c r="D292" s="384"/>
      <c r="F292" s="9" t="s">
        <v>104</v>
      </c>
      <c r="G292" s="405" t="s">
        <v>805</v>
      </c>
      <c r="H292" s="405">
        <v>2030</v>
      </c>
      <c r="I292" t="s">
        <v>140</v>
      </c>
      <c r="J292" t="s">
        <v>806</v>
      </c>
      <c r="K292" s="396">
        <v>1</v>
      </c>
      <c r="L292" s="210"/>
      <c r="M292" s="433">
        <f t="shared" si="13"/>
        <v>1397.1028400292103</v>
      </c>
      <c r="N292" s="433">
        <f t="shared" si="12"/>
        <v>1397.1028400292103</v>
      </c>
      <c r="O292" s="433">
        <f t="shared" si="12"/>
        <v>1397.1028400292103</v>
      </c>
      <c r="P292" s="433">
        <f t="shared" si="12"/>
        <v>1397.1028400292103</v>
      </c>
      <c r="Q292" s="433">
        <f t="shared" si="12"/>
        <v>1397.1028400292103</v>
      </c>
      <c r="R292" s="433">
        <f t="shared" si="12"/>
        <v>1397.1028400292103</v>
      </c>
      <c r="S292" s="433">
        <f t="shared" si="12"/>
        <v>1397.1028400292103</v>
      </c>
      <c r="T292" s="433">
        <f t="shared" si="12"/>
        <v>1397.1028400292103</v>
      </c>
      <c r="U292" s="433">
        <f t="shared" si="12"/>
        <v>1397.1028400292103</v>
      </c>
      <c r="V292" s="433">
        <f t="shared" si="12"/>
        <v>1397.1028400292103</v>
      </c>
      <c r="W292" s="433">
        <f t="shared" si="12"/>
        <v>1397.1028400292103</v>
      </c>
      <c r="X292" s="433">
        <f t="shared" si="12"/>
        <v>1397.1028400292103</v>
      </c>
      <c r="Y292" s="433">
        <f t="shared" si="12"/>
        <v>1397.1028400292103</v>
      </c>
      <c r="Z292" s="433">
        <f t="shared" si="12"/>
        <v>1397.1028400292103</v>
      </c>
      <c r="AA292" s="433">
        <f t="shared" si="12"/>
        <v>1397.1028400292103</v>
      </c>
      <c r="AB292" s="433">
        <f t="shared" si="12"/>
        <v>1397.1028400292103</v>
      </c>
      <c r="AC292" s="433">
        <f t="shared" si="12"/>
        <v>1397.1028400292103</v>
      </c>
      <c r="AD292" s="433">
        <f t="shared" si="12"/>
        <v>1397.1028400292103</v>
      </c>
      <c r="AE292" s="433">
        <f t="shared" si="12"/>
        <v>1397.1028400292103</v>
      </c>
      <c r="AF292" s="433">
        <f t="shared" si="12"/>
        <v>1397.1028400292103</v>
      </c>
      <c r="AG292" s="433">
        <f t="shared" si="12"/>
        <v>1397.1028400292103</v>
      </c>
      <c r="AH292" s="433">
        <f t="shared" si="12"/>
        <v>1397.1028400292103</v>
      </c>
      <c r="AI292" s="433">
        <f t="shared" si="12"/>
        <v>1397.1028400292103</v>
      </c>
      <c r="AJ292" s="433">
        <f t="shared" si="12"/>
        <v>1397.1028400292103</v>
      </c>
      <c r="AK292" s="433">
        <f t="shared" si="12"/>
        <v>1397.1028400292103</v>
      </c>
      <c r="AL292" s="433">
        <f t="shared" si="12"/>
        <v>1397.1028400292103</v>
      </c>
      <c r="AM292" s="433">
        <f t="shared" si="12"/>
        <v>1397.1028400292103</v>
      </c>
      <c r="AN292" s="433">
        <f t="shared" si="12"/>
        <v>1397.1028400292103</v>
      </c>
      <c r="AO292" s="433"/>
      <c r="AP292" s="433"/>
      <c r="AQ292" s="433"/>
    </row>
    <row r="293" spans="1:43" x14ac:dyDescent="0.25">
      <c r="A293" s="384" t="s">
        <v>825</v>
      </c>
      <c r="B293" s="384"/>
      <c r="C293" s="384"/>
      <c r="D293" s="384"/>
      <c r="E293" s="405" t="s">
        <v>103</v>
      </c>
      <c r="F293" s="405" t="s">
        <v>104</v>
      </c>
      <c r="G293" s="405" t="s">
        <v>805</v>
      </c>
      <c r="H293" s="405">
        <v>2050</v>
      </c>
      <c r="I293" t="s">
        <v>125</v>
      </c>
      <c r="J293" t="s">
        <v>350</v>
      </c>
      <c r="K293" s="396">
        <v>1</v>
      </c>
      <c r="L293" s="210"/>
      <c r="M293" s="433">
        <f>M$237*$I$232</f>
        <v>970.91851341235576</v>
      </c>
      <c r="N293" s="433">
        <f t="shared" ref="N293:AN299" si="14">N$237*$I$232</f>
        <v>970.91851341235576</v>
      </c>
      <c r="O293" s="433">
        <f t="shared" si="14"/>
        <v>970.91851341235576</v>
      </c>
      <c r="P293" s="433">
        <f t="shared" si="14"/>
        <v>970.91851341235576</v>
      </c>
      <c r="Q293" s="433">
        <f t="shared" si="14"/>
        <v>970.91851341235576</v>
      </c>
      <c r="R293" s="433">
        <f t="shared" si="14"/>
        <v>970.91851341235576</v>
      </c>
      <c r="S293" s="433">
        <f t="shared" si="14"/>
        <v>970.91851341235576</v>
      </c>
      <c r="T293" s="433">
        <f t="shared" si="14"/>
        <v>970.91851341235576</v>
      </c>
      <c r="U293" s="433">
        <f t="shared" si="14"/>
        <v>970.91851341235576</v>
      </c>
      <c r="V293" s="433">
        <f t="shared" si="14"/>
        <v>970.91851341235576</v>
      </c>
      <c r="W293" s="433">
        <f t="shared" si="14"/>
        <v>970.91851341235576</v>
      </c>
      <c r="X293" s="433">
        <f t="shared" si="14"/>
        <v>970.91851341235576</v>
      </c>
      <c r="Y293" s="433">
        <f t="shared" si="14"/>
        <v>970.91851341235576</v>
      </c>
      <c r="Z293" s="433">
        <f t="shared" si="14"/>
        <v>970.91851341235576</v>
      </c>
      <c r="AA293" s="433">
        <f t="shared" si="14"/>
        <v>970.91851341235576</v>
      </c>
      <c r="AB293" s="433">
        <f t="shared" si="14"/>
        <v>970.91851341235576</v>
      </c>
      <c r="AC293" s="433">
        <f t="shared" si="14"/>
        <v>970.91851341235576</v>
      </c>
      <c r="AD293" s="433">
        <f t="shared" si="14"/>
        <v>970.91851341235576</v>
      </c>
      <c r="AE293" s="433">
        <f t="shared" si="14"/>
        <v>970.91851341235576</v>
      </c>
      <c r="AF293" s="433">
        <f t="shared" si="14"/>
        <v>970.91851341235576</v>
      </c>
      <c r="AG293" s="433">
        <f t="shared" si="14"/>
        <v>970.91851341235576</v>
      </c>
      <c r="AH293" s="433">
        <f t="shared" si="14"/>
        <v>970.91851341235576</v>
      </c>
      <c r="AI293" s="433">
        <f t="shared" si="14"/>
        <v>970.91851341235576</v>
      </c>
      <c r="AJ293" s="433">
        <f t="shared" si="14"/>
        <v>970.91851341235576</v>
      </c>
      <c r="AK293" s="433">
        <f t="shared" si="14"/>
        <v>970.91851341235576</v>
      </c>
      <c r="AL293" s="433">
        <f t="shared" si="14"/>
        <v>970.91851341235576</v>
      </c>
      <c r="AM293" s="433">
        <f t="shared" si="14"/>
        <v>970.91851341235576</v>
      </c>
      <c r="AN293" s="433">
        <f t="shared" si="14"/>
        <v>970.91851341235576</v>
      </c>
      <c r="AO293" s="433"/>
      <c r="AP293" s="433"/>
      <c r="AQ293" s="433"/>
    </row>
    <row r="294" spans="1:43" x14ac:dyDescent="0.25">
      <c r="A294" s="384" t="s">
        <v>826</v>
      </c>
      <c r="B294" s="384"/>
      <c r="C294" s="384"/>
      <c r="D294" s="384"/>
      <c r="E294" s="405"/>
      <c r="F294" s="405" t="s">
        <v>104</v>
      </c>
      <c r="G294" s="405" t="s">
        <v>805</v>
      </c>
      <c r="H294" s="405">
        <v>2050</v>
      </c>
      <c r="I294" t="s">
        <v>766</v>
      </c>
      <c r="J294" t="s">
        <v>767</v>
      </c>
      <c r="K294" s="396">
        <v>1</v>
      </c>
      <c r="L294" s="210"/>
      <c r="M294" s="433">
        <f t="shared" ref="M294:AB299" si="15">M$237*$I$232</f>
        <v>970.91851341235576</v>
      </c>
      <c r="N294" s="433">
        <f t="shared" si="15"/>
        <v>970.91851341235576</v>
      </c>
      <c r="O294" s="433">
        <f t="shared" si="15"/>
        <v>970.91851341235576</v>
      </c>
      <c r="P294" s="433">
        <f t="shared" si="15"/>
        <v>970.91851341235576</v>
      </c>
      <c r="Q294" s="433">
        <f t="shared" si="15"/>
        <v>970.91851341235576</v>
      </c>
      <c r="R294" s="433">
        <f t="shared" si="15"/>
        <v>970.91851341235576</v>
      </c>
      <c r="S294" s="433">
        <f t="shared" si="15"/>
        <v>970.91851341235576</v>
      </c>
      <c r="T294" s="433">
        <f t="shared" si="15"/>
        <v>970.91851341235576</v>
      </c>
      <c r="U294" s="433">
        <f t="shared" si="15"/>
        <v>970.91851341235576</v>
      </c>
      <c r="V294" s="433">
        <f t="shared" si="15"/>
        <v>970.91851341235576</v>
      </c>
      <c r="W294" s="433">
        <f t="shared" si="15"/>
        <v>970.91851341235576</v>
      </c>
      <c r="X294" s="433">
        <f t="shared" si="15"/>
        <v>970.91851341235576</v>
      </c>
      <c r="Y294" s="433">
        <f t="shared" si="15"/>
        <v>970.91851341235576</v>
      </c>
      <c r="Z294" s="433">
        <f t="shared" si="15"/>
        <v>970.91851341235576</v>
      </c>
      <c r="AA294" s="433">
        <f t="shared" si="15"/>
        <v>970.91851341235576</v>
      </c>
      <c r="AB294" s="433">
        <f t="shared" si="15"/>
        <v>970.91851341235576</v>
      </c>
      <c r="AC294" s="433">
        <f t="shared" si="14"/>
        <v>970.91851341235576</v>
      </c>
      <c r="AD294" s="433">
        <f t="shared" si="14"/>
        <v>970.91851341235576</v>
      </c>
      <c r="AE294" s="433">
        <f t="shared" si="14"/>
        <v>970.91851341235576</v>
      </c>
      <c r="AF294" s="433">
        <f t="shared" si="14"/>
        <v>970.91851341235576</v>
      </c>
      <c r="AG294" s="433">
        <f t="shared" si="14"/>
        <v>970.91851341235576</v>
      </c>
      <c r="AH294" s="433">
        <f t="shared" si="14"/>
        <v>970.91851341235576</v>
      </c>
      <c r="AI294" s="433">
        <f t="shared" si="14"/>
        <v>970.91851341235576</v>
      </c>
      <c r="AJ294" s="433">
        <f t="shared" si="14"/>
        <v>970.91851341235576</v>
      </c>
      <c r="AK294" s="433">
        <f t="shared" si="14"/>
        <v>970.91851341235576</v>
      </c>
      <c r="AL294" s="433">
        <f t="shared" si="14"/>
        <v>970.91851341235576</v>
      </c>
      <c r="AM294" s="433">
        <f t="shared" si="14"/>
        <v>970.91851341235576</v>
      </c>
      <c r="AN294" s="433">
        <f t="shared" si="14"/>
        <v>970.91851341235576</v>
      </c>
      <c r="AO294" s="433"/>
      <c r="AP294" s="433"/>
      <c r="AQ294" s="433"/>
    </row>
    <row r="295" spans="1:43" x14ac:dyDescent="0.25">
      <c r="A295" s="384" t="s">
        <v>827</v>
      </c>
      <c r="B295" s="384"/>
      <c r="C295" s="384"/>
      <c r="D295" s="384"/>
      <c r="E295" s="405"/>
      <c r="F295" s="405" t="s">
        <v>104</v>
      </c>
      <c r="G295" s="405" t="s">
        <v>805</v>
      </c>
      <c r="H295" s="405">
        <v>2050</v>
      </c>
      <c r="I295" t="s">
        <v>129</v>
      </c>
      <c r="J295" t="s">
        <v>768</v>
      </c>
      <c r="K295" s="396">
        <v>1</v>
      </c>
      <c r="L295" s="210"/>
      <c r="M295" s="433">
        <f t="shared" si="15"/>
        <v>970.91851341235576</v>
      </c>
      <c r="N295" s="433">
        <f t="shared" si="14"/>
        <v>970.91851341235576</v>
      </c>
      <c r="O295" s="433">
        <f t="shared" si="14"/>
        <v>970.91851341235576</v>
      </c>
      <c r="P295" s="433">
        <f t="shared" si="14"/>
        <v>970.91851341235576</v>
      </c>
      <c r="Q295" s="433">
        <f t="shared" si="14"/>
        <v>970.91851341235576</v>
      </c>
      <c r="R295" s="433">
        <f t="shared" si="14"/>
        <v>970.91851341235576</v>
      </c>
      <c r="S295" s="433">
        <f t="shared" si="14"/>
        <v>970.91851341235576</v>
      </c>
      <c r="T295" s="433">
        <f t="shared" si="14"/>
        <v>970.91851341235576</v>
      </c>
      <c r="U295" s="433">
        <f t="shared" si="14"/>
        <v>970.91851341235576</v>
      </c>
      <c r="V295" s="433">
        <f t="shared" si="14"/>
        <v>970.91851341235576</v>
      </c>
      <c r="W295" s="433">
        <f t="shared" si="14"/>
        <v>970.91851341235576</v>
      </c>
      <c r="X295" s="433">
        <f t="shared" si="14"/>
        <v>970.91851341235576</v>
      </c>
      <c r="Y295" s="433">
        <f t="shared" si="14"/>
        <v>970.91851341235576</v>
      </c>
      <c r="Z295" s="433">
        <f t="shared" si="14"/>
        <v>970.91851341235576</v>
      </c>
      <c r="AA295" s="433">
        <f t="shared" si="14"/>
        <v>970.91851341235576</v>
      </c>
      <c r="AB295" s="433">
        <f t="shared" si="14"/>
        <v>970.91851341235576</v>
      </c>
      <c r="AC295" s="433">
        <f t="shared" si="14"/>
        <v>970.91851341235576</v>
      </c>
      <c r="AD295" s="433">
        <f t="shared" si="14"/>
        <v>970.91851341235576</v>
      </c>
      <c r="AE295" s="433">
        <f t="shared" si="14"/>
        <v>970.91851341235576</v>
      </c>
      <c r="AF295" s="433">
        <f t="shared" si="14"/>
        <v>970.91851341235576</v>
      </c>
      <c r="AG295" s="433">
        <f t="shared" si="14"/>
        <v>970.91851341235576</v>
      </c>
      <c r="AH295" s="433">
        <f t="shared" si="14"/>
        <v>970.91851341235576</v>
      </c>
      <c r="AI295" s="433">
        <f t="shared" si="14"/>
        <v>970.91851341235576</v>
      </c>
      <c r="AJ295" s="433">
        <f t="shared" si="14"/>
        <v>970.91851341235576</v>
      </c>
      <c r="AK295" s="433">
        <f t="shared" si="14"/>
        <v>970.91851341235576</v>
      </c>
      <c r="AL295" s="433">
        <f t="shared" si="14"/>
        <v>970.91851341235576</v>
      </c>
      <c r="AM295" s="433">
        <f t="shared" si="14"/>
        <v>970.91851341235576</v>
      </c>
      <c r="AN295" s="433">
        <f t="shared" si="14"/>
        <v>970.91851341235576</v>
      </c>
      <c r="AO295" s="433"/>
      <c r="AP295" s="433"/>
      <c r="AQ295" s="433"/>
    </row>
    <row r="296" spans="1:43" x14ac:dyDescent="0.25">
      <c r="A296" s="384" t="s">
        <v>828</v>
      </c>
      <c r="B296" s="384"/>
      <c r="C296" s="384"/>
      <c r="D296" s="384"/>
      <c r="E296" s="405"/>
      <c r="F296" s="405" t="s">
        <v>104</v>
      </c>
      <c r="G296" s="405" t="s">
        <v>805</v>
      </c>
      <c r="H296" s="405">
        <v>2050</v>
      </c>
      <c r="I296" t="s">
        <v>769</v>
      </c>
      <c r="J296" t="s">
        <v>770</v>
      </c>
      <c r="K296" s="396">
        <v>1</v>
      </c>
      <c r="L296" s="210"/>
      <c r="M296" s="433">
        <f t="shared" si="15"/>
        <v>970.91851341235576</v>
      </c>
      <c r="N296" s="433">
        <f t="shared" si="14"/>
        <v>970.91851341235576</v>
      </c>
      <c r="O296" s="433">
        <f t="shared" si="14"/>
        <v>970.91851341235576</v>
      </c>
      <c r="P296" s="433">
        <f t="shared" si="14"/>
        <v>970.91851341235576</v>
      </c>
      <c r="Q296" s="433">
        <f t="shared" si="14"/>
        <v>970.91851341235576</v>
      </c>
      <c r="R296" s="433">
        <f t="shared" si="14"/>
        <v>970.91851341235576</v>
      </c>
      <c r="S296" s="433">
        <f t="shared" si="14"/>
        <v>970.91851341235576</v>
      </c>
      <c r="T296" s="433">
        <f t="shared" si="14"/>
        <v>970.91851341235576</v>
      </c>
      <c r="U296" s="433">
        <f t="shared" si="14"/>
        <v>970.91851341235576</v>
      </c>
      <c r="V296" s="433">
        <f t="shared" si="14"/>
        <v>970.91851341235576</v>
      </c>
      <c r="W296" s="433">
        <f t="shared" si="14"/>
        <v>970.91851341235576</v>
      </c>
      <c r="X296" s="433">
        <f t="shared" si="14"/>
        <v>970.91851341235576</v>
      </c>
      <c r="Y296" s="433">
        <f t="shared" si="14"/>
        <v>970.91851341235576</v>
      </c>
      <c r="Z296" s="433">
        <f t="shared" si="14"/>
        <v>970.91851341235576</v>
      </c>
      <c r="AA296" s="433">
        <f t="shared" si="14"/>
        <v>970.91851341235576</v>
      </c>
      <c r="AB296" s="433">
        <f t="shared" si="14"/>
        <v>970.91851341235576</v>
      </c>
      <c r="AC296" s="433">
        <f t="shared" si="14"/>
        <v>970.91851341235576</v>
      </c>
      <c r="AD296" s="433">
        <f t="shared" si="14"/>
        <v>970.91851341235576</v>
      </c>
      <c r="AE296" s="433">
        <f t="shared" si="14"/>
        <v>970.91851341235576</v>
      </c>
      <c r="AF296" s="433">
        <f t="shared" si="14"/>
        <v>970.91851341235576</v>
      </c>
      <c r="AG296" s="433">
        <f t="shared" si="14"/>
        <v>970.91851341235576</v>
      </c>
      <c r="AH296" s="433">
        <f t="shared" si="14"/>
        <v>970.91851341235576</v>
      </c>
      <c r="AI296" s="433">
        <f t="shared" si="14"/>
        <v>970.91851341235576</v>
      </c>
      <c r="AJ296" s="433">
        <f t="shared" si="14"/>
        <v>970.91851341235576</v>
      </c>
      <c r="AK296" s="433">
        <f t="shared" si="14"/>
        <v>970.91851341235576</v>
      </c>
      <c r="AL296" s="433">
        <f t="shared" si="14"/>
        <v>970.91851341235576</v>
      </c>
      <c r="AM296" s="433">
        <f t="shared" si="14"/>
        <v>970.91851341235576</v>
      </c>
      <c r="AN296" s="433">
        <f t="shared" si="14"/>
        <v>970.91851341235576</v>
      </c>
      <c r="AO296" s="433"/>
      <c r="AP296" s="433"/>
      <c r="AQ296" s="433"/>
    </row>
    <row r="297" spans="1:43" x14ac:dyDescent="0.25">
      <c r="A297" s="384" t="s">
        <v>829</v>
      </c>
      <c r="B297" s="384"/>
      <c r="C297" s="384"/>
      <c r="D297" s="384"/>
      <c r="E297" s="405"/>
      <c r="F297" s="405" t="s">
        <v>104</v>
      </c>
      <c r="G297" s="405" t="s">
        <v>805</v>
      </c>
      <c r="H297" s="405">
        <v>2050</v>
      </c>
      <c r="I297" t="s">
        <v>771</v>
      </c>
      <c r="J297" t="s">
        <v>331</v>
      </c>
      <c r="K297" s="396">
        <v>1</v>
      </c>
      <c r="L297" s="210"/>
      <c r="M297" s="433">
        <f t="shared" si="15"/>
        <v>970.91851341235576</v>
      </c>
      <c r="N297" s="433">
        <f t="shared" si="14"/>
        <v>970.91851341235576</v>
      </c>
      <c r="O297" s="433">
        <f t="shared" si="14"/>
        <v>970.91851341235576</v>
      </c>
      <c r="P297" s="433">
        <f t="shared" si="14"/>
        <v>970.91851341235576</v>
      </c>
      <c r="Q297" s="433">
        <f t="shared" si="14"/>
        <v>970.91851341235576</v>
      </c>
      <c r="R297" s="433">
        <f t="shared" si="14"/>
        <v>970.91851341235576</v>
      </c>
      <c r="S297" s="433">
        <f t="shared" si="14"/>
        <v>970.91851341235576</v>
      </c>
      <c r="T297" s="433">
        <f t="shared" si="14"/>
        <v>970.91851341235576</v>
      </c>
      <c r="U297" s="433">
        <f t="shared" si="14"/>
        <v>970.91851341235576</v>
      </c>
      <c r="V297" s="433">
        <f t="shared" si="14"/>
        <v>970.91851341235576</v>
      </c>
      <c r="W297" s="433">
        <f t="shared" si="14"/>
        <v>970.91851341235576</v>
      </c>
      <c r="X297" s="433">
        <f t="shared" si="14"/>
        <v>970.91851341235576</v>
      </c>
      <c r="Y297" s="433">
        <f t="shared" si="14"/>
        <v>970.91851341235576</v>
      </c>
      <c r="Z297" s="433">
        <f t="shared" si="14"/>
        <v>970.91851341235576</v>
      </c>
      <c r="AA297" s="433">
        <f t="shared" si="14"/>
        <v>970.91851341235576</v>
      </c>
      <c r="AB297" s="433">
        <f t="shared" si="14"/>
        <v>970.91851341235576</v>
      </c>
      <c r="AC297" s="433">
        <f t="shared" si="14"/>
        <v>970.91851341235576</v>
      </c>
      <c r="AD297" s="433">
        <f t="shared" si="14"/>
        <v>970.91851341235576</v>
      </c>
      <c r="AE297" s="433">
        <f t="shared" si="14"/>
        <v>970.91851341235576</v>
      </c>
      <c r="AF297" s="433">
        <f t="shared" si="14"/>
        <v>970.91851341235576</v>
      </c>
      <c r="AG297" s="433">
        <f t="shared" si="14"/>
        <v>970.91851341235576</v>
      </c>
      <c r="AH297" s="433">
        <f t="shared" si="14"/>
        <v>970.91851341235576</v>
      </c>
      <c r="AI297" s="433">
        <f t="shared" si="14"/>
        <v>970.91851341235576</v>
      </c>
      <c r="AJ297" s="433">
        <f t="shared" si="14"/>
        <v>970.91851341235576</v>
      </c>
      <c r="AK297" s="433">
        <f t="shared" si="14"/>
        <v>970.91851341235576</v>
      </c>
      <c r="AL297" s="433">
        <f t="shared" si="14"/>
        <v>970.91851341235576</v>
      </c>
      <c r="AM297" s="433">
        <f t="shared" si="14"/>
        <v>970.91851341235576</v>
      </c>
      <c r="AN297" s="433">
        <f t="shared" si="14"/>
        <v>970.91851341235576</v>
      </c>
      <c r="AO297" s="433"/>
      <c r="AP297" s="433"/>
      <c r="AQ297" s="433"/>
    </row>
    <row r="298" spans="1:43" x14ac:dyDescent="0.25">
      <c r="A298" s="384" t="s">
        <v>830</v>
      </c>
      <c r="B298" s="384"/>
      <c r="C298" s="384"/>
      <c r="D298" s="384"/>
      <c r="F298" s="9" t="s">
        <v>104</v>
      </c>
      <c r="G298" s="405" t="s">
        <v>805</v>
      </c>
      <c r="H298" s="405">
        <v>2050</v>
      </c>
      <c r="I298" t="s">
        <v>116</v>
      </c>
      <c r="J298" t="s">
        <v>772</v>
      </c>
      <c r="K298" s="396">
        <v>1</v>
      </c>
      <c r="L298" s="210"/>
      <c r="M298" s="433">
        <f t="shared" si="15"/>
        <v>970.91851341235576</v>
      </c>
      <c r="N298" s="433">
        <f t="shared" si="14"/>
        <v>970.91851341235576</v>
      </c>
      <c r="O298" s="433">
        <f t="shared" si="14"/>
        <v>970.91851341235576</v>
      </c>
      <c r="P298" s="433">
        <f t="shared" si="14"/>
        <v>970.91851341235576</v>
      </c>
      <c r="Q298" s="433">
        <f t="shared" si="14"/>
        <v>970.91851341235576</v>
      </c>
      <c r="R298" s="433">
        <f t="shared" si="14"/>
        <v>970.91851341235576</v>
      </c>
      <c r="S298" s="433">
        <f t="shared" si="14"/>
        <v>970.91851341235576</v>
      </c>
      <c r="T298" s="433">
        <f t="shared" si="14"/>
        <v>970.91851341235576</v>
      </c>
      <c r="U298" s="433">
        <f t="shared" si="14"/>
        <v>970.91851341235576</v>
      </c>
      <c r="V298" s="433">
        <f t="shared" si="14"/>
        <v>970.91851341235576</v>
      </c>
      <c r="W298" s="433">
        <f t="shared" si="14"/>
        <v>970.91851341235576</v>
      </c>
      <c r="X298" s="433">
        <f t="shared" si="14"/>
        <v>970.91851341235576</v>
      </c>
      <c r="Y298" s="433">
        <f t="shared" si="14"/>
        <v>970.91851341235576</v>
      </c>
      <c r="Z298" s="433">
        <f t="shared" si="14"/>
        <v>970.91851341235576</v>
      </c>
      <c r="AA298" s="433">
        <f t="shared" si="14"/>
        <v>970.91851341235576</v>
      </c>
      <c r="AB298" s="433">
        <f t="shared" si="14"/>
        <v>970.91851341235576</v>
      </c>
      <c r="AC298" s="433">
        <f t="shared" si="14"/>
        <v>970.91851341235576</v>
      </c>
      <c r="AD298" s="433">
        <f t="shared" si="14"/>
        <v>970.91851341235576</v>
      </c>
      <c r="AE298" s="433">
        <f t="shared" si="14"/>
        <v>970.91851341235576</v>
      </c>
      <c r="AF298" s="433">
        <f t="shared" si="14"/>
        <v>970.91851341235576</v>
      </c>
      <c r="AG298" s="433">
        <f t="shared" si="14"/>
        <v>970.91851341235576</v>
      </c>
      <c r="AH298" s="433">
        <f t="shared" si="14"/>
        <v>970.91851341235576</v>
      </c>
      <c r="AI298" s="433">
        <f t="shared" si="14"/>
        <v>970.91851341235576</v>
      </c>
      <c r="AJ298" s="433">
        <f t="shared" si="14"/>
        <v>970.91851341235576</v>
      </c>
      <c r="AK298" s="433">
        <f t="shared" si="14"/>
        <v>970.91851341235576</v>
      </c>
      <c r="AL298" s="433">
        <f t="shared" si="14"/>
        <v>970.91851341235576</v>
      </c>
      <c r="AM298" s="433">
        <f t="shared" si="14"/>
        <v>970.91851341235576</v>
      </c>
      <c r="AN298" s="433">
        <f t="shared" si="14"/>
        <v>970.91851341235576</v>
      </c>
      <c r="AO298" s="433"/>
      <c r="AP298" s="433"/>
      <c r="AQ298" s="433"/>
    </row>
    <row r="299" spans="1:43" x14ac:dyDescent="0.25">
      <c r="A299" s="384" t="s">
        <v>832</v>
      </c>
      <c r="B299" s="384"/>
      <c r="C299" s="384"/>
      <c r="D299" s="384"/>
      <c r="F299" s="9" t="s">
        <v>104</v>
      </c>
      <c r="G299" s="434" t="s">
        <v>805</v>
      </c>
      <c r="H299" s="434">
        <v>2050</v>
      </c>
      <c r="I299" s="216" t="s">
        <v>140</v>
      </c>
      <c r="J299" s="216" t="s">
        <v>806</v>
      </c>
      <c r="K299" s="403">
        <v>1</v>
      </c>
      <c r="L299" s="210"/>
      <c r="M299" s="433">
        <f t="shared" si="15"/>
        <v>970.91851341235576</v>
      </c>
      <c r="N299" s="433">
        <f t="shared" si="14"/>
        <v>970.91851341235576</v>
      </c>
      <c r="O299" s="433">
        <f t="shared" si="14"/>
        <v>970.91851341235576</v>
      </c>
      <c r="P299" s="433">
        <f t="shared" si="14"/>
        <v>970.91851341235576</v>
      </c>
      <c r="Q299" s="433">
        <f t="shared" si="14"/>
        <v>970.91851341235576</v>
      </c>
      <c r="R299" s="433">
        <f t="shared" si="14"/>
        <v>970.91851341235576</v>
      </c>
      <c r="S299" s="433">
        <f t="shared" si="14"/>
        <v>970.91851341235576</v>
      </c>
      <c r="T299" s="433">
        <f t="shared" si="14"/>
        <v>970.91851341235576</v>
      </c>
      <c r="U299" s="433">
        <f t="shared" si="14"/>
        <v>970.91851341235576</v>
      </c>
      <c r="V299" s="433">
        <f t="shared" si="14"/>
        <v>970.91851341235576</v>
      </c>
      <c r="W299" s="433">
        <f t="shared" si="14"/>
        <v>970.91851341235576</v>
      </c>
      <c r="X299" s="433">
        <f t="shared" si="14"/>
        <v>970.91851341235576</v>
      </c>
      <c r="Y299" s="433">
        <f t="shared" si="14"/>
        <v>970.91851341235576</v>
      </c>
      <c r="Z299" s="433">
        <f t="shared" si="14"/>
        <v>970.91851341235576</v>
      </c>
      <c r="AA299" s="433">
        <f t="shared" si="14"/>
        <v>970.91851341235576</v>
      </c>
      <c r="AB299" s="433">
        <f t="shared" si="14"/>
        <v>970.91851341235576</v>
      </c>
      <c r="AC299" s="433">
        <f t="shared" si="14"/>
        <v>970.91851341235576</v>
      </c>
      <c r="AD299" s="433">
        <f t="shared" si="14"/>
        <v>970.91851341235576</v>
      </c>
      <c r="AE299" s="433">
        <f t="shared" si="14"/>
        <v>970.91851341235576</v>
      </c>
      <c r="AF299" s="433">
        <f t="shared" si="14"/>
        <v>970.91851341235576</v>
      </c>
      <c r="AG299" s="433">
        <f t="shared" si="14"/>
        <v>970.91851341235576</v>
      </c>
      <c r="AH299" s="433">
        <f t="shared" si="14"/>
        <v>970.91851341235576</v>
      </c>
      <c r="AI299" s="433">
        <f t="shared" si="14"/>
        <v>970.91851341235576</v>
      </c>
      <c r="AJ299" s="433">
        <f t="shared" si="14"/>
        <v>970.91851341235576</v>
      </c>
      <c r="AK299" s="433">
        <f t="shared" si="14"/>
        <v>970.91851341235576</v>
      </c>
      <c r="AL299" s="433">
        <f t="shared" si="14"/>
        <v>970.91851341235576</v>
      </c>
      <c r="AM299" s="433">
        <f t="shared" si="14"/>
        <v>970.91851341235576</v>
      </c>
      <c r="AN299" s="433">
        <f t="shared" si="14"/>
        <v>970.91851341235576</v>
      </c>
      <c r="AO299" s="433"/>
      <c r="AP299" s="433"/>
      <c r="AQ299" s="433"/>
    </row>
    <row r="300" spans="1:43" x14ac:dyDescent="0.25">
      <c r="A300" s="384" t="s">
        <v>833</v>
      </c>
      <c r="B300" s="384"/>
      <c r="C300" s="384"/>
      <c r="D300" s="384"/>
      <c r="E300" s="435" t="s">
        <v>105</v>
      </c>
      <c r="F300" s="435" t="s">
        <v>106</v>
      </c>
      <c r="G300" s="405" t="s">
        <v>801</v>
      </c>
      <c r="H300" s="405">
        <v>2020</v>
      </c>
      <c r="I300" t="s">
        <v>125</v>
      </c>
      <c r="J300" t="s">
        <v>350</v>
      </c>
      <c r="K300" s="396">
        <v>1</v>
      </c>
      <c r="L300" s="406"/>
      <c r="M300" s="436">
        <f>M$238*$I$238</f>
        <v>867.74421517219116</v>
      </c>
      <c r="N300" s="436">
        <f t="shared" ref="N300:AN305" si="16">N$238*$I$238</f>
        <v>867.74421517219116</v>
      </c>
      <c r="O300" s="436">
        <f t="shared" si="16"/>
        <v>867.74421517219116</v>
      </c>
      <c r="P300" s="436">
        <f t="shared" si="16"/>
        <v>867.74421517219116</v>
      </c>
      <c r="Q300" s="436">
        <f t="shared" si="16"/>
        <v>867.74421517219116</v>
      </c>
      <c r="R300" s="436">
        <f t="shared" si="16"/>
        <v>867.74421517219116</v>
      </c>
      <c r="S300" s="436">
        <f t="shared" si="16"/>
        <v>867.74421517219116</v>
      </c>
      <c r="T300" s="436">
        <f t="shared" si="16"/>
        <v>867.74421517219116</v>
      </c>
      <c r="U300" s="436">
        <f t="shared" si="16"/>
        <v>867.74421517219116</v>
      </c>
      <c r="V300" s="436">
        <f t="shared" si="16"/>
        <v>867.74421517219116</v>
      </c>
      <c r="W300" s="436">
        <f t="shared" si="16"/>
        <v>867.74421517219116</v>
      </c>
      <c r="X300" s="436">
        <f t="shared" si="16"/>
        <v>867.74421517219116</v>
      </c>
      <c r="Y300" s="436">
        <f t="shared" si="16"/>
        <v>867.74421517219116</v>
      </c>
      <c r="Z300" s="436">
        <f t="shared" si="16"/>
        <v>867.74421517219116</v>
      </c>
      <c r="AA300" s="436">
        <f t="shared" si="16"/>
        <v>867.74421517219116</v>
      </c>
      <c r="AB300" s="436">
        <f t="shared" si="16"/>
        <v>867.74421517219116</v>
      </c>
      <c r="AC300" s="436">
        <f t="shared" si="16"/>
        <v>867.74421517219116</v>
      </c>
      <c r="AD300" s="436">
        <f t="shared" si="16"/>
        <v>867.74421517219116</v>
      </c>
      <c r="AE300" s="436">
        <f t="shared" si="16"/>
        <v>867.74421517219116</v>
      </c>
      <c r="AF300" s="436">
        <f t="shared" si="16"/>
        <v>867.74421517219116</v>
      </c>
      <c r="AG300" s="436">
        <f t="shared" si="16"/>
        <v>867.74421517219116</v>
      </c>
      <c r="AH300" s="436">
        <f t="shared" si="16"/>
        <v>867.74421517219116</v>
      </c>
      <c r="AI300" s="436">
        <f t="shared" si="16"/>
        <v>867.74421517219116</v>
      </c>
      <c r="AJ300" s="436">
        <f t="shared" si="16"/>
        <v>867.74421517219116</v>
      </c>
      <c r="AK300" s="436">
        <f t="shared" si="16"/>
        <v>867.74421517219116</v>
      </c>
      <c r="AL300" s="436">
        <f t="shared" si="16"/>
        <v>867.74421517219116</v>
      </c>
      <c r="AM300" s="436">
        <f t="shared" si="16"/>
        <v>867.74421517219116</v>
      </c>
      <c r="AN300" s="436">
        <f t="shared" si="16"/>
        <v>867.74421517219116</v>
      </c>
      <c r="AO300" s="433"/>
      <c r="AP300" s="433"/>
      <c r="AQ300" s="433"/>
    </row>
    <row r="301" spans="1:43" x14ac:dyDescent="0.25">
      <c r="A301" s="384" t="s">
        <v>834</v>
      </c>
      <c r="B301" s="384"/>
      <c r="C301" s="384"/>
      <c r="D301" s="384"/>
      <c r="E301" s="405"/>
      <c r="F301" s="405" t="s">
        <v>106</v>
      </c>
      <c r="G301" s="405" t="s">
        <v>801</v>
      </c>
      <c r="H301" s="405">
        <v>2020</v>
      </c>
      <c r="I301" t="s">
        <v>766</v>
      </c>
      <c r="J301" t="s">
        <v>767</v>
      </c>
      <c r="K301" s="401">
        <v>1</v>
      </c>
      <c r="M301" s="433">
        <f t="shared" ref="M301:AB305" si="17">M$238*$I$238</f>
        <v>867.74421517219116</v>
      </c>
      <c r="N301" s="433">
        <f t="shared" si="17"/>
        <v>867.74421517219116</v>
      </c>
      <c r="O301" s="433">
        <f t="shared" si="17"/>
        <v>867.74421517219116</v>
      </c>
      <c r="P301" s="433">
        <f t="shared" si="17"/>
        <v>867.74421517219116</v>
      </c>
      <c r="Q301" s="433">
        <f t="shared" si="17"/>
        <v>867.74421517219116</v>
      </c>
      <c r="R301" s="433">
        <f t="shared" si="17"/>
        <v>867.74421517219116</v>
      </c>
      <c r="S301" s="433">
        <f t="shared" si="17"/>
        <v>867.74421517219116</v>
      </c>
      <c r="T301" s="433">
        <f t="shared" si="17"/>
        <v>867.74421517219116</v>
      </c>
      <c r="U301" s="433">
        <f t="shared" si="17"/>
        <v>867.74421517219116</v>
      </c>
      <c r="V301" s="433">
        <f t="shared" si="17"/>
        <v>867.74421517219116</v>
      </c>
      <c r="W301" s="433">
        <f t="shared" si="17"/>
        <v>867.74421517219116</v>
      </c>
      <c r="X301" s="433">
        <f t="shared" si="17"/>
        <v>867.74421517219116</v>
      </c>
      <c r="Y301" s="433">
        <f t="shared" si="17"/>
        <v>867.74421517219116</v>
      </c>
      <c r="Z301" s="433">
        <f t="shared" si="17"/>
        <v>867.74421517219116</v>
      </c>
      <c r="AA301" s="433">
        <f t="shared" si="17"/>
        <v>867.74421517219116</v>
      </c>
      <c r="AB301" s="433">
        <f t="shared" si="17"/>
        <v>867.74421517219116</v>
      </c>
      <c r="AC301" s="433">
        <f t="shared" si="16"/>
        <v>867.74421517219116</v>
      </c>
      <c r="AD301" s="433">
        <f t="shared" si="16"/>
        <v>867.74421517219116</v>
      </c>
      <c r="AE301" s="433">
        <f t="shared" si="16"/>
        <v>867.74421517219116</v>
      </c>
      <c r="AF301" s="433">
        <f t="shared" si="16"/>
        <v>867.74421517219116</v>
      </c>
      <c r="AG301" s="433">
        <f t="shared" si="16"/>
        <v>867.74421517219116</v>
      </c>
      <c r="AH301" s="433">
        <f t="shared" si="16"/>
        <v>867.74421517219116</v>
      </c>
      <c r="AI301" s="433">
        <f t="shared" si="16"/>
        <v>867.74421517219116</v>
      </c>
      <c r="AJ301" s="433">
        <f t="shared" si="16"/>
        <v>867.74421517219116</v>
      </c>
      <c r="AK301" s="433">
        <f t="shared" si="16"/>
        <v>867.74421517219116</v>
      </c>
      <c r="AL301" s="433">
        <f t="shared" si="16"/>
        <v>867.74421517219116</v>
      </c>
      <c r="AM301" s="433">
        <f t="shared" si="16"/>
        <v>867.74421517219116</v>
      </c>
      <c r="AN301" s="433">
        <f t="shared" si="16"/>
        <v>867.74421517219116</v>
      </c>
      <c r="AO301" s="433"/>
      <c r="AP301" s="433"/>
      <c r="AQ301" s="433"/>
    </row>
    <row r="302" spans="1:43" x14ac:dyDescent="0.25">
      <c r="A302" s="384" t="s">
        <v>835</v>
      </c>
      <c r="B302" s="384"/>
      <c r="C302" s="384"/>
      <c r="D302" s="384"/>
      <c r="E302" s="405"/>
      <c r="F302" s="405" t="s">
        <v>106</v>
      </c>
      <c r="G302" s="405" t="s">
        <v>801</v>
      </c>
      <c r="H302" s="405">
        <v>2020</v>
      </c>
      <c r="I302" t="s">
        <v>129</v>
      </c>
      <c r="J302" t="s">
        <v>768</v>
      </c>
      <c r="K302" s="401">
        <v>1</v>
      </c>
      <c r="M302" s="433">
        <f t="shared" si="17"/>
        <v>867.74421517219116</v>
      </c>
      <c r="N302" s="433">
        <f t="shared" si="16"/>
        <v>867.74421517219116</v>
      </c>
      <c r="O302" s="433">
        <f t="shared" si="16"/>
        <v>867.74421517219116</v>
      </c>
      <c r="P302" s="433">
        <f t="shared" si="16"/>
        <v>867.74421517219116</v>
      </c>
      <c r="Q302" s="433">
        <f t="shared" si="16"/>
        <v>867.74421517219116</v>
      </c>
      <c r="R302" s="433">
        <f t="shared" si="16"/>
        <v>867.74421517219116</v>
      </c>
      <c r="S302" s="433">
        <f t="shared" si="16"/>
        <v>867.74421517219116</v>
      </c>
      <c r="T302" s="433">
        <f t="shared" si="16"/>
        <v>867.74421517219116</v>
      </c>
      <c r="U302" s="433">
        <f t="shared" si="16"/>
        <v>867.74421517219116</v>
      </c>
      <c r="V302" s="433">
        <f t="shared" si="16"/>
        <v>867.74421517219116</v>
      </c>
      <c r="W302" s="433">
        <f t="shared" si="16"/>
        <v>867.74421517219116</v>
      </c>
      <c r="X302" s="433">
        <f t="shared" si="16"/>
        <v>867.74421517219116</v>
      </c>
      <c r="Y302" s="433">
        <f t="shared" si="16"/>
        <v>867.74421517219116</v>
      </c>
      <c r="Z302" s="433">
        <f t="shared" si="16"/>
        <v>867.74421517219116</v>
      </c>
      <c r="AA302" s="433">
        <f t="shared" si="16"/>
        <v>867.74421517219116</v>
      </c>
      <c r="AB302" s="433">
        <f t="shared" si="16"/>
        <v>867.74421517219116</v>
      </c>
      <c r="AC302" s="433">
        <f t="shared" si="16"/>
        <v>867.74421517219116</v>
      </c>
      <c r="AD302" s="433">
        <f t="shared" si="16"/>
        <v>867.74421517219116</v>
      </c>
      <c r="AE302" s="433">
        <f t="shared" si="16"/>
        <v>867.74421517219116</v>
      </c>
      <c r="AF302" s="433">
        <f t="shared" si="16"/>
        <v>867.74421517219116</v>
      </c>
      <c r="AG302" s="433">
        <f t="shared" si="16"/>
        <v>867.74421517219116</v>
      </c>
      <c r="AH302" s="433">
        <f t="shared" si="16"/>
        <v>867.74421517219116</v>
      </c>
      <c r="AI302" s="433">
        <f t="shared" si="16"/>
        <v>867.74421517219116</v>
      </c>
      <c r="AJ302" s="433">
        <f t="shared" si="16"/>
        <v>867.74421517219116</v>
      </c>
      <c r="AK302" s="433">
        <f t="shared" si="16"/>
        <v>867.74421517219116</v>
      </c>
      <c r="AL302" s="433">
        <f t="shared" si="16"/>
        <v>867.74421517219116</v>
      </c>
      <c r="AM302" s="433">
        <f t="shared" si="16"/>
        <v>867.74421517219116</v>
      </c>
      <c r="AN302" s="433">
        <f t="shared" si="16"/>
        <v>867.74421517219116</v>
      </c>
      <c r="AO302" s="433"/>
      <c r="AP302" s="433"/>
      <c r="AQ302" s="433"/>
    </row>
    <row r="303" spans="1:43" x14ac:dyDescent="0.25">
      <c r="A303" s="384" t="s">
        <v>836</v>
      </c>
      <c r="B303" s="384"/>
      <c r="C303" s="384"/>
      <c r="D303" s="384"/>
      <c r="E303" s="405"/>
      <c r="F303" s="405" t="s">
        <v>106</v>
      </c>
      <c r="G303" s="405" t="s">
        <v>801</v>
      </c>
      <c r="H303" s="405">
        <v>2020</v>
      </c>
      <c r="I303" t="s">
        <v>769</v>
      </c>
      <c r="J303" t="s">
        <v>770</v>
      </c>
      <c r="K303" s="396">
        <v>1</v>
      </c>
      <c r="L303" s="210"/>
      <c r="M303" s="433">
        <f t="shared" si="17"/>
        <v>867.74421517219116</v>
      </c>
      <c r="N303" s="433">
        <f t="shared" si="16"/>
        <v>867.74421517219116</v>
      </c>
      <c r="O303" s="433">
        <f t="shared" si="16"/>
        <v>867.74421517219116</v>
      </c>
      <c r="P303" s="433">
        <f t="shared" si="16"/>
        <v>867.74421517219116</v>
      </c>
      <c r="Q303" s="433">
        <f t="shared" si="16"/>
        <v>867.74421517219116</v>
      </c>
      <c r="R303" s="433">
        <f t="shared" si="16"/>
        <v>867.74421517219116</v>
      </c>
      <c r="S303" s="433">
        <f t="shared" si="16"/>
        <v>867.74421517219116</v>
      </c>
      <c r="T303" s="433">
        <f t="shared" si="16"/>
        <v>867.74421517219116</v>
      </c>
      <c r="U303" s="433">
        <f t="shared" si="16"/>
        <v>867.74421517219116</v>
      </c>
      <c r="V303" s="433">
        <f t="shared" si="16"/>
        <v>867.74421517219116</v>
      </c>
      <c r="W303" s="433">
        <f t="shared" si="16"/>
        <v>867.74421517219116</v>
      </c>
      <c r="X303" s="433">
        <f t="shared" si="16"/>
        <v>867.74421517219116</v>
      </c>
      <c r="Y303" s="433">
        <f t="shared" si="16"/>
        <v>867.74421517219116</v>
      </c>
      <c r="Z303" s="433">
        <f t="shared" si="16"/>
        <v>867.74421517219116</v>
      </c>
      <c r="AA303" s="433">
        <f t="shared" si="16"/>
        <v>867.74421517219116</v>
      </c>
      <c r="AB303" s="433">
        <f t="shared" si="16"/>
        <v>867.74421517219116</v>
      </c>
      <c r="AC303" s="433">
        <f t="shared" si="16"/>
        <v>867.74421517219116</v>
      </c>
      <c r="AD303" s="433">
        <f t="shared" si="16"/>
        <v>867.74421517219116</v>
      </c>
      <c r="AE303" s="433">
        <f t="shared" si="16"/>
        <v>867.74421517219116</v>
      </c>
      <c r="AF303" s="433">
        <f t="shared" si="16"/>
        <v>867.74421517219116</v>
      </c>
      <c r="AG303" s="433">
        <f t="shared" si="16"/>
        <v>867.74421517219116</v>
      </c>
      <c r="AH303" s="433">
        <f t="shared" si="16"/>
        <v>867.74421517219116</v>
      </c>
      <c r="AI303" s="433">
        <f t="shared" si="16"/>
        <v>867.74421517219116</v>
      </c>
      <c r="AJ303" s="433">
        <f t="shared" si="16"/>
        <v>867.74421517219116</v>
      </c>
      <c r="AK303" s="433">
        <f t="shared" si="16"/>
        <v>867.74421517219116</v>
      </c>
      <c r="AL303" s="433">
        <f t="shared" si="16"/>
        <v>867.74421517219116</v>
      </c>
      <c r="AM303" s="433">
        <f t="shared" si="16"/>
        <v>867.74421517219116</v>
      </c>
      <c r="AN303" s="433">
        <f t="shared" si="16"/>
        <v>867.74421517219116</v>
      </c>
      <c r="AO303" s="433"/>
      <c r="AP303" s="433"/>
      <c r="AQ303" s="433"/>
    </row>
    <row r="304" spans="1:43" x14ac:dyDescent="0.25">
      <c r="A304" s="384" t="s">
        <v>837</v>
      </c>
      <c r="B304" s="384"/>
      <c r="C304" s="384"/>
      <c r="D304" s="384"/>
      <c r="E304" s="405"/>
      <c r="F304" s="405" t="s">
        <v>106</v>
      </c>
      <c r="G304" s="405" t="s">
        <v>801</v>
      </c>
      <c r="H304" s="405">
        <v>2020</v>
      </c>
      <c r="I304" t="s">
        <v>771</v>
      </c>
      <c r="J304" t="s">
        <v>331</v>
      </c>
      <c r="K304" s="401">
        <v>1</v>
      </c>
      <c r="M304" s="433">
        <f t="shared" si="17"/>
        <v>867.74421517219116</v>
      </c>
      <c r="N304" s="433">
        <f t="shared" si="16"/>
        <v>867.74421517219116</v>
      </c>
      <c r="O304" s="433">
        <f t="shared" si="16"/>
        <v>867.74421517219116</v>
      </c>
      <c r="P304" s="433">
        <f t="shared" si="16"/>
        <v>867.74421517219116</v>
      </c>
      <c r="Q304" s="433">
        <f t="shared" si="16"/>
        <v>867.74421517219116</v>
      </c>
      <c r="R304" s="433">
        <f t="shared" si="16"/>
        <v>867.74421517219116</v>
      </c>
      <c r="S304" s="433">
        <f t="shared" si="16"/>
        <v>867.74421517219116</v>
      </c>
      <c r="T304" s="433">
        <f t="shared" si="16"/>
        <v>867.74421517219116</v>
      </c>
      <c r="U304" s="433">
        <f t="shared" si="16"/>
        <v>867.74421517219116</v>
      </c>
      <c r="V304" s="433">
        <f t="shared" si="16"/>
        <v>867.74421517219116</v>
      </c>
      <c r="W304" s="433">
        <f t="shared" si="16"/>
        <v>867.74421517219116</v>
      </c>
      <c r="X304" s="433">
        <f t="shared" si="16"/>
        <v>867.74421517219116</v>
      </c>
      <c r="Y304" s="433">
        <f t="shared" si="16"/>
        <v>867.74421517219116</v>
      </c>
      <c r="Z304" s="433">
        <f t="shared" si="16"/>
        <v>867.74421517219116</v>
      </c>
      <c r="AA304" s="433">
        <f t="shared" si="16"/>
        <v>867.74421517219116</v>
      </c>
      <c r="AB304" s="433">
        <f t="shared" si="16"/>
        <v>867.74421517219116</v>
      </c>
      <c r="AC304" s="433">
        <f t="shared" si="16"/>
        <v>867.74421517219116</v>
      </c>
      <c r="AD304" s="433">
        <f t="shared" si="16"/>
        <v>867.74421517219116</v>
      </c>
      <c r="AE304" s="433">
        <f t="shared" si="16"/>
        <v>867.74421517219116</v>
      </c>
      <c r="AF304" s="433">
        <f t="shared" si="16"/>
        <v>867.74421517219116</v>
      </c>
      <c r="AG304" s="433">
        <f t="shared" si="16"/>
        <v>867.74421517219116</v>
      </c>
      <c r="AH304" s="433">
        <f t="shared" si="16"/>
        <v>867.74421517219116</v>
      </c>
      <c r="AI304" s="433">
        <f t="shared" si="16"/>
        <v>867.74421517219116</v>
      </c>
      <c r="AJ304" s="433">
        <f t="shared" si="16"/>
        <v>867.74421517219116</v>
      </c>
      <c r="AK304" s="433">
        <f t="shared" si="16"/>
        <v>867.74421517219116</v>
      </c>
      <c r="AL304" s="433">
        <f t="shared" si="16"/>
        <v>867.74421517219116</v>
      </c>
      <c r="AM304" s="433">
        <f t="shared" si="16"/>
        <v>867.74421517219116</v>
      </c>
      <c r="AN304" s="433">
        <f t="shared" si="16"/>
        <v>867.74421517219116</v>
      </c>
      <c r="AO304" s="433"/>
      <c r="AP304" s="433"/>
      <c r="AQ304" s="433"/>
    </row>
    <row r="305" spans="1:43" x14ac:dyDescent="0.25">
      <c r="A305" s="384" t="s">
        <v>838</v>
      </c>
      <c r="B305" s="384"/>
      <c r="C305" s="384"/>
      <c r="D305" s="384"/>
      <c r="F305" s="9" t="s">
        <v>106</v>
      </c>
      <c r="G305" s="405" t="s">
        <v>801</v>
      </c>
      <c r="H305" s="405">
        <v>2020</v>
      </c>
      <c r="I305" t="s">
        <v>116</v>
      </c>
      <c r="J305" t="s">
        <v>772</v>
      </c>
      <c r="K305" s="401">
        <v>1</v>
      </c>
      <c r="M305" s="433">
        <f t="shared" si="17"/>
        <v>867.74421517219116</v>
      </c>
      <c r="N305" s="433">
        <f t="shared" si="16"/>
        <v>867.74421517219116</v>
      </c>
      <c r="O305" s="433">
        <f t="shared" si="16"/>
        <v>867.74421517219116</v>
      </c>
      <c r="P305" s="433">
        <f t="shared" si="16"/>
        <v>867.74421517219116</v>
      </c>
      <c r="Q305" s="433">
        <f t="shared" si="16"/>
        <v>867.74421517219116</v>
      </c>
      <c r="R305" s="433">
        <f t="shared" si="16"/>
        <v>867.74421517219116</v>
      </c>
      <c r="S305" s="433">
        <f t="shared" si="16"/>
        <v>867.74421517219116</v>
      </c>
      <c r="T305" s="433">
        <f t="shared" si="16"/>
        <v>867.74421517219116</v>
      </c>
      <c r="U305" s="433">
        <f t="shared" si="16"/>
        <v>867.74421517219116</v>
      </c>
      <c r="V305" s="433">
        <f t="shared" si="16"/>
        <v>867.74421517219116</v>
      </c>
      <c r="W305" s="433">
        <f t="shared" si="16"/>
        <v>867.74421517219116</v>
      </c>
      <c r="X305" s="433">
        <f t="shared" si="16"/>
        <v>867.74421517219116</v>
      </c>
      <c r="Y305" s="433">
        <f t="shared" si="16"/>
        <v>867.74421517219116</v>
      </c>
      <c r="Z305" s="433">
        <f t="shared" si="16"/>
        <v>867.74421517219116</v>
      </c>
      <c r="AA305" s="433">
        <f t="shared" si="16"/>
        <v>867.74421517219116</v>
      </c>
      <c r="AB305" s="433">
        <f t="shared" si="16"/>
        <v>867.74421517219116</v>
      </c>
      <c r="AC305" s="433">
        <f t="shared" si="16"/>
        <v>867.74421517219116</v>
      </c>
      <c r="AD305" s="433">
        <f t="shared" si="16"/>
        <v>867.74421517219116</v>
      </c>
      <c r="AE305" s="433">
        <f t="shared" si="16"/>
        <v>867.74421517219116</v>
      </c>
      <c r="AF305" s="433">
        <f t="shared" si="16"/>
        <v>867.74421517219116</v>
      </c>
      <c r="AG305" s="433">
        <f t="shared" si="16"/>
        <v>867.74421517219116</v>
      </c>
      <c r="AH305" s="433">
        <f t="shared" si="16"/>
        <v>867.74421517219116</v>
      </c>
      <c r="AI305" s="433">
        <f t="shared" si="16"/>
        <v>867.74421517219116</v>
      </c>
      <c r="AJ305" s="433">
        <f t="shared" si="16"/>
        <v>867.74421517219116</v>
      </c>
      <c r="AK305" s="433">
        <f t="shared" si="16"/>
        <v>867.74421517219116</v>
      </c>
      <c r="AL305" s="433">
        <f t="shared" si="16"/>
        <v>867.74421517219116</v>
      </c>
      <c r="AM305" s="433">
        <f t="shared" si="16"/>
        <v>867.74421517219116</v>
      </c>
      <c r="AN305" s="433">
        <f t="shared" si="16"/>
        <v>867.74421517219116</v>
      </c>
      <c r="AO305" s="433"/>
      <c r="AP305" s="433"/>
      <c r="AQ305" s="433"/>
    </row>
    <row r="306" spans="1:43" x14ac:dyDescent="0.25">
      <c r="A306" s="384" t="s">
        <v>839</v>
      </c>
      <c r="B306" s="384"/>
      <c r="C306" s="384"/>
      <c r="D306" s="384"/>
      <c r="E306" s="405" t="s">
        <v>105</v>
      </c>
      <c r="F306" s="405" t="s">
        <v>106</v>
      </c>
      <c r="G306" s="405" t="s">
        <v>803</v>
      </c>
      <c r="H306" s="405">
        <v>2025</v>
      </c>
      <c r="I306" t="s">
        <v>125</v>
      </c>
      <c r="J306" t="s">
        <v>350</v>
      </c>
      <c r="K306" s="396">
        <v>1</v>
      </c>
      <c r="L306" s="210"/>
      <c r="M306" s="433">
        <f>M$239*$I$238</f>
        <v>867.74421517219116</v>
      </c>
      <c r="N306" s="433">
        <f t="shared" ref="N306:AN311" si="18">N$239*$I$238</f>
        <v>867.74421517219116</v>
      </c>
      <c r="O306" s="433">
        <f t="shared" si="18"/>
        <v>867.74421517219116</v>
      </c>
      <c r="P306" s="433">
        <f t="shared" si="18"/>
        <v>867.74421517219116</v>
      </c>
      <c r="Q306" s="433">
        <f t="shared" si="18"/>
        <v>867.74421517219116</v>
      </c>
      <c r="R306" s="433">
        <f t="shared" si="18"/>
        <v>867.74421517219116</v>
      </c>
      <c r="S306" s="433">
        <f t="shared" si="18"/>
        <v>867.74421517219116</v>
      </c>
      <c r="T306" s="433">
        <f t="shared" si="18"/>
        <v>867.74421517219116</v>
      </c>
      <c r="U306" s="433">
        <f t="shared" si="18"/>
        <v>867.74421517219116</v>
      </c>
      <c r="V306" s="433">
        <f t="shared" si="18"/>
        <v>867.74421517219116</v>
      </c>
      <c r="W306" s="433">
        <f t="shared" si="18"/>
        <v>867.74421517219116</v>
      </c>
      <c r="X306" s="433">
        <f t="shared" si="18"/>
        <v>867.74421517219116</v>
      </c>
      <c r="Y306" s="433">
        <f t="shared" si="18"/>
        <v>867.74421517219116</v>
      </c>
      <c r="Z306" s="433">
        <f t="shared" si="18"/>
        <v>867.74421517219116</v>
      </c>
      <c r="AA306" s="433">
        <f t="shared" si="18"/>
        <v>867.74421517219116</v>
      </c>
      <c r="AB306" s="433">
        <f t="shared" si="18"/>
        <v>867.74421517219116</v>
      </c>
      <c r="AC306" s="433">
        <f t="shared" si="18"/>
        <v>867.74421517219116</v>
      </c>
      <c r="AD306" s="433">
        <f t="shared" si="18"/>
        <v>867.74421517219116</v>
      </c>
      <c r="AE306" s="433">
        <f t="shared" si="18"/>
        <v>867.74421517219116</v>
      </c>
      <c r="AF306" s="433">
        <f t="shared" si="18"/>
        <v>867.74421517219116</v>
      </c>
      <c r="AG306" s="433">
        <f t="shared" si="18"/>
        <v>867.74421517219116</v>
      </c>
      <c r="AH306" s="433">
        <f t="shared" si="18"/>
        <v>867.74421517219116</v>
      </c>
      <c r="AI306" s="433">
        <f t="shared" si="18"/>
        <v>867.74421517219116</v>
      </c>
      <c r="AJ306" s="433">
        <f t="shared" si="18"/>
        <v>867.74421517219116</v>
      </c>
      <c r="AK306" s="433">
        <f t="shared" si="18"/>
        <v>867.74421517219116</v>
      </c>
      <c r="AL306" s="433">
        <f t="shared" si="18"/>
        <v>867.74421517219116</v>
      </c>
      <c r="AM306" s="433">
        <f t="shared" si="18"/>
        <v>867.74421517219116</v>
      </c>
      <c r="AN306" s="433">
        <f t="shared" si="18"/>
        <v>867.74421517219116</v>
      </c>
      <c r="AO306" s="433"/>
      <c r="AP306" s="433"/>
      <c r="AQ306" s="433"/>
    </row>
    <row r="307" spans="1:43" x14ac:dyDescent="0.25">
      <c r="A307" s="384" t="s">
        <v>840</v>
      </c>
      <c r="B307" s="384"/>
      <c r="C307" s="384"/>
      <c r="D307" s="384"/>
      <c r="E307" s="405"/>
      <c r="F307" s="405" t="s">
        <v>106</v>
      </c>
      <c r="G307" s="405" t="s">
        <v>803</v>
      </c>
      <c r="H307" s="405">
        <v>2025</v>
      </c>
      <c r="I307" t="s">
        <v>766</v>
      </c>
      <c r="J307" t="s">
        <v>767</v>
      </c>
      <c r="K307" s="401">
        <v>1</v>
      </c>
      <c r="M307" s="433">
        <f t="shared" ref="M307:AB311" si="19">M$239*$I$238</f>
        <v>867.74421517219116</v>
      </c>
      <c r="N307" s="433">
        <f t="shared" si="19"/>
        <v>867.74421517219116</v>
      </c>
      <c r="O307" s="433">
        <f t="shared" si="19"/>
        <v>867.74421517219116</v>
      </c>
      <c r="P307" s="433">
        <f t="shared" si="19"/>
        <v>867.74421517219116</v>
      </c>
      <c r="Q307" s="433">
        <f t="shared" si="19"/>
        <v>867.74421517219116</v>
      </c>
      <c r="R307" s="433">
        <f t="shared" si="19"/>
        <v>867.74421517219116</v>
      </c>
      <c r="S307" s="433">
        <f t="shared" si="19"/>
        <v>867.74421517219116</v>
      </c>
      <c r="T307" s="433">
        <f t="shared" si="19"/>
        <v>867.74421517219116</v>
      </c>
      <c r="U307" s="433">
        <f t="shared" si="19"/>
        <v>867.74421517219116</v>
      </c>
      <c r="V307" s="433">
        <f t="shared" si="19"/>
        <v>867.74421517219116</v>
      </c>
      <c r="W307" s="433">
        <f t="shared" si="19"/>
        <v>867.74421517219116</v>
      </c>
      <c r="X307" s="433">
        <f t="shared" si="19"/>
        <v>867.74421517219116</v>
      </c>
      <c r="Y307" s="433">
        <f t="shared" si="19"/>
        <v>867.74421517219116</v>
      </c>
      <c r="Z307" s="433">
        <f t="shared" si="19"/>
        <v>867.74421517219116</v>
      </c>
      <c r="AA307" s="433">
        <f t="shared" si="19"/>
        <v>867.74421517219116</v>
      </c>
      <c r="AB307" s="433">
        <f t="shared" si="19"/>
        <v>867.74421517219116</v>
      </c>
      <c r="AC307" s="433">
        <f t="shared" si="18"/>
        <v>867.74421517219116</v>
      </c>
      <c r="AD307" s="433">
        <f t="shared" si="18"/>
        <v>867.74421517219116</v>
      </c>
      <c r="AE307" s="433">
        <f t="shared" si="18"/>
        <v>867.74421517219116</v>
      </c>
      <c r="AF307" s="433">
        <f t="shared" si="18"/>
        <v>867.74421517219116</v>
      </c>
      <c r="AG307" s="433">
        <f t="shared" si="18"/>
        <v>867.74421517219116</v>
      </c>
      <c r="AH307" s="433">
        <f t="shared" si="18"/>
        <v>867.74421517219116</v>
      </c>
      <c r="AI307" s="433">
        <f t="shared" si="18"/>
        <v>867.74421517219116</v>
      </c>
      <c r="AJ307" s="433">
        <f t="shared" si="18"/>
        <v>867.74421517219116</v>
      </c>
      <c r="AK307" s="433">
        <f t="shared" si="18"/>
        <v>867.74421517219116</v>
      </c>
      <c r="AL307" s="433">
        <f t="shared" si="18"/>
        <v>867.74421517219116</v>
      </c>
      <c r="AM307" s="433">
        <f t="shared" si="18"/>
        <v>867.74421517219116</v>
      </c>
      <c r="AN307" s="433">
        <f t="shared" si="18"/>
        <v>867.74421517219116</v>
      </c>
      <c r="AO307" s="433"/>
      <c r="AP307" s="433"/>
      <c r="AQ307" s="433"/>
    </row>
    <row r="308" spans="1:43" x14ac:dyDescent="0.25">
      <c r="A308" s="384" t="s">
        <v>841</v>
      </c>
      <c r="B308" s="384"/>
      <c r="C308" s="384"/>
      <c r="D308" s="384"/>
      <c r="E308" s="405"/>
      <c r="F308" s="405" t="s">
        <v>106</v>
      </c>
      <c r="G308" s="405" t="s">
        <v>803</v>
      </c>
      <c r="H308" s="405">
        <v>2025</v>
      </c>
      <c r="I308" t="s">
        <v>129</v>
      </c>
      <c r="J308" t="s">
        <v>768</v>
      </c>
      <c r="K308" s="401">
        <v>1</v>
      </c>
      <c r="M308" s="433">
        <f t="shared" si="19"/>
        <v>867.74421517219116</v>
      </c>
      <c r="N308" s="433">
        <f t="shared" si="18"/>
        <v>867.74421517219116</v>
      </c>
      <c r="O308" s="433">
        <f t="shared" si="18"/>
        <v>867.74421517219116</v>
      </c>
      <c r="P308" s="433">
        <f t="shared" si="18"/>
        <v>867.74421517219116</v>
      </c>
      <c r="Q308" s="433">
        <f t="shared" si="18"/>
        <v>867.74421517219116</v>
      </c>
      <c r="R308" s="433">
        <f t="shared" si="18"/>
        <v>867.74421517219116</v>
      </c>
      <c r="S308" s="433">
        <f t="shared" si="18"/>
        <v>867.74421517219116</v>
      </c>
      <c r="T308" s="433">
        <f t="shared" si="18"/>
        <v>867.74421517219116</v>
      </c>
      <c r="U308" s="433">
        <f t="shared" si="18"/>
        <v>867.74421517219116</v>
      </c>
      <c r="V308" s="433">
        <f t="shared" si="18"/>
        <v>867.74421517219116</v>
      </c>
      <c r="W308" s="433">
        <f t="shared" si="18"/>
        <v>867.74421517219116</v>
      </c>
      <c r="X308" s="433">
        <f t="shared" si="18"/>
        <v>867.74421517219116</v>
      </c>
      <c r="Y308" s="433">
        <f t="shared" si="18"/>
        <v>867.74421517219116</v>
      </c>
      <c r="Z308" s="433">
        <f t="shared" si="18"/>
        <v>867.74421517219116</v>
      </c>
      <c r="AA308" s="433">
        <f t="shared" si="18"/>
        <v>867.74421517219116</v>
      </c>
      <c r="AB308" s="433">
        <f t="shared" si="18"/>
        <v>867.74421517219116</v>
      </c>
      <c r="AC308" s="433">
        <f t="shared" si="18"/>
        <v>867.74421517219116</v>
      </c>
      <c r="AD308" s="433">
        <f t="shared" si="18"/>
        <v>867.74421517219116</v>
      </c>
      <c r="AE308" s="433">
        <f t="shared" si="18"/>
        <v>867.74421517219116</v>
      </c>
      <c r="AF308" s="433">
        <f t="shared" si="18"/>
        <v>867.74421517219116</v>
      </c>
      <c r="AG308" s="433">
        <f t="shared" si="18"/>
        <v>867.74421517219116</v>
      </c>
      <c r="AH308" s="433">
        <f t="shared" si="18"/>
        <v>867.74421517219116</v>
      </c>
      <c r="AI308" s="433">
        <f t="shared" si="18"/>
        <v>867.74421517219116</v>
      </c>
      <c r="AJ308" s="433">
        <f t="shared" si="18"/>
        <v>867.74421517219116</v>
      </c>
      <c r="AK308" s="433">
        <f t="shared" si="18"/>
        <v>867.74421517219116</v>
      </c>
      <c r="AL308" s="433">
        <f t="shared" si="18"/>
        <v>867.74421517219116</v>
      </c>
      <c r="AM308" s="433">
        <f t="shared" si="18"/>
        <v>867.74421517219116</v>
      </c>
      <c r="AN308" s="433">
        <f t="shared" si="18"/>
        <v>867.74421517219116</v>
      </c>
      <c r="AO308" s="433"/>
      <c r="AP308" s="433"/>
      <c r="AQ308" s="433"/>
    </row>
    <row r="309" spans="1:43" x14ac:dyDescent="0.25">
      <c r="A309" s="384" t="s">
        <v>842</v>
      </c>
      <c r="B309" s="384"/>
      <c r="C309" s="384"/>
      <c r="D309" s="384"/>
      <c r="E309" s="405"/>
      <c r="F309" s="405" t="s">
        <v>106</v>
      </c>
      <c r="G309" s="405" t="s">
        <v>803</v>
      </c>
      <c r="H309" s="405">
        <v>2025</v>
      </c>
      <c r="I309" t="s">
        <v>769</v>
      </c>
      <c r="J309" t="s">
        <v>770</v>
      </c>
      <c r="K309" s="396">
        <v>1</v>
      </c>
      <c r="L309" s="210"/>
      <c r="M309" s="433">
        <f t="shared" si="19"/>
        <v>867.74421517219116</v>
      </c>
      <c r="N309" s="433">
        <f t="shared" si="18"/>
        <v>867.74421517219116</v>
      </c>
      <c r="O309" s="433">
        <f t="shared" si="18"/>
        <v>867.74421517219116</v>
      </c>
      <c r="P309" s="433">
        <f t="shared" si="18"/>
        <v>867.74421517219116</v>
      </c>
      <c r="Q309" s="433">
        <f t="shared" si="18"/>
        <v>867.74421517219116</v>
      </c>
      <c r="R309" s="433">
        <f t="shared" si="18"/>
        <v>867.74421517219116</v>
      </c>
      <c r="S309" s="433">
        <f t="shared" si="18"/>
        <v>867.74421517219116</v>
      </c>
      <c r="T309" s="433">
        <f t="shared" si="18"/>
        <v>867.74421517219116</v>
      </c>
      <c r="U309" s="433">
        <f t="shared" si="18"/>
        <v>867.74421517219116</v>
      </c>
      <c r="V309" s="433">
        <f t="shared" si="18"/>
        <v>867.74421517219116</v>
      </c>
      <c r="W309" s="433">
        <f t="shared" si="18"/>
        <v>867.74421517219116</v>
      </c>
      <c r="X309" s="433">
        <f t="shared" si="18"/>
        <v>867.74421517219116</v>
      </c>
      <c r="Y309" s="433">
        <f t="shared" si="18"/>
        <v>867.74421517219116</v>
      </c>
      <c r="Z309" s="433">
        <f t="shared" si="18"/>
        <v>867.74421517219116</v>
      </c>
      <c r="AA309" s="433">
        <f t="shared" si="18"/>
        <v>867.74421517219116</v>
      </c>
      <c r="AB309" s="433">
        <f t="shared" si="18"/>
        <v>867.74421517219116</v>
      </c>
      <c r="AC309" s="433">
        <f t="shared" si="18"/>
        <v>867.74421517219116</v>
      </c>
      <c r="AD309" s="433">
        <f t="shared" si="18"/>
        <v>867.74421517219116</v>
      </c>
      <c r="AE309" s="433">
        <f t="shared" si="18"/>
        <v>867.74421517219116</v>
      </c>
      <c r="AF309" s="433">
        <f t="shared" si="18"/>
        <v>867.74421517219116</v>
      </c>
      <c r="AG309" s="433">
        <f t="shared" si="18"/>
        <v>867.74421517219116</v>
      </c>
      <c r="AH309" s="433">
        <f t="shared" si="18"/>
        <v>867.74421517219116</v>
      </c>
      <c r="AI309" s="433">
        <f t="shared" si="18"/>
        <v>867.74421517219116</v>
      </c>
      <c r="AJ309" s="433">
        <f t="shared" si="18"/>
        <v>867.74421517219116</v>
      </c>
      <c r="AK309" s="433">
        <f t="shared" si="18"/>
        <v>867.74421517219116</v>
      </c>
      <c r="AL309" s="433">
        <f t="shared" si="18"/>
        <v>867.74421517219116</v>
      </c>
      <c r="AM309" s="433">
        <f t="shared" si="18"/>
        <v>867.74421517219116</v>
      </c>
      <c r="AN309" s="433">
        <f t="shared" si="18"/>
        <v>867.74421517219116</v>
      </c>
      <c r="AO309" s="433"/>
      <c r="AP309" s="433"/>
      <c r="AQ309" s="433"/>
    </row>
    <row r="310" spans="1:43" x14ac:dyDescent="0.25">
      <c r="A310" s="384" t="s">
        <v>843</v>
      </c>
      <c r="B310" s="384"/>
      <c r="C310" s="384"/>
      <c r="D310" s="384"/>
      <c r="E310" s="405"/>
      <c r="F310" s="405" t="s">
        <v>106</v>
      </c>
      <c r="G310" s="405" t="s">
        <v>803</v>
      </c>
      <c r="H310" s="405">
        <v>2025</v>
      </c>
      <c r="I310" t="s">
        <v>771</v>
      </c>
      <c r="J310" t="s">
        <v>331</v>
      </c>
      <c r="K310" s="401">
        <v>1</v>
      </c>
      <c r="M310" s="433">
        <f t="shared" si="19"/>
        <v>867.74421517219116</v>
      </c>
      <c r="N310" s="433">
        <f t="shared" si="18"/>
        <v>867.74421517219116</v>
      </c>
      <c r="O310" s="433">
        <f t="shared" si="18"/>
        <v>867.74421517219116</v>
      </c>
      <c r="P310" s="433">
        <f t="shared" si="18"/>
        <v>867.74421517219116</v>
      </c>
      <c r="Q310" s="433">
        <f t="shared" si="18"/>
        <v>867.74421517219116</v>
      </c>
      <c r="R310" s="433">
        <f t="shared" si="18"/>
        <v>867.74421517219116</v>
      </c>
      <c r="S310" s="433">
        <f t="shared" si="18"/>
        <v>867.74421517219116</v>
      </c>
      <c r="T310" s="433">
        <f t="shared" si="18"/>
        <v>867.74421517219116</v>
      </c>
      <c r="U310" s="433">
        <f t="shared" si="18"/>
        <v>867.74421517219116</v>
      </c>
      <c r="V310" s="433">
        <f t="shared" si="18"/>
        <v>867.74421517219116</v>
      </c>
      <c r="W310" s="433">
        <f t="shared" si="18"/>
        <v>867.74421517219116</v>
      </c>
      <c r="X310" s="433">
        <f t="shared" si="18"/>
        <v>867.74421517219116</v>
      </c>
      <c r="Y310" s="433">
        <f t="shared" si="18"/>
        <v>867.74421517219116</v>
      </c>
      <c r="Z310" s="433">
        <f t="shared" si="18"/>
        <v>867.74421517219116</v>
      </c>
      <c r="AA310" s="433">
        <f t="shared" si="18"/>
        <v>867.74421517219116</v>
      </c>
      <c r="AB310" s="433">
        <f t="shared" si="18"/>
        <v>867.74421517219116</v>
      </c>
      <c r="AC310" s="433">
        <f t="shared" si="18"/>
        <v>867.74421517219116</v>
      </c>
      <c r="AD310" s="433">
        <f t="shared" si="18"/>
        <v>867.74421517219116</v>
      </c>
      <c r="AE310" s="433">
        <f t="shared" si="18"/>
        <v>867.74421517219116</v>
      </c>
      <c r="AF310" s="433">
        <f t="shared" si="18"/>
        <v>867.74421517219116</v>
      </c>
      <c r="AG310" s="433">
        <f t="shared" si="18"/>
        <v>867.74421517219116</v>
      </c>
      <c r="AH310" s="433">
        <f t="shared" si="18"/>
        <v>867.74421517219116</v>
      </c>
      <c r="AI310" s="433">
        <f t="shared" si="18"/>
        <v>867.74421517219116</v>
      </c>
      <c r="AJ310" s="433">
        <f t="shared" si="18"/>
        <v>867.74421517219116</v>
      </c>
      <c r="AK310" s="433">
        <f t="shared" si="18"/>
        <v>867.74421517219116</v>
      </c>
      <c r="AL310" s="433">
        <f t="shared" si="18"/>
        <v>867.74421517219116</v>
      </c>
      <c r="AM310" s="433">
        <f t="shared" si="18"/>
        <v>867.74421517219116</v>
      </c>
      <c r="AN310" s="433">
        <f t="shared" si="18"/>
        <v>867.74421517219116</v>
      </c>
      <c r="AO310" s="433"/>
      <c r="AP310" s="433"/>
      <c r="AQ310" s="433"/>
    </row>
    <row r="311" spans="1:43" x14ac:dyDescent="0.25">
      <c r="A311" s="384" t="s">
        <v>844</v>
      </c>
      <c r="B311" s="384"/>
      <c r="C311" s="384"/>
      <c r="D311" s="384"/>
      <c r="F311" s="9" t="s">
        <v>106</v>
      </c>
      <c r="G311" s="405" t="s">
        <v>803</v>
      </c>
      <c r="H311" s="405">
        <v>2025</v>
      </c>
      <c r="I311" t="s">
        <v>116</v>
      </c>
      <c r="J311" t="s">
        <v>772</v>
      </c>
      <c r="K311" s="401">
        <v>1</v>
      </c>
      <c r="M311" s="433">
        <f t="shared" si="19"/>
        <v>867.74421517219116</v>
      </c>
      <c r="N311" s="433">
        <f t="shared" si="18"/>
        <v>867.74421517219116</v>
      </c>
      <c r="O311" s="433">
        <f t="shared" si="18"/>
        <v>867.74421517219116</v>
      </c>
      <c r="P311" s="433">
        <f t="shared" si="18"/>
        <v>867.74421517219116</v>
      </c>
      <c r="Q311" s="433">
        <f t="shared" si="18"/>
        <v>867.74421517219116</v>
      </c>
      <c r="R311" s="433">
        <f t="shared" si="18"/>
        <v>867.74421517219116</v>
      </c>
      <c r="S311" s="433">
        <f t="shared" si="18"/>
        <v>867.74421517219116</v>
      </c>
      <c r="T311" s="433">
        <f t="shared" si="18"/>
        <v>867.74421517219116</v>
      </c>
      <c r="U311" s="433">
        <f t="shared" si="18"/>
        <v>867.74421517219116</v>
      </c>
      <c r="V311" s="433">
        <f t="shared" si="18"/>
        <v>867.74421517219116</v>
      </c>
      <c r="W311" s="433">
        <f t="shared" si="18"/>
        <v>867.74421517219116</v>
      </c>
      <c r="X311" s="433">
        <f t="shared" si="18"/>
        <v>867.74421517219116</v>
      </c>
      <c r="Y311" s="433">
        <f t="shared" si="18"/>
        <v>867.74421517219116</v>
      </c>
      <c r="Z311" s="433">
        <f t="shared" si="18"/>
        <v>867.74421517219116</v>
      </c>
      <c r="AA311" s="433">
        <f t="shared" si="18"/>
        <v>867.74421517219116</v>
      </c>
      <c r="AB311" s="433">
        <f t="shared" si="18"/>
        <v>867.74421517219116</v>
      </c>
      <c r="AC311" s="433">
        <f t="shared" si="18"/>
        <v>867.74421517219116</v>
      </c>
      <c r="AD311" s="433">
        <f t="shared" si="18"/>
        <v>867.74421517219116</v>
      </c>
      <c r="AE311" s="433">
        <f t="shared" si="18"/>
        <v>867.74421517219116</v>
      </c>
      <c r="AF311" s="433">
        <f t="shared" si="18"/>
        <v>867.74421517219116</v>
      </c>
      <c r="AG311" s="433">
        <f t="shared" si="18"/>
        <v>867.74421517219116</v>
      </c>
      <c r="AH311" s="433">
        <f t="shared" si="18"/>
        <v>867.74421517219116</v>
      </c>
      <c r="AI311" s="433">
        <f t="shared" si="18"/>
        <v>867.74421517219116</v>
      </c>
      <c r="AJ311" s="433">
        <f t="shared" si="18"/>
        <v>867.74421517219116</v>
      </c>
      <c r="AK311" s="433">
        <f t="shared" si="18"/>
        <v>867.74421517219116</v>
      </c>
      <c r="AL311" s="433">
        <f t="shared" si="18"/>
        <v>867.74421517219116</v>
      </c>
      <c r="AM311" s="433">
        <f t="shared" si="18"/>
        <v>867.74421517219116</v>
      </c>
      <c r="AN311" s="433">
        <f t="shared" si="18"/>
        <v>867.74421517219116</v>
      </c>
      <c r="AO311" s="433"/>
      <c r="AP311" s="433"/>
      <c r="AQ311" s="433"/>
    </row>
    <row r="312" spans="1:43" x14ac:dyDescent="0.25">
      <c r="A312" s="384" t="s">
        <v>839</v>
      </c>
      <c r="B312" s="384"/>
      <c r="C312" s="384"/>
      <c r="D312" s="384"/>
      <c r="E312" s="405" t="s">
        <v>105</v>
      </c>
      <c r="F312" s="405" t="s">
        <v>106</v>
      </c>
      <c r="G312" s="405" t="s">
        <v>803</v>
      </c>
      <c r="H312" s="405">
        <v>2030</v>
      </c>
      <c r="I312" t="s">
        <v>125</v>
      </c>
      <c r="J312" t="s">
        <v>350</v>
      </c>
      <c r="K312" s="396">
        <v>1</v>
      </c>
      <c r="L312" s="210"/>
      <c r="M312" s="433">
        <f>M$240*$I$238</f>
        <v>781.83753787014427</v>
      </c>
      <c r="N312" s="433">
        <f t="shared" ref="N312:AN317" si="20">N$240*$I$238</f>
        <v>781.83753787014427</v>
      </c>
      <c r="O312" s="433">
        <f t="shared" si="20"/>
        <v>781.83753787014427</v>
      </c>
      <c r="P312" s="433">
        <f t="shared" si="20"/>
        <v>781.83753787014427</v>
      </c>
      <c r="Q312" s="433">
        <f t="shared" si="20"/>
        <v>781.83753787014427</v>
      </c>
      <c r="R312" s="433">
        <f t="shared" si="20"/>
        <v>781.83753787014427</v>
      </c>
      <c r="S312" s="433">
        <f t="shared" si="20"/>
        <v>781.83753787014427</v>
      </c>
      <c r="T312" s="433">
        <f t="shared" si="20"/>
        <v>781.83753787014427</v>
      </c>
      <c r="U312" s="433">
        <f t="shared" si="20"/>
        <v>781.83753787014427</v>
      </c>
      <c r="V312" s="433">
        <f t="shared" si="20"/>
        <v>781.83753787014427</v>
      </c>
      <c r="W312" s="433">
        <f t="shared" si="20"/>
        <v>781.83753787014427</v>
      </c>
      <c r="X312" s="433">
        <f t="shared" si="20"/>
        <v>781.83753787014427</v>
      </c>
      <c r="Y312" s="433">
        <f t="shared" si="20"/>
        <v>781.83753787014427</v>
      </c>
      <c r="Z312" s="433">
        <f t="shared" si="20"/>
        <v>781.83753787014427</v>
      </c>
      <c r="AA312" s="433">
        <f t="shared" si="20"/>
        <v>781.83753787014427</v>
      </c>
      <c r="AB312" s="433">
        <f t="shared" si="20"/>
        <v>781.83753787014427</v>
      </c>
      <c r="AC312" s="433">
        <f t="shared" si="20"/>
        <v>781.83753787014427</v>
      </c>
      <c r="AD312" s="433">
        <f t="shared" si="20"/>
        <v>781.83753787014427</v>
      </c>
      <c r="AE312" s="433">
        <f t="shared" si="20"/>
        <v>781.83753787014427</v>
      </c>
      <c r="AF312" s="433">
        <f t="shared" si="20"/>
        <v>781.83753787014427</v>
      </c>
      <c r="AG312" s="433">
        <f t="shared" si="20"/>
        <v>781.83753787014427</v>
      </c>
      <c r="AH312" s="433">
        <f t="shared" si="20"/>
        <v>781.83753787014427</v>
      </c>
      <c r="AI312" s="433">
        <f t="shared" si="20"/>
        <v>781.83753787014427</v>
      </c>
      <c r="AJ312" s="433">
        <f t="shared" si="20"/>
        <v>781.83753787014427</v>
      </c>
      <c r="AK312" s="433">
        <f t="shared" si="20"/>
        <v>781.83753787014427</v>
      </c>
      <c r="AL312" s="433">
        <f t="shared" si="20"/>
        <v>781.83753787014427</v>
      </c>
      <c r="AM312" s="433">
        <f t="shared" si="20"/>
        <v>781.83753787014427</v>
      </c>
      <c r="AN312" s="433">
        <f t="shared" si="20"/>
        <v>781.83753787014427</v>
      </c>
      <c r="AO312" s="433"/>
      <c r="AP312" s="433"/>
      <c r="AQ312" s="433"/>
    </row>
    <row r="313" spans="1:43" x14ac:dyDescent="0.25">
      <c r="A313" s="384" t="s">
        <v>840</v>
      </c>
      <c r="B313" s="384"/>
      <c r="C313" s="384"/>
      <c r="D313" s="384"/>
      <c r="E313" s="405"/>
      <c r="F313" s="405" t="s">
        <v>106</v>
      </c>
      <c r="G313" s="405" t="s">
        <v>803</v>
      </c>
      <c r="H313" s="405">
        <v>2030</v>
      </c>
      <c r="I313" t="s">
        <v>766</v>
      </c>
      <c r="J313" t="s">
        <v>767</v>
      </c>
      <c r="K313" s="401">
        <v>1</v>
      </c>
      <c r="M313" s="433">
        <f t="shared" ref="M313:AB317" si="21">M$240*$I$238</f>
        <v>781.83753787014427</v>
      </c>
      <c r="N313" s="433">
        <f t="shared" si="21"/>
        <v>781.83753787014427</v>
      </c>
      <c r="O313" s="433">
        <f t="shared" si="21"/>
        <v>781.83753787014427</v>
      </c>
      <c r="P313" s="433">
        <f t="shared" si="21"/>
        <v>781.83753787014427</v>
      </c>
      <c r="Q313" s="433">
        <f t="shared" si="21"/>
        <v>781.83753787014427</v>
      </c>
      <c r="R313" s="433">
        <f t="shared" si="21"/>
        <v>781.83753787014427</v>
      </c>
      <c r="S313" s="433">
        <f t="shared" si="21"/>
        <v>781.83753787014427</v>
      </c>
      <c r="T313" s="433">
        <f t="shared" si="21"/>
        <v>781.83753787014427</v>
      </c>
      <c r="U313" s="433">
        <f t="shared" si="21"/>
        <v>781.83753787014427</v>
      </c>
      <c r="V313" s="433">
        <f t="shared" si="21"/>
        <v>781.83753787014427</v>
      </c>
      <c r="W313" s="433">
        <f t="shared" si="21"/>
        <v>781.83753787014427</v>
      </c>
      <c r="X313" s="433">
        <f t="shared" si="21"/>
        <v>781.83753787014427</v>
      </c>
      <c r="Y313" s="433">
        <f t="shared" si="21"/>
        <v>781.83753787014427</v>
      </c>
      <c r="Z313" s="433">
        <f t="shared" si="21"/>
        <v>781.83753787014427</v>
      </c>
      <c r="AA313" s="433">
        <f t="shared" si="21"/>
        <v>781.83753787014427</v>
      </c>
      <c r="AB313" s="433">
        <f t="shared" si="21"/>
        <v>781.83753787014427</v>
      </c>
      <c r="AC313" s="433">
        <f t="shared" si="20"/>
        <v>781.83753787014427</v>
      </c>
      <c r="AD313" s="433">
        <f t="shared" si="20"/>
        <v>781.83753787014427</v>
      </c>
      <c r="AE313" s="433">
        <f t="shared" si="20"/>
        <v>781.83753787014427</v>
      </c>
      <c r="AF313" s="433">
        <f t="shared" si="20"/>
        <v>781.83753787014427</v>
      </c>
      <c r="AG313" s="433">
        <f t="shared" si="20"/>
        <v>781.83753787014427</v>
      </c>
      <c r="AH313" s="433">
        <f t="shared" si="20"/>
        <v>781.83753787014427</v>
      </c>
      <c r="AI313" s="433">
        <f t="shared" si="20"/>
        <v>781.83753787014427</v>
      </c>
      <c r="AJ313" s="433">
        <f t="shared" si="20"/>
        <v>781.83753787014427</v>
      </c>
      <c r="AK313" s="433">
        <f t="shared" si="20"/>
        <v>781.83753787014427</v>
      </c>
      <c r="AL313" s="433">
        <f t="shared" si="20"/>
        <v>781.83753787014427</v>
      </c>
      <c r="AM313" s="433">
        <f t="shared" si="20"/>
        <v>781.83753787014427</v>
      </c>
      <c r="AN313" s="433">
        <f t="shared" si="20"/>
        <v>781.83753787014427</v>
      </c>
      <c r="AO313" s="433"/>
      <c r="AP313" s="433"/>
      <c r="AQ313" s="433"/>
    </row>
    <row r="314" spans="1:43" x14ac:dyDescent="0.25">
      <c r="A314" s="384" t="s">
        <v>841</v>
      </c>
      <c r="B314" s="384"/>
      <c r="C314" s="384"/>
      <c r="D314" s="384"/>
      <c r="E314" s="405"/>
      <c r="F314" s="405" t="s">
        <v>106</v>
      </c>
      <c r="G314" s="405" t="s">
        <v>803</v>
      </c>
      <c r="H314" s="405">
        <v>2030</v>
      </c>
      <c r="I314" t="s">
        <v>129</v>
      </c>
      <c r="J314" t="s">
        <v>768</v>
      </c>
      <c r="K314" s="401">
        <v>1</v>
      </c>
      <c r="M314" s="433">
        <f t="shared" si="21"/>
        <v>781.83753787014427</v>
      </c>
      <c r="N314" s="433">
        <f t="shared" si="20"/>
        <v>781.83753787014427</v>
      </c>
      <c r="O314" s="433">
        <f t="shared" si="20"/>
        <v>781.83753787014427</v>
      </c>
      <c r="P314" s="433">
        <f t="shared" si="20"/>
        <v>781.83753787014427</v>
      </c>
      <c r="Q314" s="433">
        <f t="shared" si="20"/>
        <v>781.83753787014427</v>
      </c>
      <c r="R314" s="433">
        <f t="shared" si="20"/>
        <v>781.83753787014427</v>
      </c>
      <c r="S314" s="433">
        <f t="shared" si="20"/>
        <v>781.83753787014427</v>
      </c>
      <c r="T314" s="433">
        <f t="shared" si="20"/>
        <v>781.83753787014427</v>
      </c>
      <c r="U314" s="433">
        <f t="shared" si="20"/>
        <v>781.83753787014427</v>
      </c>
      <c r="V314" s="433">
        <f t="shared" si="20"/>
        <v>781.83753787014427</v>
      </c>
      <c r="W314" s="433">
        <f t="shared" si="20"/>
        <v>781.83753787014427</v>
      </c>
      <c r="X314" s="433">
        <f t="shared" si="20"/>
        <v>781.83753787014427</v>
      </c>
      <c r="Y314" s="433">
        <f t="shared" si="20"/>
        <v>781.83753787014427</v>
      </c>
      <c r="Z314" s="433">
        <f t="shared" si="20"/>
        <v>781.83753787014427</v>
      </c>
      <c r="AA314" s="433">
        <f t="shared" si="20"/>
        <v>781.83753787014427</v>
      </c>
      <c r="AB314" s="433">
        <f t="shared" si="20"/>
        <v>781.83753787014427</v>
      </c>
      <c r="AC314" s="433">
        <f t="shared" si="20"/>
        <v>781.83753787014427</v>
      </c>
      <c r="AD314" s="433">
        <f t="shared" si="20"/>
        <v>781.83753787014427</v>
      </c>
      <c r="AE314" s="433">
        <f t="shared" si="20"/>
        <v>781.83753787014427</v>
      </c>
      <c r="AF314" s="433">
        <f t="shared" si="20"/>
        <v>781.83753787014427</v>
      </c>
      <c r="AG314" s="433">
        <f t="shared" si="20"/>
        <v>781.83753787014427</v>
      </c>
      <c r="AH314" s="433">
        <f t="shared" si="20"/>
        <v>781.83753787014427</v>
      </c>
      <c r="AI314" s="433">
        <f t="shared" si="20"/>
        <v>781.83753787014427</v>
      </c>
      <c r="AJ314" s="433">
        <f t="shared" si="20"/>
        <v>781.83753787014427</v>
      </c>
      <c r="AK314" s="433">
        <f t="shared" si="20"/>
        <v>781.83753787014427</v>
      </c>
      <c r="AL314" s="433">
        <f t="shared" si="20"/>
        <v>781.83753787014427</v>
      </c>
      <c r="AM314" s="433">
        <f t="shared" si="20"/>
        <v>781.83753787014427</v>
      </c>
      <c r="AN314" s="433">
        <f t="shared" si="20"/>
        <v>781.83753787014427</v>
      </c>
      <c r="AO314" s="433"/>
      <c r="AP314" s="433"/>
      <c r="AQ314" s="433"/>
    </row>
    <row r="315" spans="1:43" x14ac:dyDescent="0.25">
      <c r="A315" s="384" t="s">
        <v>842</v>
      </c>
      <c r="B315" s="384"/>
      <c r="C315" s="384"/>
      <c r="D315" s="384"/>
      <c r="E315" s="405"/>
      <c r="F315" s="405" t="s">
        <v>106</v>
      </c>
      <c r="G315" s="405" t="s">
        <v>803</v>
      </c>
      <c r="H315" s="405">
        <v>2030</v>
      </c>
      <c r="I315" t="s">
        <v>769</v>
      </c>
      <c r="J315" t="s">
        <v>770</v>
      </c>
      <c r="K315" s="396">
        <v>1</v>
      </c>
      <c r="L315" s="210"/>
      <c r="M315" s="433">
        <f t="shared" si="21"/>
        <v>781.83753787014427</v>
      </c>
      <c r="N315" s="433">
        <f t="shared" si="20"/>
        <v>781.83753787014427</v>
      </c>
      <c r="O315" s="433">
        <f t="shared" si="20"/>
        <v>781.83753787014427</v>
      </c>
      <c r="P315" s="433">
        <f t="shared" si="20"/>
        <v>781.83753787014427</v>
      </c>
      <c r="Q315" s="433">
        <f t="shared" si="20"/>
        <v>781.83753787014427</v>
      </c>
      <c r="R315" s="433">
        <f t="shared" si="20"/>
        <v>781.83753787014427</v>
      </c>
      <c r="S315" s="433">
        <f t="shared" si="20"/>
        <v>781.83753787014427</v>
      </c>
      <c r="T315" s="433">
        <f t="shared" si="20"/>
        <v>781.83753787014427</v>
      </c>
      <c r="U315" s="433">
        <f t="shared" si="20"/>
        <v>781.83753787014427</v>
      </c>
      <c r="V315" s="433">
        <f t="shared" si="20"/>
        <v>781.83753787014427</v>
      </c>
      <c r="W315" s="433">
        <f t="shared" si="20"/>
        <v>781.83753787014427</v>
      </c>
      <c r="X315" s="433">
        <f t="shared" si="20"/>
        <v>781.83753787014427</v>
      </c>
      <c r="Y315" s="433">
        <f t="shared" si="20"/>
        <v>781.83753787014427</v>
      </c>
      <c r="Z315" s="433">
        <f t="shared" si="20"/>
        <v>781.83753787014427</v>
      </c>
      <c r="AA315" s="433">
        <f t="shared" si="20"/>
        <v>781.83753787014427</v>
      </c>
      <c r="AB315" s="433">
        <f t="shared" si="20"/>
        <v>781.83753787014427</v>
      </c>
      <c r="AC315" s="433">
        <f t="shared" si="20"/>
        <v>781.83753787014427</v>
      </c>
      <c r="AD315" s="433">
        <f t="shared" si="20"/>
        <v>781.83753787014427</v>
      </c>
      <c r="AE315" s="433">
        <f t="shared" si="20"/>
        <v>781.83753787014427</v>
      </c>
      <c r="AF315" s="433">
        <f t="shared" si="20"/>
        <v>781.83753787014427</v>
      </c>
      <c r="AG315" s="433">
        <f t="shared" si="20"/>
        <v>781.83753787014427</v>
      </c>
      <c r="AH315" s="433">
        <f t="shared" si="20"/>
        <v>781.83753787014427</v>
      </c>
      <c r="AI315" s="433">
        <f t="shared" si="20"/>
        <v>781.83753787014427</v>
      </c>
      <c r="AJ315" s="433">
        <f t="shared" si="20"/>
        <v>781.83753787014427</v>
      </c>
      <c r="AK315" s="433">
        <f t="shared" si="20"/>
        <v>781.83753787014427</v>
      </c>
      <c r="AL315" s="433">
        <f t="shared" si="20"/>
        <v>781.83753787014427</v>
      </c>
      <c r="AM315" s="433">
        <f t="shared" si="20"/>
        <v>781.83753787014427</v>
      </c>
      <c r="AN315" s="433">
        <f t="shared" si="20"/>
        <v>781.83753787014427</v>
      </c>
      <c r="AO315" s="433"/>
      <c r="AP315" s="433"/>
      <c r="AQ315" s="433"/>
    </row>
    <row r="316" spans="1:43" x14ac:dyDescent="0.25">
      <c r="A316" s="384" t="s">
        <v>843</v>
      </c>
      <c r="B316" s="384"/>
      <c r="C316" s="384"/>
      <c r="D316" s="384"/>
      <c r="E316" s="405"/>
      <c r="F316" s="405" t="s">
        <v>106</v>
      </c>
      <c r="G316" s="405" t="s">
        <v>803</v>
      </c>
      <c r="H316" s="405">
        <v>2030</v>
      </c>
      <c r="I316" t="s">
        <v>771</v>
      </c>
      <c r="J316" t="s">
        <v>331</v>
      </c>
      <c r="K316" s="401">
        <v>1</v>
      </c>
      <c r="M316" s="433">
        <f t="shared" si="21"/>
        <v>781.83753787014427</v>
      </c>
      <c r="N316" s="433">
        <f t="shared" si="20"/>
        <v>781.83753787014427</v>
      </c>
      <c r="O316" s="433">
        <f t="shared" si="20"/>
        <v>781.83753787014427</v>
      </c>
      <c r="P316" s="433">
        <f t="shared" si="20"/>
        <v>781.83753787014427</v>
      </c>
      <c r="Q316" s="433">
        <f t="shared" si="20"/>
        <v>781.83753787014427</v>
      </c>
      <c r="R316" s="433">
        <f t="shared" si="20"/>
        <v>781.83753787014427</v>
      </c>
      <c r="S316" s="433">
        <f t="shared" si="20"/>
        <v>781.83753787014427</v>
      </c>
      <c r="T316" s="433">
        <f t="shared" si="20"/>
        <v>781.83753787014427</v>
      </c>
      <c r="U316" s="433">
        <f t="shared" si="20"/>
        <v>781.83753787014427</v>
      </c>
      <c r="V316" s="433">
        <f t="shared" si="20"/>
        <v>781.83753787014427</v>
      </c>
      <c r="W316" s="433">
        <f t="shared" si="20"/>
        <v>781.83753787014427</v>
      </c>
      <c r="X316" s="433">
        <f t="shared" si="20"/>
        <v>781.83753787014427</v>
      </c>
      <c r="Y316" s="433">
        <f t="shared" si="20"/>
        <v>781.83753787014427</v>
      </c>
      <c r="Z316" s="433">
        <f t="shared" si="20"/>
        <v>781.83753787014427</v>
      </c>
      <c r="AA316" s="433">
        <f t="shared" si="20"/>
        <v>781.83753787014427</v>
      </c>
      <c r="AB316" s="433">
        <f t="shared" si="20"/>
        <v>781.83753787014427</v>
      </c>
      <c r="AC316" s="433">
        <f t="shared" si="20"/>
        <v>781.83753787014427</v>
      </c>
      <c r="AD316" s="433">
        <f t="shared" si="20"/>
        <v>781.83753787014427</v>
      </c>
      <c r="AE316" s="433">
        <f t="shared" si="20"/>
        <v>781.83753787014427</v>
      </c>
      <c r="AF316" s="433">
        <f t="shared" si="20"/>
        <v>781.83753787014427</v>
      </c>
      <c r="AG316" s="433">
        <f t="shared" si="20"/>
        <v>781.83753787014427</v>
      </c>
      <c r="AH316" s="433">
        <f t="shared" si="20"/>
        <v>781.83753787014427</v>
      </c>
      <c r="AI316" s="433">
        <f t="shared" si="20"/>
        <v>781.83753787014427</v>
      </c>
      <c r="AJ316" s="433">
        <f t="shared" si="20"/>
        <v>781.83753787014427</v>
      </c>
      <c r="AK316" s="433">
        <f t="shared" si="20"/>
        <v>781.83753787014427</v>
      </c>
      <c r="AL316" s="433">
        <f t="shared" si="20"/>
        <v>781.83753787014427</v>
      </c>
      <c r="AM316" s="433">
        <f t="shared" si="20"/>
        <v>781.83753787014427</v>
      </c>
      <c r="AN316" s="433">
        <f t="shared" si="20"/>
        <v>781.83753787014427</v>
      </c>
      <c r="AO316" s="433"/>
      <c r="AP316" s="433"/>
      <c r="AQ316" s="433"/>
    </row>
    <row r="317" spans="1:43" x14ac:dyDescent="0.25">
      <c r="A317" s="384" t="s">
        <v>844</v>
      </c>
      <c r="B317" s="384"/>
      <c r="C317" s="384"/>
      <c r="D317" s="384"/>
      <c r="F317" s="9" t="s">
        <v>106</v>
      </c>
      <c r="G317" s="405" t="s">
        <v>803</v>
      </c>
      <c r="H317" s="405">
        <v>2030</v>
      </c>
      <c r="I317" t="s">
        <v>116</v>
      </c>
      <c r="J317" t="s">
        <v>772</v>
      </c>
      <c r="K317" s="401">
        <v>1</v>
      </c>
      <c r="M317" s="433">
        <f t="shared" si="21"/>
        <v>781.83753787014427</v>
      </c>
      <c r="N317" s="433">
        <f t="shared" si="20"/>
        <v>781.83753787014427</v>
      </c>
      <c r="O317" s="433">
        <f t="shared" si="20"/>
        <v>781.83753787014427</v>
      </c>
      <c r="P317" s="433">
        <f t="shared" si="20"/>
        <v>781.83753787014427</v>
      </c>
      <c r="Q317" s="433">
        <f t="shared" si="20"/>
        <v>781.83753787014427</v>
      </c>
      <c r="R317" s="433">
        <f t="shared" si="20"/>
        <v>781.83753787014427</v>
      </c>
      <c r="S317" s="433">
        <f t="shared" si="20"/>
        <v>781.83753787014427</v>
      </c>
      <c r="T317" s="433">
        <f t="shared" si="20"/>
        <v>781.83753787014427</v>
      </c>
      <c r="U317" s="433">
        <f t="shared" si="20"/>
        <v>781.83753787014427</v>
      </c>
      <c r="V317" s="433">
        <f t="shared" si="20"/>
        <v>781.83753787014427</v>
      </c>
      <c r="W317" s="433">
        <f t="shared" si="20"/>
        <v>781.83753787014427</v>
      </c>
      <c r="X317" s="433">
        <f t="shared" si="20"/>
        <v>781.83753787014427</v>
      </c>
      <c r="Y317" s="433">
        <f t="shared" si="20"/>
        <v>781.83753787014427</v>
      </c>
      <c r="Z317" s="433">
        <f t="shared" si="20"/>
        <v>781.83753787014427</v>
      </c>
      <c r="AA317" s="433">
        <f t="shared" si="20"/>
        <v>781.83753787014427</v>
      </c>
      <c r="AB317" s="433">
        <f t="shared" si="20"/>
        <v>781.83753787014427</v>
      </c>
      <c r="AC317" s="433">
        <f t="shared" si="20"/>
        <v>781.83753787014427</v>
      </c>
      <c r="AD317" s="433">
        <f t="shared" si="20"/>
        <v>781.83753787014427</v>
      </c>
      <c r="AE317" s="433">
        <f t="shared" si="20"/>
        <v>781.83753787014427</v>
      </c>
      <c r="AF317" s="433">
        <f t="shared" si="20"/>
        <v>781.83753787014427</v>
      </c>
      <c r="AG317" s="433">
        <f t="shared" si="20"/>
        <v>781.83753787014427</v>
      </c>
      <c r="AH317" s="433">
        <f t="shared" si="20"/>
        <v>781.83753787014427</v>
      </c>
      <c r="AI317" s="433">
        <f t="shared" si="20"/>
        <v>781.83753787014427</v>
      </c>
      <c r="AJ317" s="433">
        <f t="shared" si="20"/>
        <v>781.83753787014427</v>
      </c>
      <c r="AK317" s="433">
        <f t="shared" si="20"/>
        <v>781.83753787014427</v>
      </c>
      <c r="AL317" s="433">
        <f t="shared" si="20"/>
        <v>781.83753787014427</v>
      </c>
      <c r="AM317" s="433">
        <f t="shared" si="20"/>
        <v>781.83753787014427</v>
      </c>
      <c r="AN317" s="433">
        <f t="shared" si="20"/>
        <v>781.83753787014427</v>
      </c>
      <c r="AO317" s="433"/>
      <c r="AP317" s="433"/>
      <c r="AQ317" s="433"/>
    </row>
    <row r="318" spans="1:43" x14ac:dyDescent="0.25">
      <c r="A318" s="384" t="s">
        <v>839</v>
      </c>
      <c r="B318" s="384"/>
      <c r="C318" s="384"/>
      <c r="D318" s="384"/>
      <c r="E318" s="405" t="s">
        <v>105</v>
      </c>
      <c r="F318" s="405" t="s">
        <v>106</v>
      </c>
      <c r="G318" s="405" t="s">
        <v>803</v>
      </c>
      <c r="H318" s="405">
        <v>2050</v>
      </c>
      <c r="I318" t="s">
        <v>125</v>
      </c>
      <c r="J318" t="s">
        <v>350</v>
      </c>
      <c r="K318" s="396">
        <v>1</v>
      </c>
      <c r="L318" s="210"/>
      <c r="M318" s="433">
        <f>M$241*$I$238</f>
        <v>693.42490002661236</v>
      </c>
      <c r="N318" s="433">
        <f t="shared" ref="N318:AN323" si="22">N$241*$I$238</f>
        <v>693.42490002661236</v>
      </c>
      <c r="O318" s="433">
        <f t="shared" si="22"/>
        <v>693.42490002661236</v>
      </c>
      <c r="P318" s="433">
        <f t="shared" si="22"/>
        <v>693.42490002661236</v>
      </c>
      <c r="Q318" s="433">
        <f t="shared" si="22"/>
        <v>693.42490002661236</v>
      </c>
      <c r="R318" s="433">
        <f t="shared" si="22"/>
        <v>693.42490002661236</v>
      </c>
      <c r="S318" s="433">
        <f t="shared" si="22"/>
        <v>693.42490002661236</v>
      </c>
      <c r="T318" s="433">
        <f t="shared" si="22"/>
        <v>693.42490002661236</v>
      </c>
      <c r="U318" s="433">
        <f t="shared" si="22"/>
        <v>693.42490002661236</v>
      </c>
      <c r="V318" s="433">
        <f t="shared" si="22"/>
        <v>693.42490002661236</v>
      </c>
      <c r="W318" s="433">
        <f t="shared" si="22"/>
        <v>693.42490002661236</v>
      </c>
      <c r="X318" s="433">
        <f t="shared" si="22"/>
        <v>693.42490002661236</v>
      </c>
      <c r="Y318" s="433">
        <f t="shared" si="22"/>
        <v>693.42490002661236</v>
      </c>
      <c r="Z318" s="433">
        <f t="shared" si="22"/>
        <v>693.42490002661236</v>
      </c>
      <c r="AA318" s="433">
        <f t="shared" si="22"/>
        <v>693.42490002661236</v>
      </c>
      <c r="AB318" s="433">
        <f t="shared" si="22"/>
        <v>693.42490002661236</v>
      </c>
      <c r="AC318" s="433">
        <f t="shared" si="22"/>
        <v>693.42490002661236</v>
      </c>
      <c r="AD318" s="433">
        <f t="shared" si="22"/>
        <v>693.42490002661236</v>
      </c>
      <c r="AE318" s="433">
        <f t="shared" si="22"/>
        <v>693.42490002661236</v>
      </c>
      <c r="AF318" s="433">
        <f t="shared" si="22"/>
        <v>693.42490002661236</v>
      </c>
      <c r="AG318" s="433">
        <f t="shared" si="22"/>
        <v>693.42490002661236</v>
      </c>
      <c r="AH318" s="433">
        <f t="shared" si="22"/>
        <v>693.42490002661236</v>
      </c>
      <c r="AI318" s="433">
        <f t="shared" si="22"/>
        <v>693.42490002661236</v>
      </c>
      <c r="AJ318" s="433">
        <f t="shared" si="22"/>
        <v>693.42490002661236</v>
      </c>
      <c r="AK318" s="433">
        <f t="shared" si="22"/>
        <v>693.42490002661236</v>
      </c>
      <c r="AL318" s="433">
        <f t="shared" si="22"/>
        <v>693.42490002661236</v>
      </c>
      <c r="AM318" s="433">
        <f t="shared" si="22"/>
        <v>693.42490002661236</v>
      </c>
      <c r="AN318" s="433">
        <f t="shared" si="22"/>
        <v>693.42490002661236</v>
      </c>
      <c r="AO318" s="433"/>
      <c r="AP318" s="433"/>
      <c r="AQ318" s="433"/>
    </row>
    <row r="319" spans="1:43" x14ac:dyDescent="0.25">
      <c r="A319" s="384" t="s">
        <v>840</v>
      </c>
      <c r="B319" s="384"/>
      <c r="C319" s="384"/>
      <c r="D319" s="384"/>
      <c r="E319" s="405"/>
      <c r="F319" s="405" t="s">
        <v>106</v>
      </c>
      <c r="G319" s="405" t="s">
        <v>803</v>
      </c>
      <c r="H319" s="405">
        <v>2050</v>
      </c>
      <c r="I319" t="s">
        <v>766</v>
      </c>
      <c r="J319" t="s">
        <v>767</v>
      </c>
      <c r="K319" s="401">
        <v>1</v>
      </c>
      <c r="M319" s="433">
        <f t="shared" ref="M319:AB323" si="23">M$241*$I$238</f>
        <v>693.42490002661236</v>
      </c>
      <c r="N319" s="433">
        <f t="shared" si="23"/>
        <v>693.42490002661236</v>
      </c>
      <c r="O319" s="433">
        <f t="shared" si="23"/>
        <v>693.42490002661236</v>
      </c>
      <c r="P319" s="433">
        <f t="shared" si="23"/>
        <v>693.42490002661236</v>
      </c>
      <c r="Q319" s="433">
        <f t="shared" si="23"/>
        <v>693.42490002661236</v>
      </c>
      <c r="R319" s="433">
        <f t="shared" si="23"/>
        <v>693.42490002661236</v>
      </c>
      <c r="S319" s="433">
        <f t="shared" si="23"/>
        <v>693.42490002661236</v>
      </c>
      <c r="T319" s="433">
        <f t="shared" si="23"/>
        <v>693.42490002661236</v>
      </c>
      <c r="U319" s="433">
        <f t="shared" si="23"/>
        <v>693.42490002661236</v>
      </c>
      <c r="V319" s="433">
        <f t="shared" si="23"/>
        <v>693.42490002661236</v>
      </c>
      <c r="W319" s="433">
        <f t="shared" si="23"/>
        <v>693.42490002661236</v>
      </c>
      <c r="X319" s="433">
        <f t="shared" si="23"/>
        <v>693.42490002661236</v>
      </c>
      <c r="Y319" s="433">
        <f t="shared" si="23"/>
        <v>693.42490002661236</v>
      </c>
      <c r="Z319" s="433">
        <f t="shared" si="23"/>
        <v>693.42490002661236</v>
      </c>
      <c r="AA319" s="433">
        <f t="shared" si="23"/>
        <v>693.42490002661236</v>
      </c>
      <c r="AB319" s="433">
        <f t="shared" si="23"/>
        <v>693.42490002661236</v>
      </c>
      <c r="AC319" s="433">
        <f t="shared" si="22"/>
        <v>693.42490002661236</v>
      </c>
      <c r="AD319" s="433">
        <f t="shared" si="22"/>
        <v>693.42490002661236</v>
      </c>
      <c r="AE319" s="433">
        <f t="shared" si="22"/>
        <v>693.42490002661236</v>
      </c>
      <c r="AF319" s="433">
        <f t="shared" si="22"/>
        <v>693.42490002661236</v>
      </c>
      <c r="AG319" s="433">
        <f t="shared" si="22"/>
        <v>693.42490002661236</v>
      </c>
      <c r="AH319" s="433">
        <f t="shared" si="22"/>
        <v>693.42490002661236</v>
      </c>
      <c r="AI319" s="433">
        <f t="shared" si="22"/>
        <v>693.42490002661236</v>
      </c>
      <c r="AJ319" s="433">
        <f t="shared" si="22"/>
        <v>693.42490002661236</v>
      </c>
      <c r="AK319" s="433">
        <f t="shared" si="22"/>
        <v>693.42490002661236</v>
      </c>
      <c r="AL319" s="433">
        <f t="shared" si="22"/>
        <v>693.42490002661236</v>
      </c>
      <c r="AM319" s="433">
        <f t="shared" si="22"/>
        <v>693.42490002661236</v>
      </c>
      <c r="AN319" s="433">
        <f t="shared" si="22"/>
        <v>693.42490002661236</v>
      </c>
      <c r="AO319" s="433"/>
      <c r="AP319" s="433"/>
      <c r="AQ319" s="433"/>
    </row>
    <row r="320" spans="1:43" x14ac:dyDescent="0.25">
      <c r="A320" s="384" t="s">
        <v>841</v>
      </c>
      <c r="B320" s="384"/>
      <c r="C320" s="384"/>
      <c r="D320" s="384"/>
      <c r="E320" s="405"/>
      <c r="F320" s="405" t="s">
        <v>106</v>
      </c>
      <c r="G320" s="405" t="s">
        <v>803</v>
      </c>
      <c r="H320" s="405">
        <v>2050</v>
      </c>
      <c r="I320" t="s">
        <v>129</v>
      </c>
      <c r="J320" t="s">
        <v>768</v>
      </c>
      <c r="K320" s="401">
        <v>1</v>
      </c>
      <c r="M320" s="433">
        <f t="shared" si="23"/>
        <v>693.42490002661236</v>
      </c>
      <c r="N320" s="433">
        <f t="shared" si="22"/>
        <v>693.42490002661236</v>
      </c>
      <c r="O320" s="433">
        <f t="shared" si="22"/>
        <v>693.42490002661236</v>
      </c>
      <c r="P320" s="433">
        <f t="shared" si="22"/>
        <v>693.42490002661236</v>
      </c>
      <c r="Q320" s="433">
        <f t="shared" si="22"/>
        <v>693.42490002661236</v>
      </c>
      <c r="R320" s="433">
        <f t="shared" si="22"/>
        <v>693.42490002661236</v>
      </c>
      <c r="S320" s="433">
        <f t="shared" si="22"/>
        <v>693.42490002661236</v>
      </c>
      <c r="T320" s="433">
        <f t="shared" si="22"/>
        <v>693.42490002661236</v>
      </c>
      <c r="U320" s="433">
        <f t="shared" si="22"/>
        <v>693.42490002661236</v>
      </c>
      <c r="V320" s="433">
        <f t="shared" si="22"/>
        <v>693.42490002661236</v>
      </c>
      <c r="W320" s="433">
        <f t="shared" si="22"/>
        <v>693.42490002661236</v>
      </c>
      <c r="X320" s="433">
        <f t="shared" si="22"/>
        <v>693.42490002661236</v>
      </c>
      <c r="Y320" s="433">
        <f t="shared" si="22"/>
        <v>693.42490002661236</v>
      </c>
      <c r="Z320" s="433">
        <f t="shared" si="22"/>
        <v>693.42490002661236</v>
      </c>
      <c r="AA320" s="433">
        <f t="shared" si="22"/>
        <v>693.42490002661236</v>
      </c>
      <c r="AB320" s="433">
        <f t="shared" si="22"/>
        <v>693.42490002661236</v>
      </c>
      <c r="AC320" s="433">
        <f t="shared" si="22"/>
        <v>693.42490002661236</v>
      </c>
      <c r="AD320" s="433">
        <f t="shared" si="22"/>
        <v>693.42490002661236</v>
      </c>
      <c r="AE320" s="433">
        <f t="shared" si="22"/>
        <v>693.42490002661236</v>
      </c>
      <c r="AF320" s="433">
        <f t="shared" si="22"/>
        <v>693.42490002661236</v>
      </c>
      <c r="AG320" s="433">
        <f t="shared" si="22"/>
        <v>693.42490002661236</v>
      </c>
      <c r="AH320" s="433">
        <f t="shared" si="22"/>
        <v>693.42490002661236</v>
      </c>
      <c r="AI320" s="433">
        <f t="shared" si="22"/>
        <v>693.42490002661236</v>
      </c>
      <c r="AJ320" s="433">
        <f t="shared" si="22"/>
        <v>693.42490002661236</v>
      </c>
      <c r="AK320" s="433">
        <f t="shared" si="22"/>
        <v>693.42490002661236</v>
      </c>
      <c r="AL320" s="433">
        <f t="shared" si="22"/>
        <v>693.42490002661236</v>
      </c>
      <c r="AM320" s="433">
        <f t="shared" si="22"/>
        <v>693.42490002661236</v>
      </c>
      <c r="AN320" s="433">
        <f t="shared" si="22"/>
        <v>693.42490002661236</v>
      </c>
      <c r="AO320" s="433"/>
      <c r="AP320" s="433"/>
      <c r="AQ320" s="433"/>
    </row>
    <row r="321" spans="1:43" x14ac:dyDescent="0.25">
      <c r="A321" s="384" t="s">
        <v>842</v>
      </c>
      <c r="B321" s="384"/>
      <c r="C321" s="384"/>
      <c r="D321" s="384"/>
      <c r="E321" s="405"/>
      <c r="F321" s="405" t="s">
        <v>106</v>
      </c>
      <c r="G321" s="405" t="s">
        <v>803</v>
      </c>
      <c r="H321" s="405">
        <v>2050</v>
      </c>
      <c r="I321" t="s">
        <v>769</v>
      </c>
      <c r="J321" t="s">
        <v>770</v>
      </c>
      <c r="K321" s="396">
        <v>1</v>
      </c>
      <c r="L321" s="210"/>
      <c r="M321" s="433">
        <f t="shared" si="23"/>
        <v>693.42490002661236</v>
      </c>
      <c r="N321" s="433">
        <f t="shared" si="22"/>
        <v>693.42490002661236</v>
      </c>
      <c r="O321" s="433">
        <f t="shared" si="22"/>
        <v>693.42490002661236</v>
      </c>
      <c r="P321" s="433">
        <f t="shared" si="22"/>
        <v>693.42490002661236</v>
      </c>
      <c r="Q321" s="433">
        <f t="shared" si="22"/>
        <v>693.42490002661236</v>
      </c>
      <c r="R321" s="433">
        <f t="shared" si="22"/>
        <v>693.42490002661236</v>
      </c>
      <c r="S321" s="433">
        <f t="shared" si="22"/>
        <v>693.42490002661236</v>
      </c>
      <c r="T321" s="433">
        <f t="shared" si="22"/>
        <v>693.42490002661236</v>
      </c>
      <c r="U321" s="433">
        <f t="shared" si="22"/>
        <v>693.42490002661236</v>
      </c>
      <c r="V321" s="433">
        <f t="shared" si="22"/>
        <v>693.42490002661236</v>
      </c>
      <c r="W321" s="433">
        <f t="shared" si="22"/>
        <v>693.42490002661236</v>
      </c>
      <c r="X321" s="433">
        <f t="shared" si="22"/>
        <v>693.42490002661236</v>
      </c>
      <c r="Y321" s="433">
        <f t="shared" si="22"/>
        <v>693.42490002661236</v>
      </c>
      <c r="Z321" s="433">
        <f t="shared" si="22"/>
        <v>693.42490002661236</v>
      </c>
      <c r="AA321" s="433">
        <f t="shared" si="22"/>
        <v>693.42490002661236</v>
      </c>
      <c r="AB321" s="433">
        <f t="shared" si="22"/>
        <v>693.42490002661236</v>
      </c>
      <c r="AC321" s="433">
        <f t="shared" si="22"/>
        <v>693.42490002661236</v>
      </c>
      <c r="AD321" s="433">
        <f t="shared" si="22"/>
        <v>693.42490002661236</v>
      </c>
      <c r="AE321" s="433">
        <f t="shared" si="22"/>
        <v>693.42490002661236</v>
      </c>
      <c r="AF321" s="433">
        <f t="shared" si="22"/>
        <v>693.42490002661236</v>
      </c>
      <c r="AG321" s="433">
        <f t="shared" si="22"/>
        <v>693.42490002661236</v>
      </c>
      <c r="AH321" s="433">
        <f t="shared" si="22"/>
        <v>693.42490002661236</v>
      </c>
      <c r="AI321" s="433">
        <f t="shared" si="22"/>
        <v>693.42490002661236</v>
      </c>
      <c r="AJ321" s="433">
        <f t="shared" si="22"/>
        <v>693.42490002661236</v>
      </c>
      <c r="AK321" s="433">
        <f t="shared" si="22"/>
        <v>693.42490002661236</v>
      </c>
      <c r="AL321" s="433">
        <f t="shared" si="22"/>
        <v>693.42490002661236</v>
      </c>
      <c r="AM321" s="433">
        <f t="shared" si="22"/>
        <v>693.42490002661236</v>
      </c>
      <c r="AN321" s="433">
        <f t="shared" si="22"/>
        <v>693.42490002661236</v>
      </c>
      <c r="AO321" s="433"/>
      <c r="AP321" s="433"/>
      <c r="AQ321" s="433"/>
    </row>
    <row r="322" spans="1:43" x14ac:dyDescent="0.25">
      <c r="A322" s="384" t="s">
        <v>843</v>
      </c>
      <c r="B322" s="384"/>
      <c r="C322" s="384"/>
      <c r="D322" s="384"/>
      <c r="E322" s="405"/>
      <c r="F322" s="405" t="s">
        <v>106</v>
      </c>
      <c r="G322" s="405" t="s">
        <v>803</v>
      </c>
      <c r="H322" s="405">
        <v>2050</v>
      </c>
      <c r="I322" t="s">
        <v>771</v>
      </c>
      <c r="J322" t="s">
        <v>331</v>
      </c>
      <c r="K322" s="401">
        <v>1</v>
      </c>
      <c r="M322" s="433">
        <f t="shared" si="23"/>
        <v>693.42490002661236</v>
      </c>
      <c r="N322" s="433">
        <f t="shared" si="22"/>
        <v>693.42490002661236</v>
      </c>
      <c r="O322" s="433">
        <f t="shared" si="22"/>
        <v>693.42490002661236</v>
      </c>
      <c r="P322" s="433">
        <f t="shared" si="22"/>
        <v>693.42490002661236</v>
      </c>
      <c r="Q322" s="433">
        <f t="shared" si="22"/>
        <v>693.42490002661236</v>
      </c>
      <c r="R322" s="433">
        <f t="shared" si="22"/>
        <v>693.42490002661236</v>
      </c>
      <c r="S322" s="433">
        <f t="shared" si="22"/>
        <v>693.42490002661236</v>
      </c>
      <c r="T322" s="433">
        <f t="shared" si="22"/>
        <v>693.42490002661236</v>
      </c>
      <c r="U322" s="433">
        <f t="shared" si="22"/>
        <v>693.42490002661236</v>
      </c>
      <c r="V322" s="433">
        <f t="shared" si="22"/>
        <v>693.42490002661236</v>
      </c>
      <c r="W322" s="433">
        <f t="shared" si="22"/>
        <v>693.42490002661236</v>
      </c>
      <c r="X322" s="433">
        <f t="shared" si="22"/>
        <v>693.42490002661236</v>
      </c>
      <c r="Y322" s="433">
        <f t="shared" si="22"/>
        <v>693.42490002661236</v>
      </c>
      <c r="Z322" s="433">
        <f t="shared" si="22"/>
        <v>693.42490002661236</v>
      </c>
      <c r="AA322" s="433">
        <f t="shared" si="22"/>
        <v>693.42490002661236</v>
      </c>
      <c r="AB322" s="433">
        <f t="shared" si="22"/>
        <v>693.42490002661236</v>
      </c>
      <c r="AC322" s="433">
        <f t="shared" si="22"/>
        <v>693.42490002661236</v>
      </c>
      <c r="AD322" s="433">
        <f t="shared" si="22"/>
        <v>693.42490002661236</v>
      </c>
      <c r="AE322" s="433">
        <f t="shared" si="22"/>
        <v>693.42490002661236</v>
      </c>
      <c r="AF322" s="433">
        <f t="shared" si="22"/>
        <v>693.42490002661236</v>
      </c>
      <c r="AG322" s="433">
        <f t="shared" si="22"/>
        <v>693.42490002661236</v>
      </c>
      <c r="AH322" s="433">
        <f t="shared" si="22"/>
        <v>693.42490002661236</v>
      </c>
      <c r="AI322" s="433">
        <f t="shared" si="22"/>
        <v>693.42490002661236</v>
      </c>
      <c r="AJ322" s="433">
        <f t="shared" si="22"/>
        <v>693.42490002661236</v>
      </c>
      <c r="AK322" s="433">
        <f t="shared" si="22"/>
        <v>693.42490002661236</v>
      </c>
      <c r="AL322" s="433">
        <f t="shared" si="22"/>
        <v>693.42490002661236</v>
      </c>
      <c r="AM322" s="433">
        <f t="shared" si="22"/>
        <v>693.42490002661236</v>
      </c>
      <c r="AN322" s="433">
        <f t="shared" si="22"/>
        <v>693.42490002661236</v>
      </c>
      <c r="AO322" s="433"/>
      <c r="AP322" s="433"/>
      <c r="AQ322" s="433"/>
    </row>
    <row r="323" spans="1:43" x14ac:dyDescent="0.25">
      <c r="A323" s="384" t="s">
        <v>844</v>
      </c>
      <c r="B323" s="384"/>
      <c r="C323" s="384"/>
      <c r="D323" s="384"/>
      <c r="F323" s="9" t="s">
        <v>106</v>
      </c>
      <c r="G323" s="405" t="s">
        <v>803</v>
      </c>
      <c r="H323" s="405">
        <v>2050</v>
      </c>
      <c r="I323" t="s">
        <v>116</v>
      </c>
      <c r="J323" t="s">
        <v>772</v>
      </c>
      <c r="K323" s="401">
        <v>1</v>
      </c>
      <c r="M323" s="433">
        <f t="shared" si="23"/>
        <v>693.42490002661236</v>
      </c>
      <c r="N323" s="433">
        <f t="shared" si="22"/>
        <v>693.42490002661236</v>
      </c>
      <c r="O323" s="433">
        <f t="shared" si="22"/>
        <v>693.42490002661236</v>
      </c>
      <c r="P323" s="433">
        <f t="shared" si="22"/>
        <v>693.42490002661236</v>
      </c>
      <c r="Q323" s="433">
        <f t="shared" si="22"/>
        <v>693.42490002661236</v>
      </c>
      <c r="R323" s="433">
        <f t="shared" si="22"/>
        <v>693.42490002661236</v>
      </c>
      <c r="S323" s="433">
        <f t="shared" si="22"/>
        <v>693.42490002661236</v>
      </c>
      <c r="T323" s="433">
        <f t="shared" si="22"/>
        <v>693.42490002661236</v>
      </c>
      <c r="U323" s="433">
        <f t="shared" si="22"/>
        <v>693.42490002661236</v>
      </c>
      <c r="V323" s="433">
        <f t="shared" si="22"/>
        <v>693.42490002661236</v>
      </c>
      <c r="W323" s="433">
        <f t="shared" si="22"/>
        <v>693.42490002661236</v>
      </c>
      <c r="X323" s="433">
        <f t="shared" si="22"/>
        <v>693.42490002661236</v>
      </c>
      <c r="Y323" s="433">
        <f t="shared" si="22"/>
        <v>693.42490002661236</v>
      </c>
      <c r="Z323" s="433">
        <f t="shared" si="22"/>
        <v>693.42490002661236</v>
      </c>
      <c r="AA323" s="433">
        <f t="shared" si="22"/>
        <v>693.42490002661236</v>
      </c>
      <c r="AB323" s="433">
        <f t="shared" si="22"/>
        <v>693.42490002661236</v>
      </c>
      <c r="AC323" s="433">
        <f t="shared" si="22"/>
        <v>693.42490002661236</v>
      </c>
      <c r="AD323" s="433">
        <f t="shared" si="22"/>
        <v>693.42490002661236</v>
      </c>
      <c r="AE323" s="433">
        <f t="shared" si="22"/>
        <v>693.42490002661236</v>
      </c>
      <c r="AF323" s="433">
        <f t="shared" si="22"/>
        <v>693.42490002661236</v>
      </c>
      <c r="AG323" s="433">
        <f t="shared" si="22"/>
        <v>693.42490002661236</v>
      </c>
      <c r="AH323" s="433">
        <f t="shared" si="22"/>
        <v>693.42490002661236</v>
      </c>
      <c r="AI323" s="433">
        <f t="shared" si="22"/>
        <v>693.42490002661236</v>
      </c>
      <c r="AJ323" s="433">
        <f t="shared" si="22"/>
        <v>693.42490002661236</v>
      </c>
      <c r="AK323" s="433">
        <f t="shared" si="22"/>
        <v>693.42490002661236</v>
      </c>
      <c r="AL323" s="433">
        <f t="shared" si="22"/>
        <v>693.42490002661236</v>
      </c>
      <c r="AM323" s="433">
        <f t="shared" si="22"/>
        <v>693.42490002661236</v>
      </c>
      <c r="AN323" s="433">
        <f t="shared" si="22"/>
        <v>693.42490002661236</v>
      </c>
      <c r="AO323" s="433"/>
      <c r="AP323" s="433"/>
      <c r="AQ323" s="433"/>
    </row>
    <row r="324" spans="1:43" x14ac:dyDescent="0.25">
      <c r="A324" s="384" t="s">
        <v>845</v>
      </c>
      <c r="B324" s="384"/>
      <c r="C324" s="384"/>
      <c r="D324" s="384"/>
      <c r="E324" s="405" t="s">
        <v>105</v>
      </c>
      <c r="F324" s="405" t="s">
        <v>106</v>
      </c>
      <c r="G324" s="405" t="s">
        <v>805</v>
      </c>
      <c r="H324" s="405">
        <v>2030</v>
      </c>
      <c r="I324" t="s">
        <v>125</v>
      </c>
      <c r="J324" t="s">
        <v>350</v>
      </c>
      <c r="K324" s="396">
        <v>1</v>
      </c>
      <c r="L324" s="210"/>
      <c r="M324" s="433">
        <f>M$242*$I$238</f>
        <v>1588.3140891800003</v>
      </c>
      <c r="N324" s="433">
        <f t="shared" ref="N324:AN330" si="24">N$242*$I$238</f>
        <v>1588.3140891800003</v>
      </c>
      <c r="O324" s="433">
        <f t="shared" si="24"/>
        <v>1588.3140891800003</v>
      </c>
      <c r="P324" s="433">
        <f t="shared" si="24"/>
        <v>1588.3140891800003</v>
      </c>
      <c r="Q324" s="433">
        <f t="shared" si="24"/>
        <v>1588.3140891800003</v>
      </c>
      <c r="R324" s="433">
        <f t="shared" si="24"/>
        <v>1588.3140891800003</v>
      </c>
      <c r="S324" s="433">
        <f t="shared" si="24"/>
        <v>1588.3140891800003</v>
      </c>
      <c r="T324" s="433">
        <f t="shared" si="24"/>
        <v>1588.3140891800003</v>
      </c>
      <c r="U324" s="433">
        <f t="shared" si="24"/>
        <v>1588.3140891800003</v>
      </c>
      <c r="V324" s="433">
        <f t="shared" si="24"/>
        <v>1588.3140891800003</v>
      </c>
      <c r="W324" s="433">
        <f t="shared" si="24"/>
        <v>1588.3140891800003</v>
      </c>
      <c r="X324" s="433">
        <f t="shared" si="24"/>
        <v>1588.3140891800003</v>
      </c>
      <c r="Y324" s="433">
        <f t="shared" si="24"/>
        <v>1588.3140891800003</v>
      </c>
      <c r="Z324" s="433">
        <f t="shared" si="24"/>
        <v>1588.3140891800003</v>
      </c>
      <c r="AA324" s="433">
        <f t="shared" si="24"/>
        <v>1588.3140891800003</v>
      </c>
      <c r="AB324" s="433">
        <f t="shared" si="24"/>
        <v>1588.3140891800003</v>
      </c>
      <c r="AC324" s="433">
        <f t="shared" si="24"/>
        <v>1588.3140891800003</v>
      </c>
      <c r="AD324" s="433">
        <f t="shared" si="24"/>
        <v>1588.3140891800003</v>
      </c>
      <c r="AE324" s="433">
        <f t="shared" si="24"/>
        <v>1588.3140891800003</v>
      </c>
      <c r="AF324" s="433">
        <f t="shared" si="24"/>
        <v>1588.3140891800003</v>
      </c>
      <c r="AG324" s="433">
        <f t="shared" si="24"/>
        <v>1588.3140891800003</v>
      </c>
      <c r="AH324" s="433">
        <f t="shared" si="24"/>
        <v>1588.3140891800003</v>
      </c>
      <c r="AI324" s="433">
        <f t="shared" si="24"/>
        <v>1588.3140891800003</v>
      </c>
      <c r="AJ324" s="433">
        <f t="shared" si="24"/>
        <v>1588.3140891800003</v>
      </c>
      <c r="AK324" s="433">
        <f t="shared" si="24"/>
        <v>1588.3140891800003</v>
      </c>
      <c r="AL324" s="433">
        <f t="shared" si="24"/>
        <v>1588.3140891800003</v>
      </c>
      <c r="AM324" s="433">
        <f t="shared" si="24"/>
        <v>1588.3140891800003</v>
      </c>
      <c r="AN324" s="433">
        <f t="shared" si="24"/>
        <v>1588.3140891800003</v>
      </c>
      <c r="AO324" s="433"/>
      <c r="AP324" s="433"/>
      <c r="AQ324" s="433"/>
    </row>
    <row r="325" spans="1:43" x14ac:dyDescent="0.25">
      <c r="A325" s="384" t="s">
        <v>846</v>
      </c>
      <c r="B325" s="384"/>
      <c r="C325" s="384"/>
      <c r="D325" s="384"/>
      <c r="E325" s="405"/>
      <c r="F325" s="405" t="s">
        <v>106</v>
      </c>
      <c r="G325" s="405" t="s">
        <v>805</v>
      </c>
      <c r="H325" s="405">
        <v>2030</v>
      </c>
      <c r="I325" t="s">
        <v>766</v>
      </c>
      <c r="J325" t="s">
        <v>767</v>
      </c>
      <c r="K325" s="401">
        <v>1</v>
      </c>
      <c r="M325" s="433">
        <f t="shared" ref="M325:AB330" si="25">M$242*$I$238</f>
        <v>1588.3140891800003</v>
      </c>
      <c r="N325" s="433">
        <f t="shared" si="25"/>
        <v>1588.3140891800003</v>
      </c>
      <c r="O325" s="433">
        <f t="shared" si="25"/>
        <v>1588.3140891800003</v>
      </c>
      <c r="P325" s="433">
        <f t="shared" si="25"/>
        <v>1588.3140891800003</v>
      </c>
      <c r="Q325" s="433">
        <f t="shared" si="25"/>
        <v>1588.3140891800003</v>
      </c>
      <c r="R325" s="433">
        <f t="shared" si="25"/>
        <v>1588.3140891800003</v>
      </c>
      <c r="S325" s="433">
        <f t="shared" si="25"/>
        <v>1588.3140891800003</v>
      </c>
      <c r="T325" s="433">
        <f t="shared" si="25"/>
        <v>1588.3140891800003</v>
      </c>
      <c r="U325" s="433">
        <f t="shared" si="25"/>
        <v>1588.3140891800003</v>
      </c>
      <c r="V325" s="433">
        <f t="shared" si="25"/>
        <v>1588.3140891800003</v>
      </c>
      <c r="W325" s="433">
        <f t="shared" si="25"/>
        <v>1588.3140891800003</v>
      </c>
      <c r="X325" s="433">
        <f t="shared" si="25"/>
        <v>1588.3140891800003</v>
      </c>
      <c r="Y325" s="433">
        <f t="shared" si="25"/>
        <v>1588.3140891800003</v>
      </c>
      <c r="Z325" s="433">
        <f t="shared" si="25"/>
        <v>1588.3140891800003</v>
      </c>
      <c r="AA325" s="433">
        <f t="shared" si="25"/>
        <v>1588.3140891800003</v>
      </c>
      <c r="AB325" s="433">
        <f t="shared" si="25"/>
        <v>1588.3140891800003</v>
      </c>
      <c r="AC325" s="433">
        <f t="shared" si="24"/>
        <v>1588.3140891800003</v>
      </c>
      <c r="AD325" s="433">
        <f t="shared" si="24"/>
        <v>1588.3140891800003</v>
      </c>
      <c r="AE325" s="433">
        <f t="shared" si="24"/>
        <v>1588.3140891800003</v>
      </c>
      <c r="AF325" s="433">
        <f t="shared" si="24"/>
        <v>1588.3140891800003</v>
      </c>
      <c r="AG325" s="433">
        <f t="shared" si="24"/>
        <v>1588.3140891800003</v>
      </c>
      <c r="AH325" s="433">
        <f t="shared" si="24"/>
        <v>1588.3140891800003</v>
      </c>
      <c r="AI325" s="433">
        <f t="shared" si="24"/>
        <v>1588.3140891800003</v>
      </c>
      <c r="AJ325" s="433">
        <f t="shared" si="24"/>
        <v>1588.3140891800003</v>
      </c>
      <c r="AK325" s="433">
        <f t="shared" si="24"/>
        <v>1588.3140891800003</v>
      </c>
      <c r="AL325" s="433">
        <f t="shared" si="24"/>
        <v>1588.3140891800003</v>
      </c>
      <c r="AM325" s="433">
        <f t="shared" si="24"/>
        <v>1588.3140891800003</v>
      </c>
      <c r="AN325" s="433">
        <f t="shared" si="24"/>
        <v>1588.3140891800003</v>
      </c>
      <c r="AO325" s="433"/>
      <c r="AP325" s="433"/>
      <c r="AQ325" s="433"/>
    </row>
    <row r="326" spans="1:43" x14ac:dyDescent="0.25">
      <c r="A326" s="384" t="s">
        <v>847</v>
      </c>
      <c r="B326" s="384"/>
      <c r="C326" s="384"/>
      <c r="D326" s="384"/>
      <c r="E326" s="405"/>
      <c r="F326" s="405" t="s">
        <v>106</v>
      </c>
      <c r="G326" s="405" t="s">
        <v>805</v>
      </c>
      <c r="H326" s="405">
        <v>2030</v>
      </c>
      <c r="I326" t="s">
        <v>129</v>
      </c>
      <c r="J326" t="s">
        <v>768</v>
      </c>
      <c r="K326" s="401">
        <v>1</v>
      </c>
      <c r="M326" s="433">
        <f t="shared" si="25"/>
        <v>1588.3140891800003</v>
      </c>
      <c r="N326" s="433">
        <f t="shared" si="24"/>
        <v>1588.3140891800003</v>
      </c>
      <c r="O326" s="433">
        <f t="shared" si="24"/>
        <v>1588.3140891800003</v>
      </c>
      <c r="P326" s="433">
        <f t="shared" si="24"/>
        <v>1588.3140891800003</v>
      </c>
      <c r="Q326" s="433">
        <f t="shared" si="24"/>
        <v>1588.3140891800003</v>
      </c>
      <c r="R326" s="433">
        <f t="shared" si="24"/>
        <v>1588.3140891800003</v>
      </c>
      <c r="S326" s="433">
        <f t="shared" si="24"/>
        <v>1588.3140891800003</v>
      </c>
      <c r="T326" s="433">
        <f t="shared" si="24"/>
        <v>1588.3140891800003</v>
      </c>
      <c r="U326" s="433">
        <f t="shared" si="24"/>
        <v>1588.3140891800003</v>
      </c>
      <c r="V326" s="433">
        <f t="shared" si="24"/>
        <v>1588.3140891800003</v>
      </c>
      <c r="W326" s="433">
        <f t="shared" si="24"/>
        <v>1588.3140891800003</v>
      </c>
      <c r="X326" s="433">
        <f t="shared" si="24"/>
        <v>1588.3140891800003</v>
      </c>
      <c r="Y326" s="433">
        <f t="shared" si="24"/>
        <v>1588.3140891800003</v>
      </c>
      <c r="Z326" s="433">
        <f t="shared" si="24"/>
        <v>1588.3140891800003</v>
      </c>
      <c r="AA326" s="433">
        <f t="shared" si="24"/>
        <v>1588.3140891800003</v>
      </c>
      <c r="AB326" s="433">
        <f t="shared" si="24"/>
        <v>1588.3140891800003</v>
      </c>
      <c r="AC326" s="433">
        <f t="shared" si="24"/>
        <v>1588.3140891800003</v>
      </c>
      <c r="AD326" s="433">
        <f t="shared" si="24"/>
        <v>1588.3140891800003</v>
      </c>
      <c r="AE326" s="433">
        <f t="shared" si="24"/>
        <v>1588.3140891800003</v>
      </c>
      <c r="AF326" s="433">
        <f t="shared" si="24"/>
        <v>1588.3140891800003</v>
      </c>
      <c r="AG326" s="433">
        <f t="shared" si="24"/>
        <v>1588.3140891800003</v>
      </c>
      <c r="AH326" s="433">
        <f t="shared" si="24"/>
        <v>1588.3140891800003</v>
      </c>
      <c r="AI326" s="433">
        <f t="shared" si="24"/>
        <v>1588.3140891800003</v>
      </c>
      <c r="AJ326" s="433">
        <f t="shared" si="24"/>
        <v>1588.3140891800003</v>
      </c>
      <c r="AK326" s="433">
        <f t="shared" si="24"/>
        <v>1588.3140891800003</v>
      </c>
      <c r="AL326" s="433">
        <f t="shared" si="24"/>
        <v>1588.3140891800003</v>
      </c>
      <c r="AM326" s="433">
        <f t="shared" si="24"/>
        <v>1588.3140891800003</v>
      </c>
      <c r="AN326" s="433">
        <f t="shared" si="24"/>
        <v>1588.3140891800003</v>
      </c>
      <c r="AO326" s="433"/>
      <c r="AP326" s="433"/>
      <c r="AQ326" s="433"/>
    </row>
    <row r="327" spans="1:43" x14ac:dyDescent="0.25">
      <c r="A327" s="384" t="s">
        <v>848</v>
      </c>
      <c r="B327" s="384"/>
      <c r="C327" s="384"/>
      <c r="D327" s="384"/>
      <c r="E327" s="405"/>
      <c r="F327" s="405" t="s">
        <v>106</v>
      </c>
      <c r="G327" s="405" t="s">
        <v>805</v>
      </c>
      <c r="H327" s="405">
        <v>2030</v>
      </c>
      <c r="I327" t="s">
        <v>769</v>
      </c>
      <c r="J327" t="s">
        <v>770</v>
      </c>
      <c r="K327" s="396">
        <v>1</v>
      </c>
      <c r="L327" s="210"/>
      <c r="M327" s="433">
        <f t="shared" si="25"/>
        <v>1588.3140891800003</v>
      </c>
      <c r="N327" s="433">
        <f t="shared" si="24"/>
        <v>1588.3140891800003</v>
      </c>
      <c r="O327" s="433">
        <f t="shared" si="24"/>
        <v>1588.3140891800003</v>
      </c>
      <c r="P327" s="433">
        <f t="shared" si="24"/>
        <v>1588.3140891800003</v>
      </c>
      <c r="Q327" s="433">
        <f t="shared" si="24"/>
        <v>1588.3140891800003</v>
      </c>
      <c r="R327" s="433">
        <f t="shared" si="24"/>
        <v>1588.3140891800003</v>
      </c>
      <c r="S327" s="433">
        <f t="shared" si="24"/>
        <v>1588.3140891800003</v>
      </c>
      <c r="T327" s="433">
        <f t="shared" si="24"/>
        <v>1588.3140891800003</v>
      </c>
      <c r="U327" s="433">
        <f t="shared" si="24"/>
        <v>1588.3140891800003</v>
      </c>
      <c r="V327" s="433">
        <f t="shared" si="24"/>
        <v>1588.3140891800003</v>
      </c>
      <c r="W327" s="433">
        <f t="shared" si="24"/>
        <v>1588.3140891800003</v>
      </c>
      <c r="X327" s="433">
        <f t="shared" si="24"/>
        <v>1588.3140891800003</v>
      </c>
      <c r="Y327" s="433">
        <f t="shared" si="24"/>
        <v>1588.3140891800003</v>
      </c>
      <c r="Z327" s="433">
        <f t="shared" si="24"/>
        <v>1588.3140891800003</v>
      </c>
      <c r="AA327" s="433">
        <f t="shared" si="24"/>
        <v>1588.3140891800003</v>
      </c>
      <c r="AB327" s="433">
        <f t="shared" si="24"/>
        <v>1588.3140891800003</v>
      </c>
      <c r="AC327" s="433">
        <f t="shared" si="24"/>
        <v>1588.3140891800003</v>
      </c>
      <c r="AD327" s="433">
        <f t="shared" si="24"/>
        <v>1588.3140891800003</v>
      </c>
      <c r="AE327" s="433">
        <f t="shared" si="24"/>
        <v>1588.3140891800003</v>
      </c>
      <c r="AF327" s="433">
        <f t="shared" si="24"/>
        <v>1588.3140891800003</v>
      </c>
      <c r="AG327" s="433">
        <f t="shared" si="24"/>
        <v>1588.3140891800003</v>
      </c>
      <c r="AH327" s="433">
        <f t="shared" si="24"/>
        <v>1588.3140891800003</v>
      </c>
      <c r="AI327" s="433">
        <f t="shared" si="24"/>
        <v>1588.3140891800003</v>
      </c>
      <c r="AJ327" s="433">
        <f t="shared" si="24"/>
        <v>1588.3140891800003</v>
      </c>
      <c r="AK327" s="433">
        <f t="shared" si="24"/>
        <v>1588.3140891800003</v>
      </c>
      <c r="AL327" s="433">
        <f t="shared" si="24"/>
        <v>1588.3140891800003</v>
      </c>
      <c r="AM327" s="433">
        <f t="shared" si="24"/>
        <v>1588.3140891800003</v>
      </c>
      <c r="AN327" s="433">
        <f t="shared" si="24"/>
        <v>1588.3140891800003</v>
      </c>
      <c r="AO327" s="433"/>
      <c r="AP327" s="433"/>
      <c r="AQ327" s="433"/>
    </row>
    <row r="328" spans="1:43" x14ac:dyDescent="0.25">
      <c r="A328" s="384" t="s">
        <v>849</v>
      </c>
      <c r="B328" s="384"/>
      <c r="C328" s="384"/>
      <c r="D328" s="384"/>
      <c r="E328" s="405"/>
      <c r="F328" s="405" t="s">
        <v>106</v>
      </c>
      <c r="G328" s="405" t="s">
        <v>805</v>
      </c>
      <c r="H328" s="405">
        <v>2030</v>
      </c>
      <c r="I328" t="s">
        <v>771</v>
      </c>
      <c r="J328" t="s">
        <v>331</v>
      </c>
      <c r="K328" s="401">
        <v>1</v>
      </c>
      <c r="M328" s="433">
        <f t="shared" si="25"/>
        <v>1588.3140891800003</v>
      </c>
      <c r="N328" s="433">
        <f t="shared" si="24"/>
        <v>1588.3140891800003</v>
      </c>
      <c r="O328" s="433">
        <f t="shared" si="24"/>
        <v>1588.3140891800003</v>
      </c>
      <c r="P328" s="433">
        <f t="shared" si="24"/>
        <v>1588.3140891800003</v>
      </c>
      <c r="Q328" s="433">
        <f t="shared" si="24"/>
        <v>1588.3140891800003</v>
      </c>
      <c r="R328" s="433">
        <f t="shared" si="24"/>
        <v>1588.3140891800003</v>
      </c>
      <c r="S328" s="433">
        <f t="shared" si="24"/>
        <v>1588.3140891800003</v>
      </c>
      <c r="T328" s="433">
        <f t="shared" si="24"/>
        <v>1588.3140891800003</v>
      </c>
      <c r="U328" s="433">
        <f t="shared" si="24"/>
        <v>1588.3140891800003</v>
      </c>
      <c r="V328" s="433">
        <f t="shared" si="24"/>
        <v>1588.3140891800003</v>
      </c>
      <c r="W328" s="433">
        <f t="shared" si="24"/>
        <v>1588.3140891800003</v>
      </c>
      <c r="X328" s="433">
        <f t="shared" si="24"/>
        <v>1588.3140891800003</v>
      </c>
      <c r="Y328" s="433">
        <f t="shared" si="24"/>
        <v>1588.3140891800003</v>
      </c>
      <c r="Z328" s="433">
        <f t="shared" si="24"/>
        <v>1588.3140891800003</v>
      </c>
      <c r="AA328" s="433">
        <f t="shared" si="24"/>
        <v>1588.3140891800003</v>
      </c>
      <c r="AB328" s="433">
        <f t="shared" si="24"/>
        <v>1588.3140891800003</v>
      </c>
      <c r="AC328" s="433">
        <f t="shared" si="24"/>
        <v>1588.3140891800003</v>
      </c>
      <c r="AD328" s="433">
        <f t="shared" si="24"/>
        <v>1588.3140891800003</v>
      </c>
      <c r="AE328" s="433">
        <f t="shared" si="24"/>
        <v>1588.3140891800003</v>
      </c>
      <c r="AF328" s="433">
        <f t="shared" si="24"/>
        <v>1588.3140891800003</v>
      </c>
      <c r="AG328" s="433">
        <f t="shared" si="24"/>
        <v>1588.3140891800003</v>
      </c>
      <c r="AH328" s="433">
        <f t="shared" si="24"/>
        <v>1588.3140891800003</v>
      </c>
      <c r="AI328" s="433">
        <f t="shared" si="24"/>
        <v>1588.3140891800003</v>
      </c>
      <c r="AJ328" s="433">
        <f t="shared" si="24"/>
        <v>1588.3140891800003</v>
      </c>
      <c r="AK328" s="433">
        <f t="shared" si="24"/>
        <v>1588.3140891800003</v>
      </c>
      <c r="AL328" s="433">
        <f t="shared" si="24"/>
        <v>1588.3140891800003</v>
      </c>
      <c r="AM328" s="433">
        <f t="shared" si="24"/>
        <v>1588.3140891800003</v>
      </c>
      <c r="AN328" s="433">
        <f t="shared" si="24"/>
        <v>1588.3140891800003</v>
      </c>
      <c r="AO328" s="433"/>
      <c r="AP328" s="433"/>
      <c r="AQ328" s="433"/>
    </row>
    <row r="329" spans="1:43" x14ac:dyDescent="0.25">
      <c r="A329" s="384" t="s">
        <v>850</v>
      </c>
      <c r="B329" s="384"/>
      <c r="C329" s="384"/>
      <c r="D329" s="384"/>
      <c r="F329" s="9" t="s">
        <v>106</v>
      </c>
      <c r="G329" s="405" t="s">
        <v>805</v>
      </c>
      <c r="H329" s="405">
        <v>2030</v>
      </c>
      <c r="I329" t="s">
        <v>116</v>
      </c>
      <c r="J329" t="s">
        <v>772</v>
      </c>
      <c r="K329" s="401">
        <v>1</v>
      </c>
      <c r="M329" s="433">
        <f t="shared" si="25"/>
        <v>1588.3140891800003</v>
      </c>
      <c r="N329" s="433">
        <f t="shared" si="24"/>
        <v>1588.3140891800003</v>
      </c>
      <c r="O329" s="433">
        <f t="shared" si="24"/>
        <v>1588.3140891800003</v>
      </c>
      <c r="P329" s="433">
        <f t="shared" si="24"/>
        <v>1588.3140891800003</v>
      </c>
      <c r="Q329" s="433">
        <f t="shared" si="24"/>
        <v>1588.3140891800003</v>
      </c>
      <c r="R329" s="433">
        <f t="shared" si="24"/>
        <v>1588.3140891800003</v>
      </c>
      <c r="S329" s="433">
        <f t="shared" si="24"/>
        <v>1588.3140891800003</v>
      </c>
      <c r="T329" s="433">
        <f t="shared" si="24"/>
        <v>1588.3140891800003</v>
      </c>
      <c r="U329" s="433">
        <f t="shared" si="24"/>
        <v>1588.3140891800003</v>
      </c>
      <c r="V329" s="433">
        <f t="shared" si="24"/>
        <v>1588.3140891800003</v>
      </c>
      <c r="W329" s="433">
        <f t="shared" si="24"/>
        <v>1588.3140891800003</v>
      </c>
      <c r="X329" s="433">
        <f t="shared" si="24"/>
        <v>1588.3140891800003</v>
      </c>
      <c r="Y329" s="433">
        <f t="shared" si="24"/>
        <v>1588.3140891800003</v>
      </c>
      <c r="Z329" s="433">
        <f t="shared" si="24"/>
        <v>1588.3140891800003</v>
      </c>
      <c r="AA329" s="433">
        <f t="shared" si="24"/>
        <v>1588.3140891800003</v>
      </c>
      <c r="AB329" s="433">
        <f t="shared" si="24"/>
        <v>1588.3140891800003</v>
      </c>
      <c r="AC329" s="433">
        <f t="shared" si="24"/>
        <v>1588.3140891800003</v>
      </c>
      <c r="AD329" s="433">
        <f t="shared" si="24"/>
        <v>1588.3140891800003</v>
      </c>
      <c r="AE329" s="433">
        <f t="shared" si="24"/>
        <v>1588.3140891800003</v>
      </c>
      <c r="AF329" s="433">
        <f t="shared" si="24"/>
        <v>1588.3140891800003</v>
      </c>
      <c r="AG329" s="433">
        <f t="shared" si="24"/>
        <v>1588.3140891800003</v>
      </c>
      <c r="AH329" s="433">
        <f t="shared" si="24"/>
        <v>1588.3140891800003</v>
      </c>
      <c r="AI329" s="433">
        <f t="shared" si="24"/>
        <v>1588.3140891800003</v>
      </c>
      <c r="AJ329" s="433">
        <f t="shared" si="24"/>
        <v>1588.3140891800003</v>
      </c>
      <c r="AK329" s="433">
        <f t="shared" si="24"/>
        <v>1588.3140891800003</v>
      </c>
      <c r="AL329" s="433">
        <f t="shared" si="24"/>
        <v>1588.3140891800003</v>
      </c>
      <c r="AM329" s="433">
        <f t="shared" si="24"/>
        <v>1588.3140891800003</v>
      </c>
      <c r="AN329" s="433">
        <f t="shared" si="24"/>
        <v>1588.3140891800003</v>
      </c>
      <c r="AO329" s="433"/>
      <c r="AP329" s="433"/>
      <c r="AQ329" s="433"/>
    </row>
    <row r="330" spans="1:43" x14ac:dyDescent="0.25">
      <c r="A330" s="384" t="s">
        <v>831</v>
      </c>
      <c r="B330" s="384"/>
      <c r="C330" s="384"/>
      <c r="D330" s="384"/>
      <c r="F330" s="9" t="s">
        <v>106</v>
      </c>
      <c r="G330" s="405" t="s">
        <v>805</v>
      </c>
      <c r="H330" s="405">
        <v>2030</v>
      </c>
      <c r="I330" t="s">
        <v>140</v>
      </c>
      <c r="J330" t="s">
        <v>806</v>
      </c>
      <c r="K330" s="401">
        <v>1</v>
      </c>
      <c r="M330" s="433">
        <f t="shared" si="25"/>
        <v>1588.3140891800003</v>
      </c>
      <c r="N330" s="433">
        <f t="shared" si="24"/>
        <v>1588.3140891800003</v>
      </c>
      <c r="O330" s="433">
        <f t="shared" si="24"/>
        <v>1588.3140891800003</v>
      </c>
      <c r="P330" s="433">
        <f t="shared" si="24"/>
        <v>1588.3140891800003</v>
      </c>
      <c r="Q330" s="433">
        <f t="shared" si="24"/>
        <v>1588.3140891800003</v>
      </c>
      <c r="R330" s="433">
        <f t="shared" si="24"/>
        <v>1588.3140891800003</v>
      </c>
      <c r="S330" s="433">
        <f t="shared" si="24"/>
        <v>1588.3140891800003</v>
      </c>
      <c r="T330" s="433">
        <f t="shared" si="24"/>
        <v>1588.3140891800003</v>
      </c>
      <c r="U330" s="433">
        <f t="shared" si="24"/>
        <v>1588.3140891800003</v>
      </c>
      <c r="V330" s="433">
        <f t="shared" si="24"/>
        <v>1588.3140891800003</v>
      </c>
      <c r="W330" s="433">
        <f t="shared" si="24"/>
        <v>1588.3140891800003</v>
      </c>
      <c r="X330" s="433">
        <f t="shared" si="24"/>
        <v>1588.3140891800003</v>
      </c>
      <c r="Y330" s="433">
        <f t="shared" si="24"/>
        <v>1588.3140891800003</v>
      </c>
      <c r="Z330" s="433">
        <f t="shared" si="24"/>
        <v>1588.3140891800003</v>
      </c>
      <c r="AA330" s="433">
        <f t="shared" si="24"/>
        <v>1588.3140891800003</v>
      </c>
      <c r="AB330" s="433">
        <f t="shared" si="24"/>
        <v>1588.3140891800003</v>
      </c>
      <c r="AC330" s="433">
        <f t="shared" si="24"/>
        <v>1588.3140891800003</v>
      </c>
      <c r="AD330" s="433">
        <f t="shared" si="24"/>
        <v>1588.3140891800003</v>
      </c>
      <c r="AE330" s="433">
        <f t="shared" si="24"/>
        <v>1588.3140891800003</v>
      </c>
      <c r="AF330" s="433">
        <f t="shared" si="24"/>
        <v>1588.3140891800003</v>
      </c>
      <c r="AG330" s="433">
        <f t="shared" si="24"/>
        <v>1588.3140891800003</v>
      </c>
      <c r="AH330" s="433">
        <f t="shared" si="24"/>
        <v>1588.3140891800003</v>
      </c>
      <c r="AI330" s="433">
        <f t="shared" si="24"/>
        <v>1588.3140891800003</v>
      </c>
      <c r="AJ330" s="433">
        <f t="shared" si="24"/>
        <v>1588.3140891800003</v>
      </c>
      <c r="AK330" s="433">
        <f t="shared" si="24"/>
        <v>1588.3140891800003</v>
      </c>
      <c r="AL330" s="433">
        <f t="shared" si="24"/>
        <v>1588.3140891800003</v>
      </c>
      <c r="AM330" s="433">
        <f t="shared" si="24"/>
        <v>1588.3140891800003</v>
      </c>
      <c r="AN330" s="433">
        <f t="shared" si="24"/>
        <v>1588.3140891800003</v>
      </c>
      <c r="AO330" s="433"/>
      <c r="AP330" s="433"/>
      <c r="AQ330" s="433"/>
    </row>
    <row r="331" spans="1:43" x14ac:dyDescent="0.25">
      <c r="A331" s="384" t="s">
        <v>845</v>
      </c>
      <c r="B331" s="384"/>
      <c r="C331" s="384"/>
      <c r="D331" s="384"/>
      <c r="E331" s="405" t="s">
        <v>105</v>
      </c>
      <c r="F331" s="405" t="s">
        <v>106</v>
      </c>
      <c r="G331" s="405" t="s">
        <v>805</v>
      </c>
      <c r="H331" s="405">
        <v>2050</v>
      </c>
      <c r="I331" t="s">
        <v>125</v>
      </c>
      <c r="J331" t="s">
        <v>350</v>
      </c>
      <c r="K331" s="396">
        <v>1</v>
      </c>
      <c r="L331" s="210"/>
      <c r="M331" s="433">
        <f>M$243*$I$238</f>
        <v>1358.8558005640182</v>
      </c>
      <c r="N331" s="433">
        <f t="shared" ref="N331:AN337" si="26">N$243*$I$238</f>
        <v>1358.8558005640182</v>
      </c>
      <c r="O331" s="433">
        <f t="shared" si="26"/>
        <v>1358.8558005640182</v>
      </c>
      <c r="P331" s="433">
        <f t="shared" si="26"/>
        <v>1358.8558005640182</v>
      </c>
      <c r="Q331" s="433">
        <f t="shared" si="26"/>
        <v>1358.8558005640182</v>
      </c>
      <c r="R331" s="433">
        <f t="shared" si="26"/>
        <v>1358.8558005640182</v>
      </c>
      <c r="S331" s="433">
        <f t="shared" si="26"/>
        <v>1358.8558005640182</v>
      </c>
      <c r="T331" s="433">
        <f t="shared" si="26"/>
        <v>1358.8558005640182</v>
      </c>
      <c r="U331" s="433">
        <f t="shared" si="26"/>
        <v>1358.8558005640182</v>
      </c>
      <c r="V331" s="433">
        <f t="shared" si="26"/>
        <v>1358.8558005640182</v>
      </c>
      <c r="W331" s="433">
        <f t="shared" si="26"/>
        <v>1358.8558005640182</v>
      </c>
      <c r="X331" s="433">
        <f t="shared" si="26"/>
        <v>1358.8558005640182</v>
      </c>
      <c r="Y331" s="433">
        <f t="shared" si="26"/>
        <v>1358.8558005640182</v>
      </c>
      <c r="Z331" s="433">
        <f t="shared" si="26"/>
        <v>1358.8558005640182</v>
      </c>
      <c r="AA331" s="433">
        <f t="shared" si="26"/>
        <v>1358.8558005640182</v>
      </c>
      <c r="AB331" s="433">
        <f t="shared" si="26"/>
        <v>1358.8558005640182</v>
      </c>
      <c r="AC331" s="433">
        <f t="shared" si="26"/>
        <v>1358.8558005640182</v>
      </c>
      <c r="AD331" s="433">
        <f t="shared" si="26"/>
        <v>1358.8558005640182</v>
      </c>
      <c r="AE331" s="433">
        <f t="shared" si="26"/>
        <v>1358.8558005640182</v>
      </c>
      <c r="AF331" s="433">
        <f t="shared" si="26"/>
        <v>1358.8558005640182</v>
      </c>
      <c r="AG331" s="433">
        <f t="shared" si="26"/>
        <v>1358.8558005640182</v>
      </c>
      <c r="AH331" s="433">
        <f t="shared" si="26"/>
        <v>1358.8558005640182</v>
      </c>
      <c r="AI331" s="433">
        <f t="shared" si="26"/>
        <v>1358.8558005640182</v>
      </c>
      <c r="AJ331" s="433">
        <f t="shared" si="26"/>
        <v>1358.8558005640182</v>
      </c>
      <c r="AK331" s="433">
        <f t="shared" si="26"/>
        <v>1358.8558005640182</v>
      </c>
      <c r="AL331" s="433">
        <f t="shared" si="26"/>
        <v>1358.8558005640182</v>
      </c>
      <c r="AM331" s="433">
        <f t="shared" si="26"/>
        <v>1358.8558005640182</v>
      </c>
      <c r="AN331" s="433">
        <f t="shared" si="26"/>
        <v>1358.8558005640182</v>
      </c>
      <c r="AO331" s="433"/>
      <c r="AP331" s="433"/>
      <c r="AQ331" s="433"/>
    </row>
    <row r="332" spans="1:43" x14ac:dyDescent="0.25">
      <c r="A332" s="384" t="s">
        <v>846</v>
      </c>
      <c r="B332" s="384"/>
      <c r="C332" s="384"/>
      <c r="D332" s="384"/>
      <c r="E332" s="405"/>
      <c r="F332" s="405" t="s">
        <v>106</v>
      </c>
      <c r="G332" s="405" t="s">
        <v>805</v>
      </c>
      <c r="H332" s="405">
        <v>2050</v>
      </c>
      <c r="I332" t="s">
        <v>766</v>
      </c>
      <c r="J332" t="s">
        <v>767</v>
      </c>
      <c r="K332" s="401">
        <v>1</v>
      </c>
      <c r="M332" s="433">
        <f t="shared" ref="M332:AB337" si="27">M$243*$I$238</f>
        <v>1358.8558005640182</v>
      </c>
      <c r="N332" s="433">
        <f t="shared" si="27"/>
        <v>1358.8558005640182</v>
      </c>
      <c r="O332" s="433">
        <f t="shared" si="27"/>
        <v>1358.8558005640182</v>
      </c>
      <c r="P332" s="433">
        <f t="shared" si="27"/>
        <v>1358.8558005640182</v>
      </c>
      <c r="Q332" s="433">
        <f t="shared" si="27"/>
        <v>1358.8558005640182</v>
      </c>
      <c r="R332" s="433">
        <f t="shared" si="27"/>
        <v>1358.8558005640182</v>
      </c>
      <c r="S332" s="433">
        <f t="shared" si="27"/>
        <v>1358.8558005640182</v>
      </c>
      <c r="T332" s="433">
        <f t="shared" si="27"/>
        <v>1358.8558005640182</v>
      </c>
      <c r="U332" s="433">
        <f t="shared" si="27"/>
        <v>1358.8558005640182</v>
      </c>
      <c r="V332" s="433">
        <f t="shared" si="27"/>
        <v>1358.8558005640182</v>
      </c>
      <c r="W332" s="433">
        <f t="shared" si="27"/>
        <v>1358.8558005640182</v>
      </c>
      <c r="X332" s="433">
        <f t="shared" si="27"/>
        <v>1358.8558005640182</v>
      </c>
      <c r="Y332" s="433">
        <f t="shared" si="27"/>
        <v>1358.8558005640182</v>
      </c>
      <c r="Z332" s="433">
        <f t="shared" si="27"/>
        <v>1358.8558005640182</v>
      </c>
      <c r="AA332" s="433">
        <f t="shared" si="27"/>
        <v>1358.8558005640182</v>
      </c>
      <c r="AB332" s="433">
        <f t="shared" si="27"/>
        <v>1358.8558005640182</v>
      </c>
      <c r="AC332" s="433">
        <f t="shared" si="26"/>
        <v>1358.8558005640182</v>
      </c>
      <c r="AD332" s="433">
        <f t="shared" si="26"/>
        <v>1358.8558005640182</v>
      </c>
      <c r="AE332" s="433">
        <f t="shared" si="26"/>
        <v>1358.8558005640182</v>
      </c>
      <c r="AF332" s="433">
        <f t="shared" si="26"/>
        <v>1358.8558005640182</v>
      </c>
      <c r="AG332" s="433">
        <f t="shared" si="26"/>
        <v>1358.8558005640182</v>
      </c>
      <c r="AH332" s="433">
        <f t="shared" si="26"/>
        <v>1358.8558005640182</v>
      </c>
      <c r="AI332" s="433">
        <f t="shared" si="26"/>
        <v>1358.8558005640182</v>
      </c>
      <c r="AJ332" s="433">
        <f t="shared" si="26"/>
        <v>1358.8558005640182</v>
      </c>
      <c r="AK332" s="433">
        <f t="shared" si="26"/>
        <v>1358.8558005640182</v>
      </c>
      <c r="AL332" s="433">
        <f t="shared" si="26"/>
        <v>1358.8558005640182</v>
      </c>
      <c r="AM332" s="433">
        <f t="shared" si="26"/>
        <v>1358.8558005640182</v>
      </c>
      <c r="AN332" s="433">
        <f t="shared" si="26"/>
        <v>1358.8558005640182</v>
      </c>
      <c r="AO332" s="433"/>
      <c r="AP332" s="433"/>
      <c r="AQ332" s="433"/>
    </row>
    <row r="333" spans="1:43" x14ac:dyDescent="0.25">
      <c r="A333" s="384" t="s">
        <v>847</v>
      </c>
      <c r="B333" s="384"/>
      <c r="C333" s="384"/>
      <c r="D333" s="384"/>
      <c r="E333" s="405"/>
      <c r="F333" s="405" t="s">
        <v>106</v>
      </c>
      <c r="G333" s="405" t="s">
        <v>805</v>
      </c>
      <c r="H333" s="405">
        <v>2050</v>
      </c>
      <c r="I333" t="s">
        <v>129</v>
      </c>
      <c r="J333" t="s">
        <v>768</v>
      </c>
      <c r="K333" s="401">
        <v>1</v>
      </c>
      <c r="M333" s="433">
        <f t="shared" si="27"/>
        <v>1358.8558005640182</v>
      </c>
      <c r="N333" s="433">
        <f t="shared" si="26"/>
        <v>1358.8558005640182</v>
      </c>
      <c r="O333" s="433">
        <f t="shared" si="26"/>
        <v>1358.8558005640182</v>
      </c>
      <c r="P333" s="433">
        <f t="shared" si="26"/>
        <v>1358.8558005640182</v>
      </c>
      <c r="Q333" s="433">
        <f t="shared" si="26"/>
        <v>1358.8558005640182</v>
      </c>
      <c r="R333" s="433">
        <f t="shared" si="26"/>
        <v>1358.8558005640182</v>
      </c>
      <c r="S333" s="433">
        <f t="shared" si="26"/>
        <v>1358.8558005640182</v>
      </c>
      <c r="T333" s="433">
        <f t="shared" si="26"/>
        <v>1358.8558005640182</v>
      </c>
      <c r="U333" s="433">
        <f t="shared" si="26"/>
        <v>1358.8558005640182</v>
      </c>
      <c r="V333" s="433">
        <f t="shared" si="26"/>
        <v>1358.8558005640182</v>
      </c>
      <c r="W333" s="433">
        <f t="shared" si="26"/>
        <v>1358.8558005640182</v>
      </c>
      <c r="X333" s="433">
        <f t="shared" si="26"/>
        <v>1358.8558005640182</v>
      </c>
      <c r="Y333" s="433">
        <f t="shared" si="26"/>
        <v>1358.8558005640182</v>
      </c>
      <c r="Z333" s="433">
        <f t="shared" si="26"/>
        <v>1358.8558005640182</v>
      </c>
      <c r="AA333" s="433">
        <f t="shared" si="26"/>
        <v>1358.8558005640182</v>
      </c>
      <c r="AB333" s="433">
        <f t="shared" si="26"/>
        <v>1358.8558005640182</v>
      </c>
      <c r="AC333" s="433">
        <f t="shared" si="26"/>
        <v>1358.8558005640182</v>
      </c>
      <c r="AD333" s="433">
        <f t="shared" si="26"/>
        <v>1358.8558005640182</v>
      </c>
      <c r="AE333" s="433">
        <f t="shared" si="26"/>
        <v>1358.8558005640182</v>
      </c>
      <c r="AF333" s="433">
        <f t="shared" si="26"/>
        <v>1358.8558005640182</v>
      </c>
      <c r="AG333" s="433">
        <f t="shared" si="26"/>
        <v>1358.8558005640182</v>
      </c>
      <c r="AH333" s="433">
        <f t="shared" si="26"/>
        <v>1358.8558005640182</v>
      </c>
      <c r="AI333" s="433">
        <f t="shared" si="26"/>
        <v>1358.8558005640182</v>
      </c>
      <c r="AJ333" s="433">
        <f t="shared" si="26"/>
        <v>1358.8558005640182</v>
      </c>
      <c r="AK333" s="433">
        <f t="shared" si="26"/>
        <v>1358.8558005640182</v>
      </c>
      <c r="AL333" s="433">
        <f t="shared" si="26"/>
        <v>1358.8558005640182</v>
      </c>
      <c r="AM333" s="433">
        <f t="shared" si="26"/>
        <v>1358.8558005640182</v>
      </c>
      <c r="AN333" s="433">
        <f t="shared" si="26"/>
        <v>1358.8558005640182</v>
      </c>
      <c r="AO333" s="433"/>
      <c r="AP333" s="433"/>
      <c r="AQ333" s="433"/>
    </row>
    <row r="334" spans="1:43" x14ac:dyDescent="0.25">
      <c r="A334" s="384" t="s">
        <v>848</v>
      </c>
      <c r="B334" s="384"/>
      <c r="C334" s="384"/>
      <c r="D334" s="384"/>
      <c r="E334" s="405"/>
      <c r="F334" s="405" t="s">
        <v>106</v>
      </c>
      <c r="G334" s="405" t="s">
        <v>805</v>
      </c>
      <c r="H334" s="405">
        <v>2050</v>
      </c>
      <c r="I334" t="s">
        <v>769</v>
      </c>
      <c r="J334" t="s">
        <v>770</v>
      </c>
      <c r="K334" s="396">
        <v>1</v>
      </c>
      <c r="L334" s="210"/>
      <c r="M334" s="433">
        <f t="shared" si="27"/>
        <v>1358.8558005640182</v>
      </c>
      <c r="N334" s="433">
        <f t="shared" si="26"/>
        <v>1358.8558005640182</v>
      </c>
      <c r="O334" s="433">
        <f t="shared" si="26"/>
        <v>1358.8558005640182</v>
      </c>
      <c r="P334" s="433">
        <f t="shared" si="26"/>
        <v>1358.8558005640182</v>
      </c>
      <c r="Q334" s="433">
        <f t="shared" si="26"/>
        <v>1358.8558005640182</v>
      </c>
      <c r="R334" s="433">
        <f t="shared" si="26"/>
        <v>1358.8558005640182</v>
      </c>
      <c r="S334" s="433">
        <f t="shared" si="26"/>
        <v>1358.8558005640182</v>
      </c>
      <c r="T334" s="433">
        <f t="shared" si="26"/>
        <v>1358.8558005640182</v>
      </c>
      <c r="U334" s="433">
        <f t="shared" si="26"/>
        <v>1358.8558005640182</v>
      </c>
      <c r="V334" s="433">
        <f t="shared" si="26"/>
        <v>1358.8558005640182</v>
      </c>
      <c r="W334" s="433">
        <f t="shared" si="26"/>
        <v>1358.8558005640182</v>
      </c>
      <c r="X334" s="433">
        <f t="shared" si="26"/>
        <v>1358.8558005640182</v>
      </c>
      <c r="Y334" s="433">
        <f t="shared" si="26"/>
        <v>1358.8558005640182</v>
      </c>
      <c r="Z334" s="433">
        <f t="shared" si="26"/>
        <v>1358.8558005640182</v>
      </c>
      <c r="AA334" s="433">
        <f t="shared" si="26"/>
        <v>1358.8558005640182</v>
      </c>
      <c r="AB334" s="433">
        <f t="shared" si="26"/>
        <v>1358.8558005640182</v>
      </c>
      <c r="AC334" s="433">
        <f t="shared" si="26"/>
        <v>1358.8558005640182</v>
      </c>
      <c r="AD334" s="433">
        <f t="shared" si="26"/>
        <v>1358.8558005640182</v>
      </c>
      <c r="AE334" s="433">
        <f t="shared" si="26"/>
        <v>1358.8558005640182</v>
      </c>
      <c r="AF334" s="433">
        <f t="shared" si="26"/>
        <v>1358.8558005640182</v>
      </c>
      <c r="AG334" s="433">
        <f t="shared" si="26"/>
        <v>1358.8558005640182</v>
      </c>
      <c r="AH334" s="433">
        <f t="shared" si="26"/>
        <v>1358.8558005640182</v>
      </c>
      <c r="AI334" s="433">
        <f t="shared" si="26"/>
        <v>1358.8558005640182</v>
      </c>
      <c r="AJ334" s="433">
        <f t="shared" si="26"/>
        <v>1358.8558005640182</v>
      </c>
      <c r="AK334" s="433">
        <f t="shared" si="26"/>
        <v>1358.8558005640182</v>
      </c>
      <c r="AL334" s="433">
        <f t="shared" si="26"/>
        <v>1358.8558005640182</v>
      </c>
      <c r="AM334" s="433">
        <f t="shared" si="26"/>
        <v>1358.8558005640182</v>
      </c>
      <c r="AN334" s="433">
        <f t="shared" si="26"/>
        <v>1358.8558005640182</v>
      </c>
      <c r="AO334" s="433"/>
      <c r="AP334" s="433"/>
      <c r="AQ334" s="433"/>
    </row>
    <row r="335" spans="1:43" x14ac:dyDescent="0.25">
      <c r="A335" s="384" t="s">
        <v>849</v>
      </c>
      <c r="B335" s="384"/>
      <c r="C335" s="384"/>
      <c r="D335" s="384"/>
      <c r="E335" s="405"/>
      <c r="F335" s="405" t="s">
        <v>106</v>
      </c>
      <c r="G335" s="405" t="s">
        <v>805</v>
      </c>
      <c r="H335" s="405">
        <v>2050</v>
      </c>
      <c r="I335" t="s">
        <v>771</v>
      </c>
      <c r="J335" t="s">
        <v>331</v>
      </c>
      <c r="K335" s="401">
        <v>1</v>
      </c>
      <c r="M335" s="433">
        <f t="shared" si="27"/>
        <v>1358.8558005640182</v>
      </c>
      <c r="N335" s="433">
        <f t="shared" si="26"/>
        <v>1358.8558005640182</v>
      </c>
      <c r="O335" s="433">
        <f t="shared" si="26"/>
        <v>1358.8558005640182</v>
      </c>
      <c r="P335" s="433">
        <f t="shared" si="26"/>
        <v>1358.8558005640182</v>
      </c>
      <c r="Q335" s="433">
        <f t="shared" si="26"/>
        <v>1358.8558005640182</v>
      </c>
      <c r="R335" s="433">
        <f t="shared" si="26"/>
        <v>1358.8558005640182</v>
      </c>
      <c r="S335" s="433">
        <f t="shared" si="26"/>
        <v>1358.8558005640182</v>
      </c>
      <c r="T335" s="433">
        <f t="shared" si="26"/>
        <v>1358.8558005640182</v>
      </c>
      <c r="U335" s="433">
        <f t="shared" si="26"/>
        <v>1358.8558005640182</v>
      </c>
      <c r="V335" s="433">
        <f t="shared" si="26"/>
        <v>1358.8558005640182</v>
      </c>
      <c r="W335" s="433">
        <f t="shared" si="26"/>
        <v>1358.8558005640182</v>
      </c>
      <c r="X335" s="433">
        <f t="shared" si="26"/>
        <v>1358.8558005640182</v>
      </c>
      <c r="Y335" s="433">
        <f t="shared" si="26"/>
        <v>1358.8558005640182</v>
      </c>
      <c r="Z335" s="433">
        <f t="shared" si="26"/>
        <v>1358.8558005640182</v>
      </c>
      <c r="AA335" s="433">
        <f t="shared" si="26"/>
        <v>1358.8558005640182</v>
      </c>
      <c r="AB335" s="433">
        <f t="shared" si="26"/>
        <v>1358.8558005640182</v>
      </c>
      <c r="AC335" s="433">
        <f t="shared" si="26"/>
        <v>1358.8558005640182</v>
      </c>
      <c r="AD335" s="433">
        <f t="shared" si="26"/>
        <v>1358.8558005640182</v>
      </c>
      <c r="AE335" s="433">
        <f t="shared" si="26"/>
        <v>1358.8558005640182</v>
      </c>
      <c r="AF335" s="433">
        <f t="shared" si="26"/>
        <v>1358.8558005640182</v>
      </c>
      <c r="AG335" s="433">
        <f t="shared" si="26"/>
        <v>1358.8558005640182</v>
      </c>
      <c r="AH335" s="433">
        <f t="shared" si="26"/>
        <v>1358.8558005640182</v>
      </c>
      <c r="AI335" s="433">
        <f t="shared" si="26"/>
        <v>1358.8558005640182</v>
      </c>
      <c r="AJ335" s="433">
        <f t="shared" si="26"/>
        <v>1358.8558005640182</v>
      </c>
      <c r="AK335" s="433">
        <f t="shared" si="26"/>
        <v>1358.8558005640182</v>
      </c>
      <c r="AL335" s="433">
        <f t="shared" si="26"/>
        <v>1358.8558005640182</v>
      </c>
      <c r="AM335" s="433">
        <f t="shared" si="26"/>
        <v>1358.8558005640182</v>
      </c>
      <c r="AN335" s="433">
        <f t="shared" si="26"/>
        <v>1358.8558005640182</v>
      </c>
      <c r="AO335" s="433"/>
      <c r="AP335" s="433"/>
      <c r="AQ335" s="433"/>
    </row>
    <row r="336" spans="1:43" x14ac:dyDescent="0.25">
      <c r="A336" s="384" t="s">
        <v>850</v>
      </c>
      <c r="B336" s="384"/>
      <c r="C336" s="384"/>
      <c r="D336" s="384"/>
      <c r="F336" s="9" t="s">
        <v>106</v>
      </c>
      <c r="G336" s="405" t="s">
        <v>805</v>
      </c>
      <c r="H336" s="405">
        <v>2050</v>
      </c>
      <c r="I336" t="s">
        <v>116</v>
      </c>
      <c r="J336" t="s">
        <v>772</v>
      </c>
      <c r="K336" s="401">
        <v>1</v>
      </c>
      <c r="M336" s="433">
        <f t="shared" si="27"/>
        <v>1358.8558005640182</v>
      </c>
      <c r="N336" s="433">
        <f t="shared" si="26"/>
        <v>1358.8558005640182</v>
      </c>
      <c r="O336" s="433">
        <f t="shared" si="26"/>
        <v>1358.8558005640182</v>
      </c>
      <c r="P336" s="433">
        <f t="shared" si="26"/>
        <v>1358.8558005640182</v>
      </c>
      <c r="Q336" s="433">
        <f t="shared" si="26"/>
        <v>1358.8558005640182</v>
      </c>
      <c r="R336" s="433">
        <f t="shared" si="26"/>
        <v>1358.8558005640182</v>
      </c>
      <c r="S336" s="433">
        <f t="shared" si="26"/>
        <v>1358.8558005640182</v>
      </c>
      <c r="T336" s="433">
        <f t="shared" si="26"/>
        <v>1358.8558005640182</v>
      </c>
      <c r="U336" s="433">
        <f t="shared" si="26"/>
        <v>1358.8558005640182</v>
      </c>
      <c r="V336" s="433">
        <f t="shared" si="26"/>
        <v>1358.8558005640182</v>
      </c>
      <c r="W336" s="433">
        <f t="shared" si="26"/>
        <v>1358.8558005640182</v>
      </c>
      <c r="X336" s="433">
        <f t="shared" si="26"/>
        <v>1358.8558005640182</v>
      </c>
      <c r="Y336" s="433">
        <f t="shared" si="26"/>
        <v>1358.8558005640182</v>
      </c>
      <c r="Z336" s="433">
        <f t="shared" si="26"/>
        <v>1358.8558005640182</v>
      </c>
      <c r="AA336" s="433">
        <f t="shared" si="26"/>
        <v>1358.8558005640182</v>
      </c>
      <c r="AB336" s="433">
        <f t="shared" si="26"/>
        <v>1358.8558005640182</v>
      </c>
      <c r="AC336" s="433">
        <f t="shared" si="26"/>
        <v>1358.8558005640182</v>
      </c>
      <c r="AD336" s="433">
        <f t="shared" si="26"/>
        <v>1358.8558005640182</v>
      </c>
      <c r="AE336" s="433">
        <f t="shared" si="26"/>
        <v>1358.8558005640182</v>
      </c>
      <c r="AF336" s="433">
        <f t="shared" si="26"/>
        <v>1358.8558005640182</v>
      </c>
      <c r="AG336" s="433">
        <f t="shared" si="26"/>
        <v>1358.8558005640182</v>
      </c>
      <c r="AH336" s="433">
        <f t="shared" si="26"/>
        <v>1358.8558005640182</v>
      </c>
      <c r="AI336" s="433">
        <f t="shared" si="26"/>
        <v>1358.8558005640182</v>
      </c>
      <c r="AJ336" s="433">
        <f t="shared" si="26"/>
        <v>1358.8558005640182</v>
      </c>
      <c r="AK336" s="433">
        <f t="shared" si="26"/>
        <v>1358.8558005640182</v>
      </c>
      <c r="AL336" s="433">
        <f t="shared" si="26"/>
        <v>1358.8558005640182</v>
      </c>
      <c r="AM336" s="433">
        <f t="shared" si="26"/>
        <v>1358.8558005640182</v>
      </c>
      <c r="AN336" s="433">
        <f t="shared" si="26"/>
        <v>1358.8558005640182</v>
      </c>
      <c r="AO336" s="433"/>
      <c r="AP336" s="433"/>
      <c r="AQ336" s="433"/>
    </row>
    <row r="337" spans="1:43" x14ac:dyDescent="0.25">
      <c r="A337" s="384" t="s">
        <v>831</v>
      </c>
      <c r="B337" s="384"/>
      <c r="C337" s="384"/>
      <c r="D337" s="384"/>
      <c r="F337" s="9" t="s">
        <v>106</v>
      </c>
      <c r="G337" s="434" t="s">
        <v>805</v>
      </c>
      <c r="H337" s="434">
        <v>2050</v>
      </c>
      <c r="I337" s="216" t="s">
        <v>140</v>
      </c>
      <c r="J337" s="216" t="s">
        <v>806</v>
      </c>
      <c r="K337" s="401">
        <v>1</v>
      </c>
      <c r="M337" s="433">
        <f t="shared" si="27"/>
        <v>1358.8558005640182</v>
      </c>
      <c r="N337" s="433">
        <f t="shared" si="26"/>
        <v>1358.8558005640182</v>
      </c>
      <c r="O337" s="433">
        <f t="shared" si="26"/>
        <v>1358.8558005640182</v>
      </c>
      <c r="P337" s="433">
        <f t="shared" si="26"/>
        <v>1358.8558005640182</v>
      </c>
      <c r="Q337" s="433">
        <f t="shared" si="26"/>
        <v>1358.8558005640182</v>
      </c>
      <c r="R337" s="433">
        <f t="shared" si="26"/>
        <v>1358.8558005640182</v>
      </c>
      <c r="S337" s="433">
        <f t="shared" si="26"/>
        <v>1358.8558005640182</v>
      </c>
      <c r="T337" s="433">
        <f t="shared" si="26"/>
        <v>1358.8558005640182</v>
      </c>
      <c r="U337" s="433">
        <f t="shared" si="26"/>
        <v>1358.8558005640182</v>
      </c>
      <c r="V337" s="433">
        <f t="shared" si="26"/>
        <v>1358.8558005640182</v>
      </c>
      <c r="W337" s="433">
        <f t="shared" si="26"/>
        <v>1358.8558005640182</v>
      </c>
      <c r="X337" s="433">
        <f t="shared" si="26"/>
        <v>1358.8558005640182</v>
      </c>
      <c r="Y337" s="433">
        <f t="shared" si="26"/>
        <v>1358.8558005640182</v>
      </c>
      <c r="Z337" s="433">
        <f t="shared" si="26"/>
        <v>1358.8558005640182</v>
      </c>
      <c r="AA337" s="433">
        <f t="shared" si="26"/>
        <v>1358.8558005640182</v>
      </c>
      <c r="AB337" s="433">
        <f t="shared" si="26"/>
        <v>1358.8558005640182</v>
      </c>
      <c r="AC337" s="433">
        <f t="shared" si="26"/>
        <v>1358.8558005640182</v>
      </c>
      <c r="AD337" s="433">
        <f t="shared" si="26"/>
        <v>1358.8558005640182</v>
      </c>
      <c r="AE337" s="433">
        <f t="shared" si="26"/>
        <v>1358.8558005640182</v>
      </c>
      <c r="AF337" s="433">
        <f t="shared" si="26"/>
        <v>1358.8558005640182</v>
      </c>
      <c r="AG337" s="433">
        <f t="shared" si="26"/>
        <v>1358.8558005640182</v>
      </c>
      <c r="AH337" s="433">
        <f t="shared" si="26"/>
        <v>1358.8558005640182</v>
      </c>
      <c r="AI337" s="433">
        <f t="shared" si="26"/>
        <v>1358.8558005640182</v>
      </c>
      <c r="AJ337" s="433">
        <f t="shared" si="26"/>
        <v>1358.8558005640182</v>
      </c>
      <c r="AK337" s="433">
        <f t="shared" si="26"/>
        <v>1358.8558005640182</v>
      </c>
      <c r="AL337" s="433">
        <f t="shared" si="26"/>
        <v>1358.8558005640182</v>
      </c>
      <c r="AM337" s="433">
        <f t="shared" si="26"/>
        <v>1358.8558005640182</v>
      </c>
      <c r="AN337" s="433">
        <f t="shared" si="26"/>
        <v>1358.8558005640182</v>
      </c>
      <c r="AO337" s="433"/>
      <c r="AP337" s="433"/>
      <c r="AQ337" s="433"/>
    </row>
    <row r="338" spans="1:43" x14ac:dyDescent="0.25">
      <c r="A338" s="384" t="s">
        <v>851</v>
      </c>
      <c r="B338" s="384"/>
      <c r="C338" s="384"/>
      <c r="D338" s="384"/>
      <c r="E338" s="435" t="s">
        <v>107</v>
      </c>
      <c r="F338" s="435" t="s">
        <v>108</v>
      </c>
      <c r="G338" s="405" t="s">
        <v>801</v>
      </c>
      <c r="H338" s="405">
        <v>2020</v>
      </c>
      <c r="I338" t="s">
        <v>125</v>
      </c>
      <c r="J338" t="s">
        <v>350</v>
      </c>
      <c r="K338" s="399">
        <v>1</v>
      </c>
      <c r="L338" s="406"/>
      <c r="M338" s="436">
        <f>$M244*$I$244</f>
        <v>819.5362032181805</v>
      </c>
      <c r="N338" s="436">
        <f t="shared" ref="N338:AN343" si="28">$M244*$I$244</f>
        <v>819.5362032181805</v>
      </c>
      <c r="O338" s="436">
        <f t="shared" si="28"/>
        <v>819.5362032181805</v>
      </c>
      <c r="P338" s="436">
        <f t="shared" si="28"/>
        <v>819.5362032181805</v>
      </c>
      <c r="Q338" s="436">
        <f t="shared" si="28"/>
        <v>819.5362032181805</v>
      </c>
      <c r="R338" s="436">
        <f t="shared" si="28"/>
        <v>819.5362032181805</v>
      </c>
      <c r="S338" s="436">
        <f t="shared" si="28"/>
        <v>819.5362032181805</v>
      </c>
      <c r="T338" s="436">
        <f t="shared" si="28"/>
        <v>819.5362032181805</v>
      </c>
      <c r="U338" s="436">
        <f t="shared" si="28"/>
        <v>819.5362032181805</v>
      </c>
      <c r="V338" s="436">
        <f t="shared" si="28"/>
        <v>819.5362032181805</v>
      </c>
      <c r="W338" s="436">
        <f t="shared" si="28"/>
        <v>819.5362032181805</v>
      </c>
      <c r="X338" s="436">
        <f t="shared" si="28"/>
        <v>819.5362032181805</v>
      </c>
      <c r="Y338" s="436">
        <f t="shared" si="28"/>
        <v>819.5362032181805</v>
      </c>
      <c r="Z338" s="436">
        <f t="shared" si="28"/>
        <v>819.5362032181805</v>
      </c>
      <c r="AA338" s="436">
        <f t="shared" si="28"/>
        <v>819.5362032181805</v>
      </c>
      <c r="AB338" s="436">
        <f t="shared" si="28"/>
        <v>819.5362032181805</v>
      </c>
      <c r="AC338" s="436">
        <f t="shared" si="28"/>
        <v>819.5362032181805</v>
      </c>
      <c r="AD338" s="436">
        <f t="shared" si="28"/>
        <v>819.5362032181805</v>
      </c>
      <c r="AE338" s="436">
        <f t="shared" si="28"/>
        <v>819.5362032181805</v>
      </c>
      <c r="AF338" s="436">
        <f t="shared" si="28"/>
        <v>819.5362032181805</v>
      </c>
      <c r="AG338" s="436">
        <f t="shared" si="28"/>
        <v>819.5362032181805</v>
      </c>
      <c r="AH338" s="436">
        <f t="shared" si="28"/>
        <v>819.5362032181805</v>
      </c>
      <c r="AI338" s="436">
        <f t="shared" si="28"/>
        <v>819.5362032181805</v>
      </c>
      <c r="AJ338" s="436">
        <f t="shared" si="28"/>
        <v>819.5362032181805</v>
      </c>
      <c r="AK338" s="436">
        <f t="shared" si="28"/>
        <v>819.5362032181805</v>
      </c>
      <c r="AL338" s="436">
        <f t="shared" si="28"/>
        <v>819.5362032181805</v>
      </c>
      <c r="AM338" s="436">
        <f t="shared" si="28"/>
        <v>819.5362032181805</v>
      </c>
      <c r="AN338" s="436">
        <f t="shared" si="28"/>
        <v>819.5362032181805</v>
      </c>
      <c r="AO338" s="433"/>
      <c r="AP338" s="433"/>
      <c r="AQ338" s="433"/>
    </row>
    <row r="339" spans="1:43" x14ac:dyDescent="0.25">
      <c r="A339" s="384" t="s">
        <v>852</v>
      </c>
      <c r="B339" s="384"/>
      <c r="C339" s="384"/>
      <c r="D339" s="384"/>
      <c r="E339" s="405" t="s">
        <v>107</v>
      </c>
      <c r="F339" s="405" t="s">
        <v>108</v>
      </c>
      <c r="G339" s="405" t="s">
        <v>803</v>
      </c>
      <c r="H339" s="405">
        <v>2025</v>
      </c>
      <c r="I339" t="s">
        <v>125</v>
      </c>
      <c r="J339" t="s">
        <v>350</v>
      </c>
      <c r="K339" s="396">
        <v>1</v>
      </c>
      <c r="L339" s="210"/>
      <c r="M339" s="433">
        <f t="shared" ref="M339:AB343" si="29">$M245*$I$244</f>
        <v>819.5362032181805</v>
      </c>
      <c r="N339" s="433">
        <f t="shared" si="29"/>
        <v>819.5362032181805</v>
      </c>
      <c r="O339" s="433">
        <f t="shared" si="29"/>
        <v>819.5362032181805</v>
      </c>
      <c r="P339" s="433">
        <f t="shared" si="29"/>
        <v>819.5362032181805</v>
      </c>
      <c r="Q339" s="433">
        <f t="shared" si="29"/>
        <v>819.5362032181805</v>
      </c>
      <c r="R339" s="433">
        <f t="shared" si="29"/>
        <v>819.5362032181805</v>
      </c>
      <c r="S339" s="433">
        <f t="shared" si="29"/>
        <v>819.5362032181805</v>
      </c>
      <c r="T339" s="433">
        <f t="shared" si="29"/>
        <v>819.5362032181805</v>
      </c>
      <c r="U339" s="433">
        <f t="shared" si="29"/>
        <v>819.5362032181805</v>
      </c>
      <c r="V339" s="433">
        <f t="shared" si="29"/>
        <v>819.5362032181805</v>
      </c>
      <c r="W339" s="433">
        <f t="shared" si="29"/>
        <v>819.5362032181805</v>
      </c>
      <c r="X339" s="433">
        <f t="shared" si="29"/>
        <v>819.5362032181805</v>
      </c>
      <c r="Y339" s="433">
        <f t="shared" si="29"/>
        <v>819.5362032181805</v>
      </c>
      <c r="Z339" s="433">
        <f t="shared" si="29"/>
        <v>819.5362032181805</v>
      </c>
      <c r="AA339" s="433">
        <f t="shared" si="29"/>
        <v>819.5362032181805</v>
      </c>
      <c r="AB339" s="433">
        <f t="shared" si="29"/>
        <v>819.5362032181805</v>
      </c>
      <c r="AC339" s="433">
        <f t="shared" si="28"/>
        <v>819.5362032181805</v>
      </c>
      <c r="AD339" s="433">
        <f t="shared" si="28"/>
        <v>819.5362032181805</v>
      </c>
      <c r="AE339" s="433">
        <f t="shared" si="28"/>
        <v>819.5362032181805</v>
      </c>
      <c r="AF339" s="433">
        <f t="shared" si="28"/>
        <v>819.5362032181805</v>
      </c>
      <c r="AG339" s="433">
        <f t="shared" si="28"/>
        <v>819.5362032181805</v>
      </c>
      <c r="AH339" s="433">
        <f t="shared" si="28"/>
        <v>819.5362032181805</v>
      </c>
      <c r="AI339" s="433">
        <f t="shared" si="28"/>
        <v>819.5362032181805</v>
      </c>
      <c r="AJ339" s="433">
        <f t="shared" si="28"/>
        <v>819.5362032181805</v>
      </c>
      <c r="AK339" s="433">
        <f t="shared" si="28"/>
        <v>819.5362032181805</v>
      </c>
      <c r="AL339" s="433">
        <f t="shared" si="28"/>
        <v>819.5362032181805</v>
      </c>
      <c r="AM339" s="433">
        <f t="shared" si="28"/>
        <v>819.5362032181805</v>
      </c>
      <c r="AN339" s="433">
        <f t="shared" si="28"/>
        <v>819.5362032181805</v>
      </c>
      <c r="AO339" s="433"/>
      <c r="AP339" s="433"/>
      <c r="AQ339" s="433"/>
    </row>
    <row r="340" spans="1:43" x14ac:dyDescent="0.25">
      <c r="A340" s="384" t="s">
        <v>852</v>
      </c>
      <c r="B340" s="384"/>
      <c r="C340" s="384"/>
      <c r="D340" s="384"/>
      <c r="E340" s="405" t="s">
        <v>107</v>
      </c>
      <c r="F340" s="405" t="s">
        <v>108</v>
      </c>
      <c r="G340" s="405" t="s">
        <v>803</v>
      </c>
      <c r="H340" s="405">
        <v>2030</v>
      </c>
      <c r="I340" t="s">
        <v>125</v>
      </c>
      <c r="J340" t="s">
        <v>350</v>
      </c>
      <c r="K340" s="396">
        <v>1</v>
      </c>
      <c r="L340" s="210"/>
      <c r="M340" s="433">
        <f t="shared" si="29"/>
        <v>727.74814845774438</v>
      </c>
      <c r="N340" s="433">
        <f t="shared" si="28"/>
        <v>727.74814845774438</v>
      </c>
      <c r="O340" s="433">
        <f t="shared" si="28"/>
        <v>727.74814845774438</v>
      </c>
      <c r="P340" s="433">
        <f t="shared" si="28"/>
        <v>727.74814845774438</v>
      </c>
      <c r="Q340" s="433">
        <f t="shared" si="28"/>
        <v>727.74814845774438</v>
      </c>
      <c r="R340" s="433">
        <f t="shared" si="28"/>
        <v>727.74814845774438</v>
      </c>
      <c r="S340" s="433">
        <f t="shared" si="28"/>
        <v>727.74814845774438</v>
      </c>
      <c r="T340" s="433">
        <f t="shared" si="28"/>
        <v>727.74814845774438</v>
      </c>
      <c r="U340" s="433">
        <f t="shared" si="28"/>
        <v>727.74814845774438</v>
      </c>
      <c r="V340" s="433">
        <f t="shared" si="28"/>
        <v>727.74814845774438</v>
      </c>
      <c r="W340" s="433">
        <f t="shared" si="28"/>
        <v>727.74814845774438</v>
      </c>
      <c r="X340" s="433">
        <f t="shared" si="28"/>
        <v>727.74814845774438</v>
      </c>
      <c r="Y340" s="433">
        <f t="shared" si="28"/>
        <v>727.74814845774438</v>
      </c>
      <c r="Z340" s="433">
        <f t="shared" si="28"/>
        <v>727.74814845774438</v>
      </c>
      <c r="AA340" s="433">
        <f t="shared" si="28"/>
        <v>727.74814845774438</v>
      </c>
      <c r="AB340" s="433">
        <f t="shared" si="28"/>
        <v>727.74814845774438</v>
      </c>
      <c r="AC340" s="433">
        <f t="shared" si="28"/>
        <v>727.74814845774438</v>
      </c>
      <c r="AD340" s="433">
        <f t="shared" si="28"/>
        <v>727.74814845774438</v>
      </c>
      <c r="AE340" s="433">
        <f t="shared" si="28"/>
        <v>727.74814845774438</v>
      </c>
      <c r="AF340" s="433">
        <f t="shared" si="28"/>
        <v>727.74814845774438</v>
      </c>
      <c r="AG340" s="433">
        <f t="shared" si="28"/>
        <v>727.74814845774438</v>
      </c>
      <c r="AH340" s="433">
        <f t="shared" si="28"/>
        <v>727.74814845774438</v>
      </c>
      <c r="AI340" s="433">
        <f t="shared" si="28"/>
        <v>727.74814845774438</v>
      </c>
      <c r="AJ340" s="433">
        <f t="shared" si="28"/>
        <v>727.74814845774438</v>
      </c>
      <c r="AK340" s="433">
        <f t="shared" si="28"/>
        <v>727.74814845774438</v>
      </c>
      <c r="AL340" s="433">
        <f t="shared" si="28"/>
        <v>727.74814845774438</v>
      </c>
      <c r="AM340" s="433">
        <f t="shared" si="28"/>
        <v>727.74814845774438</v>
      </c>
      <c r="AN340" s="433">
        <f t="shared" si="28"/>
        <v>727.74814845774438</v>
      </c>
      <c r="AO340" s="433"/>
      <c r="AP340" s="433"/>
      <c r="AQ340" s="433"/>
    </row>
    <row r="341" spans="1:43" x14ac:dyDescent="0.25">
      <c r="A341" s="384" t="s">
        <v>852</v>
      </c>
      <c r="B341" s="384"/>
      <c r="C341" s="384"/>
      <c r="D341" s="384"/>
      <c r="E341" s="405" t="s">
        <v>107</v>
      </c>
      <c r="F341" s="405" t="s">
        <v>108</v>
      </c>
      <c r="G341" s="405" t="s">
        <v>803</v>
      </c>
      <c r="H341" s="405">
        <v>2050</v>
      </c>
      <c r="I341" t="s">
        <v>125</v>
      </c>
      <c r="J341" t="s">
        <v>350</v>
      </c>
      <c r="K341" s="396">
        <v>1</v>
      </c>
      <c r="L341" s="210"/>
      <c r="M341" s="433">
        <f t="shared" si="29"/>
        <v>664.48881342014636</v>
      </c>
      <c r="N341" s="433">
        <f t="shared" si="28"/>
        <v>664.48881342014636</v>
      </c>
      <c r="O341" s="433">
        <f t="shared" si="28"/>
        <v>664.48881342014636</v>
      </c>
      <c r="P341" s="433">
        <f t="shared" si="28"/>
        <v>664.48881342014636</v>
      </c>
      <c r="Q341" s="433">
        <f t="shared" si="28"/>
        <v>664.48881342014636</v>
      </c>
      <c r="R341" s="433">
        <f t="shared" si="28"/>
        <v>664.48881342014636</v>
      </c>
      <c r="S341" s="433">
        <f t="shared" si="28"/>
        <v>664.48881342014636</v>
      </c>
      <c r="T341" s="433">
        <f t="shared" si="28"/>
        <v>664.48881342014636</v>
      </c>
      <c r="U341" s="433">
        <f t="shared" si="28"/>
        <v>664.48881342014636</v>
      </c>
      <c r="V341" s="433">
        <f t="shared" si="28"/>
        <v>664.48881342014636</v>
      </c>
      <c r="W341" s="433">
        <f t="shared" si="28"/>
        <v>664.48881342014636</v>
      </c>
      <c r="X341" s="433">
        <f t="shared" si="28"/>
        <v>664.48881342014636</v>
      </c>
      <c r="Y341" s="433">
        <f t="shared" si="28"/>
        <v>664.48881342014636</v>
      </c>
      <c r="Z341" s="433">
        <f t="shared" si="28"/>
        <v>664.48881342014636</v>
      </c>
      <c r="AA341" s="433">
        <f t="shared" si="28"/>
        <v>664.48881342014636</v>
      </c>
      <c r="AB341" s="433">
        <f t="shared" si="28"/>
        <v>664.48881342014636</v>
      </c>
      <c r="AC341" s="433">
        <f t="shared" si="28"/>
        <v>664.48881342014636</v>
      </c>
      <c r="AD341" s="433">
        <f t="shared" si="28"/>
        <v>664.48881342014636</v>
      </c>
      <c r="AE341" s="433">
        <f t="shared" si="28"/>
        <v>664.48881342014636</v>
      </c>
      <c r="AF341" s="433">
        <f t="shared" si="28"/>
        <v>664.48881342014636</v>
      </c>
      <c r="AG341" s="433">
        <f t="shared" si="28"/>
        <v>664.48881342014636</v>
      </c>
      <c r="AH341" s="433">
        <f t="shared" si="28"/>
        <v>664.48881342014636</v>
      </c>
      <c r="AI341" s="433">
        <f t="shared" si="28"/>
        <v>664.48881342014636</v>
      </c>
      <c r="AJ341" s="433">
        <f t="shared" si="28"/>
        <v>664.48881342014636</v>
      </c>
      <c r="AK341" s="433">
        <f t="shared" si="28"/>
        <v>664.48881342014636</v>
      </c>
      <c r="AL341" s="433">
        <f t="shared" si="28"/>
        <v>664.48881342014636</v>
      </c>
      <c r="AM341" s="433">
        <f t="shared" si="28"/>
        <v>664.48881342014636</v>
      </c>
      <c r="AN341" s="433">
        <f t="shared" si="28"/>
        <v>664.48881342014636</v>
      </c>
      <c r="AO341" s="433"/>
      <c r="AP341" s="433"/>
      <c r="AQ341" s="433"/>
    </row>
    <row r="342" spans="1:43" x14ac:dyDescent="0.25">
      <c r="A342" s="384" t="s">
        <v>853</v>
      </c>
      <c r="B342" s="384"/>
      <c r="C342" s="384"/>
      <c r="D342" s="384"/>
      <c r="E342" s="405" t="s">
        <v>107</v>
      </c>
      <c r="F342" s="405" t="s">
        <v>108</v>
      </c>
      <c r="G342" s="405" t="s">
        <v>805</v>
      </c>
      <c r="H342" s="405">
        <v>2030</v>
      </c>
      <c r="I342" t="s">
        <v>125</v>
      </c>
      <c r="J342" t="s">
        <v>350</v>
      </c>
      <c r="K342" s="396">
        <v>1</v>
      </c>
      <c r="L342" s="210"/>
      <c r="M342" s="433">
        <f t="shared" si="29"/>
        <v>2614.4530885602512</v>
      </c>
      <c r="N342" s="433">
        <f t="shared" si="28"/>
        <v>2614.4530885602512</v>
      </c>
      <c r="O342" s="433">
        <f t="shared" si="28"/>
        <v>2614.4530885602512</v>
      </c>
      <c r="P342" s="433">
        <f t="shared" si="28"/>
        <v>2614.4530885602512</v>
      </c>
      <c r="Q342" s="433">
        <f t="shared" si="28"/>
        <v>2614.4530885602512</v>
      </c>
      <c r="R342" s="433">
        <f t="shared" si="28"/>
        <v>2614.4530885602512</v>
      </c>
      <c r="S342" s="433">
        <f t="shared" si="28"/>
        <v>2614.4530885602512</v>
      </c>
      <c r="T342" s="433">
        <f t="shared" si="28"/>
        <v>2614.4530885602512</v>
      </c>
      <c r="U342" s="433">
        <f t="shared" si="28"/>
        <v>2614.4530885602512</v>
      </c>
      <c r="V342" s="433">
        <f t="shared" si="28"/>
        <v>2614.4530885602512</v>
      </c>
      <c r="W342" s="433">
        <f t="shared" si="28"/>
        <v>2614.4530885602512</v>
      </c>
      <c r="X342" s="433">
        <f t="shared" si="28"/>
        <v>2614.4530885602512</v>
      </c>
      <c r="Y342" s="433">
        <f t="shared" si="28"/>
        <v>2614.4530885602512</v>
      </c>
      <c r="Z342" s="433">
        <f t="shared" si="28"/>
        <v>2614.4530885602512</v>
      </c>
      <c r="AA342" s="433">
        <f t="shared" si="28"/>
        <v>2614.4530885602512</v>
      </c>
      <c r="AB342" s="433">
        <f t="shared" si="28"/>
        <v>2614.4530885602512</v>
      </c>
      <c r="AC342" s="433">
        <f t="shared" si="28"/>
        <v>2614.4530885602512</v>
      </c>
      <c r="AD342" s="433">
        <f t="shared" si="28"/>
        <v>2614.4530885602512</v>
      </c>
      <c r="AE342" s="433">
        <f t="shared" si="28"/>
        <v>2614.4530885602512</v>
      </c>
      <c r="AF342" s="433">
        <f t="shared" si="28"/>
        <v>2614.4530885602512</v>
      </c>
      <c r="AG342" s="433">
        <f t="shared" si="28"/>
        <v>2614.4530885602512</v>
      </c>
      <c r="AH342" s="433">
        <f t="shared" si="28"/>
        <v>2614.4530885602512</v>
      </c>
      <c r="AI342" s="433">
        <f t="shared" si="28"/>
        <v>2614.4530885602512</v>
      </c>
      <c r="AJ342" s="433">
        <f t="shared" si="28"/>
        <v>2614.4530885602512</v>
      </c>
      <c r="AK342" s="433">
        <f t="shared" si="28"/>
        <v>2614.4530885602512</v>
      </c>
      <c r="AL342" s="433">
        <f t="shared" si="28"/>
        <v>2614.4530885602512</v>
      </c>
      <c r="AM342" s="433">
        <f t="shared" si="28"/>
        <v>2614.4530885602512</v>
      </c>
      <c r="AN342" s="433">
        <f t="shared" si="28"/>
        <v>2614.4530885602512</v>
      </c>
      <c r="AO342" s="433"/>
      <c r="AP342" s="433"/>
      <c r="AQ342" s="433"/>
    </row>
    <row r="343" spans="1:43" x14ac:dyDescent="0.25">
      <c r="A343" s="384" t="s">
        <v>853</v>
      </c>
      <c r="B343" s="384"/>
      <c r="C343" s="384"/>
      <c r="D343" s="384"/>
      <c r="E343" s="434" t="s">
        <v>107</v>
      </c>
      <c r="F343" s="434" t="s">
        <v>108</v>
      </c>
      <c r="G343" s="434" t="s">
        <v>805</v>
      </c>
      <c r="H343" s="434">
        <v>2050</v>
      </c>
      <c r="I343" s="216" t="s">
        <v>125</v>
      </c>
      <c r="J343" s="216" t="s">
        <v>350</v>
      </c>
      <c r="K343" s="403">
        <v>1</v>
      </c>
      <c r="L343" s="210"/>
      <c r="M343" s="433">
        <f t="shared" si="29"/>
        <v>1582.3214134000002</v>
      </c>
      <c r="N343" s="433">
        <f t="shared" si="28"/>
        <v>1582.3214134000002</v>
      </c>
      <c r="O343" s="433">
        <f t="shared" si="28"/>
        <v>1582.3214134000002</v>
      </c>
      <c r="P343" s="433">
        <f t="shared" si="28"/>
        <v>1582.3214134000002</v>
      </c>
      <c r="Q343" s="433">
        <f t="shared" si="28"/>
        <v>1582.3214134000002</v>
      </c>
      <c r="R343" s="433">
        <f t="shared" si="28"/>
        <v>1582.3214134000002</v>
      </c>
      <c r="S343" s="433">
        <f t="shared" si="28"/>
        <v>1582.3214134000002</v>
      </c>
      <c r="T343" s="433">
        <f t="shared" si="28"/>
        <v>1582.3214134000002</v>
      </c>
      <c r="U343" s="433">
        <f t="shared" si="28"/>
        <v>1582.3214134000002</v>
      </c>
      <c r="V343" s="433">
        <f t="shared" si="28"/>
        <v>1582.3214134000002</v>
      </c>
      <c r="W343" s="433">
        <f t="shared" si="28"/>
        <v>1582.3214134000002</v>
      </c>
      <c r="X343" s="433">
        <f t="shared" si="28"/>
        <v>1582.3214134000002</v>
      </c>
      <c r="Y343" s="433">
        <f t="shared" si="28"/>
        <v>1582.3214134000002</v>
      </c>
      <c r="Z343" s="433">
        <f t="shared" si="28"/>
        <v>1582.3214134000002</v>
      </c>
      <c r="AA343" s="433">
        <f t="shared" si="28"/>
        <v>1582.3214134000002</v>
      </c>
      <c r="AB343" s="433">
        <f t="shared" si="28"/>
        <v>1582.3214134000002</v>
      </c>
      <c r="AC343" s="433">
        <f t="shared" si="28"/>
        <v>1582.3214134000002</v>
      </c>
      <c r="AD343" s="433">
        <f t="shared" si="28"/>
        <v>1582.3214134000002</v>
      </c>
      <c r="AE343" s="433">
        <f t="shared" si="28"/>
        <v>1582.3214134000002</v>
      </c>
      <c r="AF343" s="433">
        <f t="shared" si="28"/>
        <v>1582.3214134000002</v>
      </c>
      <c r="AG343" s="433">
        <f t="shared" si="28"/>
        <v>1582.3214134000002</v>
      </c>
      <c r="AH343" s="433">
        <f t="shared" si="28"/>
        <v>1582.3214134000002</v>
      </c>
      <c r="AI343" s="433">
        <f t="shared" si="28"/>
        <v>1582.3214134000002</v>
      </c>
      <c r="AJ343" s="433">
        <f t="shared" si="28"/>
        <v>1582.3214134000002</v>
      </c>
      <c r="AK343" s="433">
        <f t="shared" si="28"/>
        <v>1582.3214134000002</v>
      </c>
      <c r="AL343" s="433">
        <f t="shared" si="28"/>
        <v>1582.3214134000002</v>
      </c>
      <c r="AM343" s="433">
        <f t="shared" si="28"/>
        <v>1582.3214134000002</v>
      </c>
      <c r="AN343" s="433">
        <f t="shared" si="28"/>
        <v>1582.3214134000002</v>
      </c>
      <c r="AO343" s="433"/>
      <c r="AP343" s="433"/>
      <c r="AQ343" s="433"/>
    </row>
    <row r="344" spans="1:43" x14ac:dyDescent="0.25">
      <c r="A344" s="384" t="s">
        <v>854</v>
      </c>
      <c r="B344" s="384"/>
      <c r="C344" s="384"/>
      <c r="D344" s="384"/>
      <c r="E344" s="9" t="s">
        <v>109</v>
      </c>
      <c r="F344" s="405" t="s">
        <v>110</v>
      </c>
      <c r="G344" s="405" t="s">
        <v>801</v>
      </c>
      <c r="H344" s="405">
        <v>2020</v>
      </c>
      <c r="I344" t="s">
        <v>125</v>
      </c>
      <c r="J344" t="s">
        <v>350</v>
      </c>
      <c r="K344" s="396">
        <v>1</v>
      </c>
      <c r="L344" s="406"/>
      <c r="M344" s="436">
        <f>M$250*$I$250</f>
        <v>819.5362032181805</v>
      </c>
      <c r="N344" s="436">
        <f t="shared" ref="N344:AN349" si="30">N$250*$I$250</f>
        <v>819.5362032181805</v>
      </c>
      <c r="O344" s="436">
        <f t="shared" si="30"/>
        <v>819.5362032181805</v>
      </c>
      <c r="P344" s="436">
        <f t="shared" si="30"/>
        <v>819.5362032181805</v>
      </c>
      <c r="Q344" s="436">
        <f t="shared" si="30"/>
        <v>819.5362032181805</v>
      </c>
      <c r="R344" s="436">
        <f t="shared" si="30"/>
        <v>819.5362032181805</v>
      </c>
      <c r="S344" s="436">
        <f t="shared" si="30"/>
        <v>819.5362032181805</v>
      </c>
      <c r="T344" s="436">
        <f t="shared" si="30"/>
        <v>819.5362032181805</v>
      </c>
      <c r="U344" s="436">
        <f t="shared" si="30"/>
        <v>819.5362032181805</v>
      </c>
      <c r="V344" s="436">
        <f t="shared" si="30"/>
        <v>819.5362032181805</v>
      </c>
      <c r="W344" s="436">
        <f t="shared" si="30"/>
        <v>819.5362032181805</v>
      </c>
      <c r="X344" s="436">
        <f t="shared" si="30"/>
        <v>819.5362032181805</v>
      </c>
      <c r="Y344" s="436">
        <f t="shared" si="30"/>
        <v>819.5362032181805</v>
      </c>
      <c r="Z344" s="436">
        <f t="shared" si="30"/>
        <v>819.5362032181805</v>
      </c>
      <c r="AA344" s="436">
        <f t="shared" si="30"/>
        <v>819.5362032181805</v>
      </c>
      <c r="AB344" s="436">
        <f t="shared" si="30"/>
        <v>819.5362032181805</v>
      </c>
      <c r="AC344" s="436">
        <f t="shared" si="30"/>
        <v>819.5362032181805</v>
      </c>
      <c r="AD344" s="436">
        <f t="shared" si="30"/>
        <v>819.5362032181805</v>
      </c>
      <c r="AE344" s="436">
        <f t="shared" si="30"/>
        <v>819.5362032181805</v>
      </c>
      <c r="AF344" s="436">
        <f t="shared" si="30"/>
        <v>819.5362032181805</v>
      </c>
      <c r="AG344" s="436">
        <f t="shared" si="30"/>
        <v>819.5362032181805</v>
      </c>
      <c r="AH344" s="436">
        <f t="shared" si="30"/>
        <v>819.5362032181805</v>
      </c>
      <c r="AI344" s="436">
        <f t="shared" si="30"/>
        <v>819.5362032181805</v>
      </c>
      <c r="AJ344" s="436">
        <f t="shared" si="30"/>
        <v>819.5362032181805</v>
      </c>
      <c r="AK344" s="436">
        <f t="shared" si="30"/>
        <v>819.5362032181805</v>
      </c>
      <c r="AL344" s="436">
        <f t="shared" si="30"/>
        <v>819.5362032181805</v>
      </c>
      <c r="AM344" s="436">
        <f t="shared" si="30"/>
        <v>819.5362032181805</v>
      </c>
      <c r="AN344" s="436">
        <f t="shared" si="30"/>
        <v>819.5362032181805</v>
      </c>
      <c r="AO344" s="433"/>
      <c r="AP344" s="433"/>
      <c r="AQ344" s="433"/>
    </row>
    <row r="345" spans="1:43" x14ac:dyDescent="0.25">
      <c r="A345" s="384" t="s">
        <v>855</v>
      </c>
      <c r="B345" s="384"/>
      <c r="C345" s="384"/>
      <c r="D345" s="384"/>
      <c r="E345" s="405"/>
      <c r="F345" s="405" t="s">
        <v>110</v>
      </c>
      <c r="G345" s="405" t="s">
        <v>801</v>
      </c>
      <c r="H345" s="405">
        <v>2020</v>
      </c>
      <c r="I345" t="s">
        <v>766</v>
      </c>
      <c r="J345" t="s">
        <v>767</v>
      </c>
      <c r="K345" s="401">
        <v>1</v>
      </c>
      <c r="M345" s="433">
        <f t="shared" ref="M345:AB349" si="31">M$250*$I$250</f>
        <v>819.5362032181805</v>
      </c>
      <c r="N345" s="433">
        <f t="shared" si="31"/>
        <v>819.5362032181805</v>
      </c>
      <c r="O345" s="433">
        <f t="shared" si="31"/>
        <v>819.5362032181805</v>
      </c>
      <c r="P345" s="433">
        <f t="shared" si="31"/>
        <v>819.5362032181805</v>
      </c>
      <c r="Q345" s="433">
        <f t="shared" si="31"/>
        <v>819.5362032181805</v>
      </c>
      <c r="R345" s="433">
        <f t="shared" si="31"/>
        <v>819.5362032181805</v>
      </c>
      <c r="S345" s="433">
        <f t="shared" si="31"/>
        <v>819.5362032181805</v>
      </c>
      <c r="T345" s="433">
        <f t="shared" si="31"/>
        <v>819.5362032181805</v>
      </c>
      <c r="U345" s="433">
        <f t="shared" si="31"/>
        <v>819.5362032181805</v>
      </c>
      <c r="V345" s="433">
        <f t="shared" si="31"/>
        <v>819.5362032181805</v>
      </c>
      <c r="W345" s="433">
        <f t="shared" si="31"/>
        <v>819.5362032181805</v>
      </c>
      <c r="X345" s="433">
        <f t="shared" si="31"/>
        <v>819.5362032181805</v>
      </c>
      <c r="Y345" s="433">
        <f t="shared" si="31"/>
        <v>819.5362032181805</v>
      </c>
      <c r="Z345" s="433">
        <f t="shared" si="31"/>
        <v>819.5362032181805</v>
      </c>
      <c r="AA345" s="433">
        <f t="shared" si="31"/>
        <v>819.5362032181805</v>
      </c>
      <c r="AB345" s="433">
        <f t="shared" si="31"/>
        <v>819.5362032181805</v>
      </c>
      <c r="AC345" s="433">
        <f t="shared" si="30"/>
        <v>819.5362032181805</v>
      </c>
      <c r="AD345" s="433">
        <f t="shared" si="30"/>
        <v>819.5362032181805</v>
      </c>
      <c r="AE345" s="433">
        <f t="shared" si="30"/>
        <v>819.5362032181805</v>
      </c>
      <c r="AF345" s="433">
        <f t="shared" si="30"/>
        <v>819.5362032181805</v>
      </c>
      <c r="AG345" s="433">
        <f t="shared" si="30"/>
        <v>819.5362032181805</v>
      </c>
      <c r="AH345" s="433">
        <f t="shared" si="30"/>
        <v>819.5362032181805</v>
      </c>
      <c r="AI345" s="433">
        <f t="shared" si="30"/>
        <v>819.5362032181805</v>
      </c>
      <c r="AJ345" s="433">
        <f t="shared" si="30"/>
        <v>819.5362032181805</v>
      </c>
      <c r="AK345" s="433">
        <f t="shared" si="30"/>
        <v>819.5362032181805</v>
      </c>
      <c r="AL345" s="433">
        <f t="shared" si="30"/>
        <v>819.5362032181805</v>
      </c>
      <c r="AM345" s="433">
        <f t="shared" si="30"/>
        <v>819.5362032181805</v>
      </c>
      <c r="AN345" s="433">
        <f t="shared" si="30"/>
        <v>819.5362032181805</v>
      </c>
      <c r="AO345" s="433"/>
      <c r="AP345" s="433"/>
      <c r="AQ345" s="433"/>
    </row>
    <row r="346" spans="1:43" x14ac:dyDescent="0.25">
      <c r="A346" s="384" t="s">
        <v>856</v>
      </c>
      <c r="B346" s="384"/>
      <c r="C346" s="384"/>
      <c r="D346" s="384"/>
      <c r="E346" s="405"/>
      <c r="F346" s="405" t="s">
        <v>110</v>
      </c>
      <c r="G346" s="405" t="s">
        <v>801</v>
      </c>
      <c r="H346" s="405">
        <v>2020</v>
      </c>
      <c r="I346" t="s">
        <v>129</v>
      </c>
      <c r="J346" t="s">
        <v>768</v>
      </c>
      <c r="K346" s="401">
        <v>1</v>
      </c>
      <c r="M346" s="433">
        <f t="shared" si="31"/>
        <v>819.5362032181805</v>
      </c>
      <c r="N346" s="433">
        <f t="shared" si="30"/>
        <v>819.5362032181805</v>
      </c>
      <c r="O346" s="433">
        <f t="shared" si="30"/>
        <v>819.5362032181805</v>
      </c>
      <c r="P346" s="433">
        <f t="shared" si="30"/>
        <v>819.5362032181805</v>
      </c>
      <c r="Q346" s="433">
        <f t="shared" si="30"/>
        <v>819.5362032181805</v>
      </c>
      <c r="R346" s="433">
        <f t="shared" si="30"/>
        <v>819.5362032181805</v>
      </c>
      <c r="S346" s="433">
        <f t="shared" si="30"/>
        <v>819.5362032181805</v>
      </c>
      <c r="T346" s="433">
        <f t="shared" si="30"/>
        <v>819.5362032181805</v>
      </c>
      <c r="U346" s="433">
        <f t="shared" si="30"/>
        <v>819.5362032181805</v>
      </c>
      <c r="V346" s="433">
        <f t="shared" si="30"/>
        <v>819.5362032181805</v>
      </c>
      <c r="W346" s="433">
        <f t="shared" si="30"/>
        <v>819.5362032181805</v>
      </c>
      <c r="X346" s="433">
        <f t="shared" si="30"/>
        <v>819.5362032181805</v>
      </c>
      <c r="Y346" s="433">
        <f t="shared" si="30"/>
        <v>819.5362032181805</v>
      </c>
      <c r="Z346" s="433">
        <f t="shared" si="30"/>
        <v>819.5362032181805</v>
      </c>
      <c r="AA346" s="433">
        <f t="shared" si="30"/>
        <v>819.5362032181805</v>
      </c>
      <c r="AB346" s="433">
        <f t="shared" si="30"/>
        <v>819.5362032181805</v>
      </c>
      <c r="AC346" s="433">
        <f t="shared" si="30"/>
        <v>819.5362032181805</v>
      </c>
      <c r="AD346" s="433">
        <f t="shared" si="30"/>
        <v>819.5362032181805</v>
      </c>
      <c r="AE346" s="433">
        <f t="shared" si="30"/>
        <v>819.5362032181805</v>
      </c>
      <c r="AF346" s="433">
        <f t="shared" si="30"/>
        <v>819.5362032181805</v>
      </c>
      <c r="AG346" s="433">
        <f t="shared" si="30"/>
        <v>819.5362032181805</v>
      </c>
      <c r="AH346" s="433">
        <f t="shared" si="30"/>
        <v>819.5362032181805</v>
      </c>
      <c r="AI346" s="433">
        <f t="shared" si="30"/>
        <v>819.5362032181805</v>
      </c>
      <c r="AJ346" s="433">
        <f t="shared" si="30"/>
        <v>819.5362032181805</v>
      </c>
      <c r="AK346" s="433">
        <f t="shared" si="30"/>
        <v>819.5362032181805</v>
      </c>
      <c r="AL346" s="433">
        <f t="shared" si="30"/>
        <v>819.5362032181805</v>
      </c>
      <c r="AM346" s="433">
        <f t="shared" si="30"/>
        <v>819.5362032181805</v>
      </c>
      <c r="AN346" s="433">
        <f t="shared" si="30"/>
        <v>819.5362032181805</v>
      </c>
      <c r="AO346" s="433"/>
      <c r="AP346" s="433"/>
      <c r="AQ346" s="433"/>
    </row>
    <row r="347" spans="1:43" x14ac:dyDescent="0.25">
      <c r="A347" s="384" t="s">
        <v>857</v>
      </c>
      <c r="B347" s="384"/>
      <c r="C347" s="384"/>
      <c r="D347" s="384"/>
      <c r="E347" s="405"/>
      <c r="F347" s="405" t="s">
        <v>110</v>
      </c>
      <c r="G347" s="405" t="s">
        <v>801</v>
      </c>
      <c r="H347" s="405">
        <v>2020</v>
      </c>
      <c r="I347" t="s">
        <v>769</v>
      </c>
      <c r="J347" t="s">
        <v>770</v>
      </c>
      <c r="K347" s="396">
        <v>1</v>
      </c>
      <c r="L347" s="210"/>
      <c r="M347" s="433">
        <f t="shared" si="31"/>
        <v>819.5362032181805</v>
      </c>
      <c r="N347" s="433">
        <f t="shared" si="30"/>
        <v>819.5362032181805</v>
      </c>
      <c r="O347" s="433">
        <f t="shared" si="30"/>
        <v>819.5362032181805</v>
      </c>
      <c r="P347" s="433">
        <f t="shared" si="30"/>
        <v>819.5362032181805</v>
      </c>
      <c r="Q347" s="433">
        <f t="shared" si="30"/>
        <v>819.5362032181805</v>
      </c>
      <c r="R347" s="433">
        <f t="shared" si="30"/>
        <v>819.5362032181805</v>
      </c>
      <c r="S347" s="433">
        <f t="shared" si="30"/>
        <v>819.5362032181805</v>
      </c>
      <c r="T347" s="433">
        <f t="shared" si="30"/>
        <v>819.5362032181805</v>
      </c>
      <c r="U347" s="433">
        <f t="shared" si="30"/>
        <v>819.5362032181805</v>
      </c>
      <c r="V347" s="433">
        <f t="shared" si="30"/>
        <v>819.5362032181805</v>
      </c>
      <c r="W347" s="433">
        <f t="shared" si="30"/>
        <v>819.5362032181805</v>
      </c>
      <c r="X347" s="433">
        <f t="shared" si="30"/>
        <v>819.5362032181805</v>
      </c>
      <c r="Y347" s="433">
        <f t="shared" si="30"/>
        <v>819.5362032181805</v>
      </c>
      <c r="Z347" s="433">
        <f t="shared" si="30"/>
        <v>819.5362032181805</v>
      </c>
      <c r="AA347" s="433">
        <f t="shared" si="30"/>
        <v>819.5362032181805</v>
      </c>
      <c r="AB347" s="433">
        <f t="shared" si="30"/>
        <v>819.5362032181805</v>
      </c>
      <c r="AC347" s="433">
        <f t="shared" si="30"/>
        <v>819.5362032181805</v>
      </c>
      <c r="AD347" s="433">
        <f t="shared" si="30"/>
        <v>819.5362032181805</v>
      </c>
      <c r="AE347" s="433">
        <f t="shared" si="30"/>
        <v>819.5362032181805</v>
      </c>
      <c r="AF347" s="433">
        <f t="shared" si="30"/>
        <v>819.5362032181805</v>
      </c>
      <c r="AG347" s="433">
        <f t="shared" si="30"/>
        <v>819.5362032181805</v>
      </c>
      <c r="AH347" s="433">
        <f t="shared" si="30"/>
        <v>819.5362032181805</v>
      </c>
      <c r="AI347" s="433">
        <f t="shared" si="30"/>
        <v>819.5362032181805</v>
      </c>
      <c r="AJ347" s="433">
        <f t="shared" si="30"/>
        <v>819.5362032181805</v>
      </c>
      <c r="AK347" s="433">
        <f t="shared" si="30"/>
        <v>819.5362032181805</v>
      </c>
      <c r="AL347" s="433">
        <f t="shared" si="30"/>
        <v>819.5362032181805</v>
      </c>
      <c r="AM347" s="433">
        <f t="shared" si="30"/>
        <v>819.5362032181805</v>
      </c>
      <c r="AN347" s="433">
        <f t="shared" si="30"/>
        <v>819.5362032181805</v>
      </c>
      <c r="AO347" s="433"/>
      <c r="AP347" s="433"/>
      <c r="AQ347" s="433"/>
    </row>
    <row r="348" spans="1:43" x14ac:dyDescent="0.25">
      <c r="A348" s="384" t="s">
        <v>858</v>
      </c>
      <c r="B348" s="384"/>
      <c r="C348" s="384"/>
      <c r="D348" s="384"/>
      <c r="E348" s="405"/>
      <c r="F348" s="405" t="s">
        <v>110</v>
      </c>
      <c r="G348" s="405" t="s">
        <v>801</v>
      </c>
      <c r="H348" s="405">
        <v>2020</v>
      </c>
      <c r="I348" t="s">
        <v>771</v>
      </c>
      <c r="J348" t="s">
        <v>331</v>
      </c>
      <c r="K348" s="401">
        <v>1</v>
      </c>
      <c r="M348" s="433">
        <f t="shared" si="31"/>
        <v>819.5362032181805</v>
      </c>
      <c r="N348" s="433">
        <f t="shared" si="30"/>
        <v>819.5362032181805</v>
      </c>
      <c r="O348" s="433">
        <f t="shared" si="30"/>
        <v>819.5362032181805</v>
      </c>
      <c r="P348" s="433">
        <f t="shared" si="30"/>
        <v>819.5362032181805</v>
      </c>
      <c r="Q348" s="433">
        <f t="shared" si="30"/>
        <v>819.5362032181805</v>
      </c>
      <c r="R348" s="433">
        <f t="shared" si="30"/>
        <v>819.5362032181805</v>
      </c>
      <c r="S348" s="433">
        <f t="shared" si="30"/>
        <v>819.5362032181805</v>
      </c>
      <c r="T348" s="433">
        <f t="shared" si="30"/>
        <v>819.5362032181805</v>
      </c>
      <c r="U348" s="433">
        <f t="shared" si="30"/>
        <v>819.5362032181805</v>
      </c>
      <c r="V348" s="433">
        <f t="shared" si="30"/>
        <v>819.5362032181805</v>
      </c>
      <c r="W348" s="433">
        <f t="shared" si="30"/>
        <v>819.5362032181805</v>
      </c>
      <c r="X348" s="433">
        <f t="shared" si="30"/>
        <v>819.5362032181805</v>
      </c>
      <c r="Y348" s="433">
        <f t="shared" si="30"/>
        <v>819.5362032181805</v>
      </c>
      <c r="Z348" s="433">
        <f t="shared" si="30"/>
        <v>819.5362032181805</v>
      </c>
      <c r="AA348" s="433">
        <f t="shared" si="30"/>
        <v>819.5362032181805</v>
      </c>
      <c r="AB348" s="433">
        <f t="shared" si="30"/>
        <v>819.5362032181805</v>
      </c>
      <c r="AC348" s="433">
        <f t="shared" si="30"/>
        <v>819.5362032181805</v>
      </c>
      <c r="AD348" s="433">
        <f t="shared" si="30"/>
        <v>819.5362032181805</v>
      </c>
      <c r="AE348" s="433">
        <f t="shared" si="30"/>
        <v>819.5362032181805</v>
      </c>
      <c r="AF348" s="433">
        <f t="shared" si="30"/>
        <v>819.5362032181805</v>
      </c>
      <c r="AG348" s="433">
        <f t="shared" si="30"/>
        <v>819.5362032181805</v>
      </c>
      <c r="AH348" s="433">
        <f t="shared" si="30"/>
        <v>819.5362032181805</v>
      </c>
      <c r="AI348" s="433">
        <f t="shared" si="30"/>
        <v>819.5362032181805</v>
      </c>
      <c r="AJ348" s="433">
        <f t="shared" si="30"/>
        <v>819.5362032181805</v>
      </c>
      <c r="AK348" s="433">
        <f t="shared" si="30"/>
        <v>819.5362032181805</v>
      </c>
      <c r="AL348" s="433">
        <f t="shared" si="30"/>
        <v>819.5362032181805</v>
      </c>
      <c r="AM348" s="433">
        <f t="shared" si="30"/>
        <v>819.5362032181805</v>
      </c>
      <c r="AN348" s="433">
        <f t="shared" si="30"/>
        <v>819.5362032181805</v>
      </c>
      <c r="AO348" s="433"/>
      <c r="AP348" s="433"/>
      <c r="AQ348" s="433"/>
    </row>
    <row r="349" spans="1:43" x14ac:dyDescent="0.25">
      <c r="A349" s="384" t="s">
        <v>859</v>
      </c>
      <c r="B349" s="384"/>
      <c r="C349" s="384"/>
      <c r="D349" s="384"/>
      <c r="F349" s="405" t="s">
        <v>110</v>
      </c>
      <c r="G349" s="405" t="s">
        <v>801</v>
      </c>
      <c r="H349" s="405">
        <v>2020</v>
      </c>
      <c r="I349" t="s">
        <v>116</v>
      </c>
      <c r="J349" t="s">
        <v>772</v>
      </c>
      <c r="K349" s="401">
        <v>1</v>
      </c>
      <c r="M349" s="433">
        <f t="shared" si="31"/>
        <v>819.5362032181805</v>
      </c>
      <c r="N349" s="433">
        <f t="shared" si="30"/>
        <v>819.5362032181805</v>
      </c>
      <c r="O349" s="433">
        <f t="shared" si="30"/>
        <v>819.5362032181805</v>
      </c>
      <c r="P349" s="433">
        <f t="shared" si="30"/>
        <v>819.5362032181805</v>
      </c>
      <c r="Q349" s="433">
        <f t="shared" si="30"/>
        <v>819.5362032181805</v>
      </c>
      <c r="R349" s="433">
        <f t="shared" si="30"/>
        <v>819.5362032181805</v>
      </c>
      <c r="S349" s="433">
        <f t="shared" si="30"/>
        <v>819.5362032181805</v>
      </c>
      <c r="T349" s="433">
        <f t="shared" si="30"/>
        <v>819.5362032181805</v>
      </c>
      <c r="U349" s="433">
        <f t="shared" si="30"/>
        <v>819.5362032181805</v>
      </c>
      <c r="V349" s="433">
        <f t="shared" si="30"/>
        <v>819.5362032181805</v>
      </c>
      <c r="W349" s="433">
        <f t="shared" si="30"/>
        <v>819.5362032181805</v>
      </c>
      <c r="X349" s="433">
        <f t="shared" si="30"/>
        <v>819.5362032181805</v>
      </c>
      <c r="Y349" s="433">
        <f t="shared" si="30"/>
        <v>819.5362032181805</v>
      </c>
      <c r="Z349" s="433">
        <f t="shared" si="30"/>
        <v>819.5362032181805</v>
      </c>
      <c r="AA349" s="433">
        <f t="shared" si="30"/>
        <v>819.5362032181805</v>
      </c>
      <c r="AB349" s="433">
        <f t="shared" si="30"/>
        <v>819.5362032181805</v>
      </c>
      <c r="AC349" s="433">
        <f t="shared" si="30"/>
        <v>819.5362032181805</v>
      </c>
      <c r="AD349" s="433">
        <f t="shared" si="30"/>
        <v>819.5362032181805</v>
      </c>
      <c r="AE349" s="433">
        <f t="shared" si="30"/>
        <v>819.5362032181805</v>
      </c>
      <c r="AF349" s="433">
        <f t="shared" si="30"/>
        <v>819.5362032181805</v>
      </c>
      <c r="AG349" s="433">
        <f t="shared" si="30"/>
        <v>819.5362032181805</v>
      </c>
      <c r="AH349" s="433">
        <f t="shared" si="30"/>
        <v>819.5362032181805</v>
      </c>
      <c r="AI349" s="433">
        <f t="shared" si="30"/>
        <v>819.5362032181805</v>
      </c>
      <c r="AJ349" s="433">
        <f t="shared" si="30"/>
        <v>819.5362032181805</v>
      </c>
      <c r="AK349" s="433">
        <f t="shared" si="30"/>
        <v>819.5362032181805</v>
      </c>
      <c r="AL349" s="433">
        <f t="shared" si="30"/>
        <v>819.5362032181805</v>
      </c>
      <c r="AM349" s="433">
        <f t="shared" si="30"/>
        <v>819.5362032181805</v>
      </c>
      <c r="AN349" s="433">
        <f t="shared" si="30"/>
        <v>819.5362032181805</v>
      </c>
      <c r="AO349" s="433"/>
      <c r="AP349" s="433"/>
      <c r="AQ349" s="433"/>
    </row>
    <row r="350" spans="1:43" x14ac:dyDescent="0.25">
      <c r="A350" s="384" t="s">
        <v>860</v>
      </c>
      <c r="B350" s="384"/>
      <c r="C350" s="384"/>
      <c r="D350" s="384"/>
      <c r="E350" s="9" t="s">
        <v>109</v>
      </c>
      <c r="F350" s="405" t="s">
        <v>110</v>
      </c>
      <c r="G350" s="405" t="s">
        <v>803</v>
      </c>
      <c r="H350" s="405">
        <v>2025</v>
      </c>
      <c r="I350" t="s">
        <v>125</v>
      </c>
      <c r="J350" t="s">
        <v>350</v>
      </c>
      <c r="K350" s="396">
        <v>1</v>
      </c>
      <c r="L350" s="210"/>
      <c r="M350" s="433">
        <f>M$251*$I$250</f>
        <v>819.5362032181805</v>
      </c>
      <c r="N350" s="433">
        <f t="shared" ref="N350:AN355" si="32">N$251*$I$250</f>
        <v>819.5362032181805</v>
      </c>
      <c r="O350" s="433">
        <f t="shared" si="32"/>
        <v>819.5362032181805</v>
      </c>
      <c r="P350" s="433">
        <f t="shared" si="32"/>
        <v>819.5362032181805</v>
      </c>
      <c r="Q350" s="433">
        <f t="shared" si="32"/>
        <v>819.5362032181805</v>
      </c>
      <c r="R350" s="433">
        <f t="shared" si="32"/>
        <v>819.5362032181805</v>
      </c>
      <c r="S350" s="433">
        <f t="shared" si="32"/>
        <v>819.5362032181805</v>
      </c>
      <c r="T350" s="433">
        <f t="shared" si="32"/>
        <v>819.5362032181805</v>
      </c>
      <c r="U350" s="433">
        <f t="shared" si="32"/>
        <v>819.5362032181805</v>
      </c>
      <c r="V350" s="433">
        <f t="shared" si="32"/>
        <v>819.5362032181805</v>
      </c>
      <c r="W350" s="433">
        <f t="shared" si="32"/>
        <v>819.5362032181805</v>
      </c>
      <c r="X350" s="433">
        <f t="shared" si="32"/>
        <v>819.5362032181805</v>
      </c>
      <c r="Y350" s="433">
        <f t="shared" si="32"/>
        <v>819.5362032181805</v>
      </c>
      <c r="Z350" s="433">
        <f t="shared" si="32"/>
        <v>819.5362032181805</v>
      </c>
      <c r="AA350" s="433">
        <f t="shared" si="32"/>
        <v>819.5362032181805</v>
      </c>
      <c r="AB350" s="433">
        <f t="shared" si="32"/>
        <v>819.5362032181805</v>
      </c>
      <c r="AC350" s="433">
        <f t="shared" si="32"/>
        <v>819.5362032181805</v>
      </c>
      <c r="AD350" s="433">
        <f t="shared" si="32"/>
        <v>819.5362032181805</v>
      </c>
      <c r="AE350" s="433">
        <f t="shared" si="32"/>
        <v>819.5362032181805</v>
      </c>
      <c r="AF350" s="433">
        <f t="shared" si="32"/>
        <v>819.5362032181805</v>
      </c>
      <c r="AG350" s="433">
        <f t="shared" si="32"/>
        <v>819.5362032181805</v>
      </c>
      <c r="AH350" s="433">
        <f t="shared" si="32"/>
        <v>819.5362032181805</v>
      </c>
      <c r="AI350" s="433">
        <f t="shared" si="32"/>
        <v>819.5362032181805</v>
      </c>
      <c r="AJ350" s="433">
        <f t="shared" si="32"/>
        <v>819.5362032181805</v>
      </c>
      <c r="AK350" s="433">
        <f t="shared" si="32"/>
        <v>819.5362032181805</v>
      </c>
      <c r="AL350" s="433">
        <f t="shared" si="32"/>
        <v>819.5362032181805</v>
      </c>
      <c r="AM350" s="433">
        <f t="shared" si="32"/>
        <v>819.5362032181805</v>
      </c>
      <c r="AN350" s="433">
        <f t="shared" si="32"/>
        <v>819.5362032181805</v>
      </c>
      <c r="AO350" s="433"/>
      <c r="AP350" s="433"/>
      <c r="AQ350" s="433"/>
    </row>
    <row r="351" spans="1:43" x14ac:dyDescent="0.25">
      <c r="A351" s="384" t="s">
        <v>861</v>
      </c>
      <c r="B351" s="384"/>
      <c r="C351" s="384"/>
      <c r="D351" s="384"/>
      <c r="E351" s="405"/>
      <c r="F351" s="405" t="s">
        <v>110</v>
      </c>
      <c r="G351" s="405" t="s">
        <v>803</v>
      </c>
      <c r="H351" s="405">
        <v>2025</v>
      </c>
      <c r="I351" t="s">
        <v>766</v>
      </c>
      <c r="J351" t="s">
        <v>767</v>
      </c>
      <c r="K351" s="401">
        <v>1</v>
      </c>
      <c r="M351" s="433">
        <f t="shared" ref="M351:AB355" si="33">M$251*$I$250</f>
        <v>819.5362032181805</v>
      </c>
      <c r="N351" s="433">
        <f t="shared" si="33"/>
        <v>819.5362032181805</v>
      </c>
      <c r="O351" s="433">
        <f t="shared" si="33"/>
        <v>819.5362032181805</v>
      </c>
      <c r="P351" s="433">
        <f t="shared" si="33"/>
        <v>819.5362032181805</v>
      </c>
      <c r="Q351" s="433">
        <f t="shared" si="33"/>
        <v>819.5362032181805</v>
      </c>
      <c r="R351" s="433">
        <f t="shared" si="33"/>
        <v>819.5362032181805</v>
      </c>
      <c r="S351" s="433">
        <f t="shared" si="33"/>
        <v>819.5362032181805</v>
      </c>
      <c r="T351" s="433">
        <f t="shared" si="33"/>
        <v>819.5362032181805</v>
      </c>
      <c r="U351" s="433">
        <f t="shared" si="33"/>
        <v>819.5362032181805</v>
      </c>
      <c r="V351" s="433">
        <f t="shared" si="33"/>
        <v>819.5362032181805</v>
      </c>
      <c r="W351" s="433">
        <f t="shared" si="33"/>
        <v>819.5362032181805</v>
      </c>
      <c r="X351" s="433">
        <f t="shared" si="33"/>
        <v>819.5362032181805</v>
      </c>
      <c r="Y351" s="433">
        <f t="shared" si="33"/>
        <v>819.5362032181805</v>
      </c>
      <c r="Z351" s="433">
        <f t="shared" si="33"/>
        <v>819.5362032181805</v>
      </c>
      <c r="AA351" s="433">
        <f t="shared" si="33"/>
        <v>819.5362032181805</v>
      </c>
      <c r="AB351" s="433">
        <f t="shared" si="33"/>
        <v>819.5362032181805</v>
      </c>
      <c r="AC351" s="433">
        <f t="shared" si="32"/>
        <v>819.5362032181805</v>
      </c>
      <c r="AD351" s="433">
        <f t="shared" si="32"/>
        <v>819.5362032181805</v>
      </c>
      <c r="AE351" s="433">
        <f t="shared" si="32"/>
        <v>819.5362032181805</v>
      </c>
      <c r="AF351" s="433">
        <f t="shared" si="32"/>
        <v>819.5362032181805</v>
      </c>
      <c r="AG351" s="433">
        <f t="shared" si="32"/>
        <v>819.5362032181805</v>
      </c>
      <c r="AH351" s="433">
        <f t="shared" si="32"/>
        <v>819.5362032181805</v>
      </c>
      <c r="AI351" s="433">
        <f t="shared" si="32"/>
        <v>819.5362032181805</v>
      </c>
      <c r="AJ351" s="433">
        <f t="shared" si="32"/>
        <v>819.5362032181805</v>
      </c>
      <c r="AK351" s="433">
        <f t="shared" si="32"/>
        <v>819.5362032181805</v>
      </c>
      <c r="AL351" s="433">
        <f t="shared" si="32"/>
        <v>819.5362032181805</v>
      </c>
      <c r="AM351" s="433">
        <f t="shared" si="32"/>
        <v>819.5362032181805</v>
      </c>
      <c r="AN351" s="433">
        <f t="shared" si="32"/>
        <v>819.5362032181805</v>
      </c>
      <c r="AO351" s="433"/>
      <c r="AP351" s="433"/>
      <c r="AQ351" s="433"/>
    </row>
    <row r="352" spans="1:43" x14ac:dyDescent="0.25">
      <c r="A352" s="384" t="s">
        <v>862</v>
      </c>
      <c r="B352" s="384"/>
      <c r="C352" s="384"/>
      <c r="D352" s="384"/>
      <c r="E352" s="405"/>
      <c r="F352" s="405" t="s">
        <v>110</v>
      </c>
      <c r="G352" s="405" t="s">
        <v>803</v>
      </c>
      <c r="H352" s="405">
        <v>2025</v>
      </c>
      <c r="I352" t="s">
        <v>129</v>
      </c>
      <c r="J352" t="s">
        <v>768</v>
      </c>
      <c r="K352" s="401">
        <v>1</v>
      </c>
      <c r="M352" s="433">
        <f t="shared" si="33"/>
        <v>819.5362032181805</v>
      </c>
      <c r="N352" s="433">
        <f t="shared" si="32"/>
        <v>819.5362032181805</v>
      </c>
      <c r="O352" s="433">
        <f t="shared" si="32"/>
        <v>819.5362032181805</v>
      </c>
      <c r="P352" s="433">
        <f t="shared" si="32"/>
        <v>819.5362032181805</v>
      </c>
      <c r="Q352" s="433">
        <f t="shared" si="32"/>
        <v>819.5362032181805</v>
      </c>
      <c r="R352" s="433">
        <f t="shared" si="32"/>
        <v>819.5362032181805</v>
      </c>
      <c r="S352" s="433">
        <f t="shared" si="32"/>
        <v>819.5362032181805</v>
      </c>
      <c r="T352" s="433">
        <f t="shared" si="32"/>
        <v>819.5362032181805</v>
      </c>
      <c r="U352" s="433">
        <f t="shared" si="32"/>
        <v>819.5362032181805</v>
      </c>
      <c r="V352" s="433">
        <f t="shared" si="32"/>
        <v>819.5362032181805</v>
      </c>
      <c r="W352" s="433">
        <f t="shared" si="32"/>
        <v>819.5362032181805</v>
      </c>
      <c r="X352" s="433">
        <f t="shared" si="32"/>
        <v>819.5362032181805</v>
      </c>
      <c r="Y352" s="433">
        <f t="shared" si="32"/>
        <v>819.5362032181805</v>
      </c>
      <c r="Z352" s="433">
        <f t="shared" si="32"/>
        <v>819.5362032181805</v>
      </c>
      <c r="AA352" s="433">
        <f t="shared" si="32"/>
        <v>819.5362032181805</v>
      </c>
      <c r="AB352" s="433">
        <f t="shared" si="32"/>
        <v>819.5362032181805</v>
      </c>
      <c r="AC352" s="433">
        <f t="shared" si="32"/>
        <v>819.5362032181805</v>
      </c>
      <c r="AD352" s="433">
        <f t="shared" si="32"/>
        <v>819.5362032181805</v>
      </c>
      <c r="AE352" s="433">
        <f t="shared" si="32"/>
        <v>819.5362032181805</v>
      </c>
      <c r="AF352" s="433">
        <f t="shared" si="32"/>
        <v>819.5362032181805</v>
      </c>
      <c r="AG352" s="433">
        <f t="shared" si="32"/>
        <v>819.5362032181805</v>
      </c>
      <c r="AH352" s="433">
        <f t="shared" si="32"/>
        <v>819.5362032181805</v>
      </c>
      <c r="AI352" s="433">
        <f t="shared" si="32"/>
        <v>819.5362032181805</v>
      </c>
      <c r="AJ352" s="433">
        <f t="shared" si="32"/>
        <v>819.5362032181805</v>
      </c>
      <c r="AK352" s="433">
        <f t="shared" si="32"/>
        <v>819.5362032181805</v>
      </c>
      <c r="AL352" s="433">
        <f t="shared" si="32"/>
        <v>819.5362032181805</v>
      </c>
      <c r="AM352" s="433">
        <f t="shared" si="32"/>
        <v>819.5362032181805</v>
      </c>
      <c r="AN352" s="433">
        <f t="shared" si="32"/>
        <v>819.5362032181805</v>
      </c>
      <c r="AO352" s="433"/>
      <c r="AP352" s="433"/>
      <c r="AQ352" s="433"/>
    </row>
    <row r="353" spans="1:43" x14ac:dyDescent="0.25">
      <c r="A353" s="384" t="s">
        <v>863</v>
      </c>
      <c r="B353" s="384"/>
      <c r="C353" s="384"/>
      <c r="D353" s="384"/>
      <c r="E353" s="405"/>
      <c r="F353" s="405" t="s">
        <v>110</v>
      </c>
      <c r="G353" s="405" t="s">
        <v>803</v>
      </c>
      <c r="H353" s="405">
        <v>2025</v>
      </c>
      <c r="I353" t="s">
        <v>769</v>
      </c>
      <c r="J353" t="s">
        <v>770</v>
      </c>
      <c r="K353" s="396">
        <v>1</v>
      </c>
      <c r="L353" s="210"/>
      <c r="M353" s="433">
        <f t="shared" si="33"/>
        <v>819.5362032181805</v>
      </c>
      <c r="N353" s="433">
        <f t="shared" si="32"/>
        <v>819.5362032181805</v>
      </c>
      <c r="O353" s="433">
        <f t="shared" si="32"/>
        <v>819.5362032181805</v>
      </c>
      <c r="P353" s="433">
        <f t="shared" si="32"/>
        <v>819.5362032181805</v>
      </c>
      <c r="Q353" s="433">
        <f t="shared" si="32"/>
        <v>819.5362032181805</v>
      </c>
      <c r="R353" s="433">
        <f t="shared" si="32"/>
        <v>819.5362032181805</v>
      </c>
      <c r="S353" s="433">
        <f t="shared" si="32"/>
        <v>819.5362032181805</v>
      </c>
      <c r="T353" s="433">
        <f t="shared" si="32"/>
        <v>819.5362032181805</v>
      </c>
      <c r="U353" s="433">
        <f t="shared" si="32"/>
        <v>819.5362032181805</v>
      </c>
      <c r="V353" s="433">
        <f t="shared" si="32"/>
        <v>819.5362032181805</v>
      </c>
      <c r="W353" s="433">
        <f t="shared" si="32"/>
        <v>819.5362032181805</v>
      </c>
      <c r="X353" s="433">
        <f t="shared" si="32"/>
        <v>819.5362032181805</v>
      </c>
      <c r="Y353" s="433">
        <f t="shared" si="32"/>
        <v>819.5362032181805</v>
      </c>
      <c r="Z353" s="433">
        <f t="shared" si="32"/>
        <v>819.5362032181805</v>
      </c>
      <c r="AA353" s="433">
        <f t="shared" si="32"/>
        <v>819.5362032181805</v>
      </c>
      <c r="AB353" s="433">
        <f t="shared" si="32"/>
        <v>819.5362032181805</v>
      </c>
      <c r="AC353" s="433">
        <f t="shared" si="32"/>
        <v>819.5362032181805</v>
      </c>
      <c r="AD353" s="433">
        <f t="shared" si="32"/>
        <v>819.5362032181805</v>
      </c>
      <c r="AE353" s="433">
        <f t="shared" si="32"/>
        <v>819.5362032181805</v>
      </c>
      <c r="AF353" s="433">
        <f t="shared" si="32"/>
        <v>819.5362032181805</v>
      </c>
      <c r="AG353" s="433">
        <f t="shared" si="32"/>
        <v>819.5362032181805</v>
      </c>
      <c r="AH353" s="433">
        <f t="shared" si="32"/>
        <v>819.5362032181805</v>
      </c>
      <c r="AI353" s="433">
        <f t="shared" si="32"/>
        <v>819.5362032181805</v>
      </c>
      <c r="AJ353" s="433">
        <f t="shared" si="32"/>
        <v>819.5362032181805</v>
      </c>
      <c r="AK353" s="433">
        <f t="shared" si="32"/>
        <v>819.5362032181805</v>
      </c>
      <c r="AL353" s="433">
        <f t="shared" si="32"/>
        <v>819.5362032181805</v>
      </c>
      <c r="AM353" s="433">
        <f t="shared" si="32"/>
        <v>819.5362032181805</v>
      </c>
      <c r="AN353" s="433">
        <f t="shared" si="32"/>
        <v>819.5362032181805</v>
      </c>
      <c r="AO353" s="433"/>
      <c r="AP353" s="433"/>
      <c r="AQ353" s="433"/>
    </row>
    <row r="354" spans="1:43" x14ac:dyDescent="0.25">
      <c r="A354" s="384" t="s">
        <v>864</v>
      </c>
      <c r="B354" s="384"/>
      <c r="C354" s="384"/>
      <c r="D354" s="384"/>
      <c r="E354" s="405"/>
      <c r="F354" s="405" t="s">
        <v>110</v>
      </c>
      <c r="G354" s="405" t="s">
        <v>803</v>
      </c>
      <c r="H354" s="405">
        <v>2025</v>
      </c>
      <c r="I354" t="s">
        <v>771</v>
      </c>
      <c r="J354" t="s">
        <v>331</v>
      </c>
      <c r="K354" s="401">
        <v>1</v>
      </c>
      <c r="M354" s="433">
        <f t="shared" si="33"/>
        <v>819.5362032181805</v>
      </c>
      <c r="N354" s="433">
        <f t="shared" si="32"/>
        <v>819.5362032181805</v>
      </c>
      <c r="O354" s="433">
        <f t="shared" si="32"/>
        <v>819.5362032181805</v>
      </c>
      <c r="P354" s="433">
        <f t="shared" si="32"/>
        <v>819.5362032181805</v>
      </c>
      <c r="Q354" s="433">
        <f t="shared" si="32"/>
        <v>819.5362032181805</v>
      </c>
      <c r="R354" s="433">
        <f t="shared" si="32"/>
        <v>819.5362032181805</v>
      </c>
      <c r="S354" s="433">
        <f t="shared" si="32"/>
        <v>819.5362032181805</v>
      </c>
      <c r="T354" s="433">
        <f t="shared" si="32"/>
        <v>819.5362032181805</v>
      </c>
      <c r="U354" s="433">
        <f t="shared" si="32"/>
        <v>819.5362032181805</v>
      </c>
      <c r="V354" s="433">
        <f t="shared" si="32"/>
        <v>819.5362032181805</v>
      </c>
      <c r="W354" s="433">
        <f t="shared" si="32"/>
        <v>819.5362032181805</v>
      </c>
      <c r="X354" s="433">
        <f t="shared" si="32"/>
        <v>819.5362032181805</v>
      </c>
      <c r="Y354" s="433">
        <f t="shared" si="32"/>
        <v>819.5362032181805</v>
      </c>
      <c r="Z354" s="433">
        <f t="shared" si="32"/>
        <v>819.5362032181805</v>
      </c>
      <c r="AA354" s="433">
        <f t="shared" si="32"/>
        <v>819.5362032181805</v>
      </c>
      <c r="AB354" s="433">
        <f t="shared" si="32"/>
        <v>819.5362032181805</v>
      </c>
      <c r="AC354" s="433">
        <f t="shared" si="32"/>
        <v>819.5362032181805</v>
      </c>
      <c r="AD354" s="433">
        <f t="shared" si="32"/>
        <v>819.5362032181805</v>
      </c>
      <c r="AE354" s="433">
        <f t="shared" si="32"/>
        <v>819.5362032181805</v>
      </c>
      <c r="AF354" s="433">
        <f t="shared" si="32"/>
        <v>819.5362032181805</v>
      </c>
      <c r="AG354" s="433">
        <f t="shared" si="32"/>
        <v>819.5362032181805</v>
      </c>
      <c r="AH354" s="433">
        <f t="shared" si="32"/>
        <v>819.5362032181805</v>
      </c>
      <c r="AI354" s="433">
        <f t="shared" si="32"/>
        <v>819.5362032181805</v>
      </c>
      <c r="AJ354" s="433">
        <f t="shared" si="32"/>
        <v>819.5362032181805</v>
      </c>
      <c r="AK354" s="433">
        <f t="shared" si="32"/>
        <v>819.5362032181805</v>
      </c>
      <c r="AL354" s="433">
        <f t="shared" si="32"/>
        <v>819.5362032181805</v>
      </c>
      <c r="AM354" s="433">
        <f t="shared" si="32"/>
        <v>819.5362032181805</v>
      </c>
      <c r="AN354" s="433">
        <f t="shared" si="32"/>
        <v>819.5362032181805</v>
      </c>
      <c r="AO354" s="433"/>
      <c r="AP354" s="433"/>
      <c r="AQ354" s="433"/>
    </row>
    <row r="355" spans="1:43" x14ac:dyDescent="0.25">
      <c r="A355" s="384" t="s">
        <v>865</v>
      </c>
      <c r="B355" s="384"/>
      <c r="C355" s="384"/>
      <c r="D355" s="384"/>
      <c r="F355" s="405" t="s">
        <v>110</v>
      </c>
      <c r="G355" s="405" t="s">
        <v>803</v>
      </c>
      <c r="H355" s="405">
        <v>2025</v>
      </c>
      <c r="I355" t="s">
        <v>116</v>
      </c>
      <c r="J355" t="s">
        <v>772</v>
      </c>
      <c r="K355" s="401">
        <v>1</v>
      </c>
      <c r="M355" s="433">
        <f t="shared" si="33"/>
        <v>819.5362032181805</v>
      </c>
      <c r="N355" s="433">
        <f t="shared" si="32"/>
        <v>819.5362032181805</v>
      </c>
      <c r="O355" s="433">
        <f t="shared" si="32"/>
        <v>819.5362032181805</v>
      </c>
      <c r="P355" s="433">
        <f t="shared" si="32"/>
        <v>819.5362032181805</v>
      </c>
      <c r="Q355" s="433">
        <f t="shared" si="32"/>
        <v>819.5362032181805</v>
      </c>
      <c r="R355" s="433">
        <f t="shared" si="32"/>
        <v>819.5362032181805</v>
      </c>
      <c r="S355" s="433">
        <f t="shared" si="32"/>
        <v>819.5362032181805</v>
      </c>
      <c r="T355" s="433">
        <f t="shared" si="32"/>
        <v>819.5362032181805</v>
      </c>
      <c r="U355" s="433">
        <f t="shared" si="32"/>
        <v>819.5362032181805</v>
      </c>
      <c r="V355" s="433">
        <f t="shared" si="32"/>
        <v>819.5362032181805</v>
      </c>
      <c r="W355" s="433">
        <f t="shared" si="32"/>
        <v>819.5362032181805</v>
      </c>
      <c r="X355" s="433">
        <f t="shared" si="32"/>
        <v>819.5362032181805</v>
      </c>
      <c r="Y355" s="433">
        <f t="shared" si="32"/>
        <v>819.5362032181805</v>
      </c>
      <c r="Z355" s="433">
        <f t="shared" si="32"/>
        <v>819.5362032181805</v>
      </c>
      <c r="AA355" s="433">
        <f t="shared" si="32"/>
        <v>819.5362032181805</v>
      </c>
      <c r="AB355" s="433">
        <f t="shared" si="32"/>
        <v>819.5362032181805</v>
      </c>
      <c r="AC355" s="433">
        <f t="shared" si="32"/>
        <v>819.5362032181805</v>
      </c>
      <c r="AD355" s="433">
        <f t="shared" si="32"/>
        <v>819.5362032181805</v>
      </c>
      <c r="AE355" s="433">
        <f t="shared" si="32"/>
        <v>819.5362032181805</v>
      </c>
      <c r="AF355" s="433">
        <f t="shared" si="32"/>
        <v>819.5362032181805</v>
      </c>
      <c r="AG355" s="433">
        <f t="shared" si="32"/>
        <v>819.5362032181805</v>
      </c>
      <c r="AH355" s="433">
        <f t="shared" si="32"/>
        <v>819.5362032181805</v>
      </c>
      <c r="AI355" s="433">
        <f t="shared" si="32"/>
        <v>819.5362032181805</v>
      </c>
      <c r="AJ355" s="433">
        <f t="shared" si="32"/>
        <v>819.5362032181805</v>
      </c>
      <c r="AK355" s="433">
        <f t="shared" si="32"/>
        <v>819.5362032181805</v>
      </c>
      <c r="AL355" s="433">
        <f t="shared" si="32"/>
        <v>819.5362032181805</v>
      </c>
      <c r="AM355" s="433">
        <f t="shared" si="32"/>
        <v>819.5362032181805</v>
      </c>
      <c r="AN355" s="433">
        <f t="shared" si="32"/>
        <v>819.5362032181805</v>
      </c>
      <c r="AO355" s="433"/>
      <c r="AP355" s="433"/>
      <c r="AQ355" s="433"/>
    </row>
    <row r="356" spans="1:43" x14ac:dyDescent="0.25">
      <c r="A356" s="384" t="s">
        <v>860</v>
      </c>
      <c r="B356" s="384"/>
      <c r="C356" s="384"/>
      <c r="D356" s="384"/>
      <c r="E356" s="9" t="s">
        <v>109</v>
      </c>
      <c r="F356" s="405" t="s">
        <v>110</v>
      </c>
      <c r="G356" s="405" t="s">
        <v>803</v>
      </c>
      <c r="H356" s="405">
        <v>2030</v>
      </c>
      <c r="I356" t="s">
        <v>125</v>
      </c>
      <c r="J356" t="s">
        <v>350</v>
      </c>
      <c r="K356" s="396">
        <v>1</v>
      </c>
      <c r="L356" s="210"/>
      <c r="M356" s="433">
        <f>M$252*$I$250</f>
        <v>727.74814845774438</v>
      </c>
      <c r="N356" s="433">
        <f t="shared" ref="N356:AN361" si="34">N$252*$I$250</f>
        <v>727.74814845774438</v>
      </c>
      <c r="O356" s="433">
        <f t="shared" si="34"/>
        <v>727.74814845774438</v>
      </c>
      <c r="P356" s="433">
        <f t="shared" si="34"/>
        <v>727.74814845774438</v>
      </c>
      <c r="Q356" s="433">
        <f t="shared" si="34"/>
        <v>727.74814845774438</v>
      </c>
      <c r="R356" s="433">
        <f t="shared" si="34"/>
        <v>727.74814845774438</v>
      </c>
      <c r="S356" s="433">
        <f t="shared" si="34"/>
        <v>727.74814845774438</v>
      </c>
      <c r="T356" s="433">
        <f t="shared" si="34"/>
        <v>727.74814845774438</v>
      </c>
      <c r="U356" s="433">
        <f t="shared" si="34"/>
        <v>727.74814845774438</v>
      </c>
      <c r="V356" s="433">
        <f t="shared" si="34"/>
        <v>727.74814845774438</v>
      </c>
      <c r="W356" s="433">
        <f t="shared" si="34"/>
        <v>727.74814845774438</v>
      </c>
      <c r="X356" s="433">
        <f t="shared" si="34"/>
        <v>727.74814845774438</v>
      </c>
      <c r="Y356" s="433">
        <f t="shared" si="34"/>
        <v>727.74814845774438</v>
      </c>
      <c r="Z356" s="433">
        <f t="shared" si="34"/>
        <v>727.74814845774438</v>
      </c>
      <c r="AA356" s="433">
        <f t="shared" si="34"/>
        <v>727.74814845774438</v>
      </c>
      <c r="AB356" s="433">
        <f t="shared" si="34"/>
        <v>727.74814845774438</v>
      </c>
      <c r="AC356" s="433">
        <f t="shared" si="34"/>
        <v>727.74814845774438</v>
      </c>
      <c r="AD356" s="433">
        <f t="shared" si="34"/>
        <v>727.74814845774438</v>
      </c>
      <c r="AE356" s="433">
        <f t="shared" si="34"/>
        <v>727.74814845774438</v>
      </c>
      <c r="AF356" s="433">
        <f t="shared" si="34"/>
        <v>727.74814845774438</v>
      </c>
      <c r="AG356" s="433">
        <f t="shared" si="34"/>
        <v>727.74814845774438</v>
      </c>
      <c r="AH356" s="433">
        <f t="shared" si="34"/>
        <v>727.74814845774438</v>
      </c>
      <c r="AI356" s="433">
        <f t="shared" si="34"/>
        <v>727.74814845774438</v>
      </c>
      <c r="AJ356" s="433">
        <f t="shared" si="34"/>
        <v>727.74814845774438</v>
      </c>
      <c r="AK356" s="433">
        <f t="shared" si="34"/>
        <v>727.74814845774438</v>
      </c>
      <c r="AL356" s="433">
        <f t="shared" si="34"/>
        <v>727.74814845774438</v>
      </c>
      <c r="AM356" s="433">
        <f t="shared" si="34"/>
        <v>727.74814845774438</v>
      </c>
      <c r="AN356" s="433">
        <f t="shared" si="34"/>
        <v>727.74814845774438</v>
      </c>
      <c r="AO356" s="433"/>
      <c r="AP356" s="433"/>
      <c r="AQ356" s="433"/>
    </row>
    <row r="357" spans="1:43" x14ac:dyDescent="0.25">
      <c r="A357" s="384" t="s">
        <v>861</v>
      </c>
      <c r="B357" s="384"/>
      <c r="C357" s="384"/>
      <c r="D357" s="384"/>
      <c r="E357" s="405"/>
      <c r="F357" s="405" t="s">
        <v>110</v>
      </c>
      <c r="G357" s="405" t="s">
        <v>803</v>
      </c>
      <c r="H357" s="405">
        <v>2030</v>
      </c>
      <c r="I357" t="s">
        <v>766</v>
      </c>
      <c r="J357" t="s">
        <v>767</v>
      </c>
      <c r="K357" s="401">
        <v>1</v>
      </c>
      <c r="M357" s="433">
        <f t="shared" ref="M357:AB361" si="35">M$252*$I$250</f>
        <v>727.74814845774438</v>
      </c>
      <c r="N357" s="433">
        <f t="shared" si="35"/>
        <v>727.74814845774438</v>
      </c>
      <c r="O357" s="433">
        <f t="shared" si="35"/>
        <v>727.74814845774438</v>
      </c>
      <c r="P357" s="433">
        <f t="shared" si="35"/>
        <v>727.74814845774438</v>
      </c>
      <c r="Q357" s="433">
        <f t="shared" si="35"/>
        <v>727.74814845774438</v>
      </c>
      <c r="R357" s="433">
        <f t="shared" si="35"/>
        <v>727.74814845774438</v>
      </c>
      <c r="S357" s="433">
        <f t="shared" si="35"/>
        <v>727.74814845774438</v>
      </c>
      <c r="T357" s="433">
        <f t="shared" si="35"/>
        <v>727.74814845774438</v>
      </c>
      <c r="U357" s="433">
        <f t="shared" si="35"/>
        <v>727.74814845774438</v>
      </c>
      <c r="V357" s="433">
        <f t="shared" si="35"/>
        <v>727.74814845774438</v>
      </c>
      <c r="W357" s="433">
        <f t="shared" si="35"/>
        <v>727.74814845774438</v>
      </c>
      <c r="X357" s="433">
        <f t="shared" si="35"/>
        <v>727.74814845774438</v>
      </c>
      <c r="Y357" s="433">
        <f t="shared" si="35"/>
        <v>727.74814845774438</v>
      </c>
      <c r="Z357" s="433">
        <f t="shared" si="35"/>
        <v>727.74814845774438</v>
      </c>
      <c r="AA357" s="433">
        <f t="shared" si="35"/>
        <v>727.74814845774438</v>
      </c>
      <c r="AB357" s="433">
        <f t="shared" si="35"/>
        <v>727.74814845774438</v>
      </c>
      <c r="AC357" s="433">
        <f t="shared" si="34"/>
        <v>727.74814845774438</v>
      </c>
      <c r="AD357" s="433">
        <f t="shared" si="34"/>
        <v>727.74814845774438</v>
      </c>
      <c r="AE357" s="433">
        <f t="shared" si="34"/>
        <v>727.74814845774438</v>
      </c>
      <c r="AF357" s="433">
        <f t="shared" si="34"/>
        <v>727.74814845774438</v>
      </c>
      <c r="AG357" s="433">
        <f t="shared" si="34"/>
        <v>727.74814845774438</v>
      </c>
      <c r="AH357" s="433">
        <f t="shared" si="34"/>
        <v>727.74814845774438</v>
      </c>
      <c r="AI357" s="433">
        <f t="shared" si="34"/>
        <v>727.74814845774438</v>
      </c>
      <c r="AJ357" s="433">
        <f t="shared" si="34"/>
        <v>727.74814845774438</v>
      </c>
      <c r="AK357" s="433">
        <f t="shared" si="34"/>
        <v>727.74814845774438</v>
      </c>
      <c r="AL357" s="433">
        <f t="shared" si="34"/>
        <v>727.74814845774438</v>
      </c>
      <c r="AM357" s="433">
        <f t="shared" si="34"/>
        <v>727.74814845774438</v>
      </c>
      <c r="AN357" s="433">
        <f t="shared" si="34"/>
        <v>727.74814845774438</v>
      </c>
      <c r="AO357" s="433"/>
      <c r="AP357" s="433"/>
      <c r="AQ357" s="433"/>
    </row>
    <row r="358" spans="1:43" x14ac:dyDescent="0.25">
      <c r="A358" s="384" t="s">
        <v>862</v>
      </c>
      <c r="B358" s="384"/>
      <c r="C358" s="384"/>
      <c r="D358" s="384"/>
      <c r="E358" s="405"/>
      <c r="F358" s="405" t="s">
        <v>110</v>
      </c>
      <c r="G358" s="405" t="s">
        <v>803</v>
      </c>
      <c r="H358" s="405">
        <v>2030</v>
      </c>
      <c r="I358" t="s">
        <v>129</v>
      </c>
      <c r="J358" t="s">
        <v>768</v>
      </c>
      <c r="K358" s="401">
        <v>1</v>
      </c>
      <c r="M358" s="433">
        <f t="shared" si="35"/>
        <v>727.74814845774438</v>
      </c>
      <c r="N358" s="433">
        <f t="shared" si="34"/>
        <v>727.74814845774438</v>
      </c>
      <c r="O358" s="433">
        <f t="shared" si="34"/>
        <v>727.74814845774438</v>
      </c>
      <c r="P358" s="433">
        <f t="shared" si="34"/>
        <v>727.74814845774438</v>
      </c>
      <c r="Q358" s="433">
        <f t="shared" si="34"/>
        <v>727.74814845774438</v>
      </c>
      <c r="R358" s="433">
        <f t="shared" si="34"/>
        <v>727.74814845774438</v>
      </c>
      <c r="S358" s="433">
        <f t="shared" si="34"/>
        <v>727.74814845774438</v>
      </c>
      <c r="T358" s="433">
        <f t="shared" si="34"/>
        <v>727.74814845774438</v>
      </c>
      <c r="U358" s="433">
        <f t="shared" si="34"/>
        <v>727.74814845774438</v>
      </c>
      <c r="V358" s="433">
        <f t="shared" si="34"/>
        <v>727.74814845774438</v>
      </c>
      <c r="W358" s="433">
        <f t="shared" si="34"/>
        <v>727.74814845774438</v>
      </c>
      <c r="X358" s="433">
        <f t="shared" si="34"/>
        <v>727.74814845774438</v>
      </c>
      <c r="Y358" s="433">
        <f t="shared" si="34"/>
        <v>727.74814845774438</v>
      </c>
      <c r="Z358" s="433">
        <f t="shared" si="34"/>
        <v>727.74814845774438</v>
      </c>
      <c r="AA358" s="433">
        <f t="shared" si="34"/>
        <v>727.74814845774438</v>
      </c>
      <c r="AB358" s="433">
        <f t="shared" si="34"/>
        <v>727.74814845774438</v>
      </c>
      <c r="AC358" s="433">
        <f t="shared" si="34"/>
        <v>727.74814845774438</v>
      </c>
      <c r="AD358" s="433">
        <f t="shared" si="34"/>
        <v>727.74814845774438</v>
      </c>
      <c r="AE358" s="433">
        <f t="shared" si="34"/>
        <v>727.74814845774438</v>
      </c>
      <c r="AF358" s="433">
        <f t="shared" si="34"/>
        <v>727.74814845774438</v>
      </c>
      <c r="AG358" s="433">
        <f t="shared" si="34"/>
        <v>727.74814845774438</v>
      </c>
      <c r="AH358" s="433">
        <f t="shared" si="34"/>
        <v>727.74814845774438</v>
      </c>
      <c r="AI358" s="433">
        <f t="shared" si="34"/>
        <v>727.74814845774438</v>
      </c>
      <c r="AJ358" s="433">
        <f t="shared" si="34"/>
        <v>727.74814845774438</v>
      </c>
      <c r="AK358" s="433">
        <f t="shared" si="34"/>
        <v>727.74814845774438</v>
      </c>
      <c r="AL358" s="433">
        <f t="shared" si="34"/>
        <v>727.74814845774438</v>
      </c>
      <c r="AM358" s="433">
        <f t="shared" si="34"/>
        <v>727.74814845774438</v>
      </c>
      <c r="AN358" s="433">
        <f t="shared" si="34"/>
        <v>727.74814845774438</v>
      </c>
      <c r="AO358" s="433"/>
      <c r="AP358" s="433"/>
      <c r="AQ358" s="433"/>
    </row>
    <row r="359" spans="1:43" x14ac:dyDescent="0.25">
      <c r="A359" s="384" t="s">
        <v>863</v>
      </c>
      <c r="B359" s="384"/>
      <c r="C359" s="384"/>
      <c r="D359" s="384"/>
      <c r="E359" s="405"/>
      <c r="F359" s="405" t="s">
        <v>110</v>
      </c>
      <c r="G359" s="405" t="s">
        <v>803</v>
      </c>
      <c r="H359" s="405">
        <v>2030</v>
      </c>
      <c r="I359" t="s">
        <v>769</v>
      </c>
      <c r="J359" t="s">
        <v>770</v>
      </c>
      <c r="K359" s="396">
        <v>1</v>
      </c>
      <c r="L359" s="210"/>
      <c r="M359" s="433">
        <f t="shared" si="35"/>
        <v>727.74814845774438</v>
      </c>
      <c r="N359" s="433">
        <f t="shared" si="34"/>
        <v>727.74814845774438</v>
      </c>
      <c r="O359" s="433">
        <f t="shared" si="34"/>
        <v>727.74814845774438</v>
      </c>
      <c r="P359" s="433">
        <f t="shared" si="34"/>
        <v>727.74814845774438</v>
      </c>
      <c r="Q359" s="433">
        <f t="shared" si="34"/>
        <v>727.74814845774438</v>
      </c>
      <c r="R359" s="433">
        <f t="shared" si="34"/>
        <v>727.74814845774438</v>
      </c>
      <c r="S359" s="433">
        <f t="shared" si="34"/>
        <v>727.74814845774438</v>
      </c>
      <c r="T359" s="433">
        <f t="shared" si="34"/>
        <v>727.74814845774438</v>
      </c>
      <c r="U359" s="433">
        <f t="shared" si="34"/>
        <v>727.74814845774438</v>
      </c>
      <c r="V359" s="433">
        <f t="shared" si="34"/>
        <v>727.74814845774438</v>
      </c>
      <c r="W359" s="433">
        <f t="shared" si="34"/>
        <v>727.74814845774438</v>
      </c>
      <c r="X359" s="433">
        <f t="shared" si="34"/>
        <v>727.74814845774438</v>
      </c>
      <c r="Y359" s="433">
        <f t="shared" si="34"/>
        <v>727.74814845774438</v>
      </c>
      <c r="Z359" s="433">
        <f t="shared" si="34"/>
        <v>727.74814845774438</v>
      </c>
      <c r="AA359" s="433">
        <f t="shared" si="34"/>
        <v>727.74814845774438</v>
      </c>
      <c r="AB359" s="433">
        <f t="shared" si="34"/>
        <v>727.74814845774438</v>
      </c>
      <c r="AC359" s="433">
        <f t="shared" si="34"/>
        <v>727.74814845774438</v>
      </c>
      <c r="AD359" s="433">
        <f t="shared" si="34"/>
        <v>727.74814845774438</v>
      </c>
      <c r="AE359" s="433">
        <f t="shared" si="34"/>
        <v>727.74814845774438</v>
      </c>
      <c r="AF359" s="433">
        <f t="shared" si="34"/>
        <v>727.74814845774438</v>
      </c>
      <c r="AG359" s="433">
        <f t="shared" si="34"/>
        <v>727.74814845774438</v>
      </c>
      <c r="AH359" s="433">
        <f t="shared" si="34"/>
        <v>727.74814845774438</v>
      </c>
      <c r="AI359" s="433">
        <f t="shared" si="34"/>
        <v>727.74814845774438</v>
      </c>
      <c r="AJ359" s="433">
        <f t="shared" si="34"/>
        <v>727.74814845774438</v>
      </c>
      <c r="AK359" s="433">
        <f t="shared" si="34"/>
        <v>727.74814845774438</v>
      </c>
      <c r="AL359" s="433">
        <f t="shared" si="34"/>
        <v>727.74814845774438</v>
      </c>
      <c r="AM359" s="433">
        <f t="shared" si="34"/>
        <v>727.74814845774438</v>
      </c>
      <c r="AN359" s="433">
        <f t="shared" si="34"/>
        <v>727.74814845774438</v>
      </c>
      <c r="AO359" s="433"/>
      <c r="AP359" s="433"/>
      <c r="AQ359" s="433"/>
    </row>
    <row r="360" spans="1:43" x14ac:dyDescent="0.25">
      <c r="A360" s="384" t="s">
        <v>864</v>
      </c>
      <c r="B360" s="384"/>
      <c r="C360" s="384"/>
      <c r="D360" s="384"/>
      <c r="E360" s="405"/>
      <c r="F360" s="405" t="s">
        <v>110</v>
      </c>
      <c r="G360" s="405" t="s">
        <v>803</v>
      </c>
      <c r="H360" s="405">
        <v>2030</v>
      </c>
      <c r="I360" t="s">
        <v>771</v>
      </c>
      <c r="J360" t="s">
        <v>331</v>
      </c>
      <c r="K360" s="401">
        <v>1</v>
      </c>
      <c r="M360" s="433">
        <f t="shared" si="35"/>
        <v>727.74814845774438</v>
      </c>
      <c r="N360" s="433">
        <f t="shared" si="34"/>
        <v>727.74814845774438</v>
      </c>
      <c r="O360" s="433">
        <f t="shared" si="34"/>
        <v>727.74814845774438</v>
      </c>
      <c r="P360" s="433">
        <f t="shared" si="34"/>
        <v>727.74814845774438</v>
      </c>
      <c r="Q360" s="433">
        <f t="shared" si="34"/>
        <v>727.74814845774438</v>
      </c>
      <c r="R360" s="433">
        <f t="shared" si="34"/>
        <v>727.74814845774438</v>
      </c>
      <c r="S360" s="433">
        <f t="shared" si="34"/>
        <v>727.74814845774438</v>
      </c>
      <c r="T360" s="433">
        <f t="shared" si="34"/>
        <v>727.74814845774438</v>
      </c>
      <c r="U360" s="433">
        <f t="shared" si="34"/>
        <v>727.74814845774438</v>
      </c>
      <c r="V360" s="433">
        <f t="shared" si="34"/>
        <v>727.74814845774438</v>
      </c>
      <c r="W360" s="433">
        <f t="shared" si="34"/>
        <v>727.74814845774438</v>
      </c>
      <c r="X360" s="433">
        <f t="shared" si="34"/>
        <v>727.74814845774438</v>
      </c>
      <c r="Y360" s="433">
        <f t="shared" si="34"/>
        <v>727.74814845774438</v>
      </c>
      <c r="Z360" s="433">
        <f t="shared" si="34"/>
        <v>727.74814845774438</v>
      </c>
      <c r="AA360" s="433">
        <f t="shared" si="34"/>
        <v>727.74814845774438</v>
      </c>
      <c r="AB360" s="433">
        <f t="shared" si="34"/>
        <v>727.74814845774438</v>
      </c>
      <c r="AC360" s="433">
        <f t="shared" si="34"/>
        <v>727.74814845774438</v>
      </c>
      <c r="AD360" s="433">
        <f t="shared" si="34"/>
        <v>727.74814845774438</v>
      </c>
      <c r="AE360" s="433">
        <f t="shared" si="34"/>
        <v>727.74814845774438</v>
      </c>
      <c r="AF360" s="433">
        <f t="shared" si="34"/>
        <v>727.74814845774438</v>
      </c>
      <c r="AG360" s="433">
        <f t="shared" si="34"/>
        <v>727.74814845774438</v>
      </c>
      <c r="AH360" s="433">
        <f t="shared" si="34"/>
        <v>727.74814845774438</v>
      </c>
      <c r="AI360" s="433">
        <f t="shared" si="34"/>
        <v>727.74814845774438</v>
      </c>
      <c r="AJ360" s="433">
        <f t="shared" si="34"/>
        <v>727.74814845774438</v>
      </c>
      <c r="AK360" s="433">
        <f t="shared" si="34"/>
        <v>727.74814845774438</v>
      </c>
      <c r="AL360" s="433">
        <f t="shared" si="34"/>
        <v>727.74814845774438</v>
      </c>
      <c r="AM360" s="433">
        <f t="shared" si="34"/>
        <v>727.74814845774438</v>
      </c>
      <c r="AN360" s="433">
        <f t="shared" si="34"/>
        <v>727.74814845774438</v>
      </c>
      <c r="AO360" s="433"/>
      <c r="AP360" s="433"/>
      <c r="AQ360" s="433"/>
    </row>
    <row r="361" spans="1:43" x14ac:dyDescent="0.25">
      <c r="A361" s="384" t="s">
        <v>865</v>
      </c>
      <c r="B361" s="384"/>
      <c r="C361" s="384"/>
      <c r="D361" s="384"/>
      <c r="F361" s="405" t="s">
        <v>110</v>
      </c>
      <c r="G361" s="405" t="s">
        <v>803</v>
      </c>
      <c r="H361" s="405">
        <v>2030</v>
      </c>
      <c r="I361" t="s">
        <v>116</v>
      </c>
      <c r="J361" t="s">
        <v>772</v>
      </c>
      <c r="K361" s="401">
        <v>1</v>
      </c>
      <c r="M361" s="433">
        <f t="shared" si="35"/>
        <v>727.74814845774438</v>
      </c>
      <c r="N361" s="433">
        <f t="shared" si="34"/>
        <v>727.74814845774438</v>
      </c>
      <c r="O361" s="433">
        <f t="shared" si="34"/>
        <v>727.74814845774438</v>
      </c>
      <c r="P361" s="433">
        <f t="shared" si="34"/>
        <v>727.74814845774438</v>
      </c>
      <c r="Q361" s="433">
        <f t="shared" si="34"/>
        <v>727.74814845774438</v>
      </c>
      <c r="R361" s="433">
        <f t="shared" si="34"/>
        <v>727.74814845774438</v>
      </c>
      <c r="S361" s="433">
        <f t="shared" si="34"/>
        <v>727.74814845774438</v>
      </c>
      <c r="T361" s="433">
        <f t="shared" si="34"/>
        <v>727.74814845774438</v>
      </c>
      <c r="U361" s="433">
        <f t="shared" si="34"/>
        <v>727.74814845774438</v>
      </c>
      <c r="V361" s="433">
        <f t="shared" si="34"/>
        <v>727.74814845774438</v>
      </c>
      <c r="W361" s="433">
        <f t="shared" si="34"/>
        <v>727.74814845774438</v>
      </c>
      <c r="X361" s="433">
        <f t="shared" si="34"/>
        <v>727.74814845774438</v>
      </c>
      <c r="Y361" s="433">
        <f t="shared" si="34"/>
        <v>727.74814845774438</v>
      </c>
      <c r="Z361" s="433">
        <f t="shared" si="34"/>
        <v>727.74814845774438</v>
      </c>
      <c r="AA361" s="433">
        <f t="shared" si="34"/>
        <v>727.74814845774438</v>
      </c>
      <c r="AB361" s="433">
        <f t="shared" si="34"/>
        <v>727.74814845774438</v>
      </c>
      <c r="AC361" s="433">
        <f t="shared" si="34"/>
        <v>727.74814845774438</v>
      </c>
      <c r="AD361" s="433">
        <f t="shared" si="34"/>
        <v>727.74814845774438</v>
      </c>
      <c r="AE361" s="433">
        <f t="shared" si="34"/>
        <v>727.74814845774438</v>
      </c>
      <c r="AF361" s="433">
        <f t="shared" si="34"/>
        <v>727.74814845774438</v>
      </c>
      <c r="AG361" s="433">
        <f t="shared" si="34"/>
        <v>727.74814845774438</v>
      </c>
      <c r="AH361" s="433">
        <f t="shared" si="34"/>
        <v>727.74814845774438</v>
      </c>
      <c r="AI361" s="433">
        <f t="shared" si="34"/>
        <v>727.74814845774438</v>
      </c>
      <c r="AJ361" s="433">
        <f t="shared" si="34"/>
        <v>727.74814845774438</v>
      </c>
      <c r="AK361" s="433">
        <f t="shared" si="34"/>
        <v>727.74814845774438</v>
      </c>
      <c r="AL361" s="433">
        <f t="shared" si="34"/>
        <v>727.74814845774438</v>
      </c>
      <c r="AM361" s="433">
        <f t="shared" si="34"/>
        <v>727.74814845774438</v>
      </c>
      <c r="AN361" s="433">
        <f t="shared" si="34"/>
        <v>727.74814845774438</v>
      </c>
      <c r="AO361" s="433"/>
      <c r="AP361" s="433"/>
      <c r="AQ361" s="433"/>
    </row>
    <row r="362" spans="1:43" x14ac:dyDescent="0.25">
      <c r="A362" s="384" t="s">
        <v>860</v>
      </c>
      <c r="B362" s="384"/>
      <c r="C362" s="384"/>
      <c r="D362" s="384"/>
      <c r="E362" s="9" t="s">
        <v>109</v>
      </c>
      <c r="F362" s="405" t="s">
        <v>110</v>
      </c>
      <c r="G362" s="405" t="s">
        <v>803</v>
      </c>
      <c r="H362" s="405">
        <v>2050</v>
      </c>
      <c r="I362" t="s">
        <v>125</v>
      </c>
      <c r="J362" t="s">
        <v>350</v>
      </c>
      <c r="K362" s="396">
        <v>1</v>
      </c>
      <c r="L362" s="210"/>
      <c r="M362" s="433">
        <f>M$253*$I$250</f>
        <v>664.48881342014636</v>
      </c>
      <c r="N362" s="433">
        <f t="shared" ref="N362:AN367" si="36">N$253*$I$250</f>
        <v>664.48881342014636</v>
      </c>
      <c r="O362" s="433">
        <f t="shared" si="36"/>
        <v>664.48881342014636</v>
      </c>
      <c r="P362" s="433">
        <f t="shared" si="36"/>
        <v>664.48881342014636</v>
      </c>
      <c r="Q362" s="433">
        <f t="shared" si="36"/>
        <v>664.48881342014636</v>
      </c>
      <c r="R362" s="433">
        <f t="shared" si="36"/>
        <v>664.48881342014636</v>
      </c>
      <c r="S362" s="433">
        <f t="shared" si="36"/>
        <v>664.48881342014636</v>
      </c>
      <c r="T362" s="433">
        <f t="shared" si="36"/>
        <v>664.48881342014636</v>
      </c>
      <c r="U362" s="433">
        <f t="shared" si="36"/>
        <v>664.48881342014636</v>
      </c>
      <c r="V362" s="433">
        <f t="shared" si="36"/>
        <v>664.48881342014636</v>
      </c>
      <c r="W362" s="433">
        <f t="shared" si="36"/>
        <v>664.48881342014636</v>
      </c>
      <c r="X362" s="433">
        <f t="shared" si="36"/>
        <v>664.48881342014636</v>
      </c>
      <c r="Y362" s="433">
        <f t="shared" si="36"/>
        <v>664.48881342014636</v>
      </c>
      <c r="Z362" s="433">
        <f t="shared" si="36"/>
        <v>664.48881342014636</v>
      </c>
      <c r="AA362" s="433">
        <f t="shared" si="36"/>
        <v>664.48881342014636</v>
      </c>
      <c r="AB362" s="433">
        <f t="shared" si="36"/>
        <v>664.48881342014636</v>
      </c>
      <c r="AC362" s="433">
        <f t="shared" si="36"/>
        <v>664.48881342014636</v>
      </c>
      <c r="AD362" s="433">
        <f t="shared" si="36"/>
        <v>664.48881342014636</v>
      </c>
      <c r="AE362" s="433">
        <f t="shared" si="36"/>
        <v>664.48881342014636</v>
      </c>
      <c r="AF362" s="433">
        <f t="shared" si="36"/>
        <v>664.48881342014636</v>
      </c>
      <c r="AG362" s="433">
        <f t="shared" si="36"/>
        <v>664.48881342014636</v>
      </c>
      <c r="AH362" s="433">
        <f t="shared" si="36"/>
        <v>664.48881342014636</v>
      </c>
      <c r="AI362" s="433">
        <f t="shared" si="36"/>
        <v>664.48881342014636</v>
      </c>
      <c r="AJ362" s="433">
        <f t="shared" si="36"/>
        <v>664.48881342014636</v>
      </c>
      <c r="AK362" s="433">
        <f t="shared" si="36"/>
        <v>664.48881342014636</v>
      </c>
      <c r="AL362" s="433">
        <f t="shared" si="36"/>
        <v>664.48881342014636</v>
      </c>
      <c r="AM362" s="433">
        <f t="shared" si="36"/>
        <v>664.48881342014636</v>
      </c>
      <c r="AN362" s="433">
        <f t="shared" si="36"/>
        <v>664.48881342014636</v>
      </c>
      <c r="AO362" s="433"/>
      <c r="AP362" s="433"/>
      <c r="AQ362" s="433"/>
    </row>
    <row r="363" spans="1:43" x14ac:dyDescent="0.25">
      <c r="A363" s="384" t="s">
        <v>861</v>
      </c>
      <c r="B363" s="384"/>
      <c r="C363" s="384"/>
      <c r="D363" s="384"/>
      <c r="E363" s="405"/>
      <c r="F363" s="405" t="s">
        <v>110</v>
      </c>
      <c r="G363" s="405" t="s">
        <v>803</v>
      </c>
      <c r="H363" s="405">
        <v>2050</v>
      </c>
      <c r="I363" t="s">
        <v>766</v>
      </c>
      <c r="J363" t="s">
        <v>767</v>
      </c>
      <c r="K363" s="401">
        <v>1</v>
      </c>
      <c r="M363" s="433">
        <f t="shared" ref="M363:AB367" si="37">M$253*$I$250</f>
        <v>664.48881342014636</v>
      </c>
      <c r="N363" s="433">
        <f t="shared" si="37"/>
        <v>664.48881342014636</v>
      </c>
      <c r="O363" s="433">
        <f t="shared" si="37"/>
        <v>664.48881342014636</v>
      </c>
      <c r="P363" s="433">
        <f t="shared" si="37"/>
        <v>664.48881342014636</v>
      </c>
      <c r="Q363" s="433">
        <f t="shared" si="37"/>
        <v>664.48881342014636</v>
      </c>
      <c r="R363" s="433">
        <f t="shared" si="37"/>
        <v>664.48881342014636</v>
      </c>
      <c r="S363" s="433">
        <f t="shared" si="37"/>
        <v>664.48881342014636</v>
      </c>
      <c r="T363" s="433">
        <f t="shared" si="37"/>
        <v>664.48881342014636</v>
      </c>
      <c r="U363" s="433">
        <f t="shared" si="37"/>
        <v>664.48881342014636</v>
      </c>
      <c r="V363" s="433">
        <f t="shared" si="37"/>
        <v>664.48881342014636</v>
      </c>
      <c r="W363" s="433">
        <f t="shared" si="37"/>
        <v>664.48881342014636</v>
      </c>
      <c r="X363" s="433">
        <f t="shared" si="37"/>
        <v>664.48881342014636</v>
      </c>
      <c r="Y363" s="433">
        <f t="shared" si="37"/>
        <v>664.48881342014636</v>
      </c>
      <c r="Z363" s="433">
        <f t="shared" si="37"/>
        <v>664.48881342014636</v>
      </c>
      <c r="AA363" s="433">
        <f t="shared" si="37"/>
        <v>664.48881342014636</v>
      </c>
      <c r="AB363" s="433">
        <f t="shared" si="37"/>
        <v>664.48881342014636</v>
      </c>
      <c r="AC363" s="433">
        <f t="shared" si="36"/>
        <v>664.48881342014636</v>
      </c>
      <c r="AD363" s="433">
        <f t="shared" si="36"/>
        <v>664.48881342014636</v>
      </c>
      <c r="AE363" s="433">
        <f t="shared" si="36"/>
        <v>664.48881342014636</v>
      </c>
      <c r="AF363" s="433">
        <f t="shared" si="36"/>
        <v>664.48881342014636</v>
      </c>
      <c r="AG363" s="433">
        <f t="shared" si="36"/>
        <v>664.48881342014636</v>
      </c>
      <c r="AH363" s="433">
        <f t="shared" si="36"/>
        <v>664.48881342014636</v>
      </c>
      <c r="AI363" s="433">
        <f t="shared" si="36"/>
        <v>664.48881342014636</v>
      </c>
      <c r="AJ363" s="433">
        <f t="shared" si="36"/>
        <v>664.48881342014636</v>
      </c>
      <c r="AK363" s="433">
        <f t="shared" si="36"/>
        <v>664.48881342014636</v>
      </c>
      <c r="AL363" s="433">
        <f t="shared" si="36"/>
        <v>664.48881342014636</v>
      </c>
      <c r="AM363" s="433">
        <f t="shared" si="36"/>
        <v>664.48881342014636</v>
      </c>
      <c r="AN363" s="433">
        <f t="shared" si="36"/>
        <v>664.48881342014636</v>
      </c>
      <c r="AO363" s="433"/>
      <c r="AP363" s="433"/>
      <c r="AQ363" s="433"/>
    </row>
    <row r="364" spans="1:43" x14ac:dyDescent="0.25">
      <c r="A364" s="384" t="s">
        <v>862</v>
      </c>
      <c r="B364" s="384"/>
      <c r="C364" s="384"/>
      <c r="D364" s="384"/>
      <c r="E364" s="405"/>
      <c r="F364" s="405" t="s">
        <v>110</v>
      </c>
      <c r="G364" s="405" t="s">
        <v>803</v>
      </c>
      <c r="H364" s="405">
        <v>2050</v>
      </c>
      <c r="I364" t="s">
        <v>129</v>
      </c>
      <c r="J364" t="s">
        <v>768</v>
      </c>
      <c r="K364" s="401">
        <v>1</v>
      </c>
      <c r="M364" s="433">
        <f t="shared" si="37"/>
        <v>664.48881342014636</v>
      </c>
      <c r="N364" s="433">
        <f t="shared" si="36"/>
        <v>664.48881342014636</v>
      </c>
      <c r="O364" s="433">
        <f t="shared" si="36"/>
        <v>664.48881342014636</v>
      </c>
      <c r="P364" s="433">
        <f t="shared" si="36"/>
        <v>664.48881342014636</v>
      </c>
      <c r="Q364" s="433">
        <f t="shared" si="36"/>
        <v>664.48881342014636</v>
      </c>
      <c r="R364" s="433">
        <f t="shared" si="36"/>
        <v>664.48881342014636</v>
      </c>
      <c r="S364" s="433">
        <f t="shared" si="36"/>
        <v>664.48881342014636</v>
      </c>
      <c r="T364" s="433">
        <f t="shared" si="36"/>
        <v>664.48881342014636</v>
      </c>
      <c r="U364" s="433">
        <f t="shared" si="36"/>
        <v>664.48881342014636</v>
      </c>
      <c r="V364" s="433">
        <f t="shared" si="36"/>
        <v>664.48881342014636</v>
      </c>
      <c r="W364" s="433">
        <f t="shared" si="36"/>
        <v>664.48881342014636</v>
      </c>
      <c r="X364" s="433">
        <f t="shared" si="36"/>
        <v>664.48881342014636</v>
      </c>
      <c r="Y364" s="433">
        <f t="shared" si="36"/>
        <v>664.48881342014636</v>
      </c>
      <c r="Z364" s="433">
        <f t="shared" si="36"/>
        <v>664.48881342014636</v>
      </c>
      <c r="AA364" s="433">
        <f t="shared" si="36"/>
        <v>664.48881342014636</v>
      </c>
      <c r="AB364" s="433">
        <f t="shared" si="36"/>
        <v>664.48881342014636</v>
      </c>
      <c r="AC364" s="433">
        <f t="shared" si="36"/>
        <v>664.48881342014636</v>
      </c>
      <c r="AD364" s="433">
        <f t="shared" si="36"/>
        <v>664.48881342014636</v>
      </c>
      <c r="AE364" s="433">
        <f t="shared" si="36"/>
        <v>664.48881342014636</v>
      </c>
      <c r="AF364" s="433">
        <f t="shared" si="36"/>
        <v>664.48881342014636</v>
      </c>
      <c r="AG364" s="433">
        <f t="shared" si="36"/>
        <v>664.48881342014636</v>
      </c>
      <c r="AH364" s="433">
        <f t="shared" si="36"/>
        <v>664.48881342014636</v>
      </c>
      <c r="AI364" s="433">
        <f t="shared" si="36"/>
        <v>664.48881342014636</v>
      </c>
      <c r="AJ364" s="433">
        <f t="shared" si="36"/>
        <v>664.48881342014636</v>
      </c>
      <c r="AK364" s="433">
        <f t="shared" si="36"/>
        <v>664.48881342014636</v>
      </c>
      <c r="AL364" s="433">
        <f t="shared" si="36"/>
        <v>664.48881342014636</v>
      </c>
      <c r="AM364" s="433">
        <f t="shared" si="36"/>
        <v>664.48881342014636</v>
      </c>
      <c r="AN364" s="433">
        <f t="shared" si="36"/>
        <v>664.48881342014636</v>
      </c>
      <c r="AO364" s="433"/>
      <c r="AP364" s="433"/>
      <c r="AQ364" s="433"/>
    </row>
    <row r="365" spans="1:43" x14ac:dyDescent="0.25">
      <c r="A365" s="384" t="s">
        <v>863</v>
      </c>
      <c r="B365" s="384"/>
      <c r="C365" s="384"/>
      <c r="D365" s="384"/>
      <c r="E365" s="405"/>
      <c r="F365" s="405" t="s">
        <v>110</v>
      </c>
      <c r="G365" s="405" t="s">
        <v>803</v>
      </c>
      <c r="H365" s="405">
        <v>2050</v>
      </c>
      <c r="I365" t="s">
        <v>769</v>
      </c>
      <c r="J365" t="s">
        <v>770</v>
      </c>
      <c r="K365" s="396">
        <v>1</v>
      </c>
      <c r="L365" s="210"/>
      <c r="M365" s="433">
        <f t="shared" si="37"/>
        <v>664.48881342014636</v>
      </c>
      <c r="N365" s="433">
        <f t="shared" si="36"/>
        <v>664.48881342014636</v>
      </c>
      <c r="O365" s="433">
        <f t="shared" si="36"/>
        <v>664.48881342014636</v>
      </c>
      <c r="P365" s="433">
        <f t="shared" si="36"/>
        <v>664.48881342014636</v>
      </c>
      <c r="Q365" s="433">
        <f t="shared" si="36"/>
        <v>664.48881342014636</v>
      </c>
      <c r="R365" s="433">
        <f t="shared" si="36"/>
        <v>664.48881342014636</v>
      </c>
      <c r="S365" s="433">
        <f t="shared" si="36"/>
        <v>664.48881342014636</v>
      </c>
      <c r="T365" s="433">
        <f t="shared" si="36"/>
        <v>664.48881342014636</v>
      </c>
      <c r="U365" s="433">
        <f t="shared" si="36"/>
        <v>664.48881342014636</v>
      </c>
      <c r="V365" s="433">
        <f t="shared" si="36"/>
        <v>664.48881342014636</v>
      </c>
      <c r="W365" s="433">
        <f t="shared" si="36"/>
        <v>664.48881342014636</v>
      </c>
      <c r="X365" s="433">
        <f t="shared" si="36"/>
        <v>664.48881342014636</v>
      </c>
      <c r="Y365" s="433">
        <f t="shared" si="36"/>
        <v>664.48881342014636</v>
      </c>
      <c r="Z365" s="433">
        <f t="shared" si="36"/>
        <v>664.48881342014636</v>
      </c>
      <c r="AA365" s="433">
        <f t="shared" si="36"/>
        <v>664.48881342014636</v>
      </c>
      <c r="AB365" s="433">
        <f t="shared" si="36"/>
        <v>664.48881342014636</v>
      </c>
      <c r="AC365" s="433">
        <f t="shared" si="36"/>
        <v>664.48881342014636</v>
      </c>
      <c r="AD365" s="433">
        <f t="shared" si="36"/>
        <v>664.48881342014636</v>
      </c>
      <c r="AE365" s="433">
        <f t="shared" si="36"/>
        <v>664.48881342014636</v>
      </c>
      <c r="AF365" s="433">
        <f t="shared" si="36"/>
        <v>664.48881342014636</v>
      </c>
      <c r="AG365" s="433">
        <f t="shared" si="36"/>
        <v>664.48881342014636</v>
      </c>
      <c r="AH365" s="433">
        <f t="shared" si="36"/>
        <v>664.48881342014636</v>
      </c>
      <c r="AI365" s="433">
        <f t="shared" si="36"/>
        <v>664.48881342014636</v>
      </c>
      <c r="AJ365" s="433">
        <f t="shared" si="36"/>
        <v>664.48881342014636</v>
      </c>
      <c r="AK365" s="433">
        <f t="shared" si="36"/>
        <v>664.48881342014636</v>
      </c>
      <c r="AL365" s="433">
        <f t="shared" si="36"/>
        <v>664.48881342014636</v>
      </c>
      <c r="AM365" s="433">
        <f t="shared" si="36"/>
        <v>664.48881342014636</v>
      </c>
      <c r="AN365" s="433">
        <f t="shared" si="36"/>
        <v>664.48881342014636</v>
      </c>
      <c r="AO365" s="433"/>
      <c r="AP365" s="433"/>
      <c r="AQ365" s="433"/>
    </row>
    <row r="366" spans="1:43" x14ac:dyDescent="0.25">
      <c r="A366" s="384" t="s">
        <v>864</v>
      </c>
      <c r="B366" s="384"/>
      <c r="C366" s="384"/>
      <c r="D366" s="384"/>
      <c r="E366" s="405"/>
      <c r="F366" s="405" t="s">
        <v>110</v>
      </c>
      <c r="G366" s="405" t="s">
        <v>803</v>
      </c>
      <c r="H366" s="405">
        <v>2050</v>
      </c>
      <c r="I366" t="s">
        <v>771</v>
      </c>
      <c r="J366" t="s">
        <v>331</v>
      </c>
      <c r="K366" s="401">
        <v>1</v>
      </c>
      <c r="M366" s="433">
        <f t="shared" si="37"/>
        <v>664.48881342014636</v>
      </c>
      <c r="N366" s="433">
        <f t="shared" si="36"/>
        <v>664.48881342014636</v>
      </c>
      <c r="O366" s="433">
        <f t="shared" si="36"/>
        <v>664.48881342014636</v>
      </c>
      <c r="P366" s="433">
        <f t="shared" si="36"/>
        <v>664.48881342014636</v>
      </c>
      <c r="Q366" s="433">
        <f t="shared" si="36"/>
        <v>664.48881342014636</v>
      </c>
      <c r="R366" s="433">
        <f t="shared" si="36"/>
        <v>664.48881342014636</v>
      </c>
      <c r="S366" s="433">
        <f t="shared" si="36"/>
        <v>664.48881342014636</v>
      </c>
      <c r="T366" s="433">
        <f t="shared" si="36"/>
        <v>664.48881342014636</v>
      </c>
      <c r="U366" s="433">
        <f t="shared" si="36"/>
        <v>664.48881342014636</v>
      </c>
      <c r="V366" s="433">
        <f t="shared" si="36"/>
        <v>664.48881342014636</v>
      </c>
      <c r="W366" s="433">
        <f t="shared" si="36"/>
        <v>664.48881342014636</v>
      </c>
      <c r="X366" s="433">
        <f t="shared" si="36"/>
        <v>664.48881342014636</v>
      </c>
      <c r="Y366" s="433">
        <f t="shared" si="36"/>
        <v>664.48881342014636</v>
      </c>
      <c r="Z366" s="433">
        <f t="shared" si="36"/>
        <v>664.48881342014636</v>
      </c>
      <c r="AA366" s="433">
        <f t="shared" si="36"/>
        <v>664.48881342014636</v>
      </c>
      <c r="AB366" s="433">
        <f t="shared" si="36"/>
        <v>664.48881342014636</v>
      </c>
      <c r="AC366" s="433">
        <f t="shared" si="36"/>
        <v>664.48881342014636</v>
      </c>
      <c r="AD366" s="433">
        <f t="shared" si="36"/>
        <v>664.48881342014636</v>
      </c>
      <c r="AE366" s="433">
        <f t="shared" si="36"/>
        <v>664.48881342014636</v>
      </c>
      <c r="AF366" s="433">
        <f t="shared" si="36"/>
        <v>664.48881342014636</v>
      </c>
      <c r="AG366" s="433">
        <f t="shared" si="36"/>
        <v>664.48881342014636</v>
      </c>
      <c r="AH366" s="433">
        <f t="shared" si="36"/>
        <v>664.48881342014636</v>
      </c>
      <c r="AI366" s="433">
        <f t="shared" si="36"/>
        <v>664.48881342014636</v>
      </c>
      <c r="AJ366" s="433">
        <f t="shared" si="36"/>
        <v>664.48881342014636</v>
      </c>
      <c r="AK366" s="433">
        <f t="shared" si="36"/>
        <v>664.48881342014636</v>
      </c>
      <c r="AL366" s="433">
        <f t="shared" si="36"/>
        <v>664.48881342014636</v>
      </c>
      <c r="AM366" s="433">
        <f t="shared" si="36"/>
        <v>664.48881342014636</v>
      </c>
      <c r="AN366" s="433">
        <f t="shared" si="36"/>
        <v>664.48881342014636</v>
      </c>
      <c r="AO366" s="433"/>
      <c r="AP366" s="433"/>
      <c r="AQ366" s="433"/>
    </row>
    <row r="367" spans="1:43" x14ac:dyDescent="0.25">
      <c r="A367" s="384" t="s">
        <v>865</v>
      </c>
      <c r="B367" s="384"/>
      <c r="C367" s="384"/>
      <c r="D367" s="384"/>
      <c r="F367" s="405" t="s">
        <v>110</v>
      </c>
      <c r="G367" s="405" t="s">
        <v>803</v>
      </c>
      <c r="H367" s="405">
        <v>2050</v>
      </c>
      <c r="I367" t="s">
        <v>116</v>
      </c>
      <c r="J367" t="s">
        <v>772</v>
      </c>
      <c r="K367" s="401">
        <v>1</v>
      </c>
      <c r="M367" s="433">
        <f t="shared" si="37"/>
        <v>664.48881342014636</v>
      </c>
      <c r="N367" s="433">
        <f t="shared" si="36"/>
        <v>664.48881342014636</v>
      </c>
      <c r="O367" s="433">
        <f t="shared" si="36"/>
        <v>664.48881342014636</v>
      </c>
      <c r="P367" s="433">
        <f t="shared" si="36"/>
        <v>664.48881342014636</v>
      </c>
      <c r="Q367" s="433">
        <f t="shared" si="36"/>
        <v>664.48881342014636</v>
      </c>
      <c r="R367" s="433">
        <f t="shared" si="36"/>
        <v>664.48881342014636</v>
      </c>
      <c r="S367" s="433">
        <f t="shared" si="36"/>
        <v>664.48881342014636</v>
      </c>
      <c r="T367" s="433">
        <f t="shared" si="36"/>
        <v>664.48881342014636</v>
      </c>
      <c r="U367" s="433">
        <f t="shared" si="36"/>
        <v>664.48881342014636</v>
      </c>
      <c r="V367" s="433">
        <f t="shared" si="36"/>
        <v>664.48881342014636</v>
      </c>
      <c r="W367" s="433">
        <f t="shared" si="36"/>
        <v>664.48881342014636</v>
      </c>
      <c r="X367" s="433">
        <f t="shared" si="36"/>
        <v>664.48881342014636</v>
      </c>
      <c r="Y367" s="433">
        <f t="shared" si="36"/>
        <v>664.48881342014636</v>
      </c>
      <c r="Z367" s="433">
        <f t="shared" si="36"/>
        <v>664.48881342014636</v>
      </c>
      <c r="AA367" s="433">
        <f t="shared" si="36"/>
        <v>664.48881342014636</v>
      </c>
      <c r="AB367" s="433">
        <f t="shared" si="36"/>
        <v>664.48881342014636</v>
      </c>
      <c r="AC367" s="433">
        <f t="shared" si="36"/>
        <v>664.48881342014636</v>
      </c>
      <c r="AD367" s="433">
        <f t="shared" si="36"/>
        <v>664.48881342014636</v>
      </c>
      <c r="AE367" s="433">
        <f t="shared" si="36"/>
        <v>664.48881342014636</v>
      </c>
      <c r="AF367" s="433">
        <f t="shared" si="36"/>
        <v>664.48881342014636</v>
      </c>
      <c r="AG367" s="433">
        <f t="shared" si="36"/>
        <v>664.48881342014636</v>
      </c>
      <c r="AH367" s="433">
        <f t="shared" si="36"/>
        <v>664.48881342014636</v>
      </c>
      <c r="AI367" s="433">
        <f t="shared" si="36"/>
        <v>664.48881342014636</v>
      </c>
      <c r="AJ367" s="433">
        <f t="shared" si="36"/>
        <v>664.48881342014636</v>
      </c>
      <c r="AK367" s="433">
        <f t="shared" si="36"/>
        <v>664.48881342014636</v>
      </c>
      <c r="AL367" s="433">
        <f t="shared" si="36"/>
        <v>664.48881342014636</v>
      </c>
      <c r="AM367" s="433">
        <f t="shared" si="36"/>
        <v>664.48881342014636</v>
      </c>
      <c r="AN367" s="433">
        <f t="shared" si="36"/>
        <v>664.48881342014636</v>
      </c>
      <c r="AO367" s="433"/>
      <c r="AP367" s="433"/>
      <c r="AQ367" s="433"/>
    </row>
    <row r="368" spans="1:43" x14ac:dyDescent="0.25">
      <c r="A368" s="384" t="s">
        <v>866</v>
      </c>
      <c r="B368" s="384"/>
      <c r="C368" s="384"/>
      <c r="D368" s="384"/>
      <c r="E368" s="9" t="s">
        <v>109</v>
      </c>
      <c r="F368" s="405" t="s">
        <v>110</v>
      </c>
      <c r="G368" s="405" t="s">
        <v>805</v>
      </c>
      <c r="H368" s="405">
        <v>2030</v>
      </c>
      <c r="I368" t="s">
        <v>125</v>
      </c>
      <c r="J368" t="s">
        <v>350</v>
      </c>
      <c r="K368" s="396">
        <v>1</v>
      </c>
      <c r="L368" s="210"/>
      <c r="M368" s="433">
        <f>M$254*$I$250</f>
        <v>2614.4530885602512</v>
      </c>
      <c r="N368" s="433">
        <f t="shared" ref="N368:AN373" si="38">N$254*$I$250</f>
        <v>2614.4530885602512</v>
      </c>
      <c r="O368" s="433">
        <f t="shared" si="38"/>
        <v>2614.4530885602512</v>
      </c>
      <c r="P368" s="433">
        <f t="shared" si="38"/>
        <v>2614.4530885602512</v>
      </c>
      <c r="Q368" s="433">
        <f t="shared" si="38"/>
        <v>2614.4530885602512</v>
      </c>
      <c r="R368" s="433">
        <f t="shared" si="38"/>
        <v>2614.4530885602512</v>
      </c>
      <c r="S368" s="433">
        <f t="shared" si="38"/>
        <v>2614.4530885602512</v>
      </c>
      <c r="T368" s="433">
        <f t="shared" si="38"/>
        <v>2614.4530885602512</v>
      </c>
      <c r="U368" s="433">
        <f t="shared" si="38"/>
        <v>2614.4530885602512</v>
      </c>
      <c r="V368" s="433">
        <f t="shared" si="38"/>
        <v>2614.4530885602512</v>
      </c>
      <c r="W368" s="433">
        <f t="shared" si="38"/>
        <v>2614.4530885602512</v>
      </c>
      <c r="X368" s="433">
        <f t="shared" si="38"/>
        <v>2614.4530885602512</v>
      </c>
      <c r="Y368" s="433">
        <f t="shared" si="38"/>
        <v>2614.4530885602512</v>
      </c>
      <c r="Z368" s="433">
        <f t="shared" si="38"/>
        <v>2614.4530885602512</v>
      </c>
      <c r="AA368" s="433">
        <f t="shared" si="38"/>
        <v>2614.4530885602512</v>
      </c>
      <c r="AB368" s="433">
        <f t="shared" si="38"/>
        <v>2614.4530885602512</v>
      </c>
      <c r="AC368" s="433">
        <f t="shared" si="38"/>
        <v>2614.4530885602512</v>
      </c>
      <c r="AD368" s="433">
        <f t="shared" si="38"/>
        <v>2614.4530885602512</v>
      </c>
      <c r="AE368" s="433">
        <f t="shared" si="38"/>
        <v>2614.4530885602512</v>
      </c>
      <c r="AF368" s="433">
        <f t="shared" si="38"/>
        <v>2614.4530885602512</v>
      </c>
      <c r="AG368" s="433">
        <f t="shared" si="38"/>
        <v>2614.4530885602512</v>
      </c>
      <c r="AH368" s="433">
        <f t="shared" si="38"/>
        <v>2614.4530885602512</v>
      </c>
      <c r="AI368" s="433">
        <f t="shared" si="38"/>
        <v>2614.4530885602512</v>
      </c>
      <c r="AJ368" s="433">
        <f t="shared" si="38"/>
        <v>2614.4530885602512</v>
      </c>
      <c r="AK368" s="433">
        <f t="shared" si="38"/>
        <v>2614.4530885602512</v>
      </c>
      <c r="AL368" s="433">
        <f t="shared" si="38"/>
        <v>2614.4530885602512</v>
      </c>
      <c r="AM368" s="433">
        <f t="shared" si="38"/>
        <v>2614.4530885602512</v>
      </c>
      <c r="AN368" s="433">
        <f t="shared" si="38"/>
        <v>2614.4530885602512</v>
      </c>
      <c r="AO368" s="433"/>
      <c r="AP368" s="433"/>
      <c r="AQ368" s="433"/>
    </row>
    <row r="369" spans="1:43" x14ac:dyDescent="0.25">
      <c r="A369" s="384" t="s">
        <v>867</v>
      </c>
      <c r="B369" s="384"/>
      <c r="C369" s="384"/>
      <c r="D369" s="384"/>
      <c r="E369" s="405"/>
      <c r="F369" s="405" t="s">
        <v>110</v>
      </c>
      <c r="G369" s="405" t="s">
        <v>805</v>
      </c>
      <c r="H369" s="405">
        <v>2030</v>
      </c>
      <c r="I369" t="s">
        <v>766</v>
      </c>
      <c r="J369" t="s">
        <v>767</v>
      </c>
      <c r="K369" s="401">
        <v>1</v>
      </c>
      <c r="M369" s="433">
        <f t="shared" ref="M369:AB373" si="39">M$254*$I$250</f>
        <v>2614.4530885602512</v>
      </c>
      <c r="N369" s="433">
        <f t="shared" si="39"/>
        <v>2614.4530885602512</v>
      </c>
      <c r="O369" s="433">
        <f t="shared" si="39"/>
        <v>2614.4530885602512</v>
      </c>
      <c r="P369" s="433">
        <f t="shared" si="39"/>
        <v>2614.4530885602512</v>
      </c>
      <c r="Q369" s="433">
        <f t="shared" si="39"/>
        <v>2614.4530885602512</v>
      </c>
      <c r="R369" s="433">
        <f t="shared" si="39"/>
        <v>2614.4530885602512</v>
      </c>
      <c r="S369" s="433">
        <f t="shared" si="39"/>
        <v>2614.4530885602512</v>
      </c>
      <c r="T369" s="433">
        <f t="shared" si="39"/>
        <v>2614.4530885602512</v>
      </c>
      <c r="U369" s="433">
        <f t="shared" si="39"/>
        <v>2614.4530885602512</v>
      </c>
      <c r="V369" s="433">
        <f t="shared" si="39"/>
        <v>2614.4530885602512</v>
      </c>
      <c r="W369" s="433">
        <f t="shared" si="39"/>
        <v>2614.4530885602512</v>
      </c>
      <c r="X369" s="433">
        <f t="shared" si="39"/>
        <v>2614.4530885602512</v>
      </c>
      <c r="Y369" s="433">
        <f t="shared" si="39"/>
        <v>2614.4530885602512</v>
      </c>
      <c r="Z369" s="433">
        <f t="shared" si="39"/>
        <v>2614.4530885602512</v>
      </c>
      <c r="AA369" s="433">
        <f t="shared" si="39"/>
        <v>2614.4530885602512</v>
      </c>
      <c r="AB369" s="433">
        <f t="shared" si="39"/>
        <v>2614.4530885602512</v>
      </c>
      <c r="AC369" s="433">
        <f t="shared" si="38"/>
        <v>2614.4530885602512</v>
      </c>
      <c r="AD369" s="433">
        <f t="shared" si="38"/>
        <v>2614.4530885602512</v>
      </c>
      <c r="AE369" s="433">
        <f t="shared" si="38"/>
        <v>2614.4530885602512</v>
      </c>
      <c r="AF369" s="433">
        <f t="shared" si="38"/>
        <v>2614.4530885602512</v>
      </c>
      <c r="AG369" s="433">
        <f t="shared" si="38"/>
        <v>2614.4530885602512</v>
      </c>
      <c r="AH369" s="433">
        <f t="shared" si="38"/>
        <v>2614.4530885602512</v>
      </c>
      <c r="AI369" s="433">
        <f t="shared" si="38"/>
        <v>2614.4530885602512</v>
      </c>
      <c r="AJ369" s="433">
        <f t="shared" si="38"/>
        <v>2614.4530885602512</v>
      </c>
      <c r="AK369" s="433">
        <f t="shared" si="38"/>
        <v>2614.4530885602512</v>
      </c>
      <c r="AL369" s="433">
        <f t="shared" si="38"/>
        <v>2614.4530885602512</v>
      </c>
      <c r="AM369" s="433">
        <f t="shared" si="38"/>
        <v>2614.4530885602512</v>
      </c>
      <c r="AN369" s="433">
        <f t="shared" si="38"/>
        <v>2614.4530885602512</v>
      </c>
      <c r="AO369" s="433"/>
      <c r="AP369" s="433"/>
      <c r="AQ369" s="433"/>
    </row>
    <row r="370" spans="1:43" x14ac:dyDescent="0.25">
      <c r="A370" s="384" t="s">
        <v>868</v>
      </c>
      <c r="B370" s="384"/>
      <c r="C370" s="384"/>
      <c r="D370" s="384"/>
      <c r="E370" s="405"/>
      <c r="F370" s="405" t="s">
        <v>110</v>
      </c>
      <c r="G370" s="405" t="s">
        <v>805</v>
      </c>
      <c r="H370" s="405">
        <v>2030</v>
      </c>
      <c r="I370" t="s">
        <v>129</v>
      </c>
      <c r="J370" t="s">
        <v>768</v>
      </c>
      <c r="K370" s="401">
        <v>1</v>
      </c>
      <c r="M370" s="433">
        <f t="shared" si="39"/>
        <v>2614.4530885602512</v>
      </c>
      <c r="N370" s="433">
        <f t="shared" si="38"/>
        <v>2614.4530885602512</v>
      </c>
      <c r="O370" s="433">
        <f t="shared" si="38"/>
        <v>2614.4530885602512</v>
      </c>
      <c r="P370" s="433">
        <f t="shared" si="38"/>
        <v>2614.4530885602512</v>
      </c>
      <c r="Q370" s="433">
        <f t="shared" si="38"/>
        <v>2614.4530885602512</v>
      </c>
      <c r="R370" s="433">
        <f t="shared" si="38"/>
        <v>2614.4530885602512</v>
      </c>
      <c r="S370" s="433">
        <f t="shared" si="38"/>
        <v>2614.4530885602512</v>
      </c>
      <c r="T370" s="433">
        <f t="shared" si="38"/>
        <v>2614.4530885602512</v>
      </c>
      <c r="U370" s="433">
        <f t="shared" si="38"/>
        <v>2614.4530885602512</v>
      </c>
      <c r="V370" s="433">
        <f t="shared" si="38"/>
        <v>2614.4530885602512</v>
      </c>
      <c r="W370" s="433">
        <f t="shared" si="38"/>
        <v>2614.4530885602512</v>
      </c>
      <c r="X370" s="433">
        <f t="shared" si="38"/>
        <v>2614.4530885602512</v>
      </c>
      <c r="Y370" s="433">
        <f t="shared" si="38"/>
        <v>2614.4530885602512</v>
      </c>
      <c r="Z370" s="433">
        <f t="shared" si="38"/>
        <v>2614.4530885602512</v>
      </c>
      <c r="AA370" s="433">
        <f t="shared" si="38"/>
        <v>2614.4530885602512</v>
      </c>
      <c r="AB370" s="433">
        <f t="shared" si="38"/>
        <v>2614.4530885602512</v>
      </c>
      <c r="AC370" s="433">
        <f t="shared" si="38"/>
        <v>2614.4530885602512</v>
      </c>
      <c r="AD370" s="433">
        <f t="shared" si="38"/>
        <v>2614.4530885602512</v>
      </c>
      <c r="AE370" s="433">
        <f t="shared" si="38"/>
        <v>2614.4530885602512</v>
      </c>
      <c r="AF370" s="433">
        <f t="shared" si="38"/>
        <v>2614.4530885602512</v>
      </c>
      <c r="AG370" s="433">
        <f t="shared" si="38"/>
        <v>2614.4530885602512</v>
      </c>
      <c r="AH370" s="433">
        <f t="shared" si="38"/>
        <v>2614.4530885602512</v>
      </c>
      <c r="AI370" s="433">
        <f t="shared" si="38"/>
        <v>2614.4530885602512</v>
      </c>
      <c r="AJ370" s="433">
        <f t="shared" si="38"/>
        <v>2614.4530885602512</v>
      </c>
      <c r="AK370" s="433">
        <f t="shared" si="38"/>
        <v>2614.4530885602512</v>
      </c>
      <c r="AL370" s="433">
        <f t="shared" si="38"/>
        <v>2614.4530885602512</v>
      </c>
      <c r="AM370" s="433">
        <f t="shared" si="38"/>
        <v>2614.4530885602512</v>
      </c>
      <c r="AN370" s="433">
        <f t="shared" si="38"/>
        <v>2614.4530885602512</v>
      </c>
      <c r="AO370" s="433"/>
      <c r="AP370" s="433"/>
      <c r="AQ370" s="433"/>
    </row>
    <row r="371" spans="1:43" x14ac:dyDescent="0.25">
      <c r="A371" s="384" t="s">
        <v>869</v>
      </c>
      <c r="B371" s="384"/>
      <c r="C371" s="384"/>
      <c r="D371" s="384"/>
      <c r="E371" s="405"/>
      <c r="F371" s="405" t="s">
        <v>110</v>
      </c>
      <c r="G371" s="405" t="s">
        <v>805</v>
      </c>
      <c r="H371" s="405">
        <v>2030</v>
      </c>
      <c r="I371" t="s">
        <v>769</v>
      </c>
      <c r="J371" t="s">
        <v>770</v>
      </c>
      <c r="K371" s="396">
        <v>1</v>
      </c>
      <c r="L371" s="210"/>
      <c r="M371" s="433">
        <f t="shared" si="39"/>
        <v>2614.4530885602512</v>
      </c>
      <c r="N371" s="433">
        <f t="shared" si="38"/>
        <v>2614.4530885602512</v>
      </c>
      <c r="O371" s="433">
        <f t="shared" si="38"/>
        <v>2614.4530885602512</v>
      </c>
      <c r="P371" s="433">
        <f t="shared" si="38"/>
        <v>2614.4530885602512</v>
      </c>
      <c r="Q371" s="433">
        <f t="shared" si="38"/>
        <v>2614.4530885602512</v>
      </c>
      <c r="R371" s="433">
        <f t="shared" si="38"/>
        <v>2614.4530885602512</v>
      </c>
      <c r="S371" s="433">
        <f t="shared" si="38"/>
        <v>2614.4530885602512</v>
      </c>
      <c r="T371" s="433">
        <f t="shared" si="38"/>
        <v>2614.4530885602512</v>
      </c>
      <c r="U371" s="433">
        <f t="shared" si="38"/>
        <v>2614.4530885602512</v>
      </c>
      <c r="V371" s="433">
        <f t="shared" si="38"/>
        <v>2614.4530885602512</v>
      </c>
      <c r="W371" s="433">
        <f t="shared" si="38"/>
        <v>2614.4530885602512</v>
      </c>
      <c r="X371" s="433">
        <f t="shared" si="38"/>
        <v>2614.4530885602512</v>
      </c>
      <c r="Y371" s="433">
        <f t="shared" si="38"/>
        <v>2614.4530885602512</v>
      </c>
      <c r="Z371" s="433">
        <f t="shared" si="38"/>
        <v>2614.4530885602512</v>
      </c>
      <c r="AA371" s="433">
        <f t="shared" si="38"/>
        <v>2614.4530885602512</v>
      </c>
      <c r="AB371" s="433">
        <f t="shared" si="38"/>
        <v>2614.4530885602512</v>
      </c>
      <c r="AC371" s="433">
        <f t="shared" si="38"/>
        <v>2614.4530885602512</v>
      </c>
      <c r="AD371" s="433">
        <f t="shared" si="38"/>
        <v>2614.4530885602512</v>
      </c>
      <c r="AE371" s="433">
        <f t="shared" si="38"/>
        <v>2614.4530885602512</v>
      </c>
      <c r="AF371" s="433">
        <f t="shared" si="38"/>
        <v>2614.4530885602512</v>
      </c>
      <c r="AG371" s="433">
        <f t="shared" si="38"/>
        <v>2614.4530885602512</v>
      </c>
      <c r="AH371" s="433">
        <f t="shared" si="38"/>
        <v>2614.4530885602512</v>
      </c>
      <c r="AI371" s="433">
        <f t="shared" si="38"/>
        <v>2614.4530885602512</v>
      </c>
      <c r="AJ371" s="433">
        <f t="shared" si="38"/>
        <v>2614.4530885602512</v>
      </c>
      <c r="AK371" s="433">
        <f t="shared" si="38"/>
        <v>2614.4530885602512</v>
      </c>
      <c r="AL371" s="433">
        <f t="shared" si="38"/>
        <v>2614.4530885602512</v>
      </c>
      <c r="AM371" s="433">
        <f t="shared" si="38"/>
        <v>2614.4530885602512</v>
      </c>
      <c r="AN371" s="433">
        <f t="shared" si="38"/>
        <v>2614.4530885602512</v>
      </c>
      <c r="AO371" s="433"/>
      <c r="AP371" s="433"/>
      <c r="AQ371" s="433"/>
    </row>
    <row r="372" spans="1:43" x14ac:dyDescent="0.25">
      <c r="A372" s="384" t="s">
        <v>870</v>
      </c>
      <c r="B372" s="384"/>
      <c r="C372" s="384"/>
      <c r="D372" s="384"/>
      <c r="E372" s="405"/>
      <c r="F372" s="405" t="s">
        <v>110</v>
      </c>
      <c r="G372" s="405" t="s">
        <v>805</v>
      </c>
      <c r="H372" s="405">
        <v>2030</v>
      </c>
      <c r="I372" t="s">
        <v>771</v>
      </c>
      <c r="J372" t="s">
        <v>331</v>
      </c>
      <c r="K372" s="401">
        <v>1</v>
      </c>
      <c r="M372" s="433">
        <f t="shared" si="39"/>
        <v>2614.4530885602512</v>
      </c>
      <c r="N372" s="433">
        <f t="shared" si="38"/>
        <v>2614.4530885602512</v>
      </c>
      <c r="O372" s="433">
        <f t="shared" si="38"/>
        <v>2614.4530885602512</v>
      </c>
      <c r="P372" s="433">
        <f t="shared" si="38"/>
        <v>2614.4530885602512</v>
      </c>
      <c r="Q372" s="433">
        <f t="shared" si="38"/>
        <v>2614.4530885602512</v>
      </c>
      <c r="R372" s="433">
        <f t="shared" si="38"/>
        <v>2614.4530885602512</v>
      </c>
      <c r="S372" s="433">
        <f t="shared" si="38"/>
        <v>2614.4530885602512</v>
      </c>
      <c r="T372" s="433">
        <f t="shared" si="38"/>
        <v>2614.4530885602512</v>
      </c>
      <c r="U372" s="433">
        <f t="shared" si="38"/>
        <v>2614.4530885602512</v>
      </c>
      <c r="V372" s="433">
        <f t="shared" si="38"/>
        <v>2614.4530885602512</v>
      </c>
      <c r="W372" s="433">
        <f t="shared" si="38"/>
        <v>2614.4530885602512</v>
      </c>
      <c r="X372" s="433">
        <f t="shared" si="38"/>
        <v>2614.4530885602512</v>
      </c>
      <c r="Y372" s="433">
        <f t="shared" si="38"/>
        <v>2614.4530885602512</v>
      </c>
      <c r="Z372" s="433">
        <f t="shared" si="38"/>
        <v>2614.4530885602512</v>
      </c>
      <c r="AA372" s="433">
        <f t="shared" si="38"/>
        <v>2614.4530885602512</v>
      </c>
      <c r="AB372" s="433">
        <f t="shared" si="38"/>
        <v>2614.4530885602512</v>
      </c>
      <c r="AC372" s="433">
        <f t="shared" si="38"/>
        <v>2614.4530885602512</v>
      </c>
      <c r="AD372" s="433">
        <f t="shared" si="38"/>
        <v>2614.4530885602512</v>
      </c>
      <c r="AE372" s="433">
        <f t="shared" si="38"/>
        <v>2614.4530885602512</v>
      </c>
      <c r="AF372" s="433">
        <f t="shared" si="38"/>
        <v>2614.4530885602512</v>
      </c>
      <c r="AG372" s="433">
        <f t="shared" si="38"/>
        <v>2614.4530885602512</v>
      </c>
      <c r="AH372" s="433">
        <f t="shared" si="38"/>
        <v>2614.4530885602512</v>
      </c>
      <c r="AI372" s="433">
        <f t="shared" si="38"/>
        <v>2614.4530885602512</v>
      </c>
      <c r="AJ372" s="433">
        <f t="shared" si="38"/>
        <v>2614.4530885602512</v>
      </c>
      <c r="AK372" s="433">
        <f t="shared" si="38"/>
        <v>2614.4530885602512</v>
      </c>
      <c r="AL372" s="433">
        <f t="shared" si="38"/>
        <v>2614.4530885602512</v>
      </c>
      <c r="AM372" s="433">
        <f t="shared" si="38"/>
        <v>2614.4530885602512</v>
      </c>
      <c r="AN372" s="433">
        <f t="shared" si="38"/>
        <v>2614.4530885602512</v>
      </c>
      <c r="AO372" s="433"/>
      <c r="AP372" s="433"/>
      <c r="AQ372" s="433"/>
    </row>
    <row r="373" spans="1:43" x14ac:dyDescent="0.25">
      <c r="A373" s="384" t="s">
        <v>871</v>
      </c>
      <c r="B373" s="384"/>
      <c r="C373" s="384"/>
      <c r="D373" s="384"/>
      <c r="F373" s="405" t="s">
        <v>110</v>
      </c>
      <c r="G373" s="405" t="s">
        <v>805</v>
      </c>
      <c r="H373" s="405">
        <v>2030</v>
      </c>
      <c r="I373" t="s">
        <v>116</v>
      </c>
      <c r="J373" t="s">
        <v>772</v>
      </c>
      <c r="K373" s="401">
        <v>1</v>
      </c>
      <c r="M373" s="433">
        <f t="shared" si="39"/>
        <v>2614.4530885602512</v>
      </c>
      <c r="N373" s="433">
        <f t="shared" si="38"/>
        <v>2614.4530885602512</v>
      </c>
      <c r="O373" s="433">
        <f t="shared" si="38"/>
        <v>2614.4530885602512</v>
      </c>
      <c r="P373" s="433">
        <f t="shared" si="38"/>
        <v>2614.4530885602512</v>
      </c>
      <c r="Q373" s="433">
        <f t="shared" si="38"/>
        <v>2614.4530885602512</v>
      </c>
      <c r="R373" s="433">
        <f t="shared" si="38"/>
        <v>2614.4530885602512</v>
      </c>
      <c r="S373" s="433">
        <f t="shared" si="38"/>
        <v>2614.4530885602512</v>
      </c>
      <c r="T373" s="433">
        <f t="shared" si="38"/>
        <v>2614.4530885602512</v>
      </c>
      <c r="U373" s="433">
        <f t="shared" si="38"/>
        <v>2614.4530885602512</v>
      </c>
      <c r="V373" s="433">
        <f t="shared" si="38"/>
        <v>2614.4530885602512</v>
      </c>
      <c r="W373" s="433">
        <f t="shared" si="38"/>
        <v>2614.4530885602512</v>
      </c>
      <c r="X373" s="433">
        <f t="shared" si="38"/>
        <v>2614.4530885602512</v>
      </c>
      <c r="Y373" s="433">
        <f t="shared" si="38"/>
        <v>2614.4530885602512</v>
      </c>
      <c r="Z373" s="433">
        <f t="shared" si="38"/>
        <v>2614.4530885602512</v>
      </c>
      <c r="AA373" s="433">
        <f t="shared" si="38"/>
        <v>2614.4530885602512</v>
      </c>
      <c r="AB373" s="433">
        <f t="shared" si="38"/>
        <v>2614.4530885602512</v>
      </c>
      <c r="AC373" s="433">
        <f t="shared" si="38"/>
        <v>2614.4530885602512</v>
      </c>
      <c r="AD373" s="433">
        <f t="shared" si="38"/>
        <v>2614.4530885602512</v>
      </c>
      <c r="AE373" s="433">
        <f t="shared" si="38"/>
        <v>2614.4530885602512</v>
      </c>
      <c r="AF373" s="433">
        <f t="shared" si="38"/>
        <v>2614.4530885602512</v>
      </c>
      <c r="AG373" s="433">
        <f t="shared" si="38"/>
        <v>2614.4530885602512</v>
      </c>
      <c r="AH373" s="433">
        <f t="shared" si="38"/>
        <v>2614.4530885602512</v>
      </c>
      <c r="AI373" s="433">
        <f t="shared" si="38"/>
        <v>2614.4530885602512</v>
      </c>
      <c r="AJ373" s="433">
        <f t="shared" si="38"/>
        <v>2614.4530885602512</v>
      </c>
      <c r="AK373" s="433">
        <f t="shared" si="38"/>
        <v>2614.4530885602512</v>
      </c>
      <c r="AL373" s="433">
        <f t="shared" si="38"/>
        <v>2614.4530885602512</v>
      </c>
      <c r="AM373" s="433">
        <f t="shared" si="38"/>
        <v>2614.4530885602512</v>
      </c>
      <c r="AN373" s="433">
        <f t="shared" si="38"/>
        <v>2614.4530885602512</v>
      </c>
      <c r="AO373" s="433"/>
      <c r="AP373" s="433"/>
      <c r="AQ373" s="433"/>
    </row>
    <row r="374" spans="1:43" x14ac:dyDescent="0.25">
      <c r="A374" s="384" t="s">
        <v>866</v>
      </c>
      <c r="B374" s="384"/>
      <c r="C374" s="384"/>
      <c r="D374" s="384"/>
      <c r="E374" s="9" t="s">
        <v>109</v>
      </c>
      <c r="F374" s="405" t="s">
        <v>110</v>
      </c>
      <c r="G374" s="405" t="s">
        <v>805</v>
      </c>
      <c r="H374" s="405">
        <v>2050</v>
      </c>
      <c r="I374" t="s">
        <v>125</v>
      </c>
      <c r="J374" t="s">
        <v>350</v>
      </c>
      <c r="K374" s="396">
        <v>1</v>
      </c>
      <c r="L374" s="210"/>
      <c r="M374" s="433">
        <f>M$255*$I$250</f>
        <v>1582.3214134000002</v>
      </c>
      <c r="N374" s="433">
        <f t="shared" ref="N374:AN379" si="40">N$255*$I$250</f>
        <v>1582.3214134000002</v>
      </c>
      <c r="O374" s="433">
        <f t="shared" si="40"/>
        <v>1582.3214134000002</v>
      </c>
      <c r="P374" s="433">
        <f t="shared" si="40"/>
        <v>1582.3214134000002</v>
      </c>
      <c r="Q374" s="433">
        <f t="shared" si="40"/>
        <v>1582.3214134000002</v>
      </c>
      <c r="R374" s="433">
        <f t="shared" si="40"/>
        <v>1582.3214134000002</v>
      </c>
      <c r="S374" s="433">
        <f t="shared" si="40"/>
        <v>1582.3214134000002</v>
      </c>
      <c r="T374" s="433">
        <f t="shared" si="40"/>
        <v>1582.3214134000002</v>
      </c>
      <c r="U374" s="433">
        <f t="shared" si="40"/>
        <v>1582.3214134000002</v>
      </c>
      <c r="V374" s="433">
        <f t="shared" si="40"/>
        <v>1582.3214134000002</v>
      </c>
      <c r="W374" s="433">
        <f t="shared" si="40"/>
        <v>1582.3214134000002</v>
      </c>
      <c r="X374" s="433">
        <f t="shared" si="40"/>
        <v>1582.3214134000002</v>
      </c>
      <c r="Y374" s="433">
        <f t="shared" si="40"/>
        <v>1582.3214134000002</v>
      </c>
      <c r="Z374" s="433">
        <f t="shared" si="40"/>
        <v>1582.3214134000002</v>
      </c>
      <c r="AA374" s="433">
        <f t="shared" si="40"/>
        <v>1582.3214134000002</v>
      </c>
      <c r="AB374" s="433">
        <f t="shared" si="40"/>
        <v>1582.3214134000002</v>
      </c>
      <c r="AC374" s="433">
        <f t="shared" si="40"/>
        <v>1582.3214134000002</v>
      </c>
      <c r="AD374" s="433">
        <f t="shared" si="40"/>
        <v>1582.3214134000002</v>
      </c>
      <c r="AE374" s="433">
        <f t="shared" si="40"/>
        <v>1582.3214134000002</v>
      </c>
      <c r="AF374" s="433">
        <f t="shared" si="40"/>
        <v>1582.3214134000002</v>
      </c>
      <c r="AG374" s="433">
        <f t="shared" si="40"/>
        <v>1582.3214134000002</v>
      </c>
      <c r="AH374" s="433">
        <f t="shared" si="40"/>
        <v>1582.3214134000002</v>
      </c>
      <c r="AI374" s="433">
        <f t="shared" si="40"/>
        <v>1582.3214134000002</v>
      </c>
      <c r="AJ374" s="433">
        <f t="shared" si="40"/>
        <v>1582.3214134000002</v>
      </c>
      <c r="AK374" s="433">
        <f t="shared" si="40"/>
        <v>1582.3214134000002</v>
      </c>
      <c r="AL374" s="433">
        <f t="shared" si="40"/>
        <v>1582.3214134000002</v>
      </c>
      <c r="AM374" s="433">
        <f t="shared" si="40"/>
        <v>1582.3214134000002</v>
      </c>
      <c r="AN374" s="433">
        <f t="shared" si="40"/>
        <v>1582.3214134000002</v>
      </c>
      <c r="AO374" s="433"/>
      <c r="AP374" s="433"/>
      <c r="AQ374" s="433"/>
    </row>
    <row r="375" spans="1:43" x14ac:dyDescent="0.25">
      <c r="A375" s="384" t="s">
        <v>867</v>
      </c>
      <c r="B375" s="384"/>
      <c r="C375" s="384"/>
      <c r="D375" s="384"/>
      <c r="E375" s="405"/>
      <c r="F375" s="405" t="s">
        <v>110</v>
      </c>
      <c r="G375" s="405" t="s">
        <v>805</v>
      </c>
      <c r="H375" s="405">
        <v>2050</v>
      </c>
      <c r="I375" t="s">
        <v>766</v>
      </c>
      <c r="J375" t="s">
        <v>767</v>
      </c>
      <c r="K375" s="401">
        <v>1</v>
      </c>
      <c r="M375" s="433">
        <f t="shared" ref="M375:AB379" si="41">M$255*$I$250</f>
        <v>1582.3214134000002</v>
      </c>
      <c r="N375" s="433">
        <f t="shared" si="41"/>
        <v>1582.3214134000002</v>
      </c>
      <c r="O375" s="433">
        <f t="shared" si="41"/>
        <v>1582.3214134000002</v>
      </c>
      <c r="P375" s="433">
        <f t="shared" si="41"/>
        <v>1582.3214134000002</v>
      </c>
      <c r="Q375" s="433">
        <f t="shared" si="41"/>
        <v>1582.3214134000002</v>
      </c>
      <c r="R375" s="433">
        <f t="shared" si="41"/>
        <v>1582.3214134000002</v>
      </c>
      <c r="S375" s="433">
        <f t="shared" si="41"/>
        <v>1582.3214134000002</v>
      </c>
      <c r="T375" s="433">
        <f t="shared" si="41"/>
        <v>1582.3214134000002</v>
      </c>
      <c r="U375" s="433">
        <f t="shared" si="41"/>
        <v>1582.3214134000002</v>
      </c>
      <c r="V375" s="433">
        <f t="shared" si="41"/>
        <v>1582.3214134000002</v>
      </c>
      <c r="W375" s="433">
        <f t="shared" si="41"/>
        <v>1582.3214134000002</v>
      </c>
      <c r="X375" s="433">
        <f t="shared" si="41"/>
        <v>1582.3214134000002</v>
      </c>
      <c r="Y375" s="433">
        <f t="shared" si="41"/>
        <v>1582.3214134000002</v>
      </c>
      <c r="Z375" s="433">
        <f t="shared" si="41"/>
        <v>1582.3214134000002</v>
      </c>
      <c r="AA375" s="433">
        <f t="shared" si="41"/>
        <v>1582.3214134000002</v>
      </c>
      <c r="AB375" s="433">
        <f t="shared" si="41"/>
        <v>1582.3214134000002</v>
      </c>
      <c r="AC375" s="433">
        <f t="shared" si="40"/>
        <v>1582.3214134000002</v>
      </c>
      <c r="AD375" s="433">
        <f t="shared" si="40"/>
        <v>1582.3214134000002</v>
      </c>
      <c r="AE375" s="433">
        <f t="shared" si="40"/>
        <v>1582.3214134000002</v>
      </c>
      <c r="AF375" s="433">
        <f t="shared" si="40"/>
        <v>1582.3214134000002</v>
      </c>
      <c r="AG375" s="433">
        <f t="shared" si="40"/>
        <v>1582.3214134000002</v>
      </c>
      <c r="AH375" s="433">
        <f t="shared" si="40"/>
        <v>1582.3214134000002</v>
      </c>
      <c r="AI375" s="433">
        <f t="shared" si="40"/>
        <v>1582.3214134000002</v>
      </c>
      <c r="AJ375" s="433">
        <f t="shared" si="40"/>
        <v>1582.3214134000002</v>
      </c>
      <c r="AK375" s="433">
        <f t="shared" si="40"/>
        <v>1582.3214134000002</v>
      </c>
      <c r="AL375" s="433">
        <f t="shared" si="40"/>
        <v>1582.3214134000002</v>
      </c>
      <c r="AM375" s="433">
        <f t="shared" si="40"/>
        <v>1582.3214134000002</v>
      </c>
      <c r="AN375" s="433">
        <f t="shared" si="40"/>
        <v>1582.3214134000002</v>
      </c>
      <c r="AO375" s="433"/>
      <c r="AP375" s="433"/>
      <c r="AQ375" s="433"/>
    </row>
    <row r="376" spans="1:43" x14ac:dyDescent="0.25">
      <c r="A376" s="384" t="s">
        <v>868</v>
      </c>
      <c r="B376" s="384"/>
      <c r="C376" s="384"/>
      <c r="D376" s="384"/>
      <c r="E376" s="405"/>
      <c r="F376" s="405" t="s">
        <v>110</v>
      </c>
      <c r="G376" s="405" t="s">
        <v>805</v>
      </c>
      <c r="H376" s="405">
        <v>2050</v>
      </c>
      <c r="I376" t="s">
        <v>129</v>
      </c>
      <c r="J376" t="s">
        <v>768</v>
      </c>
      <c r="K376" s="401">
        <v>1</v>
      </c>
      <c r="M376" s="433">
        <f t="shared" si="41"/>
        <v>1582.3214134000002</v>
      </c>
      <c r="N376" s="433">
        <f t="shared" si="40"/>
        <v>1582.3214134000002</v>
      </c>
      <c r="O376" s="433">
        <f t="shared" si="40"/>
        <v>1582.3214134000002</v>
      </c>
      <c r="P376" s="433">
        <f t="shared" si="40"/>
        <v>1582.3214134000002</v>
      </c>
      <c r="Q376" s="433">
        <f t="shared" si="40"/>
        <v>1582.3214134000002</v>
      </c>
      <c r="R376" s="433">
        <f t="shared" si="40"/>
        <v>1582.3214134000002</v>
      </c>
      <c r="S376" s="433">
        <f t="shared" si="40"/>
        <v>1582.3214134000002</v>
      </c>
      <c r="T376" s="433">
        <f t="shared" si="40"/>
        <v>1582.3214134000002</v>
      </c>
      <c r="U376" s="433">
        <f t="shared" si="40"/>
        <v>1582.3214134000002</v>
      </c>
      <c r="V376" s="433">
        <f t="shared" si="40"/>
        <v>1582.3214134000002</v>
      </c>
      <c r="W376" s="433">
        <f t="shared" si="40"/>
        <v>1582.3214134000002</v>
      </c>
      <c r="X376" s="433">
        <f t="shared" si="40"/>
        <v>1582.3214134000002</v>
      </c>
      <c r="Y376" s="433">
        <f t="shared" si="40"/>
        <v>1582.3214134000002</v>
      </c>
      <c r="Z376" s="433">
        <f t="shared" si="40"/>
        <v>1582.3214134000002</v>
      </c>
      <c r="AA376" s="433">
        <f t="shared" si="40"/>
        <v>1582.3214134000002</v>
      </c>
      <c r="AB376" s="433">
        <f t="shared" si="40"/>
        <v>1582.3214134000002</v>
      </c>
      <c r="AC376" s="433">
        <f t="shared" si="40"/>
        <v>1582.3214134000002</v>
      </c>
      <c r="AD376" s="433">
        <f t="shared" si="40"/>
        <v>1582.3214134000002</v>
      </c>
      <c r="AE376" s="433">
        <f t="shared" si="40"/>
        <v>1582.3214134000002</v>
      </c>
      <c r="AF376" s="433">
        <f t="shared" si="40"/>
        <v>1582.3214134000002</v>
      </c>
      <c r="AG376" s="433">
        <f t="shared" si="40"/>
        <v>1582.3214134000002</v>
      </c>
      <c r="AH376" s="433">
        <f t="shared" si="40"/>
        <v>1582.3214134000002</v>
      </c>
      <c r="AI376" s="433">
        <f t="shared" si="40"/>
        <v>1582.3214134000002</v>
      </c>
      <c r="AJ376" s="433">
        <f t="shared" si="40"/>
        <v>1582.3214134000002</v>
      </c>
      <c r="AK376" s="433">
        <f t="shared" si="40"/>
        <v>1582.3214134000002</v>
      </c>
      <c r="AL376" s="433">
        <f t="shared" si="40"/>
        <v>1582.3214134000002</v>
      </c>
      <c r="AM376" s="433">
        <f t="shared" si="40"/>
        <v>1582.3214134000002</v>
      </c>
      <c r="AN376" s="433">
        <f t="shared" si="40"/>
        <v>1582.3214134000002</v>
      </c>
      <c r="AO376" s="433"/>
      <c r="AP376" s="433"/>
      <c r="AQ376" s="433"/>
    </row>
    <row r="377" spans="1:43" x14ac:dyDescent="0.25">
      <c r="A377" s="384" t="s">
        <v>869</v>
      </c>
      <c r="B377" s="384"/>
      <c r="C377" s="384"/>
      <c r="D377" s="384"/>
      <c r="E377" s="405"/>
      <c r="F377" s="405" t="s">
        <v>110</v>
      </c>
      <c r="G377" s="405" t="s">
        <v>805</v>
      </c>
      <c r="H377" s="405">
        <v>2050</v>
      </c>
      <c r="I377" t="s">
        <v>769</v>
      </c>
      <c r="J377" t="s">
        <v>770</v>
      </c>
      <c r="K377" s="396">
        <v>1</v>
      </c>
      <c r="L377" s="210"/>
      <c r="M377" s="433">
        <f t="shared" si="41"/>
        <v>1582.3214134000002</v>
      </c>
      <c r="N377" s="433">
        <f t="shared" si="40"/>
        <v>1582.3214134000002</v>
      </c>
      <c r="O377" s="433">
        <f t="shared" si="40"/>
        <v>1582.3214134000002</v>
      </c>
      <c r="P377" s="433">
        <f t="shared" si="40"/>
        <v>1582.3214134000002</v>
      </c>
      <c r="Q377" s="433">
        <f t="shared" si="40"/>
        <v>1582.3214134000002</v>
      </c>
      <c r="R377" s="433">
        <f t="shared" si="40"/>
        <v>1582.3214134000002</v>
      </c>
      <c r="S377" s="433">
        <f t="shared" si="40"/>
        <v>1582.3214134000002</v>
      </c>
      <c r="T377" s="433">
        <f t="shared" si="40"/>
        <v>1582.3214134000002</v>
      </c>
      <c r="U377" s="433">
        <f t="shared" si="40"/>
        <v>1582.3214134000002</v>
      </c>
      <c r="V377" s="433">
        <f t="shared" si="40"/>
        <v>1582.3214134000002</v>
      </c>
      <c r="W377" s="433">
        <f t="shared" si="40"/>
        <v>1582.3214134000002</v>
      </c>
      <c r="X377" s="433">
        <f t="shared" si="40"/>
        <v>1582.3214134000002</v>
      </c>
      <c r="Y377" s="433">
        <f t="shared" si="40"/>
        <v>1582.3214134000002</v>
      </c>
      <c r="Z377" s="433">
        <f t="shared" si="40"/>
        <v>1582.3214134000002</v>
      </c>
      <c r="AA377" s="433">
        <f t="shared" si="40"/>
        <v>1582.3214134000002</v>
      </c>
      <c r="AB377" s="433">
        <f t="shared" si="40"/>
        <v>1582.3214134000002</v>
      </c>
      <c r="AC377" s="433">
        <f t="shared" si="40"/>
        <v>1582.3214134000002</v>
      </c>
      <c r="AD377" s="433">
        <f t="shared" si="40"/>
        <v>1582.3214134000002</v>
      </c>
      <c r="AE377" s="433">
        <f t="shared" si="40"/>
        <v>1582.3214134000002</v>
      </c>
      <c r="AF377" s="433">
        <f t="shared" si="40"/>
        <v>1582.3214134000002</v>
      </c>
      <c r="AG377" s="433">
        <f t="shared" si="40"/>
        <v>1582.3214134000002</v>
      </c>
      <c r="AH377" s="433">
        <f t="shared" si="40"/>
        <v>1582.3214134000002</v>
      </c>
      <c r="AI377" s="433">
        <f t="shared" si="40"/>
        <v>1582.3214134000002</v>
      </c>
      <c r="AJ377" s="433">
        <f t="shared" si="40"/>
        <v>1582.3214134000002</v>
      </c>
      <c r="AK377" s="433">
        <f t="shared" si="40"/>
        <v>1582.3214134000002</v>
      </c>
      <c r="AL377" s="433">
        <f t="shared" si="40"/>
        <v>1582.3214134000002</v>
      </c>
      <c r="AM377" s="433">
        <f t="shared" si="40"/>
        <v>1582.3214134000002</v>
      </c>
      <c r="AN377" s="433">
        <f t="shared" si="40"/>
        <v>1582.3214134000002</v>
      </c>
      <c r="AO377" s="433"/>
      <c r="AP377" s="433"/>
      <c r="AQ377" s="433"/>
    </row>
    <row r="378" spans="1:43" x14ac:dyDescent="0.25">
      <c r="A378" s="384" t="s">
        <v>870</v>
      </c>
      <c r="B378" s="384"/>
      <c r="C378" s="384"/>
      <c r="D378" s="384"/>
      <c r="E378" s="405"/>
      <c r="F378" s="405" t="s">
        <v>110</v>
      </c>
      <c r="G378" s="405" t="s">
        <v>805</v>
      </c>
      <c r="H378" s="405">
        <v>2050</v>
      </c>
      <c r="I378" t="s">
        <v>771</v>
      </c>
      <c r="J378" t="s">
        <v>331</v>
      </c>
      <c r="K378" s="401">
        <v>1</v>
      </c>
      <c r="M378" s="433">
        <f t="shared" si="41"/>
        <v>1582.3214134000002</v>
      </c>
      <c r="N378" s="433">
        <f t="shared" si="40"/>
        <v>1582.3214134000002</v>
      </c>
      <c r="O378" s="433">
        <f t="shared" si="40"/>
        <v>1582.3214134000002</v>
      </c>
      <c r="P378" s="433">
        <f t="shared" si="40"/>
        <v>1582.3214134000002</v>
      </c>
      <c r="Q378" s="433">
        <f t="shared" si="40"/>
        <v>1582.3214134000002</v>
      </c>
      <c r="R378" s="433">
        <f t="shared" si="40"/>
        <v>1582.3214134000002</v>
      </c>
      <c r="S378" s="433">
        <f t="shared" si="40"/>
        <v>1582.3214134000002</v>
      </c>
      <c r="T378" s="433">
        <f t="shared" si="40"/>
        <v>1582.3214134000002</v>
      </c>
      <c r="U378" s="433">
        <f t="shared" si="40"/>
        <v>1582.3214134000002</v>
      </c>
      <c r="V378" s="433">
        <f t="shared" si="40"/>
        <v>1582.3214134000002</v>
      </c>
      <c r="W378" s="433">
        <f t="shared" si="40"/>
        <v>1582.3214134000002</v>
      </c>
      <c r="X378" s="433">
        <f t="shared" si="40"/>
        <v>1582.3214134000002</v>
      </c>
      <c r="Y378" s="433">
        <f t="shared" si="40"/>
        <v>1582.3214134000002</v>
      </c>
      <c r="Z378" s="433">
        <f t="shared" si="40"/>
        <v>1582.3214134000002</v>
      </c>
      <c r="AA378" s="433">
        <f t="shared" si="40"/>
        <v>1582.3214134000002</v>
      </c>
      <c r="AB378" s="433">
        <f t="shared" si="40"/>
        <v>1582.3214134000002</v>
      </c>
      <c r="AC378" s="433">
        <f t="shared" si="40"/>
        <v>1582.3214134000002</v>
      </c>
      <c r="AD378" s="433">
        <f t="shared" si="40"/>
        <v>1582.3214134000002</v>
      </c>
      <c r="AE378" s="433">
        <f t="shared" si="40"/>
        <v>1582.3214134000002</v>
      </c>
      <c r="AF378" s="433">
        <f t="shared" si="40"/>
        <v>1582.3214134000002</v>
      </c>
      <c r="AG378" s="433">
        <f t="shared" si="40"/>
        <v>1582.3214134000002</v>
      </c>
      <c r="AH378" s="433">
        <f t="shared" si="40"/>
        <v>1582.3214134000002</v>
      </c>
      <c r="AI378" s="433">
        <f t="shared" si="40"/>
        <v>1582.3214134000002</v>
      </c>
      <c r="AJ378" s="433">
        <f t="shared" si="40"/>
        <v>1582.3214134000002</v>
      </c>
      <c r="AK378" s="433">
        <f t="shared" si="40"/>
        <v>1582.3214134000002</v>
      </c>
      <c r="AL378" s="433">
        <f t="shared" si="40"/>
        <v>1582.3214134000002</v>
      </c>
      <c r="AM378" s="433">
        <f t="shared" si="40"/>
        <v>1582.3214134000002</v>
      </c>
      <c r="AN378" s="433">
        <f t="shared" si="40"/>
        <v>1582.3214134000002</v>
      </c>
      <c r="AO378" s="433"/>
      <c r="AP378" s="433"/>
      <c r="AQ378" s="433"/>
    </row>
    <row r="379" spans="1:43" x14ac:dyDescent="0.25">
      <c r="A379" s="384" t="s">
        <v>871</v>
      </c>
      <c r="B379" s="384"/>
      <c r="C379" s="384"/>
      <c r="D379" s="384"/>
      <c r="E379" s="47"/>
      <c r="F379" s="434" t="s">
        <v>110</v>
      </c>
      <c r="G379" s="434" t="s">
        <v>805</v>
      </c>
      <c r="H379" s="434">
        <v>2050</v>
      </c>
      <c r="I379" s="216" t="s">
        <v>116</v>
      </c>
      <c r="J379" s="216" t="s">
        <v>772</v>
      </c>
      <c r="K379" s="437">
        <v>1</v>
      </c>
      <c r="L379" s="414"/>
      <c r="M379" s="465">
        <f t="shared" si="41"/>
        <v>1582.3214134000002</v>
      </c>
      <c r="N379" s="465">
        <f t="shared" si="40"/>
        <v>1582.3214134000002</v>
      </c>
      <c r="O379" s="465">
        <f t="shared" si="40"/>
        <v>1582.3214134000002</v>
      </c>
      <c r="P379" s="465">
        <f t="shared" si="40"/>
        <v>1582.3214134000002</v>
      </c>
      <c r="Q379" s="465">
        <f t="shared" si="40"/>
        <v>1582.3214134000002</v>
      </c>
      <c r="R379" s="465">
        <f t="shared" si="40"/>
        <v>1582.3214134000002</v>
      </c>
      <c r="S379" s="465">
        <f t="shared" si="40"/>
        <v>1582.3214134000002</v>
      </c>
      <c r="T379" s="465">
        <f t="shared" si="40"/>
        <v>1582.3214134000002</v>
      </c>
      <c r="U379" s="465">
        <f t="shared" si="40"/>
        <v>1582.3214134000002</v>
      </c>
      <c r="V379" s="465">
        <f t="shared" si="40"/>
        <v>1582.3214134000002</v>
      </c>
      <c r="W379" s="465">
        <f t="shared" si="40"/>
        <v>1582.3214134000002</v>
      </c>
      <c r="X379" s="465">
        <f t="shared" si="40"/>
        <v>1582.3214134000002</v>
      </c>
      <c r="Y379" s="465">
        <f t="shared" si="40"/>
        <v>1582.3214134000002</v>
      </c>
      <c r="Z379" s="465">
        <f t="shared" si="40"/>
        <v>1582.3214134000002</v>
      </c>
      <c r="AA379" s="465">
        <f t="shared" si="40"/>
        <v>1582.3214134000002</v>
      </c>
      <c r="AB379" s="465">
        <f t="shared" si="40"/>
        <v>1582.3214134000002</v>
      </c>
      <c r="AC379" s="465">
        <f t="shared" si="40"/>
        <v>1582.3214134000002</v>
      </c>
      <c r="AD379" s="465">
        <f t="shared" si="40"/>
        <v>1582.3214134000002</v>
      </c>
      <c r="AE379" s="465">
        <f t="shared" si="40"/>
        <v>1582.3214134000002</v>
      </c>
      <c r="AF379" s="465">
        <f t="shared" si="40"/>
        <v>1582.3214134000002</v>
      </c>
      <c r="AG379" s="465">
        <f t="shared" si="40"/>
        <v>1582.3214134000002</v>
      </c>
      <c r="AH379" s="465">
        <f t="shared" si="40"/>
        <v>1582.3214134000002</v>
      </c>
      <c r="AI379" s="465">
        <f t="shared" si="40"/>
        <v>1582.3214134000002</v>
      </c>
      <c r="AJ379" s="465">
        <f t="shared" si="40"/>
        <v>1582.3214134000002</v>
      </c>
      <c r="AK379" s="465">
        <f t="shared" si="40"/>
        <v>1582.3214134000002</v>
      </c>
      <c r="AL379" s="465">
        <f t="shared" si="40"/>
        <v>1582.3214134000002</v>
      </c>
      <c r="AM379" s="465">
        <f t="shared" si="40"/>
        <v>1582.3214134000002</v>
      </c>
      <c r="AN379" s="465">
        <f t="shared" si="40"/>
        <v>1582.3214134000002</v>
      </c>
      <c r="AO379" s="433"/>
      <c r="AP379" s="433"/>
      <c r="AQ379" s="433"/>
    </row>
    <row r="380" spans="1:43" x14ac:dyDescent="0.25">
      <c r="A380" s="384"/>
      <c r="B380" s="384"/>
      <c r="C380" s="384"/>
      <c r="D380" s="384"/>
      <c r="G380" s="405"/>
      <c r="H380" s="405"/>
      <c r="M380" s="431"/>
      <c r="N380" s="398"/>
      <c r="O380" s="398"/>
      <c r="P380" s="398"/>
      <c r="Q380" s="398"/>
      <c r="R380" s="398"/>
      <c r="S380" s="398"/>
      <c r="T380" s="398"/>
      <c r="U380" s="398"/>
      <c r="V380" s="398"/>
      <c r="W380" s="398"/>
      <c r="X380" s="398"/>
      <c r="Y380" s="398"/>
      <c r="Z380" s="398"/>
      <c r="AA380" s="398"/>
      <c r="AB380" s="398"/>
      <c r="AC380" s="398"/>
      <c r="AD380" s="398"/>
      <c r="AE380" s="398"/>
      <c r="AF380" s="398"/>
      <c r="AG380" s="398"/>
      <c r="AH380" s="398"/>
      <c r="AI380" s="398"/>
      <c r="AJ380" s="9"/>
      <c r="AK380" s="9"/>
      <c r="AL380" s="9"/>
      <c r="AM380" s="9"/>
    </row>
    <row r="381" spans="1:43" x14ac:dyDescent="0.25">
      <c r="A381" s="384"/>
      <c r="B381" s="384"/>
      <c r="C381" s="384"/>
      <c r="D381" s="384"/>
    </row>
    <row r="382" spans="1:43" x14ac:dyDescent="0.25">
      <c r="A382" s="384"/>
      <c r="B382" s="384"/>
      <c r="C382" s="384"/>
      <c r="D382" s="384"/>
    </row>
    <row r="383" spans="1:43" x14ac:dyDescent="0.2">
      <c r="A383" s="384"/>
      <c r="B383" s="384"/>
      <c r="C383" s="384"/>
      <c r="D383" s="384"/>
      <c r="E383" s="387" t="s">
        <v>880</v>
      </c>
      <c r="F383" s="387"/>
      <c r="G383" s="387"/>
      <c r="H383" s="387"/>
      <c r="I383" s="387"/>
      <c r="J383" s="387"/>
      <c r="K383" s="388"/>
      <c r="L383" s="388"/>
      <c r="M383" s="116" t="s">
        <v>163</v>
      </c>
      <c r="N383" s="116" t="s">
        <v>165</v>
      </c>
      <c r="O383" s="116" t="s">
        <v>167</v>
      </c>
      <c r="P383" s="116" t="s">
        <v>169</v>
      </c>
      <c r="Q383" s="116" t="s">
        <v>171</v>
      </c>
      <c r="R383" s="116" t="s">
        <v>174</v>
      </c>
      <c r="S383" s="116" t="s">
        <v>176</v>
      </c>
      <c r="T383" s="116" t="s">
        <v>178</v>
      </c>
      <c r="U383" s="116" t="s">
        <v>180</v>
      </c>
      <c r="V383" s="116" t="s">
        <v>182</v>
      </c>
      <c r="W383" s="116" t="s">
        <v>184</v>
      </c>
      <c r="X383" s="116" t="s">
        <v>186</v>
      </c>
      <c r="Y383" s="116" t="s">
        <v>189</v>
      </c>
      <c r="Z383" s="116" t="s">
        <v>191</v>
      </c>
      <c r="AA383" s="116" t="s">
        <v>193</v>
      </c>
      <c r="AB383" s="116" t="s">
        <v>195</v>
      </c>
      <c r="AC383" s="116" t="s">
        <v>197</v>
      </c>
      <c r="AD383" s="116" t="s">
        <v>199</v>
      </c>
      <c r="AE383" s="116" t="s">
        <v>200</v>
      </c>
      <c r="AF383" s="116" t="s">
        <v>202</v>
      </c>
      <c r="AG383" s="116" t="s">
        <v>204</v>
      </c>
      <c r="AH383" s="116" t="s">
        <v>206</v>
      </c>
      <c r="AI383" s="116" t="s">
        <v>208</v>
      </c>
      <c r="AJ383" s="116" t="s">
        <v>211</v>
      </c>
      <c r="AK383" s="116" t="s">
        <v>213</v>
      </c>
      <c r="AL383" s="116" t="s">
        <v>215</v>
      </c>
      <c r="AM383" s="116" t="s">
        <v>218</v>
      </c>
      <c r="AN383" s="116" t="s">
        <v>220</v>
      </c>
      <c r="AO383" s="375"/>
      <c r="AP383" s="375"/>
      <c r="AQ383" s="375"/>
    </row>
    <row r="384" spans="1:43" ht="15.75" thickBot="1" x14ac:dyDescent="0.3">
      <c r="A384" s="384"/>
      <c r="B384" s="384"/>
      <c r="C384" s="384"/>
      <c r="D384" s="384"/>
      <c r="E384" s="363" t="s">
        <v>765</v>
      </c>
      <c r="F384" s="390" t="s">
        <v>85</v>
      </c>
      <c r="G384" s="390" t="s">
        <v>794</v>
      </c>
      <c r="H384" s="390"/>
      <c r="I384" s="390" t="s">
        <v>796</v>
      </c>
      <c r="J384" s="390" t="s">
        <v>85</v>
      </c>
      <c r="K384" s="391"/>
      <c r="L384" s="391"/>
      <c r="M384" s="54" t="s">
        <v>162</v>
      </c>
      <c r="N384" s="54" t="s">
        <v>164</v>
      </c>
      <c r="O384" s="54" t="s">
        <v>166</v>
      </c>
      <c r="P384" s="54" t="s">
        <v>168</v>
      </c>
      <c r="Q384" s="54" t="s">
        <v>170</v>
      </c>
      <c r="R384" s="54" t="s">
        <v>173</v>
      </c>
      <c r="S384" s="54" t="s">
        <v>175</v>
      </c>
      <c r="T384" s="54" t="s">
        <v>177</v>
      </c>
      <c r="U384" s="54" t="s">
        <v>179</v>
      </c>
      <c r="V384" s="54" t="s">
        <v>181</v>
      </c>
      <c r="W384" s="54" t="s">
        <v>183</v>
      </c>
      <c r="X384" s="54" t="s">
        <v>185</v>
      </c>
      <c r="Y384" s="54" t="s">
        <v>188</v>
      </c>
      <c r="Z384" s="54" t="s">
        <v>190</v>
      </c>
      <c r="AA384" s="54" t="s">
        <v>192</v>
      </c>
      <c r="AB384" s="54" t="s">
        <v>194</v>
      </c>
      <c r="AC384" s="54" t="s">
        <v>196</v>
      </c>
      <c r="AD384" s="54" t="s">
        <v>198</v>
      </c>
      <c r="AE384" s="54" t="s">
        <v>9</v>
      </c>
      <c r="AF384" s="54" t="s">
        <v>201</v>
      </c>
      <c r="AG384" s="54" t="s">
        <v>203</v>
      </c>
      <c r="AH384" s="54" t="s">
        <v>205</v>
      </c>
      <c r="AI384" s="54" t="s">
        <v>207</v>
      </c>
      <c r="AJ384" s="54" t="s">
        <v>210</v>
      </c>
      <c r="AK384" s="54" t="s">
        <v>212</v>
      </c>
      <c r="AL384" s="54" t="s">
        <v>214</v>
      </c>
      <c r="AM384" s="54" t="s">
        <v>217</v>
      </c>
      <c r="AN384" s="54" t="s">
        <v>219</v>
      </c>
      <c r="AO384" s="370"/>
      <c r="AP384" s="370"/>
      <c r="AQ384" s="370"/>
    </row>
    <row r="385" spans="1:43" x14ac:dyDescent="0.25">
      <c r="A385" s="384"/>
      <c r="B385" s="384"/>
      <c r="C385" s="384"/>
      <c r="D385" s="384"/>
      <c r="E385" s="12" t="s">
        <v>799</v>
      </c>
      <c r="F385" s="12"/>
      <c r="G385" s="12"/>
      <c r="H385" s="12"/>
      <c r="I385" s="12"/>
      <c r="J385" s="12"/>
      <c r="K385" s="393"/>
      <c r="L385" s="393"/>
      <c r="M385" s="394"/>
      <c r="N385" s="394"/>
      <c r="O385" s="394"/>
      <c r="P385" s="394"/>
      <c r="Q385" s="394"/>
      <c r="R385" s="394"/>
      <c r="S385" s="394"/>
      <c r="T385" s="394"/>
      <c r="U385" s="394"/>
      <c r="V385" s="394"/>
      <c r="W385" s="394"/>
      <c r="X385" s="394"/>
      <c r="Y385" s="394"/>
      <c r="Z385" s="394"/>
      <c r="AA385" s="394"/>
      <c r="AB385" s="394"/>
      <c r="AC385" s="394"/>
      <c r="AD385" s="394"/>
      <c r="AE385" s="394"/>
      <c r="AF385" s="394"/>
      <c r="AG385" s="394"/>
      <c r="AH385" s="394"/>
      <c r="AI385" s="394"/>
      <c r="AJ385" s="9"/>
      <c r="AK385" s="9"/>
      <c r="AL385" s="9"/>
      <c r="AM385" s="9"/>
    </row>
    <row r="386" spans="1:43" x14ac:dyDescent="0.25">
      <c r="A386" s="395" t="s">
        <v>103</v>
      </c>
      <c r="B386" s="384" t="s">
        <v>104</v>
      </c>
      <c r="C386" s="384" t="s">
        <v>800</v>
      </c>
      <c r="D386" s="384" t="s">
        <v>817</v>
      </c>
      <c r="E386" s="435" t="s">
        <v>103</v>
      </c>
      <c r="F386" s="435" t="s">
        <v>104</v>
      </c>
      <c r="G386" s="435" t="s">
        <v>801</v>
      </c>
      <c r="H386" s="435"/>
      <c r="I386" s="215" t="s">
        <v>331</v>
      </c>
      <c r="J386" s="215" t="s">
        <v>120</v>
      </c>
      <c r="K386" s="406"/>
      <c r="L386" s="438"/>
      <c r="M386" s="439">
        <v>0</v>
      </c>
      <c r="N386" s="439">
        <v>0</v>
      </c>
      <c r="O386" s="439">
        <v>0</v>
      </c>
      <c r="P386" s="439">
        <v>0</v>
      </c>
      <c r="Q386" s="439">
        <v>0</v>
      </c>
      <c r="R386" s="439">
        <v>0</v>
      </c>
      <c r="S386" s="439">
        <v>0</v>
      </c>
      <c r="T386" s="439">
        <v>0</v>
      </c>
      <c r="U386" s="439">
        <v>0</v>
      </c>
      <c r="V386" s="439">
        <v>0</v>
      </c>
      <c r="W386" s="439">
        <v>0</v>
      </c>
      <c r="X386" s="439">
        <v>0</v>
      </c>
      <c r="Y386" s="439">
        <v>0</v>
      </c>
      <c r="Z386" s="439">
        <v>0</v>
      </c>
      <c r="AA386" s="439">
        <v>0</v>
      </c>
      <c r="AB386" s="439">
        <f>AC386</f>
        <v>0</v>
      </c>
      <c r="AC386" s="439">
        <v>0</v>
      </c>
      <c r="AD386" s="439">
        <v>0</v>
      </c>
      <c r="AE386" s="439">
        <v>0</v>
      </c>
      <c r="AF386" s="439">
        <v>0</v>
      </c>
      <c r="AG386" s="439">
        <v>0</v>
      </c>
      <c r="AH386" s="439">
        <f>R386</f>
        <v>0</v>
      </c>
      <c r="AI386" s="439">
        <v>0</v>
      </c>
      <c r="AJ386" s="439">
        <v>0</v>
      </c>
      <c r="AK386" s="466">
        <f>M386</f>
        <v>0</v>
      </c>
      <c r="AL386" s="439">
        <v>0</v>
      </c>
      <c r="AM386" s="439">
        <v>0</v>
      </c>
      <c r="AN386" s="439">
        <v>0</v>
      </c>
      <c r="AO386" s="419"/>
      <c r="AP386" s="419"/>
      <c r="AQ386" s="419"/>
    </row>
    <row r="387" spans="1:43" x14ac:dyDescent="0.25">
      <c r="A387" s="395" t="s">
        <v>103</v>
      </c>
      <c r="B387" s="384" t="s">
        <v>104</v>
      </c>
      <c r="C387" s="384" t="s">
        <v>800</v>
      </c>
      <c r="D387" s="384" t="s">
        <v>814</v>
      </c>
      <c r="E387" s="405"/>
      <c r="F387" s="405"/>
      <c r="G387" s="405"/>
      <c r="H387" s="405"/>
      <c r="I387" t="s">
        <v>767</v>
      </c>
      <c r="J387" t="s">
        <v>128</v>
      </c>
      <c r="L387" s="440"/>
      <c r="M387" s="441">
        <v>0</v>
      </c>
      <c r="N387" s="441">
        <v>0.97746997462062457</v>
      </c>
      <c r="O387" s="441">
        <v>0</v>
      </c>
      <c r="P387" s="441">
        <v>1</v>
      </c>
      <c r="Q387" s="441">
        <v>0.91761269920224109</v>
      </c>
      <c r="R387" s="441">
        <v>0.98911494897970575</v>
      </c>
      <c r="S387" s="441">
        <v>0.86488336650638253</v>
      </c>
      <c r="T387" s="441">
        <v>1</v>
      </c>
      <c r="U387" s="441">
        <v>0.92151814722238579</v>
      </c>
      <c r="V387" s="441">
        <v>1</v>
      </c>
      <c r="W387" s="441">
        <v>0.98039369415507116</v>
      </c>
      <c r="X387" s="441">
        <v>2.3124951823017032E-3</v>
      </c>
      <c r="Y387" s="441">
        <v>0.97632565853112563</v>
      </c>
      <c r="Z387" s="441">
        <v>1</v>
      </c>
      <c r="AA387" s="441">
        <v>0.99094526941085137</v>
      </c>
      <c r="AB387" s="441">
        <f t="shared" ref="AB387:AB450" si="42">AC387</f>
        <v>0.97699681936875815</v>
      </c>
      <c r="AC387" s="441">
        <v>0.97699681936875815</v>
      </c>
      <c r="AD387" s="441">
        <v>0</v>
      </c>
      <c r="AE387" s="441">
        <v>0</v>
      </c>
      <c r="AF387" s="441">
        <v>0.82304306063881782</v>
      </c>
      <c r="AG387" s="441">
        <v>0.98039369415507116</v>
      </c>
      <c r="AH387" s="441">
        <f t="shared" ref="AH387:AH450" si="43">R387</f>
        <v>0.98911494897970575</v>
      </c>
      <c r="AI387" s="441">
        <v>1</v>
      </c>
      <c r="AJ387" s="441">
        <v>0.99722430202992818</v>
      </c>
      <c r="AK387" s="394">
        <f t="shared" ref="AK387:AK450" si="44">M387</f>
        <v>0</v>
      </c>
      <c r="AL387" s="441">
        <v>0.99741138965982956</v>
      </c>
      <c r="AM387" s="441">
        <v>0.97275895935078094</v>
      </c>
      <c r="AN387" s="441">
        <v>0.99574328133040668</v>
      </c>
      <c r="AO387" s="419"/>
      <c r="AP387" s="419"/>
      <c r="AQ387" s="419"/>
    </row>
    <row r="388" spans="1:43" x14ac:dyDescent="0.25">
      <c r="A388" s="395" t="s">
        <v>103</v>
      </c>
      <c r="B388" s="384" t="s">
        <v>104</v>
      </c>
      <c r="C388" s="384" t="s">
        <v>800</v>
      </c>
      <c r="D388" s="384" t="s">
        <v>816</v>
      </c>
      <c r="E388" s="405"/>
      <c r="F388" s="405"/>
      <c r="G388" s="405"/>
      <c r="H388" s="405"/>
      <c r="I388" t="s">
        <v>770</v>
      </c>
      <c r="J388" t="s">
        <v>134</v>
      </c>
      <c r="L388" s="440"/>
      <c r="M388" s="441">
        <v>1</v>
      </c>
      <c r="N388" s="441">
        <v>1</v>
      </c>
      <c r="O388" s="441">
        <v>1</v>
      </c>
      <c r="P388" s="441">
        <v>1</v>
      </c>
      <c r="Q388" s="441">
        <v>1</v>
      </c>
      <c r="R388" s="441">
        <v>1</v>
      </c>
      <c r="S388" s="441">
        <v>0.99775548819489079</v>
      </c>
      <c r="T388" s="441">
        <v>1</v>
      </c>
      <c r="U388" s="441">
        <v>0.99858214504502074</v>
      </c>
      <c r="V388" s="441">
        <v>1</v>
      </c>
      <c r="W388" s="441">
        <v>1</v>
      </c>
      <c r="X388" s="441">
        <v>1</v>
      </c>
      <c r="Y388" s="441">
        <v>1</v>
      </c>
      <c r="Z388" s="441">
        <v>1</v>
      </c>
      <c r="AA388" s="441">
        <v>0.99996017570778672</v>
      </c>
      <c r="AB388" s="441">
        <f t="shared" si="42"/>
        <v>0.99805420114513066</v>
      </c>
      <c r="AC388" s="441">
        <v>0.99805420114513066</v>
      </c>
      <c r="AD388" s="441">
        <v>0</v>
      </c>
      <c r="AE388" s="441">
        <v>0</v>
      </c>
      <c r="AF388" s="441">
        <v>1</v>
      </c>
      <c r="AG388" s="441">
        <v>1</v>
      </c>
      <c r="AH388" s="441">
        <f t="shared" si="43"/>
        <v>1</v>
      </c>
      <c r="AI388" s="441">
        <v>1</v>
      </c>
      <c r="AJ388" s="441">
        <v>1</v>
      </c>
      <c r="AK388" s="394">
        <f t="shared" si="44"/>
        <v>1</v>
      </c>
      <c r="AL388" s="441">
        <v>1</v>
      </c>
      <c r="AM388" s="441">
        <v>1</v>
      </c>
      <c r="AN388" s="441">
        <v>0.98954412741826636</v>
      </c>
      <c r="AO388" s="419"/>
      <c r="AP388" s="419"/>
      <c r="AQ388" s="419"/>
    </row>
    <row r="389" spans="1:43" x14ac:dyDescent="0.25">
      <c r="A389" s="395" t="s">
        <v>103</v>
      </c>
      <c r="B389" s="384" t="s">
        <v>104</v>
      </c>
      <c r="C389" s="384" t="s">
        <v>800</v>
      </c>
      <c r="D389" s="384" t="s">
        <v>818</v>
      </c>
      <c r="G389" s="405"/>
      <c r="H389" s="405"/>
      <c r="I389" t="s">
        <v>772</v>
      </c>
      <c r="J389" t="s">
        <v>117</v>
      </c>
      <c r="L389" s="442"/>
      <c r="M389" s="441">
        <v>0</v>
      </c>
      <c r="N389" s="441">
        <v>0.22463520413063867</v>
      </c>
      <c r="O389" s="441">
        <v>0.84544216677717665</v>
      </c>
      <c r="P389" s="441">
        <v>1</v>
      </c>
      <c r="Q389" s="441">
        <v>1</v>
      </c>
      <c r="R389" s="441">
        <v>1</v>
      </c>
      <c r="S389" s="441">
        <v>0</v>
      </c>
      <c r="T389" s="441">
        <v>0</v>
      </c>
      <c r="U389" s="441">
        <v>0</v>
      </c>
      <c r="V389" s="441">
        <v>1</v>
      </c>
      <c r="W389" s="441">
        <v>0.38304017432350945</v>
      </c>
      <c r="X389" s="441">
        <v>1</v>
      </c>
      <c r="Y389" s="441">
        <v>0.71554349421116903</v>
      </c>
      <c r="Z389" s="441">
        <v>0</v>
      </c>
      <c r="AA389" s="441">
        <v>3.0780185845938727E-2</v>
      </c>
      <c r="AB389" s="441">
        <f t="shared" si="42"/>
        <v>0.17276425858375916</v>
      </c>
      <c r="AC389" s="441">
        <v>0.17276425858375916</v>
      </c>
      <c r="AD389" s="441">
        <v>0</v>
      </c>
      <c r="AE389" s="441">
        <v>0</v>
      </c>
      <c r="AF389" s="441">
        <v>0</v>
      </c>
      <c r="AG389" s="441">
        <v>0.38304017432350945</v>
      </c>
      <c r="AH389" s="441">
        <f t="shared" si="43"/>
        <v>1</v>
      </c>
      <c r="AI389" s="441">
        <v>0</v>
      </c>
      <c r="AJ389" s="441">
        <v>0</v>
      </c>
      <c r="AK389" s="394">
        <f t="shared" si="44"/>
        <v>0</v>
      </c>
      <c r="AL389" s="441">
        <v>8.7634315251595169E-3</v>
      </c>
      <c r="AM389" s="441">
        <v>3.639983903838837E-3</v>
      </c>
      <c r="AN389" s="441">
        <v>0</v>
      </c>
      <c r="AO389" s="419"/>
      <c r="AP389" s="419"/>
      <c r="AQ389" s="419"/>
    </row>
    <row r="390" spans="1:43" x14ac:dyDescent="0.25">
      <c r="A390" s="395" t="s">
        <v>103</v>
      </c>
      <c r="B390" s="384" t="s">
        <v>104</v>
      </c>
      <c r="C390" s="384" t="s">
        <v>800</v>
      </c>
      <c r="D390" s="384" t="s">
        <v>816</v>
      </c>
      <c r="G390" s="405"/>
      <c r="H390" s="405"/>
      <c r="I390" t="s">
        <v>770</v>
      </c>
      <c r="J390" t="s">
        <v>119</v>
      </c>
      <c r="L390" s="442"/>
      <c r="M390" s="441">
        <v>0</v>
      </c>
      <c r="N390" s="441">
        <v>0</v>
      </c>
      <c r="O390" s="441">
        <v>0</v>
      </c>
      <c r="P390" s="441">
        <v>0</v>
      </c>
      <c r="Q390" s="441">
        <v>0</v>
      </c>
      <c r="R390" s="441">
        <v>0</v>
      </c>
      <c r="S390" s="441">
        <v>2.2445118051093215E-3</v>
      </c>
      <c r="T390" s="441">
        <v>0</v>
      </c>
      <c r="U390" s="441">
        <v>1.4178549549792527E-3</v>
      </c>
      <c r="V390" s="441">
        <v>0</v>
      </c>
      <c r="W390" s="441">
        <v>0</v>
      </c>
      <c r="X390" s="441">
        <v>0</v>
      </c>
      <c r="Y390" s="441">
        <v>0</v>
      </c>
      <c r="Z390" s="441">
        <v>0</v>
      </c>
      <c r="AA390" s="441">
        <v>3.9824292213258897E-5</v>
      </c>
      <c r="AB390" s="441">
        <f t="shared" si="42"/>
        <v>1.9457988548694544E-3</v>
      </c>
      <c r="AC390" s="441">
        <v>1.9457988548694544E-3</v>
      </c>
      <c r="AD390" s="441">
        <v>0</v>
      </c>
      <c r="AE390" s="441">
        <v>0</v>
      </c>
      <c r="AF390" s="441">
        <v>0</v>
      </c>
      <c r="AG390" s="441">
        <v>0</v>
      </c>
      <c r="AH390" s="441">
        <f t="shared" si="43"/>
        <v>0</v>
      </c>
      <c r="AI390" s="441">
        <v>0</v>
      </c>
      <c r="AJ390" s="441">
        <v>0</v>
      </c>
      <c r="AK390" s="394">
        <f t="shared" si="44"/>
        <v>0</v>
      </c>
      <c r="AL390" s="441">
        <v>0</v>
      </c>
      <c r="AM390" s="441">
        <v>0</v>
      </c>
      <c r="AN390" s="441">
        <v>1.045587258173373E-2</v>
      </c>
      <c r="AO390" s="419"/>
      <c r="AP390" s="419"/>
      <c r="AQ390" s="419"/>
    </row>
    <row r="391" spans="1:43" x14ac:dyDescent="0.25">
      <c r="A391" s="395" t="s">
        <v>103</v>
      </c>
      <c r="B391" s="384" t="s">
        <v>104</v>
      </c>
      <c r="C391" s="384" t="s">
        <v>800</v>
      </c>
      <c r="D391" s="384" t="s">
        <v>814</v>
      </c>
      <c r="G391" s="405"/>
      <c r="H391" s="405"/>
      <c r="I391" t="s">
        <v>767</v>
      </c>
      <c r="J391" t="s">
        <v>115</v>
      </c>
      <c r="L391" s="442"/>
      <c r="M391" s="441">
        <v>0</v>
      </c>
      <c r="N391" s="441">
        <v>0</v>
      </c>
      <c r="O391" s="441">
        <v>0</v>
      </c>
      <c r="P391" s="441">
        <v>0</v>
      </c>
      <c r="Q391" s="441">
        <v>3.78048399022601E-3</v>
      </c>
      <c r="R391" s="441">
        <v>0</v>
      </c>
      <c r="S391" s="441">
        <v>0</v>
      </c>
      <c r="T391" s="441">
        <v>0</v>
      </c>
      <c r="U391" s="441">
        <v>0</v>
      </c>
      <c r="V391" s="441">
        <v>0</v>
      </c>
      <c r="W391" s="441">
        <v>0</v>
      </c>
      <c r="X391" s="441">
        <v>0</v>
      </c>
      <c r="Y391" s="441">
        <v>0</v>
      </c>
      <c r="Z391" s="441">
        <v>0</v>
      </c>
      <c r="AA391" s="441">
        <v>3.0120781616915809E-4</v>
      </c>
      <c r="AB391" s="441">
        <f t="shared" si="42"/>
        <v>9.7520092465061276E-4</v>
      </c>
      <c r="AC391" s="441">
        <v>9.7520092465061276E-4</v>
      </c>
      <c r="AD391" s="441">
        <v>0</v>
      </c>
      <c r="AE391" s="441">
        <v>0</v>
      </c>
      <c r="AF391" s="441">
        <v>0</v>
      </c>
      <c r="AG391" s="441">
        <v>0</v>
      </c>
      <c r="AH391" s="441">
        <f t="shared" si="43"/>
        <v>0</v>
      </c>
      <c r="AI391" s="441">
        <v>0</v>
      </c>
      <c r="AJ391" s="441">
        <v>0</v>
      </c>
      <c r="AK391" s="394">
        <f t="shared" si="44"/>
        <v>0</v>
      </c>
      <c r="AL391" s="441">
        <v>0</v>
      </c>
      <c r="AM391" s="441">
        <v>0</v>
      </c>
      <c r="AN391" s="441">
        <v>0</v>
      </c>
      <c r="AO391" s="419"/>
      <c r="AP391" s="419"/>
      <c r="AQ391" s="419"/>
    </row>
    <row r="392" spans="1:43" x14ac:dyDescent="0.25">
      <c r="A392" s="395" t="s">
        <v>103</v>
      </c>
      <c r="B392" s="384" t="s">
        <v>104</v>
      </c>
      <c r="C392" s="384" t="s">
        <v>800</v>
      </c>
      <c r="D392" s="384" t="s">
        <v>818</v>
      </c>
      <c r="G392" s="405"/>
      <c r="H392" s="405"/>
      <c r="I392" t="s">
        <v>772</v>
      </c>
      <c r="J392" t="s">
        <v>139</v>
      </c>
      <c r="L392" s="442"/>
      <c r="M392" s="441">
        <v>0</v>
      </c>
      <c r="N392" s="441">
        <v>0.77536479586936136</v>
      </c>
      <c r="O392" s="441">
        <v>0.15455783322282335</v>
      </c>
      <c r="P392" s="441">
        <v>0</v>
      </c>
      <c r="Q392" s="441">
        <v>0</v>
      </c>
      <c r="R392" s="441">
        <v>0</v>
      </c>
      <c r="S392" s="441">
        <v>0</v>
      </c>
      <c r="T392" s="441">
        <v>0</v>
      </c>
      <c r="U392" s="441">
        <v>0</v>
      </c>
      <c r="V392" s="441">
        <v>0</v>
      </c>
      <c r="W392" s="441">
        <v>0.61695982567649055</v>
      </c>
      <c r="X392" s="441">
        <v>0</v>
      </c>
      <c r="Y392" s="441">
        <v>0.28445650578883097</v>
      </c>
      <c r="Z392" s="441">
        <v>1</v>
      </c>
      <c r="AA392" s="441">
        <v>0.96921981415406133</v>
      </c>
      <c r="AB392" s="441">
        <f t="shared" si="42"/>
        <v>0.8272357414162409</v>
      </c>
      <c r="AC392" s="441">
        <v>0.8272357414162409</v>
      </c>
      <c r="AD392" s="441">
        <v>0</v>
      </c>
      <c r="AE392" s="441">
        <v>0</v>
      </c>
      <c r="AF392" s="441">
        <v>1</v>
      </c>
      <c r="AG392" s="441">
        <v>0.61695982567649055</v>
      </c>
      <c r="AH392" s="441">
        <f t="shared" si="43"/>
        <v>0</v>
      </c>
      <c r="AI392" s="441">
        <v>0</v>
      </c>
      <c r="AJ392" s="441">
        <v>0</v>
      </c>
      <c r="AK392" s="394">
        <f t="shared" si="44"/>
        <v>0</v>
      </c>
      <c r="AL392" s="441">
        <v>0.99123656847484043</v>
      </c>
      <c r="AM392" s="441">
        <v>0.99636001609616121</v>
      </c>
      <c r="AN392" s="441">
        <v>1</v>
      </c>
      <c r="AO392" s="419"/>
      <c r="AP392" s="419"/>
      <c r="AQ392" s="419"/>
    </row>
    <row r="393" spans="1:43" x14ac:dyDescent="0.25">
      <c r="A393" s="395" t="s">
        <v>103</v>
      </c>
      <c r="B393" s="384" t="s">
        <v>104</v>
      </c>
      <c r="C393" s="384" t="s">
        <v>800</v>
      </c>
      <c r="D393" s="384" t="s">
        <v>815</v>
      </c>
      <c r="G393" s="405"/>
      <c r="H393" s="405"/>
      <c r="I393" t="s">
        <v>768</v>
      </c>
      <c r="J393" t="s">
        <v>1701</v>
      </c>
      <c r="L393" s="442"/>
      <c r="M393" s="441">
        <v>0</v>
      </c>
      <c r="N393" s="441">
        <v>0</v>
      </c>
      <c r="O393" s="441">
        <v>0</v>
      </c>
      <c r="P393" s="441">
        <v>0</v>
      </c>
      <c r="Q393" s="441">
        <v>0</v>
      </c>
      <c r="R393" s="441">
        <v>0</v>
      </c>
      <c r="S393" s="441">
        <v>0</v>
      </c>
      <c r="T393" s="441">
        <v>0</v>
      </c>
      <c r="U393" s="441">
        <v>0</v>
      </c>
      <c r="V393" s="441">
        <v>0</v>
      </c>
      <c r="W393" s="441">
        <v>0</v>
      </c>
      <c r="X393" s="441">
        <v>0</v>
      </c>
      <c r="Y393" s="441">
        <v>0</v>
      </c>
      <c r="Z393" s="441">
        <v>0</v>
      </c>
      <c r="AA393" s="441">
        <v>3.5993702901677342E-3</v>
      </c>
      <c r="AB393" s="441">
        <f t="shared" si="42"/>
        <v>0</v>
      </c>
      <c r="AC393" s="441">
        <v>0</v>
      </c>
      <c r="AD393" s="441">
        <v>0</v>
      </c>
      <c r="AE393" s="441">
        <v>0</v>
      </c>
      <c r="AF393" s="441">
        <v>0</v>
      </c>
      <c r="AG393" s="441">
        <v>0</v>
      </c>
      <c r="AH393" s="441">
        <f t="shared" si="43"/>
        <v>0</v>
      </c>
      <c r="AI393" s="441">
        <v>0</v>
      </c>
      <c r="AJ393" s="441">
        <v>0</v>
      </c>
      <c r="AK393" s="394">
        <f t="shared" si="44"/>
        <v>0</v>
      </c>
      <c r="AL393" s="441">
        <v>0</v>
      </c>
      <c r="AM393" s="441">
        <v>0</v>
      </c>
      <c r="AN393" s="441">
        <v>0</v>
      </c>
      <c r="AO393" s="419"/>
      <c r="AP393" s="419"/>
      <c r="AQ393" s="419"/>
    </row>
    <row r="394" spans="1:43" x14ac:dyDescent="0.25">
      <c r="A394" s="395" t="s">
        <v>103</v>
      </c>
      <c r="B394" s="384" t="s">
        <v>104</v>
      </c>
      <c r="C394" s="384" t="s">
        <v>800</v>
      </c>
      <c r="D394" s="384" t="s">
        <v>813</v>
      </c>
      <c r="G394" s="405"/>
      <c r="H394" s="405"/>
      <c r="I394" t="s">
        <v>350</v>
      </c>
      <c r="J394" t="s">
        <v>137</v>
      </c>
      <c r="L394" s="442"/>
      <c r="M394" s="441">
        <v>0</v>
      </c>
      <c r="N394" s="441">
        <v>0</v>
      </c>
      <c r="O394" s="441">
        <v>0</v>
      </c>
      <c r="P394" s="441">
        <v>0</v>
      </c>
      <c r="Q394" s="441">
        <v>0</v>
      </c>
      <c r="R394" s="441">
        <v>0</v>
      </c>
      <c r="S394" s="441">
        <v>0</v>
      </c>
      <c r="T394" s="441">
        <v>0</v>
      </c>
      <c r="U394" s="441">
        <v>0</v>
      </c>
      <c r="V394" s="441">
        <v>0</v>
      </c>
      <c r="W394" s="441">
        <v>0</v>
      </c>
      <c r="X394" s="441">
        <v>0</v>
      </c>
      <c r="Y394" s="441">
        <v>0</v>
      </c>
      <c r="Z394" s="441">
        <v>0</v>
      </c>
      <c r="AA394" s="441">
        <v>0</v>
      </c>
      <c r="AB394" s="441">
        <f t="shared" si="42"/>
        <v>0</v>
      </c>
      <c r="AC394" s="441">
        <v>0</v>
      </c>
      <c r="AD394" s="441">
        <v>0</v>
      </c>
      <c r="AE394" s="441">
        <v>0</v>
      </c>
      <c r="AF394" s="441">
        <v>0</v>
      </c>
      <c r="AG394" s="441">
        <v>0</v>
      </c>
      <c r="AH394" s="441">
        <f t="shared" si="43"/>
        <v>0</v>
      </c>
      <c r="AI394" s="441">
        <v>0</v>
      </c>
      <c r="AJ394" s="441">
        <v>0</v>
      </c>
      <c r="AK394" s="394">
        <f t="shared" si="44"/>
        <v>0</v>
      </c>
      <c r="AL394" s="441">
        <v>0</v>
      </c>
      <c r="AM394" s="441">
        <v>0</v>
      </c>
      <c r="AN394" s="441">
        <v>0</v>
      </c>
      <c r="AO394" s="419"/>
      <c r="AP394" s="419"/>
      <c r="AQ394" s="419"/>
    </row>
    <row r="395" spans="1:43" x14ac:dyDescent="0.25">
      <c r="A395" s="395" t="s">
        <v>103</v>
      </c>
      <c r="B395" s="384" t="s">
        <v>104</v>
      </c>
      <c r="C395" s="384" t="s">
        <v>800</v>
      </c>
      <c r="D395" s="384" t="s">
        <v>813</v>
      </c>
      <c r="G395" s="405"/>
      <c r="H395" s="405"/>
      <c r="I395" t="s">
        <v>350</v>
      </c>
      <c r="J395" t="s">
        <v>126</v>
      </c>
      <c r="L395" s="442"/>
      <c r="M395" s="441">
        <v>0</v>
      </c>
      <c r="N395" s="441">
        <v>0</v>
      </c>
      <c r="O395" s="441">
        <v>0</v>
      </c>
      <c r="P395" s="441">
        <v>0</v>
      </c>
      <c r="Q395" s="441">
        <v>0</v>
      </c>
      <c r="R395" s="441">
        <v>0</v>
      </c>
      <c r="S395" s="441">
        <v>0</v>
      </c>
      <c r="T395" s="441">
        <v>0</v>
      </c>
      <c r="U395" s="441">
        <v>0</v>
      </c>
      <c r="V395" s="441">
        <v>0</v>
      </c>
      <c r="W395" s="441">
        <v>0</v>
      </c>
      <c r="X395" s="441">
        <v>0</v>
      </c>
      <c r="Y395" s="441">
        <v>0</v>
      </c>
      <c r="Z395" s="441">
        <v>0</v>
      </c>
      <c r="AA395" s="441">
        <v>0</v>
      </c>
      <c r="AB395" s="441">
        <f t="shared" si="42"/>
        <v>0</v>
      </c>
      <c r="AC395" s="441">
        <v>0</v>
      </c>
      <c r="AD395" s="441">
        <v>0</v>
      </c>
      <c r="AE395" s="441">
        <v>0</v>
      </c>
      <c r="AF395" s="441">
        <v>0</v>
      </c>
      <c r="AG395" s="441">
        <v>0</v>
      </c>
      <c r="AH395" s="441">
        <f t="shared" si="43"/>
        <v>0</v>
      </c>
      <c r="AI395" s="441">
        <v>0</v>
      </c>
      <c r="AJ395" s="441">
        <v>0</v>
      </c>
      <c r="AK395" s="394">
        <f t="shared" si="44"/>
        <v>0</v>
      </c>
      <c r="AL395" s="441">
        <v>0</v>
      </c>
      <c r="AM395" s="441">
        <v>0</v>
      </c>
      <c r="AN395" s="441">
        <v>0</v>
      </c>
      <c r="AO395" s="419"/>
      <c r="AP395" s="419"/>
      <c r="AQ395" s="419"/>
    </row>
    <row r="396" spans="1:43" x14ac:dyDescent="0.25">
      <c r="A396" s="395" t="s">
        <v>103</v>
      </c>
      <c r="B396" s="384" t="s">
        <v>104</v>
      </c>
      <c r="C396" s="384" t="s">
        <v>800</v>
      </c>
      <c r="D396" s="384" t="s">
        <v>815</v>
      </c>
      <c r="G396" s="405"/>
      <c r="H396" s="405"/>
      <c r="I396" t="s">
        <v>768</v>
      </c>
      <c r="J396" t="s">
        <v>130</v>
      </c>
      <c r="L396" s="442"/>
      <c r="M396" s="441">
        <v>0</v>
      </c>
      <c r="N396" s="441">
        <v>0</v>
      </c>
      <c r="O396" s="441">
        <v>0</v>
      </c>
      <c r="P396" s="441">
        <v>0</v>
      </c>
      <c r="Q396" s="441">
        <v>0</v>
      </c>
      <c r="R396" s="441">
        <v>1</v>
      </c>
      <c r="S396" s="441">
        <v>0</v>
      </c>
      <c r="T396" s="441">
        <v>0</v>
      </c>
      <c r="U396" s="441">
        <v>0</v>
      </c>
      <c r="V396" s="441">
        <v>0</v>
      </c>
      <c r="W396" s="441">
        <v>0</v>
      </c>
      <c r="X396" s="441">
        <v>0</v>
      </c>
      <c r="Y396" s="441">
        <v>1</v>
      </c>
      <c r="Z396" s="441">
        <v>0</v>
      </c>
      <c r="AA396" s="441">
        <v>0.99640062970983223</v>
      </c>
      <c r="AB396" s="441">
        <f t="shared" si="42"/>
        <v>1</v>
      </c>
      <c r="AC396" s="441">
        <v>1</v>
      </c>
      <c r="AD396" s="441">
        <v>0</v>
      </c>
      <c r="AE396" s="441">
        <v>0</v>
      </c>
      <c r="AF396" s="441">
        <v>0</v>
      </c>
      <c r="AG396" s="441">
        <v>0</v>
      </c>
      <c r="AH396" s="441">
        <f t="shared" si="43"/>
        <v>1</v>
      </c>
      <c r="AI396" s="441">
        <v>0</v>
      </c>
      <c r="AJ396" s="441">
        <v>0</v>
      </c>
      <c r="AK396" s="394">
        <f t="shared" si="44"/>
        <v>0</v>
      </c>
      <c r="AL396" s="441">
        <v>1</v>
      </c>
      <c r="AM396" s="441">
        <v>1</v>
      </c>
      <c r="AN396" s="441">
        <v>1</v>
      </c>
      <c r="AO396" s="419"/>
      <c r="AP396" s="419"/>
      <c r="AQ396" s="419"/>
    </row>
    <row r="397" spans="1:43" x14ac:dyDescent="0.25">
      <c r="A397" s="395" t="s">
        <v>103</v>
      </c>
      <c r="B397" s="384" t="s">
        <v>104</v>
      </c>
      <c r="C397" s="384" t="s">
        <v>800</v>
      </c>
      <c r="D397" s="384" t="s">
        <v>814</v>
      </c>
      <c r="G397" s="405"/>
      <c r="H397" s="405"/>
      <c r="I397" t="s">
        <v>767</v>
      </c>
      <c r="J397" t="s">
        <v>132</v>
      </c>
      <c r="L397" s="442"/>
      <c r="M397" s="441">
        <v>0</v>
      </c>
      <c r="N397" s="441">
        <v>2.253002537937546E-2</v>
      </c>
      <c r="O397" s="441">
        <v>0</v>
      </c>
      <c r="P397" s="441">
        <v>0</v>
      </c>
      <c r="Q397" s="441">
        <v>7.8606816807532842E-2</v>
      </c>
      <c r="R397" s="441">
        <v>1.0885051020294327E-2</v>
      </c>
      <c r="S397" s="441">
        <v>0.13511663349361738</v>
      </c>
      <c r="T397" s="441">
        <v>0</v>
      </c>
      <c r="U397" s="441">
        <v>7.8481852777614242E-2</v>
      </c>
      <c r="V397" s="441">
        <v>0</v>
      </c>
      <c r="W397" s="441">
        <v>1.9606305844928881E-2</v>
      </c>
      <c r="X397" s="441">
        <v>0.9976875048176983</v>
      </c>
      <c r="Y397" s="441">
        <v>2.3674341468874392E-2</v>
      </c>
      <c r="Z397" s="441">
        <v>0</v>
      </c>
      <c r="AA397" s="441">
        <v>8.7535227729794683E-3</v>
      </c>
      <c r="AB397" s="441">
        <f t="shared" si="42"/>
        <v>2.2027979706591278E-2</v>
      </c>
      <c r="AC397" s="441">
        <v>2.2027979706591278E-2</v>
      </c>
      <c r="AD397" s="441">
        <v>0</v>
      </c>
      <c r="AE397" s="441">
        <v>0</v>
      </c>
      <c r="AF397" s="441">
        <v>0.17695693936118218</v>
      </c>
      <c r="AG397" s="441">
        <v>1.9606305844928881E-2</v>
      </c>
      <c r="AH397" s="441">
        <f t="shared" si="43"/>
        <v>1.0885051020294327E-2</v>
      </c>
      <c r="AI397" s="441">
        <v>0</v>
      </c>
      <c r="AJ397" s="441">
        <v>2.7756979700719604E-3</v>
      </c>
      <c r="AK397" s="394">
        <f t="shared" si="44"/>
        <v>0</v>
      </c>
      <c r="AL397" s="441">
        <v>2.5886103401703852E-3</v>
      </c>
      <c r="AM397" s="441">
        <v>2.7241040649219072E-2</v>
      </c>
      <c r="AN397" s="441">
        <v>4.256718669593383E-3</v>
      </c>
      <c r="AO397" s="419"/>
      <c r="AP397" s="419"/>
      <c r="AQ397" s="419"/>
    </row>
    <row r="398" spans="1:43" x14ac:dyDescent="0.25">
      <c r="A398" s="395" t="s">
        <v>103</v>
      </c>
      <c r="B398" s="384" t="s">
        <v>104</v>
      </c>
      <c r="C398" s="384" t="s">
        <v>802</v>
      </c>
      <c r="D398" s="384" t="s">
        <v>823</v>
      </c>
      <c r="E398" s="405" t="s">
        <v>103</v>
      </c>
      <c r="F398" s="405" t="s">
        <v>104</v>
      </c>
      <c r="G398" s="405" t="s">
        <v>803</v>
      </c>
      <c r="H398" s="405"/>
      <c r="I398" t="s">
        <v>331</v>
      </c>
      <c r="J398" t="s">
        <v>120</v>
      </c>
      <c r="K398" s="210"/>
      <c r="L398" s="443"/>
      <c r="M398" s="441">
        <v>0</v>
      </c>
      <c r="N398" s="441">
        <v>0</v>
      </c>
      <c r="O398" s="441">
        <v>0</v>
      </c>
      <c r="P398" s="441">
        <v>0</v>
      </c>
      <c r="Q398" s="441">
        <v>0</v>
      </c>
      <c r="R398" s="441">
        <v>0</v>
      </c>
      <c r="S398" s="441">
        <v>0</v>
      </c>
      <c r="T398" s="441">
        <v>0</v>
      </c>
      <c r="U398" s="441">
        <v>0</v>
      </c>
      <c r="V398" s="441">
        <v>0</v>
      </c>
      <c r="W398" s="441">
        <v>0</v>
      </c>
      <c r="X398" s="441">
        <v>0</v>
      </c>
      <c r="Y398" s="441">
        <v>0</v>
      </c>
      <c r="Z398" s="441">
        <v>0</v>
      </c>
      <c r="AA398" s="441">
        <v>0</v>
      </c>
      <c r="AB398" s="441">
        <f t="shared" si="42"/>
        <v>0</v>
      </c>
      <c r="AC398" s="441">
        <v>0</v>
      </c>
      <c r="AD398" s="441">
        <v>0</v>
      </c>
      <c r="AE398" s="441">
        <v>0</v>
      </c>
      <c r="AF398" s="441">
        <v>0</v>
      </c>
      <c r="AG398" s="441">
        <v>0</v>
      </c>
      <c r="AH398" s="441">
        <f t="shared" si="43"/>
        <v>0</v>
      </c>
      <c r="AI398" s="441">
        <v>0</v>
      </c>
      <c r="AJ398" s="441">
        <v>0</v>
      </c>
      <c r="AK398" s="394">
        <f t="shared" si="44"/>
        <v>0</v>
      </c>
      <c r="AL398" s="441">
        <v>0</v>
      </c>
      <c r="AM398" s="441">
        <v>0</v>
      </c>
      <c r="AN398" s="441">
        <v>0</v>
      </c>
      <c r="AO398" s="419"/>
      <c r="AP398" s="419"/>
      <c r="AQ398" s="419"/>
    </row>
    <row r="399" spans="1:43" x14ac:dyDescent="0.25">
      <c r="A399" s="395" t="s">
        <v>103</v>
      </c>
      <c r="B399" s="384" t="s">
        <v>104</v>
      </c>
      <c r="C399" s="384" t="s">
        <v>802</v>
      </c>
      <c r="D399" s="384" t="s">
        <v>820</v>
      </c>
      <c r="E399" s="405"/>
      <c r="F399" s="405"/>
      <c r="G399" s="405"/>
      <c r="H399" s="405"/>
      <c r="I399" t="s">
        <v>767</v>
      </c>
      <c r="J399" t="s">
        <v>128</v>
      </c>
      <c r="L399" s="442"/>
      <c r="M399" s="441">
        <v>0</v>
      </c>
      <c r="N399" s="441">
        <v>0.97746997462062457</v>
      </c>
      <c r="O399" s="441">
        <v>0</v>
      </c>
      <c r="P399" s="441">
        <v>1</v>
      </c>
      <c r="Q399" s="441">
        <v>0.91761269920224109</v>
      </c>
      <c r="R399" s="441">
        <v>0.98911494897970575</v>
      </c>
      <c r="S399" s="441">
        <v>0.86488336650638253</v>
      </c>
      <c r="T399" s="441">
        <v>1</v>
      </c>
      <c r="U399" s="441">
        <v>0.92151814722238579</v>
      </c>
      <c r="V399" s="441">
        <v>1</v>
      </c>
      <c r="W399" s="441">
        <v>0.98039369415507116</v>
      </c>
      <c r="X399" s="441">
        <v>2.3124951823017032E-3</v>
      </c>
      <c r="Y399" s="441">
        <v>0.97632565853112563</v>
      </c>
      <c r="Z399" s="441">
        <v>1</v>
      </c>
      <c r="AA399" s="441">
        <v>0.99094526941085137</v>
      </c>
      <c r="AB399" s="441">
        <f t="shared" si="42"/>
        <v>0.97699681936875815</v>
      </c>
      <c r="AC399" s="441">
        <v>0.97699681936875815</v>
      </c>
      <c r="AD399" s="441">
        <v>0</v>
      </c>
      <c r="AE399" s="441">
        <v>0</v>
      </c>
      <c r="AF399" s="441">
        <v>0.82304306063881782</v>
      </c>
      <c r="AG399" s="441">
        <v>0.98039369415507116</v>
      </c>
      <c r="AH399" s="441">
        <f t="shared" si="43"/>
        <v>0.98911494897970575</v>
      </c>
      <c r="AI399" s="441">
        <v>1</v>
      </c>
      <c r="AJ399" s="441">
        <v>0.99722430202992818</v>
      </c>
      <c r="AK399" s="394">
        <f t="shared" si="44"/>
        <v>0</v>
      </c>
      <c r="AL399" s="441">
        <v>0.99741138965982956</v>
      </c>
      <c r="AM399" s="441">
        <v>0.97275895935078094</v>
      </c>
      <c r="AN399" s="441">
        <v>0.99574328133040668</v>
      </c>
      <c r="AO399" s="419"/>
      <c r="AP399" s="419"/>
      <c r="AQ399" s="419"/>
    </row>
    <row r="400" spans="1:43" x14ac:dyDescent="0.25">
      <c r="A400" s="395" t="s">
        <v>103</v>
      </c>
      <c r="B400" s="384" t="s">
        <v>104</v>
      </c>
      <c r="C400" s="384" t="s">
        <v>802</v>
      </c>
      <c r="D400" s="384" t="s">
        <v>822</v>
      </c>
      <c r="E400" s="405"/>
      <c r="F400" s="405"/>
      <c r="G400" s="405"/>
      <c r="H400" s="405"/>
      <c r="I400" t="s">
        <v>770</v>
      </c>
      <c r="J400" t="s">
        <v>134</v>
      </c>
      <c r="L400" s="442"/>
      <c r="M400" s="441">
        <v>1</v>
      </c>
      <c r="N400" s="441">
        <v>1</v>
      </c>
      <c r="O400" s="441">
        <v>1</v>
      </c>
      <c r="P400" s="441">
        <v>1</v>
      </c>
      <c r="Q400" s="441">
        <v>1</v>
      </c>
      <c r="R400" s="441">
        <v>1</v>
      </c>
      <c r="S400" s="441">
        <v>0.99775548819489079</v>
      </c>
      <c r="T400" s="441">
        <v>1</v>
      </c>
      <c r="U400" s="441">
        <v>0.99858214504502074</v>
      </c>
      <c r="V400" s="441">
        <v>1</v>
      </c>
      <c r="W400" s="441">
        <v>1</v>
      </c>
      <c r="X400" s="441">
        <v>1</v>
      </c>
      <c r="Y400" s="441">
        <v>1</v>
      </c>
      <c r="Z400" s="441">
        <v>1</v>
      </c>
      <c r="AA400" s="441">
        <v>0.99996017570778672</v>
      </c>
      <c r="AB400" s="441">
        <f t="shared" si="42"/>
        <v>0.99805420114513066</v>
      </c>
      <c r="AC400" s="441">
        <v>0.99805420114513066</v>
      </c>
      <c r="AD400" s="441">
        <v>0</v>
      </c>
      <c r="AE400" s="441">
        <v>0</v>
      </c>
      <c r="AF400" s="441">
        <v>1</v>
      </c>
      <c r="AG400" s="441">
        <v>1</v>
      </c>
      <c r="AH400" s="441">
        <f t="shared" si="43"/>
        <v>1</v>
      </c>
      <c r="AI400" s="441">
        <v>1</v>
      </c>
      <c r="AJ400" s="441">
        <v>1</v>
      </c>
      <c r="AK400" s="394">
        <f t="shared" si="44"/>
        <v>1</v>
      </c>
      <c r="AL400" s="441">
        <v>1</v>
      </c>
      <c r="AM400" s="441">
        <v>1</v>
      </c>
      <c r="AN400" s="441">
        <v>0.98954412741826636</v>
      </c>
      <c r="AO400" s="419"/>
      <c r="AP400" s="419"/>
      <c r="AQ400" s="419"/>
    </row>
    <row r="401" spans="1:43" x14ac:dyDescent="0.25">
      <c r="A401" s="395" t="s">
        <v>103</v>
      </c>
      <c r="B401" s="384" t="s">
        <v>104</v>
      </c>
      <c r="C401" s="384" t="s">
        <v>802</v>
      </c>
      <c r="D401" s="384" t="s">
        <v>824</v>
      </c>
      <c r="G401" s="405"/>
      <c r="H401" s="405"/>
      <c r="I401" t="s">
        <v>772</v>
      </c>
      <c r="J401" t="s">
        <v>117</v>
      </c>
      <c r="L401" s="442"/>
      <c r="M401" s="441">
        <v>0</v>
      </c>
      <c r="N401" s="441">
        <v>0.22463520413063867</v>
      </c>
      <c r="O401" s="441">
        <v>0.84544216677717665</v>
      </c>
      <c r="P401" s="441">
        <v>1</v>
      </c>
      <c r="Q401" s="441">
        <v>1</v>
      </c>
      <c r="R401" s="441">
        <v>1</v>
      </c>
      <c r="S401" s="441">
        <v>0</v>
      </c>
      <c r="T401" s="441">
        <v>0</v>
      </c>
      <c r="U401" s="441">
        <v>0</v>
      </c>
      <c r="V401" s="441">
        <v>1</v>
      </c>
      <c r="W401" s="441">
        <v>0.38304017432350945</v>
      </c>
      <c r="X401" s="441">
        <v>1</v>
      </c>
      <c r="Y401" s="441">
        <v>0.71554349421116903</v>
      </c>
      <c r="Z401" s="441">
        <v>0</v>
      </c>
      <c r="AA401" s="441">
        <v>3.0780185845938727E-2</v>
      </c>
      <c r="AB401" s="441">
        <f t="shared" si="42"/>
        <v>0.17276425858375916</v>
      </c>
      <c r="AC401" s="441">
        <v>0.17276425858375916</v>
      </c>
      <c r="AD401" s="441">
        <v>0</v>
      </c>
      <c r="AE401" s="441">
        <v>0</v>
      </c>
      <c r="AF401" s="441">
        <v>0</v>
      </c>
      <c r="AG401" s="441">
        <v>0.38304017432350945</v>
      </c>
      <c r="AH401" s="441">
        <f t="shared" si="43"/>
        <v>1</v>
      </c>
      <c r="AI401" s="441">
        <v>0</v>
      </c>
      <c r="AJ401" s="441">
        <v>0</v>
      </c>
      <c r="AK401" s="394">
        <f t="shared" si="44"/>
        <v>0</v>
      </c>
      <c r="AL401" s="441">
        <v>8.7634315251595169E-3</v>
      </c>
      <c r="AM401" s="441">
        <v>3.639983903838837E-3</v>
      </c>
      <c r="AN401" s="441">
        <v>0</v>
      </c>
      <c r="AO401" s="419"/>
      <c r="AP401" s="419"/>
      <c r="AQ401" s="419"/>
    </row>
    <row r="402" spans="1:43" x14ac:dyDescent="0.25">
      <c r="A402" s="395" t="s">
        <v>103</v>
      </c>
      <c r="B402" s="384" t="s">
        <v>104</v>
      </c>
      <c r="C402" s="384" t="s">
        <v>802</v>
      </c>
      <c r="D402" s="384" t="s">
        <v>822</v>
      </c>
      <c r="G402" s="405"/>
      <c r="H402" s="405"/>
      <c r="I402" t="s">
        <v>770</v>
      </c>
      <c r="J402" t="s">
        <v>119</v>
      </c>
      <c r="L402" s="442"/>
      <c r="M402" s="441">
        <v>0</v>
      </c>
      <c r="N402" s="441">
        <v>0</v>
      </c>
      <c r="O402" s="441">
        <v>0</v>
      </c>
      <c r="P402" s="441">
        <v>0</v>
      </c>
      <c r="Q402" s="441">
        <v>0</v>
      </c>
      <c r="R402" s="441">
        <v>0</v>
      </c>
      <c r="S402" s="441">
        <v>2.2445118051093215E-3</v>
      </c>
      <c r="T402" s="441">
        <v>0</v>
      </c>
      <c r="U402" s="441">
        <v>1.4178549549792527E-3</v>
      </c>
      <c r="V402" s="441">
        <v>0</v>
      </c>
      <c r="W402" s="441">
        <v>0</v>
      </c>
      <c r="X402" s="441">
        <v>0</v>
      </c>
      <c r="Y402" s="441">
        <v>0</v>
      </c>
      <c r="Z402" s="441">
        <v>0</v>
      </c>
      <c r="AA402" s="441">
        <v>3.9824292213258897E-5</v>
      </c>
      <c r="AB402" s="441">
        <f t="shared" si="42"/>
        <v>1.9457988548694544E-3</v>
      </c>
      <c r="AC402" s="441">
        <v>1.9457988548694544E-3</v>
      </c>
      <c r="AD402" s="441">
        <v>0</v>
      </c>
      <c r="AE402" s="441">
        <v>0</v>
      </c>
      <c r="AF402" s="441">
        <v>0</v>
      </c>
      <c r="AG402" s="441">
        <v>0</v>
      </c>
      <c r="AH402" s="441">
        <f t="shared" si="43"/>
        <v>0</v>
      </c>
      <c r="AI402" s="441">
        <v>0</v>
      </c>
      <c r="AJ402" s="441">
        <v>0</v>
      </c>
      <c r="AK402" s="394">
        <f t="shared" si="44"/>
        <v>0</v>
      </c>
      <c r="AL402" s="441">
        <v>0</v>
      </c>
      <c r="AM402" s="441">
        <v>0</v>
      </c>
      <c r="AN402" s="441">
        <v>1.045587258173373E-2</v>
      </c>
      <c r="AO402" s="419"/>
      <c r="AP402" s="419"/>
      <c r="AQ402" s="419"/>
    </row>
    <row r="403" spans="1:43" x14ac:dyDescent="0.25">
      <c r="A403" s="395" t="s">
        <v>103</v>
      </c>
      <c r="B403" s="384" t="s">
        <v>104</v>
      </c>
      <c r="C403" s="384" t="s">
        <v>802</v>
      </c>
      <c r="D403" s="384" t="s">
        <v>820</v>
      </c>
      <c r="G403" s="405"/>
      <c r="H403" s="405"/>
      <c r="I403" t="s">
        <v>767</v>
      </c>
      <c r="J403" t="s">
        <v>115</v>
      </c>
      <c r="L403" s="442"/>
      <c r="M403" s="441">
        <v>0</v>
      </c>
      <c r="N403" s="441">
        <v>0</v>
      </c>
      <c r="O403" s="441">
        <v>0</v>
      </c>
      <c r="P403" s="441">
        <v>0</v>
      </c>
      <c r="Q403" s="441">
        <v>3.78048399022601E-3</v>
      </c>
      <c r="R403" s="441">
        <v>0</v>
      </c>
      <c r="S403" s="441">
        <v>0</v>
      </c>
      <c r="T403" s="441">
        <v>0</v>
      </c>
      <c r="U403" s="441">
        <v>0</v>
      </c>
      <c r="V403" s="441">
        <v>0</v>
      </c>
      <c r="W403" s="441">
        <v>0</v>
      </c>
      <c r="X403" s="441">
        <v>0</v>
      </c>
      <c r="Y403" s="441">
        <v>0</v>
      </c>
      <c r="Z403" s="441">
        <v>0</v>
      </c>
      <c r="AA403" s="441">
        <v>3.0120781616915809E-4</v>
      </c>
      <c r="AB403" s="441">
        <f t="shared" si="42"/>
        <v>9.7520092465061276E-4</v>
      </c>
      <c r="AC403" s="441">
        <v>9.7520092465061276E-4</v>
      </c>
      <c r="AD403" s="441">
        <v>0</v>
      </c>
      <c r="AE403" s="441">
        <v>0</v>
      </c>
      <c r="AF403" s="441">
        <v>0</v>
      </c>
      <c r="AG403" s="441">
        <v>0</v>
      </c>
      <c r="AH403" s="441">
        <f t="shared" si="43"/>
        <v>0</v>
      </c>
      <c r="AI403" s="441">
        <v>0</v>
      </c>
      <c r="AJ403" s="441">
        <v>0</v>
      </c>
      <c r="AK403" s="394">
        <f t="shared" si="44"/>
        <v>0</v>
      </c>
      <c r="AL403" s="441">
        <v>0</v>
      </c>
      <c r="AM403" s="441">
        <v>0</v>
      </c>
      <c r="AN403" s="441">
        <v>0</v>
      </c>
      <c r="AO403" s="419"/>
      <c r="AP403" s="419"/>
      <c r="AQ403" s="419"/>
    </row>
    <row r="404" spans="1:43" x14ac:dyDescent="0.25">
      <c r="A404" s="395" t="s">
        <v>103</v>
      </c>
      <c r="B404" s="384" t="s">
        <v>104</v>
      </c>
      <c r="C404" s="384" t="s">
        <v>802</v>
      </c>
      <c r="D404" s="384" t="s">
        <v>824</v>
      </c>
      <c r="G404" s="405"/>
      <c r="H404" s="405"/>
      <c r="I404" t="s">
        <v>772</v>
      </c>
      <c r="J404" t="s">
        <v>139</v>
      </c>
      <c r="L404" s="442"/>
      <c r="M404" s="441">
        <v>0</v>
      </c>
      <c r="N404" s="441">
        <v>0.77536479586936136</v>
      </c>
      <c r="O404" s="441">
        <v>0.15455783322282335</v>
      </c>
      <c r="P404" s="441">
        <v>0</v>
      </c>
      <c r="Q404" s="441">
        <v>0</v>
      </c>
      <c r="R404" s="441">
        <v>0</v>
      </c>
      <c r="S404" s="441">
        <v>0</v>
      </c>
      <c r="T404" s="441">
        <v>0</v>
      </c>
      <c r="U404" s="441">
        <v>0</v>
      </c>
      <c r="V404" s="441">
        <v>0</v>
      </c>
      <c r="W404" s="441">
        <v>0.61695982567649055</v>
      </c>
      <c r="X404" s="441">
        <v>0</v>
      </c>
      <c r="Y404" s="441">
        <v>0.28445650578883097</v>
      </c>
      <c r="Z404" s="441">
        <v>1</v>
      </c>
      <c r="AA404" s="441">
        <v>0.96921981415406133</v>
      </c>
      <c r="AB404" s="441">
        <f t="shared" si="42"/>
        <v>0.8272357414162409</v>
      </c>
      <c r="AC404" s="441">
        <v>0.8272357414162409</v>
      </c>
      <c r="AD404" s="441">
        <v>0</v>
      </c>
      <c r="AE404" s="441">
        <v>0</v>
      </c>
      <c r="AF404" s="441">
        <v>1</v>
      </c>
      <c r="AG404" s="441">
        <v>0.61695982567649055</v>
      </c>
      <c r="AH404" s="441">
        <f t="shared" si="43"/>
        <v>0</v>
      </c>
      <c r="AI404" s="441">
        <v>0</v>
      </c>
      <c r="AJ404" s="441">
        <v>0</v>
      </c>
      <c r="AK404" s="394">
        <f t="shared" si="44"/>
        <v>0</v>
      </c>
      <c r="AL404" s="441">
        <v>0.99123656847484043</v>
      </c>
      <c r="AM404" s="441">
        <v>0.99636001609616121</v>
      </c>
      <c r="AN404" s="441">
        <v>1</v>
      </c>
      <c r="AO404" s="419"/>
      <c r="AP404" s="419"/>
      <c r="AQ404" s="419"/>
    </row>
    <row r="405" spans="1:43" x14ac:dyDescent="0.25">
      <c r="A405" s="395" t="s">
        <v>103</v>
      </c>
      <c r="B405" s="384" t="s">
        <v>104</v>
      </c>
      <c r="C405" s="384" t="s">
        <v>802</v>
      </c>
      <c r="D405" s="384" t="s">
        <v>821</v>
      </c>
      <c r="G405" s="405"/>
      <c r="H405" s="405"/>
      <c r="I405" t="s">
        <v>768</v>
      </c>
      <c r="J405" t="s">
        <v>1701</v>
      </c>
      <c r="L405" s="442"/>
      <c r="M405" s="441">
        <v>0</v>
      </c>
      <c r="N405" s="441">
        <v>0</v>
      </c>
      <c r="O405" s="441">
        <v>0</v>
      </c>
      <c r="P405" s="441">
        <v>0</v>
      </c>
      <c r="Q405" s="441">
        <v>0</v>
      </c>
      <c r="R405" s="441">
        <v>0</v>
      </c>
      <c r="S405" s="441">
        <v>0</v>
      </c>
      <c r="T405" s="441">
        <v>0</v>
      </c>
      <c r="U405" s="441">
        <v>0</v>
      </c>
      <c r="V405" s="441">
        <v>0</v>
      </c>
      <c r="W405" s="441">
        <v>0</v>
      </c>
      <c r="X405" s="441">
        <v>0</v>
      </c>
      <c r="Y405" s="441">
        <v>0</v>
      </c>
      <c r="Z405" s="441">
        <v>0</v>
      </c>
      <c r="AA405" s="441">
        <v>3.5993702901677342E-3</v>
      </c>
      <c r="AB405" s="441">
        <f t="shared" si="42"/>
        <v>0</v>
      </c>
      <c r="AC405" s="441">
        <v>0</v>
      </c>
      <c r="AD405" s="441">
        <v>0</v>
      </c>
      <c r="AE405" s="441">
        <v>0</v>
      </c>
      <c r="AF405" s="441">
        <v>0</v>
      </c>
      <c r="AG405" s="441">
        <v>0</v>
      </c>
      <c r="AH405" s="441">
        <f t="shared" si="43"/>
        <v>0</v>
      </c>
      <c r="AI405" s="441">
        <v>0</v>
      </c>
      <c r="AJ405" s="441">
        <v>0</v>
      </c>
      <c r="AK405" s="394">
        <f t="shared" si="44"/>
        <v>0</v>
      </c>
      <c r="AL405" s="441">
        <v>0</v>
      </c>
      <c r="AM405" s="441">
        <v>0</v>
      </c>
      <c r="AN405" s="441">
        <v>0</v>
      </c>
      <c r="AO405" s="419"/>
      <c r="AP405" s="419"/>
      <c r="AQ405" s="419"/>
    </row>
    <row r="406" spans="1:43" x14ac:dyDescent="0.25">
      <c r="A406" s="395" t="s">
        <v>103</v>
      </c>
      <c r="B406" s="384" t="s">
        <v>104</v>
      </c>
      <c r="C406" s="384" t="s">
        <v>802</v>
      </c>
      <c r="D406" s="384" t="s">
        <v>819</v>
      </c>
      <c r="G406" s="405"/>
      <c r="H406" s="405"/>
      <c r="I406" t="s">
        <v>350</v>
      </c>
      <c r="J406" t="s">
        <v>137</v>
      </c>
      <c r="L406" s="442"/>
      <c r="M406" s="441">
        <v>0</v>
      </c>
      <c r="N406" s="441">
        <v>0</v>
      </c>
      <c r="O406" s="441">
        <v>0</v>
      </c>
      <c r="P406" s="441">
        <v>0</v>
      </c>
      <c r="Q406" s="441">
        <v>0</v>
      </c>
      <c r="R406" s="441">
        <v>0</v>
      </c>
      <c r="S406" s="441">
        <v>0</v>
      </c>
      <c r="T406" s="441">
        <v>0</v>
      </c>
      <c r="U406" s="441">
        <v>0</v>
      </c>
      <c r="V406" s="441">
        <v>0</v>
      </c>
      <c r="W406" s="441">
        <v>0</v>
      </c>
      <c r="X406" s="441">
        <v>0</v>
      </c>
      <c r="Y406" s="441">
        <v>0</v>
      </c>
      <c r="Z406" s="441">
        <v>0</v>
      </c>
      <c r="AA406" s="441">
        <v>0</v>
      </c>
      <c r="AB406" s="441">
        <f t="shared" si="42"/>
        <v>0</v>
      </c>
      <c r="AC406" s="441">
        <v>0</v>
      </c>
      <c r="AD406" s="441">
        <v>0</v>
      </c>
      <c r="AE406" s="441">
        <v>0</v>
      </c>
      <c r="AF406" s="441">
        <v>0</v>
      </c>
      <c r="AG406" s="441">
        <v>0</v>
      </c>
      <c r="AH406" s="441">
        <f t="shared" si="43"/>
        <v>0</v>
      </c>
      <c r="AI406" s="441">
        <v>0</v>
      </c>
      <c r="AJ406" s="441">
        <v>0</v>
      </c>
      <c r="AK406" s="394">
        <f t="shared" si="44"/>
        <v>0</v>
      </c>
      <c r="AL406" s="441">
        <v>0</v>
      </c>
      <c r="AM406" s="441">
        <v>0</v>
      </c>
      <c r="AN406" s="441">
        <v>0</v>
      </c>
      <c r="AO406" s="419"/>
      <c r="AP406" s="419"/>
      <c r="AQ406" s="419"/>
    </row>
    <row r="407" spans="1:43" x14ac:dyDescent="0.25">
      <c r="A407" s="395" t="s">
        <v>103</v>
      </c>
      <c r="B407" s="384" t="s">
        <v>104</v>
      </c>
      <c r="C407" s="384" t="s">
        <v>802</v>
      </c>
      <c r="D407" s="384" t="s">
        <v>819</v>
      </c>
      <c r="G407" s="405"/>
      <c r="H407" s="405"/>
      <c r="I407" t="s">
        <v>350</v>
      </c>
      <c r="J407" t="s">
        <v>126</v>
      </c>
      <c r="L407" s="442"/>
      <c r="M407" s="441">
        <v>0</v>
      </c>
      <c r="N407" s="441">
        <v>0</v>
      </c>
      <c r="O407" s="441">
        <v>0</v>
      </c>
      <c r="P407" s="441">
        <v>0</v>
      </c>
      <c r="Q407" s="441">
        <v>0</v>
      </c>
      <c r="R407" s="441">
        <v>0</v>
      </c>
      <c r="S407" s="441">
        <v>0</v>
      </c>
      <c r="T407" s="441">
        <v>0</v>
      </c>
      <c r="U407" s="441">
        <v>0</v>
      </c>
      <c r="V407" s="441">
        <v>0</v>
      </c>
      <c r="W407" s="441">
        <v>0</v>
      </c>
      <c r="X407" s="441">
        <v>0</v>
      </c>
      <c r="Y407" s="441">
        <v>0</v>
      </c>
      <c r="Z407" s="441">
        <v>0</v>
      </c>
      <c r="AA407" s="441">
        <v>0</v>
      </c>
      <c r="AB407" s="441">
        <f t="shared" si="42"/>
        <v>0</v>
      </c>
      <c r="AC407" s="441">
        <v>0</v>
      </c>
      <c r="AD407" s="441">
        <v>0</v>
      </c>
      <c r="AE407" s="441">
        <v>0</v>
      </c>
      <c r="AF407" s="441">
        <v>0</v>
      </c>
      <c r="AG407" s="441">
        <v>0</v>
      </c>
      <c r="AH407" s="441">
        <f t="shared" si="43"/>
        <v>0</v>
      </c>
      <c r="AI407" s="441">
        <v>0</v>
      </c>
      <c r="AJ407" s="441">
        <v>0</v>
      </c>
      <c r="AK407" s="394">
        <f t="shared" si="44"/>
        <v>0</v>
      </c>
      <c r="AL407" s="441">
        <v>0</v>
      </c>
      <c r="AM407" s="441">
        <v>0</v>
      </c>
      <c r="AN407" s="441">
        <v>0</v>
      </c>
      <c r="AO407" s="419"/>
      <c r="AP407" s="419"/>
      <c r="AQ407" s="419"/>
    </row>
    <row r="408" spans="1:43" x14ac:dyDescent="0.25">
      <c r="A408" s="395" t="s">
        <v>103</v>
      </c>
      <c r="B408" s="384" t="s">
        <v>104</v>
      </c>
      <c r="C408" s="384" t="s">
        <v>802</v>
      </c>
      <c r="D408" s="384" t="s">
        <v>821</v>
      </c>
      <c r="G408" s="405"/>
      <c r="H408" s="405"/>
      <c r="I408" t="s">
        <v>768</v>
      </c>
      <c r="J408" t="s">
        <v>130</v>
      </c>
      <c r="L408" s="442"/>
      <c r="M408" s="441">
        <v>0</v>
      </c>
      <c r="N408" s="441">
        <v>0</v>
      </c>
      <c r="O408" s="441">
        <v>0</v>
      </c>
      <c r="P408" s="441">
        <v>0</v>
      </c>
      <c r="Q408" s="441">
        <v>0</v>
      </c>
      <c r="R408" s="441">
        <v>1</v>
      </c>
      <c r="S408" s="441">
        <v>0</v>
      </c>
      <c r="T408" s="441">
        <v>0</v>
      </c>
      <c r="U408" s="441">
        <v>0</v>
      </c>
      <c r="V408" s="441">
        <v>0</v>
      </c>
      <c r="W408" s="441">
        <v>0</v>
      </c>
      <c r="X408" s="441">
        <v>0</v>
      </c>
      <c r="Y408" s="441">
        <v>1</v>
      </c>
      <c r="Z408" s="441">
        <v>0</v>
      </c>
      <c r="AA408" s="441">
        <v>0.99640062970983223</v>
      </c>
      <c r="AB408" s="441">
        <f t="shared" si="42"/>
        <v>1</v>
      </c>
      <c r="AC408" s="441">
        <v>1</v>
      </c>
      <c r="AD408" s="441">
        <v>0</v>
      </c>
      <c r="AE408" s="441">
        <v>0</v>
      </c>
      <c r="AF408" s="441">
        <v>0</v>
      </c>
      <c r="AG408" s="441">
        <v>0</v>
      </c>
      <c r="AH408" s="441">
        <f t="shared" si="43"/>
        <v>1</v>
      </c>
      <c r="AI408" s="441">
        <v>0</v>
      </c>
      <c r="AJ408" s="441">
        <v>0</v>
      </c>
      <c r="AK408" s="394">
        <f t="shared" si="44"/>
        <v>0</v>
      </c>
      <c r="AL408" s="441">
        <v>1</v>
      </c>
      <c r="AM408" s="441">
        <v>1</v>
      </c>
      <c r="AN408" s="441">
        <v>1</v>
      </c>
      <c r="AO408" s="419"/>
      <c r="AP408" s="419"/>
      <c r="AQ408" s="419"/>
    </row>
    <row r="409" spans="1:43" x14ac:dyDescent="0.25">
      <c r="A409" s="395" t="s">
        <v>103</v>
      </c>
      <c r="B409" s="384" t="s">
        <v>104</v>
      </c>
      <c r="C409" s="384" t="s">
        <v>802</v>
      </c>
      <c r="D409" s="384" t="s">
        <v>820</v>
      </c>
      <c r="G409" s="405"/>
      <c r="H409" s="405"/>
      <c r="I409" t="s">
        <v>767</v>
      </c>
      <c r="J409" t="s">
        <v>132</v>
      </c>
      <c r="L409" s="442"/>
      <c r="M409" s="441">
        <v>0</v>
      </c>
      <c r="N409" s="441">
        <v>2.253002537937546E-2</v>
      </c>
      <c r="O409" s="441">
        <v>0</v>
      </c>
      <c r="P409" s="441">
        <v>0</v>
      </c>
      <c r="Q409" s="441">
        <v>7.8606816807532842E-2</v>
      </c>
      <c r="R409" s="441">
        <v>1.0885051020294327E-2</v>
      </c>
      <c r="S409" s="441">
        <v>0.13511663349361738</v>
      </c>
      <c r="T409" s="441">
        <v>0</v>
      </c>
      <c r="U409" s="441">
        <v>7.8481852777614242E-2</v>
      </c>
      <c r="V409" s="441">
        <v>0</v>
      </c>
      <c r="W409" s="441">
        <v>1.9606305844928881E-2</v>
      </c>
      <c r="X409" s="441">
        <v>0.9976875048176983</v>
      </c>
      <c r="Y409" s="441">
        <v>2.3674341468874392E-2</v>
      </c>
      <c r="Z409" s="441">
        <v>0</v>
      </c>
      <c r="AA409" s="441">
        <v>8.7535227729794683E-3</v>
      </c>
      <c r="AB409" s="441">
        <f t="shared" si="42"/>
        <v>2.2027979706591278E-2</v>
      </c>
      <c r="AC409" s="441">
        <v>2.2027979706591278E-2</v>
      </c>
      <c r="AD409" s="441">
        <v>0</v>
      </c>
      <c r="AE409" s="441">
        <v>0</v>
      </c>
      <c r="AF409" s="441">
        <v>0.17695693936118218</v>
      </c>
      <c r="AG409" s="441">
        <v>1.9606305844928881E-2</v>
      </c>
      <c r="AH409" s="441">
        <f t="shared" si="43"/>
        <v>1.0885051020294327E-2</v>
      </c>
      <c r="AI409" s="441">
        <v>0</v>
      </c>
      <c r="AJ409" s="441">
        <v>2.7756979700719604E-3</v>
      </c>
      <c r="AK409" s="394">
        <f t="shared" si="44"/>
        <v>0</v>
      </c>
      <c r="AL409" s="441">
        <v>2.5886103401703852E-3</v>
      </c>
      <c r="AM409" s="441">
        <v>2.7241040649219072E-2</v>
      </c>
      <c r="AN409" s="441">
        <v>4.256718669593383E-3</v>
      </c>
      <c r="AO409" s="419"/>
      <c r="AP409" s="419"/>
      <c r="AQ409" s="419"/>
    </row>
    <row r="410" spans="1:43" x14ac:dyDescent="0.25">
      <c r="A410" s="395" t="s">
        <v>103</v>
      </c>
      <c r="B410" s="384" t="s">
        <v>104</v>
      </c>
      <c r="C410" s="384" t="s">
        <v>804</v>
      </c>
      <c r="D410" s="384" t="s">
        <v>829</v>
      </c>
      <c r="E410" s="405" t="s">
        <v>103</v>
      </c>
      <c r="F410" s="405" t="s">
        <v>104</v>
      </c>
      <c r="G410" s="405" t="s">
        <v>805</v>
      </c>
      <c r="H410" s="405"/>
      <c r="I410" t="s">
        <v>331</v>
      </c>
      <c r="J410" t="s">
        <v>120</v>
      </c>
      <c r="K410" s="210"/>
      <c r="L410" s="443"/>
      <c r="M410" s="441">
        <v>0</v>
      </c>
      <c r="N410" s="441">
        <v>0</v>
      </c>
      <c r="O410" s="441">
        <v>0</v>
      </c>
      <c r="P410" s="441">
        <v>0</v>
      </c>
      <c r="Q410" s="441">
        <v>0</v>
      </c>
      <c r="R410" s="441">
        <v>0</v>
      </c>
      <c r="S410" s="441">
        <v>0</v>
      </c>
      <c r="T410" s="441">
        <v>0</v>
      </c>
      <c r="U410" s="441">
        <v>0</v>
      </c>
      <c r="V410" s="441">
        <v>0</v>
      </c>
      <c r="W410" s="441">
        <v>0</v>
      </c>
      <c r="X410" s="441">
        <v>0</v>
      </c>
      <c r="Y410" s="441">
        <v>0</v>
      </c>
      <c r="Z410" s="441">
        <v>0</v>
      </c>
      <c r="AA410" s="441">
        <v>0</v>
      </c>
      <c r="AB410" s="441">
        <f t="shared" si="42"/>
        <v>0</v>
      </c>
      <c r="AC410" s="441">
        <v>0</v>
      </c>
      <c r="AD410" s="441">
        <v>0</v>
      </c>
      <c r="AE410" s="441">
        <v>0</v>
      </c>
      <c r="AF410" s="441">
        <v>0</v>
      </c>
      <c r="AG410" s="441">
        <v>0</v>
      </c>
      <c r="AH410" s="441">
        <f t="shared" si="43"/>
        <v>0</v>
      </c>
      <c r="AI410" s="441">
        <v>0</v>
      </c>
      <c r="AJ410" s="441">
        <v>0</v>
      </c>
      <c r="AK410" s="394">
        <f t="shared" si="44"/>
        <v>0</v>
      </c>
      <c r="AL410" s="441">
        <v>0</v>
      </c>
      <c r="AM410" s="441">
        <v>0</v>
      </c>
      <c r="AN410" s="441">
        <v>0</v>
      </c>
      <c r="AO410" s="419"/>
      <c r="AP410" s="419"/>
      <c r="AQ410" s="419"/>
    </row>
    <row r="411" spans="1:43" x14ac:dyDescent="0.25">
      <c r="A411" s="395" t="s">
        <v>103</v>
      </c>
      <c r="B411" s="384" t="s">
        <v>104</v>
      </c>
      <c r="C411" s="384" t="s">
        <v>804</v>
      </c>
      <c r="D411" s="384" t="s">
        <v>826</v>
      </c>
      <c r="E411" s="405"/>
      <c r="F411" s="405"/>
      <c r="G411" s="405"/>
      <c r="H411" s="405"/>
      <c r="I411" t="s">
        <v>767</v>
      </c>
      <c r="J411" t="s">
        <v>128</v>
      </c>
      <c r="L411" s="442"/>
      <c r="M411" s="441">
        <v>0</v>
      </c>
      <c r="N411" s="441">
        <v>0.97746997462062457</v>
      </c>
      <c r="O411" s="441">
        <v>0</v>
      </c>
      <c r="P411" s="441">
        <v>1</v>
      </c>
      <c r="Q411" s="441">
        <v>0.91761269920224109</v>
      </c>
      <c r="R411" s="441">
        <v>0.98911494897970575</v>
      </c>
      <c r="S411" s="441">
        <v>0.86488336650638253</v>
      </c>
      <c r="T411" s="441">
        <v>1</v>
      </c>
      <c r="U411" s="441">
        <v>0.92151814722238579</v>
      </c>
      <c r="V411" s="441">
        <v>1</v>
      </c>
      <c r="W411" s="441">
        <v>0.98039369415507116</v>
      </c>
      <c r="X411" s="441">
        <v>2.3124951823017032E-3</v>
      </c>
      <c r="Y411" s="441">
        <v>0.97632565853112563</v>
      </c>
      <c r="Z411" s="441">
        <v>1</v>
      </c>
      <c r="AA411" s="441">
        <v>0.99094526941085137</v>
      </c>
      <c r="AB411" s="441">
        <f t="shared" si="42"/>
        <v>0.97699681936875815</v>
      </c>
      <c r="AC411" s="441">
        <v>0.97699681936875815</v>
      </c>
      <c r="AD411" s="441">
        <v>0</v>
      </c>
      <c r="AE411" s="441">
        <v>0</v>
      </c>
      <c r="AF411" s="441">
        <v>0.82304306063881782</v>
      </c>
      <c r="AG411" s="441">
        <v>0.98039369415507116</v>
      </c>
      <c r="AH411" s="441">
        <f t="shared" si="43"/>
        <v>0.98911494897970575</v>
      </c>
      <c r="AI411" s="441">
        <v>1</v>
      </c>
      <c r="AJ411" s="441">
        <v>0.99722430202992818</v>
      </c>
      <c r="AK411" s="394">
        <f t="shared" si="44"/>
        <v>0</v>
      </c>
      <c r="AL411" s="441">
        <v>0.99741138965982956</v>
      </c>
      <c r="AM411" s="441">
        <v>0.97275895935078094</v>
      </c>
      <c r="AN411" s="441">
        <v>0.99574328133040668</v>
      </c>
      <c r="AO411" s="419"/>
      <c r="AP411" s="419"/>
      <c r="AQ411" s="419"/>
    </row>
    <row r="412" spans="1:43" x14ac:dyDescent="0.25">
      <c r="A412" s="395" t="s">
        <v>103</v>
      </c>
      <c r="B412" s="384" t="s">
        <v>104</v>
      </c>
      <c r="C412" s="384" t="s">
        <v>804</v>
      </c>
      <c r="D412" s="384" t="s">
        <v>828</v>
      </c>
      <c r="E412" s="405"/>
      <c r="F412" s="405"/>
      <c r="G412" s="405"/>
      <c r="H412" s="405"/>
      <c r="I412" t="s">
        <v>770</v>
      </c>
      <c r="J412" t="s">
        <v>134</v>
      </c>
      <c r="L412" s="442"/>
      <c r="M412" s="441">
        <v>1</v>
      </c>
      <c r="N412" s="441">
        <v>1</v>
      </c>
      <c r="O412" s="441">
        <v>1</v>
      </c>
      <c r="P412" s="441">
        <v>1</v>
      </c>
      <c r="Q412" s="441">
        <v>1</v>
      </c>
      <c r="R412" s="441">
        <v>1</v>
      </c>
      <c r="S412" s="441">
        <v>0.99775548819489079</v>
      </c>
      <c r="T412" s="441">
        <v>1</v>
      </c>
      <c r="U412" s="441">
        <v>0.99858214504502074</v>
      </c>
      <c r="V412" s="441">
        <v>1</v>
      </c>
      <c r="W412" s="441">
        <v>1</v>
      </c>
      <c r="X412" s="441">
        <v>1</v>
      </c>
      <c r="Y412" s="441">
        <v>1</v>
      </c>
      <c r="Z412" s="441">
        <v>1</v>
      </c>
      <c r="AA412" s="441">
        <v>0.99996017570778672</v>
      </c>
      <c r="AB412" s="441">
        <f t="shared" si="42"/>
        <v>0.99805420114513066</v>
      </c>
      <c r="AC412" s="441">
        <v>0.99805420114513066</v>
      </c>
      <c r="AD412" s="441">
        <v>0</v>
      </c>
      <c r="AE412" s="441">
        <v>0</v>
      </c>
      <c r="AF412" s="441">
        <v>1</v>
      </c>
      <c r="AG412" s="441">
        <v>1</v>
      </c>
      <c r="AH412" s="441">
        <f t="shared" si="43"/>
        <v>1</v>
      </c>
      <c r="AI412" s="441">
        <v>1</v>
      </c>
      <c r="AJ412" s="441">
        <v>1</v>
      </c>
      <c r="AK412" s="394">
        <f t="shared" si="44"/>
        <v>1</v>
      </c>
      <c r="AL412" s="441">
        <v>1</v>
      </c>
      <c r="AM412" s="441">
        <v>1</v>
      </c>
      <c r="AN412" s="441">
        <v>0.98954412741826636</v>
      </c>
      <c r="AO412" s="419"/>
      <c r="AP412" s="419"/>
      <c r="AQ412" s="419"/>
    </row>
    <row r="413" spans="1:43" x14ac:dyDescent="0.25">
      <c r="A413" s="395" t="s">
        <v>103</v>
      </c>
      <c r="B413" s="384" t="s">
        <v>104</v>
      </c>
      <c r="C413" s="384" t="s">
        <v>804</v>
      </c>
      <c r="D413" s="384" t="s">
        <v>830</v>
      </c>
      <c r="G413" s="405"/>
      <c r="H413" s="405"/>
      <c r="I413" t="s">
        <v>772</v>
      </c>
      <c r="J413" t="s">
        <v>117</v>
      </c>
      <c r="L413" s="442"/>
      <c r="M413" s="441">
        <v>0</v>
      </c>
      <c r="N413" s="441">
        <v>0.22463520413063867</v>
      </c>
      <c r="O413" s="441">
        <v>0.84544216677717665</v>
      </c>
      <c r="P413" s="441">
        <v>1</v>
      </c>
      <c r="Q413" s="441">
        <v>1</v>
      </c>
      <c r="R413" s="441">
        <v>1</v>
      </c>
      <c r="S413" s="441">
        <v>0</v>
      </c>
      <c r="T413" s="441">
        <v>0</v>
      </c>
      <c r="U413" s="441">
        <v>0</v>
      </c>
      <c r="V413" s="441">
        <v>1</v>
      </c>
      <c r="W413" s="441">
        <v>0.38304017432350945</v>
      </c>
      <c r="X413" s="441">
        <v>1</v>
      </c>
      <c r="Y413" s="441">
        <v>0.71554349421116903</v>
      </c>
      <c r="Z413" s="441">
        <v>0</v>
      </c>
      <c r="AA413" s="441">
        <v>3.0780185845938727E-2</v>
      </c>
      <c r="AB413" s="441">
        <f t="shared" si="42"/>
        <v>0.17276425858375916</v>
      </c>
      <c r="AC413" s="441">
        <v>0.17276425858375916</v>
      </c>
      <c r="AD413" s="441">
        <v>0</v>
      </c>
      <c r="AE413" s="441">
        <v>0</v>
      </c>
      <c r="AF413" s="441">
        <v>0</v>
      </c>
      <c r="AG413" s="441">
        <v>0.38304017432350945</v>
      </c>
      <c r="AH413" s="441">
        <f t="shared" si="43"/>
        <v>1</v>
      </c>
      <c r="AI413" s="441">
        <v>0</v>
      </c>
      <c r="AJ413" s="441">
        <v>0</v>
      </c>
      <c r="AK413" s="394">
        <f t="shared" si="44"/>
        <v>0</v>
      </c>
      <c r="AL413" s="441">
        <v>8.7634315251595169E-3</v>
      </c>
      <c r="AM413" s="441">
        <v>3.639983903838837E-3</v>
      </c>
      <c r="AN413" s="441">
        <v>0</v>
      </c>
      <c r="AO413" s="419"/>
      <c r="AP413" s="419"/>
      <c r="AQ413" s="419"/>
    </row>
    <row r="414" spans="1:43" x14ac:dyDescent="0.25">
      <c r="A414" s="395" t="s">
        <v>103</v>
      </c>
      <c r="B414" s="384" t="s">
        <v>104</v>
      </c>
      <c r="C414" s="384" t="s">
        <v>804</v>
      </c>
      <c r="D414" s="384" t="s">
        <v>828</v>
      </c>
      <c r="G414" s="405"/>
      <c r="H414" s="405"/>
      <c r="I414" t="s">
        <v>770</v>
      </c>
      <c r="J414" t="s">
        <v>119</v>
      </c>
      <c r="L414" s="442"/>
      <c r="M414" s="441">
        <v>0</v>
      </c>
      <c r="N414" s="441">
        <v>0</v>
      </c>
      <c r="O414" s="441">
        <v>0</v>
      </c>
      <c r="P414" s="441">
        <v>0</v>
      </c>
      <c r="Q414" s="441">
        <v>0</v>
      </c>
      <c r="R414" s="441">
        <v>0</v>
      </c>
      <c r="S414" s="441">
        <v>2.2445118051093215E-3</v>
      </c>
      <c r="T414" s="441">
        <v>0</v>
      </c>
      <c r="U414" s="441">
        <v>1.4178549549792527E-3</v>
      </c>
      <c r="V414" s="441">
        <v>0</v>
      </c>
      <c r="W414" s="441">
        <v>0</v>
      </c>
      <c r="X414" s="441">
        <v>0</v>
      </c>
      <c r="Y414" s="441">
        <v>0</v>
      </c>
      <c r="Z414" s="441">
        <v>0</v>
      </c>
      <c r="AA414" s="441">
        <v>3.9824292213258897E-5</v>
      </c>
      <c r="AB414" s="441">
        <f t="shared" si="42"/>
        <v>1.9457988548694544E-3</v>
      </c>
      <c r="AC414" s="441">
        <v>1.9457988548694544E-3</v>
      </c>
      <c r="AD414" s="441">
        <v>0</v>
      </c>
      <c r="AE414" s="441">
        <v>0</v>
      </c>
      <c r="AF414" s="441">
        <v>0</v>
      </c>
      <c r="AG414" s="441">
        <v>0</v>
      </c>
      <c r="AH414" s="441">
        <f t="shared" si="43"/>
        <v>0</v>
      </c>
      <c r="AI414" s="441">
        <v>0</v>
      </c>
      <c r="AJ414" s="441">
        <v>0</v>
      </c>
      <c r="AK414" s="394">
        <f t="shared" si="44"/>
        <v>0</v>
      </c>
      <c r="AL414" s="441">
        <v>0</v>
      </c>
      <c r="AM414" s="441">
        <v>0</v>
      </c>
      <c r="AN414" s="441">
        <v>1.045587258173373E-2</v>
      </c>
      <c r="AO414" s="419"/>
      <c r="AP414" s="419"/>
      <c r="AQ414" s="419"/>
    </row>
    <row r="415" spans="1:43" x14ac:dyDescent="0.25">
      <c r="A415" s="395" t="s">
        <v>103</v>
      </c>
      <c r="B415" s="384" t="s">
        <v>104</v>
      </c>
      <c r="C415" s="384" t="s">
        <v>804</v>
      </c>
      <c r="D415" s="384" t="s">
        <v>826</v>
      </c>
      <c r="G415" s="405"/>
      <c r="H415" s="405"/>
      <c r="I415" t="s">
        <v>767</v>
      </c>
      <c r="J415" t="s">
        <v>115</v>
      </c>
      <c r="L415" s="442"/>
      <c r="M415" s="441">
        <v>0</v>
      </c>
      <c r="N415" s="441">
        <v>0</v>
      </c>
      <c r="O415" s="441">
        <v>0</v>
      </c>
      <c r="P415" s="441">
        <v>0</v>
      </c>
      <c r="Q415" s="441">
        <v>3.78048399022601E-3</v>
      </c>
      <c r="R415" s="441">
        <v>0</v>
      </c>
      <c r="S415" s="441">
        <v>0</v>
      </c>
      <c r="T415" s="441">
        <v>0</v>
      </c>
      <c r="U415" s="441">
        <v>0</v>
      </c>
      <c r="V415" s="441">
        <v>0</v>
      </c>
      <c r="W415" s="441">
        <v>0</v>
      </c>
      <c r="X415" s="441">
        <v>0</v>
      </c>
      <c r="Y415" s="441">
        <v>0</v>
      </c>
      <c r="Z415" s="441">
        <v>0</v>
      </c>
      <c r="AA415" s="441">
        <v>3.0120781616915809E-4</v>
      </c>
      <c r="AB415" s="441">
        <f t="shared" si="42"/>
        <v>9.7520092465061276E-4</v>
      </c>
      <c r="AC415" s="441">
        <v>9.7520092465061276E-4</v>
      </c>
      <c r="AD415" s="441">
        <v>0</v>
      </c>
      <c r="AE415" s="441">
        <v>0</v>
      </c>
      <c r="AF415" s="441">
        <v>0</v>
      </c>
      <c r="AG415" s="441">
        <v>0</v>
      </c>
      <c r="AH415" s="441">
        <f t="shared" si="43"/>
        <v>0</v>
      </c>
      <c r="AI415" s="441">
        <v>0</v>
      </c>
      <c r="AJ415" s="441">
        <v>0</v>
      </c>
      <c r="AK415" s="394">
        <f t="shared" si="44"/>
        <v>0</v>
      </c>
      <c r="AL415" s="441">
        <v>0</v>
      </c>
      <c r="AM415" s="441">
        <v>0</v>
      </c>
      <c r="AN415" s="441">
        <v>0</v>
      </c>
      <c r="AO415" s="419"/>
      <c r="AP415" s="419"/>
      <c r="AQ415" s="419"/>
    </row>
    <row r="416" spans="1:43" x14ac:dyDescent="0.25">
      <c r="A416" s="395" t="s">
        <v>103</v>
      </c>
      <c r="B416" s="384" t="s">
        <v>104</v>
      </c>
      <c r="C416" s="384" t="s">
        <v>804</v>
      </c>
      <c r="D416" s="384" t="s">
        <v>830</v>
      </c>
      <c r="G416" s="405"/>
      <c r="H416" s="405"/>
      <c r="I416" t="s">
        <v>772</v>
      </c>
      <c r="J416" t="s">
        <v>139</v>
      </c>
      <c r="L416" s="442"/>
      <c r="M416" s="441">
        <v>0</v>
      </c>
      <c r="N416" s="441">
        <v>0.77536479586936136</v>
      </c>
      <c r="O416" s="441">
        <v>0.15455783322282335</v>
      </c>
      <c r="P416" s="441">
        <v>0</v>
      </c>
      <c r="Q416" s="441">
        <v>0</v>
      </c>
      <c r="R416" s="441">
        <v>0</v>
      </c>
      <c r="S416" s="441">
        <v>0</v>
      </c>
      <c r="T416" s="441">
        <v>0</v>
      </c>
      <c r="U416" s="441">
        <v>0</v>
      </c>
      <c r="V416" s="441">
        <v>0</v>
      </c>
      <c r="W416" s="441">
        <v>0.61695982567649055</v>
      </c>
      <c r="X416" s="441">
        <v>0</v>
      </c>
      <c r="Y416" s="441">
        <v>0.28445650578883097</v>
      </c>
      <c r="Z416" s="441">
        <v>1</v>
      </c>
      <c r="AA416" s="441">
        <v>0.96921981415406133</v>
      </c>
      <c r="AB416" s="441">
        <f t="shared" si="42"/>
        <v>0.8272357414162409</v>
      </c>
      <c r="AC416" s="441">
        <v>0.8272357414162409</v>
      </c>
      <c r="AD416" s="441">
        <v>0</v>
      </c>
      <c r="AE416" s="441">
        <v>0</v>
      </c>
      <c r="AF416" s="441">
        <v>1</v>
      </c>
      <c r="AG416" s="441">
        <v>0.61695982567649055</v>
      </c>
      <c r="AH416" s="441">
        <f t="shared" si="43"/>
        <v>0</v>
      </c>
      <c r="AI416" s="441">
        <v>0</v>
      </c>
      <c r="AJ416" s="441">
        <v>0</v>
      </c>
      <c r="AK416" s="394">
        <f t="shared" si="44"/>
        <v>0</v>
      </c>
      <c r="AL416" s="441">
        <v>0.99123656847484043</v>
      </c>
      <c r="AM416" s="441">
        <v>0.99636001609616121</v>
      </c>
      <c r="AN416" s="441">
        <v>1</v>
      </c>
      <c r="AO416" s="419"/>
      <c r="AP416" s="419"/>
      <c r="AQ416" s="419"/>
    </row>
    <row r="417" spans="1:43" x14ac:dyDescent="0.25">
      <c r="A417" s="395" t="s">
        <v>103</v>
      </c>
      <c r="B417" s="384" t="s">
        <v>104</v>
      </c>
      <c r="C417" s="384" t="s">
        <v>804</v>
      </c>
      <c r="D417" s="384" t="s">
        <v>827</v>
      </c>
      <c r="G417" s="405"/>
      <c r="H417" s="405"/>
      <c r="I417" t="s">
        <v>768</v>
      </c>
      <c r="J417" t="s">
        <v>1701</v>
      </c>
      <c r="L417" s="442"/>
      <c r="M417" s="441">
        <v>0</v>
      </c>
      <c r="N417" s="441">
        <v>0</v>
      </c>
      <c r="O417" s="441">
        <v>0</v>
      </c>
      <c r="P417" s="441">
        <v>0</v>
      </c>
      <c r="Q417" s="441">
        <v>0</v>
      </c>
      <c r="R417" s="441">
        <v>0</v>
      </c>
      <c r="S417" s="441">
        <v>0</v>
      </c>
      <c r="T417" s="441">
        <v>0</v>
      </c>
      <c r="U417" s="441">
        <v>0</v>
      </c>
      <c r="V417" s="441">
        <v>0</v>
      </c>
      <c r="W417" s="441">
        <v>0</v>
      </c>
      <c r="X417" s="441">
        <v>0</v>
      </c>
      <c r="Y417" s="441">
        <v>0</v>
      </c>
      <c r="Z417" s="441">
        <v>0</v>
      </c>
      <c r="AA417" s="441">
        <v>3.5993702901677342E-3</v>
      </c>
      <c r="AB417" s="441">
        <f t="shared" si="42"/>
        <v>0</v>
      </c>
      <c r="AC417" s="441">
        <v>0</v>
      </c>
      <c r="AD417" s="441">
        <v>0</v>
      </c>
      <c r="AE417" s="441">
        <v>0</v>
      </c>
      <c r="AF417" s="441">
        <v>0</v>
      </c>
      <c r="AG417" s="441">
        <v>0</v>
      </c>
      <c r="AH417" s="441">
        <f t="shared" si="43"/>
        <v>0</v>
      </c>
      <c r="AI417" s="441">
        <v>0</v>
      </c>
      <c r="AJ417" s="441">
        <v>0</v>
      </c>
      <c r="AK417" s="394">
        <f t="shared" si="44"/>
        <v>0</v>
      </c>
      <c r="AL417" s="441">
        <v>0</v>
      </c>
      <c r="AM417" s="441">
        <v>0</v>
      </c>
      <c r="AN417" s="441">
        <v>0</v>
      </c>
      <c r="AO417" s="419"/>
      <c r="AP417" s="419"/>
      <c r="AQ417" s="419"/>
    </row>
    <row r="418" spans="1:43" x14ac:dyDescent="0.25">
      <c r="A418" s="395" t="s">
        <v>103</v>
      </c>
      <c r="B418" s="384" t="s">
        <v>104</v>
      </c>
      <c r="C418" s="384" t="s">
        <v>804</v>
      </c>
      <c r="D418" s="384" t="s">
        <v>825</v>
      </c>
      <c r="G418" s="405"/>
      <c r="H418" s="405"/>
      <c r="I418" t="s">
        <v>350</v>
      </c>
      <c r="J418" t="s">
        <v>137</v>
      </c>
      <c r="L418" s="442"/>
      <c r="M418" s="441">
        <v>0</v>
      </c>
      <c r="N418" s="441">
        <v>0</v>
      </c>
      <c r="O418" s="441">
        <v>0</v>
      </c>
      <c r="P418" s="441">
        <v>0</v>
      </c>
      <c r="Q418" s="441">
        <v>0</v>
      </c>
      <c r="R418" s="441">
        <v>0</v>
      </c>
      <c r="S418" s="441">
        <v>0</v>
      </c>
      <c r="T418" s="441">
        <v>0</v>
      </c>
      <c r="U418" s="441">
        <v>0</v>
      </c>
      <c r="V418" s="441">
        <v>0</v>
      </c>
      <c r="W418" s="441">
        <v>0</v>
      </c>
      <c r="X418" s="441">
        <v>0</v>
      </c>
      <c r="Y418" s="441">
        <v>0</v>
      </c>
      <c r="Z418" s="441">
        <v>0</v>
      </c>
      <c r="AA418" s="441">
        <v>0</v>
      </c>
      <c r="AB418" s="441">
        <f t="shared" si="42"/>
        <v>0</v>
      </c>
      <c r="AC418" s="441">
        <v>0</v>
      </c>
      <c r="AD418" s="441">
        <v>0</v>
      </c>
      <c r="AE418" s="441">
        <v>0</v>
      </c>
      <c r="AF418" s="441">
        <v>0</v>
      </c>
      <c r="AG418" s="441">
        <v>0</v>
      </c>
      <c r="AH418" s="441">
        <f t="shared" si="43"/>
        <v>0</v>
      </c>
      <c r="AI418" s="441">
        <v>0</v>
      </c>
      <c r="AJ418" s="441">
        <v>0</v>
      </c>
      <c r="AK418" s="394">
        <f t="shared" si="44"/>
        <v>0</v>
      </c>
      <c r="AL418" s="441">
        <v>0</v>
      </c>
      <c r="AM418" s="441">
        <v>0</v>
      </c>
      <c r="AN418" s="441">
        <v>0</v>
      </c>
      <c r="AO418" s="419"/>
      <c r="AP418" s="419"/>
      <c r="AQ418" s="419"/>
    </row>
    <row r="419" spans="1:43" x14ac:dyDescent="0.25">
      <c r="A419" s="395" t="s">
        <v>103</v>
      </c>
      <c r="B419" s="384" t="s">
        <v>104</v>
      </c>
      <c r="C419" s="384" t="s">
        <v>804</v>
      </c>
      <c r="D419" s="384" t="s">
        <v>825</v>
      </c>
      <c r="G419" s="405"/>
      <c r="H419" s="405"/>
      <c r="I419" t="s">
        <v>350</v>
      </c>
      <c r="J419" t="s">
        <v>126</v>
      </c>
      <c r="L419" s="442"/>
      <c r="M419" s="441">
        <v>0</v>
      </c>
      <c r="N419" s="441">
        <v>0</v>
      </c>
      <c r="O419" s="441">
        <v>0</v>
      </c>
      <c r="P419" s="441">
        <v>0</v>
      </c>
      <c r="Q419" s="441">
        <v>0</v>
      </c>
      <c r="R419" s="441">
        <v>0</v>
      </c>
      <c r="S419" s="441">
        <v>0</v>
      </c>
      <c r="T419" s="441">
        <v>0</v>
      </c>
      <c r="U419" s="441">
        <v>0</v>
      </c>
      <c r="V419" s="441">
        <v>0</v>
      </c>
      <c r="W419" s="441">
        <v>0</v>
      </c>
      <c r="X419" s="441">
        <v>0</v>
      </c>
      <c r="Y419" s="441">
        <v>0</v>
      </c>
      <c r="Z419" s="441">
        <v>0</v>
      </c>
      <c r="AA419" s="441">
        <v>0</v>
      </c>
      <c r="AB419" s="441">
        <f t="shared" si="42"/>
        <v>0</v>
      </c>
      <c r="AC419" s="441">
        <v>0</v>
      </c>
      <c r="AD419" s="441">
        <v>0</v>
      </c>
      <c r="AE419" s="441">
        <v>0</v>
      </c>
      <c r="AF419" s="441">
        <v>0</v>
      </c>
      <c r="AG419" s="441">
        <v>0</v>
      </c>
      <c r="AH419" s="441">
        <f t="shared" si="43"/>
        <v>0</v>
      </c>
      <c r="AI419" s="441">
        <v>0</v>
      </c>
      <c r="AJ419" s="441">
        <v>0</v>
      </c>
      <c r="AK419" s="394">
        <f t="shared" si="44"/>
        <v>0</v>
      </c>
      <c r="AL419" s="441">
        <v>0</v>
      </c>
      <c r="AM419" s="441">
        <v>0</v>
      </c>
      <c r="AN419" s="441">
        <v>0</v>
      </c>
      <c r="AO419" s="419"/>
      <c r="AP419" s="419"/>
      <c r="AQ419" s="419"/>
    </row>
    <row r="420" spans="1:43" x14ac:dyDescent="0.25">
      <c r="A420" s="395" t="s">
        <v>103</v>
      </c>
      <c r="B420" s="384" t="s">
        <v>104</v>
      </c>
      <c r="C420" s="384" t="s">
        <v>804</v>
      </c>
      <c r="D420" s="384" t="s">
        <v>827</v>
      </c>
      <c r="G420" s="405"/>
      <c r="H420" s="405"/>
      <c r="I420" t="s">
        <v>768</v>
      </c>
      <c r="J420" t="s">
        <v>130</v>
      </c>
      <c r="L420" s="442"/>
      <c r="M420" s="441">
        <v>0</v>
      </c>
      <c r="N420" s="441">
        <v>0</v>
      </c>
      <c r="O420" s="441">
        <v>0</v>
      </c>
      <c r="P420" s="441">
        <v>0</v>
      </c>
      <c r="Q420" s="441">
        <v>0</v>
      </c>
      <c r="R420" s="441">
        <v>1</v>
      </c>
      <c r="S420" s="441">
        <v>0</v>
      </c>
      <c r="T420" s="441">
        <v>0</v>
      </c>
      <c r="U420" s="441">
        <v>0</v>
      </c>
      <c r="V420" s="441">
        <v>0</v>
      </c>
      <c r="W420" s="441">
        <v>0</v>
      </c>
      <c r="X420" s="441">
        <v>0</v>
      </c>
      <c r="Y420" s="441">
        <v>1</v>
      </c>
      <c r="Z420" s="441">
        <v>0</v>
      </c>
      <c r="AA420" s="441">
        <v>0.99640062970983223</v>
      </c>
      <c r="AB420" s="441">
        <f t="shared" si="42"/>
        <v>1</v>
      </c>
      <c r="AC420" s="441">
        <v>1</v>
      </c>
      <c r="AD420" s="441">
        <v>0</v>
      </c>
      <c r="AE420" s="441">
        <v>0</v>
      </c>
      <c r="AF420" s="441">
        <v>0</v>
      </c>
      <c r="AG420" s="441">
        <v>0</v>
      </c>
      <c r="AH420" s="441">
        <f t="shared" si="43"/>
        <v>1</v>
      </c>
      <c r="AI420" s="441">
        <v>0</v>
      </c>
      <c r="AJ420" s="441">
        <v>0</v>
      </c>
      <c r="AK420" s="394">
        <f t="shared" si="44"/>
        <v>0</v>
      </c>
      <c r="AL420" s="441">
        <v>1</v>
      </c>
      <c r="AM420" s="441">
        <v>1</v>
      </c>
      <c r="AN420" s="441">
        <v>1</v>
      </c>
      <c r="AO420" s="419"/>
      <c r="AP420" s="419"/>
      <c r="AQ420" s="419"/>
    </row>
    <row r="421" spans="1:43" x14ac:dyDescent="0.25">
      <c r="A421" s="395" t="s">
        <v>103</v>
      </c>
      <c r="B421" s="384" t="s">
        <v>104</v>
      </c>
      <c r="C421" s="384" t="s">
        <v>804</v>
      </c>
      <c r="D421" s="384" t="s">
        <v>826</v>
      </c>
      <c r="G421" s="405"/>
      <c r="H421" s="405"/>
      <c r="I421" t="s">
        <v>767</v>
      </c>
      <c r="J421" t="s">
        <v>132</v>
      </c>
      <c r="L421" s="442"/>
      <c r="M421" s="441">
        <v>0</v>
      </c>
      <c r="N421" s="441">
        <v>2.253002537937546E-2</v>
      </c>
      <c r="O421" s="441">
        <v>0</v>
      </c>
      <c r="P421" s="441">
        <v>0</v>
      </c>
      <c r="Q421" s="441">
        <v>7.8606816807532842E-2</v>
      </c>
      <c r="R421" s="441">
        <v>1.0885051020294327E-2</v>
      </c>
      <c r="S421" s="441">
        <v>0.13511663349361738</v>
      </c>
      <c r="T421" s="441">
        <v>0</v>
      </c>
      <c r="U421" s="441">
        <v>7.8481852777614242E-2</v>
      </c>
      <c r="V421" s="441">
        <v>0</v>
      </c>
      <c r="W421" s="441">
        <v>1.9606305844928881E-2</v>
      </c>
      <c r="X421" s="441">
        <v>0.9976875048176983</v>
      </c>
      <c r="Y421" s="441">
        <v>2.3674341468874392E-2</v>
      </c>
      <c r="Z421" s="441">
        <v>0</v>
      </c>
      <c r="AA421" s="441">
        <v>8.7535227729794683E-3</v>
      </c>
      <c r="AB421" s="441">
        <f t="shared" si="42"/>
        <v>2.2027979706591278E-2</v>
      </c>
      <c r="AC421" s="441">
        <v>2.2027979706591278E-2</v>
      </c>
      <c r="AD421" s="441">
        <v>0</v>
      </c>
      <c r="AE421" s="441">
        <v>0</v>
      </c>
      <c r="AF421" s="441">
        <v>0.17695693936118218</v>
      </c>
      <c r="AG421" s="441">
        <v>1.9606305844928881E-2</v>
      </c>
      <c r="AH421" s="441">
        <f t="shared" si="43"/>
        <v>1.0885051020294327E-2</v>
      </c>
      <c r="AI421" s="441">
        <v>0</v>
      </c>
      <c r="AJ421" s="441">
        <v>2.7756979700719604E-3</v>
      </c>
      <c r="AK421" s="394">
        <f t="shared" si="44"/>
        <v>0</v>
      </c>
      <c r="AL421" s="441">
        <v>2.5886103401703852E-3</v>
      </c>
      <c r="AM421" s="441">
        <v>2.7241040649219072E-2</v>
      </c>
      <c r="AN421" s="441">
        <v>4.256718669593383E-3</v>
      </c>
      <c r="AO421" s="419"/>
      <c r="AP421" s="419"/>
      <c r="AQ421" s="419"/>
    </row>
    <row r="422" spans="1:43" x14ac:dyDescent="0.25">
      <c r="A422" s="395" t="s">
        <v>103</v>
      </c>
      <c r="B422" s="384" t="s">
        <v>104</v>
      </c>
      <c r="C422" s="384" t="s">
        <v>804</v>
      </c>
      <c r="D422" s="384" t="s">
        <v>832</v>
      </c>
      <c r="G422" s="405"/>
      <c r="H422" s="405"/>
      <c r="I422" t="s">
        <v>806</v>
      </c>
      <c r="J422" t="s">
        <v>141</v>
      </c>
      <c r="L422" s="442"/>
      <c r="M422" s="441">
        <v>1</v>
      </c>
      <c r="N422" s="441">
        <v>1</v>
      </c>
      <c r="O422" s="441">
        <v>1</v>
      </c>
      <c r="P422" s="441">
        <v>1</v>
      </c>
      <c r="Q422" s="441">
        <v>1</v>
      </c>
      <c r="R422" s="441">
        <v>1</v>
      </c>
      <c r="S422" s="441">
        <v>1</v>
      </c>
      <c r="T422" s="441">
        <v>1</v>
      </c>
      <c r="U422" s="441">
        <v>1</v>
      </c>
      <c r="V422" s="441">
        <v>1</v>
      </c>
      <c r="W422" s="441">
        <v>1</v>
      </c>
      <c r="X422" s="441">
        <v>1</v>
      </c>
      <c r="Y422" s="441">
        <v>1</v>
      </c>
      <c r="Z422" s="441">
        <v>1</v>
      </c>
      <c r="AA422" s="441">
        <v>1</v>
      </c>
      <c r="AB422" s="441">
        <f t="shared" si="42"/>
        <v>1</v>
      </c>
      <c r="AC422" s="441">
        <v>1</v>
      </c>
      <c r="AD422" s="441">
        <v>1</v>
      </c>
      <c r="AE422" s="441">
        <v>1</v>
      </c>
      <c r="AF422" s="441">
        <v>1</v>
      </c>
      <c r="AG422" s="441">
        <v>1</v>
      </c>
      <c r="AH422" s="441">
        <f t="shared" si="43"/>
        <v>1</v>
      </c>
      <c r="AI422" s="441">
        <v>1</v>
      </c>
      <c r="AJ422" s="441">
        <v>1</v>
      </c>
      <c r="AK422" s="394">
        <f t="shared" si="44"/>
        <v>1</v>
      </c>
      <c r="AL422" s="441">
        <v>1</v>
      </c>
      <c r="AM422" s="441">
        <v>1</v>
      </c>
      <c r="AN422" s="441">
        <v>1</v>
      </c>
      <c r="AO422" s="419"/>
      <c r="AP422" s="419"/>
      <c r="AQ422" s="419"/>
    </row>
    <row r="423" spans="1:43" x14ac:dyDescent="0.25">
      <c r="A423" s="395" t="s">
        <v>105</v>
      </c>
      <c r="B423" s="384" t="s">
        <v>106</v>
      </c>
      <c r="C423" s="384" t="s">
        <v>800</v>
      </c>
      <c r="D423" s="384" t="s">
        <v>837</v>
      </c>
      <c r="E423" s="435" t="s">
        <v>105</v>
      </c>
      <c r="F423" s="435" t="s">
        <v>106</v>
      </c>
      <c r="G423" s="435" t="s">
        <v>801</v>
      </c>
      <c r="H423" s="435"/>
      <c r="I423" s="215" t="s">
        <v>331</v>
      </c>
      <c r="J423" s="215" t="s">
        <v>120</v>
      </c>
      <c r="K423" s="406"/>
      <c r="L423" s="438"/>
      <c r="M423" s="439">
        <v>1</v>
      </c>
      <c r="N423" s="439">
        <v>1</v>
      </c>
      <c r="O423" s="439">
        <v>1</v>
      </c>
      <c r="P423" s="439">
        <v>1</v>
      </c>
      <c r="Q423" s="439">
        <v>1</v>
      </c>
      <c r="R423" s="439">
        <v>1</v>
      </c>
      <c r="S423" s="439">
        <v>1</v>
      </c>
      <c r="T423" s="439">
        <v>1</v>
      </c>
      <c r="U423" s="439">
        <v>1</v>
      </c>
      <c r="V423" s="439">
        <v>1</v>
      </c>
      <c r="W423" s="439">
        <v>1</v>
      </c>
      <c r="X423" s="439">
        <v>1</v>
      </c>
      <c r="Y423" s="439">
        <v>1</v>
      </c>
      <c r="Z423" s="439">
        <v>1</v>
      </c>
      <c r="AA423" s="439">
        <v>1</v>
      </c>
      <c r="AB423" s="441">
        <f t="shared" si="42"/>
        <v>1</v>
      </c>
      <c r="AC423" s="439">
        <v>1</v>
      </c>
      <c r="AD423" s="439">
        <v>0</v>
      </c>
      <c r="AE423" s="439">
        <v>0</v>
      </c>
      <c r="AF423" s="439">
        <v>1</v>
      </c>
      <c r="AG423" s="439">
        <v>1</v>
      </c>
      <c r="AH423" s="441">
        <f t="shared" si="43"/>
        <v>1</v>
      </c>
      <c r="AI423" s="439">
        <v>1</v>
      </c>
      <c r="AJ423" s="439">
        <v>1</v>
      </c>
      <c r="AK423" s="394">
        <f t="shared" si="44"/>
        <v>1</v>
      </c>
      <c r="AL423" s="439">
        <v>1</v>
      </c>
      <c r="AM423" s="439">
        <v>1</v>
      </c>
      <c r="AN423" s="439">
        <v>1</v>
      </c>
      <c r="AO423" s="419"/>
      <c r="AP423" s="419"/>
      <c r="AQ423" s="419"/>
    </row>
    <row r="424" spans="1:43" x14ac:dyDescent="0.25">
      <c r="A424" s="395" t="s">
        <v>105</v>
      </c>
      <c r="B424" s="384" t="s">
        <v>106</v>
      </c>
      <c r="C424" s="384" t="s">
        <v>800</v>
      </c>
      <c r="D424" s="384" t="s">
        <v>834</v>
      </c>
      <c r="E424" s="405"/>
      <c r="F424" s="405"/>
      <c r="G424" s="405"/>
      <c r="H424" s="405"/>
      <c r="I424" t="s">
        <v>767</v>
      </c>
      <c r="J424" t="s">
        <v>128</v>
      </c>
      <c r="L424" s="440"/>
      <c r="M424" s="441">
        <v>0</v>
      </c>
      <c r="N424" s="441">
        <v>0.97746997462062457</v>
      </c>
      <c r="O424" s="441">
        <v>0</v>
      </c>
      <c r="P424" s="441">
        <v>1</v>
      </c>
      <c r="Q424" s="441">
        <v>0.91761269920224098</v>
      </c>
      <c r="R424" s="441">
        <v>0.98911494897970564</v>
      </c>
      <c r="S424" s="441">
        <v>0.86488336650638264</v>
      </c>
      <c r="T424" s="441">
        <v>1</v>
      </c>
      <c r="U424" s="441">
        <v>0.92151814722238579</v>
      </c>
      <c r="V424" s="441">
        <v>1</v>
      </c>
      <c r="W424" s="441">
        <v>0.98039369415507116</v>
      </c>
      <c r="X424" s="441">
        <v>2.3124951823017036E-3</v>
      </c>
      <c r="Y424" s="441">
        <v>0.97632565853112563</v>
      </c>
      <c r="Z424" s="441">
        <v>1</v>
      </c>
      <c r="AA424" s="441">
        <v>0.99094526941085137</v>
      </c>
      <c r="AB424" s="441">
        <f t="shared" si="42"/>
        <v>0.97699681936875804</v>
      </c>
      <c r="AC424" s="441">
        <v>0.97699681936875804</v>
      </c>
      <c r="AD424" s="441">
        <v>0</v>
      </c>
      <c r="AE424" s="441">
        <v>0</v>
      </c>
      <c r="AF424" s="441">
        <v>0.82304306063881782</v>
      </c>
      <c r="AG424" s="441">
        <v>0.98039369415507116</v>
      </c>
      <c r="AH424" s="441">
        <f t="shared" si="43"/>
        <v>0.98911494897970564</v>
      </c>
      <c r="AI424" s="441">
        <v>1</v>
      </c>
      <c r="AJ424" s="441">
        <v>0.99722430202992807</v>
      </c>
      <c r="AK424" s="394">
        <f t="shared" si="44"/>
        <v>0</v>
      </c>
      <c r="AL424" s="441">
        <v>0.99741138965982967</v>
      </c>
      <c r="AM424" s="441">
        <v>0.97275895935078094</v>
      </c>
      <c r="AN424" s="441">
        <v>0.99574328133040657</v>
      </c>
      <c r="AO424" s="419"/>
      <c r="AP424" s="419"/>
      <c r="AQ424" s="419"/>
    </row>
    <row r="425" spans="1:43" x14ac:dyDescent="0.25">
      <c r="A425" s="395" t="s">
        <v>105</v>
      </c>
      <c r="B425" s="384" t="s">
        <v>106</v>
      </c>
      <c r="C425" s="384" t="s">
        <v>800</v>
      </c>
      <c r="D425" s="384" t="s">
        <v>836</v>
      </c>
      <c r="E425" s="405"/>
      <c r="F425" s="405"/>
      <c r="G425" s="405"/>
      <c r="H425" s="405"/>
      <c r="I425" t="s">
        <v>770</v>
      </c>
      <c r="J425" t="s">
        <v>134</v>
      </c>
      <c r="L425" s="440"/>
      <c r="M425" s="441">
        <v>1</v>
      </c>
      <c r="N425" s="441">
        <v>1</v>
      </c>
      <c r="O425" s="441">
        <v>1</v>
      </c>
      <c r="P425" s="441">
        <v>1</v>
      </c>
      <c r="Q425" s="441">
        <v>1</v>
      </c>
      <c r="R425" s="441">
        <v>1</v>
      </c>
      <c r="S425" s="441">
        <v>0.99775548819489068</v>
      </c>
      <c r="T425" s="441">
        <v>1</v>
      </c>
      <c r="U425" s="441">
        <v>0.99858214504502074</v>
      </c>
      <c r="V425" s="441">
        <v>1</v>
      </c>
      <c r="W425" s="441">
        <v>1</v>
      </c>
      <c r="X425" s="441">
        <v>1</v>
      </c>
      <c r="Y425" s="441">
        <v>1</v>
      </c>
      <c r="Z425" s="441">
        <v>1</v>
      </c>
      <c r="AA425" s="441">
        <v>0.99996017570778672</v>
      </c>
      <c r="AB425" s="441">
        <f t="shared" si="42"/>
        <v>0.99805420114513055</v>
      </c>
      <c r="AC425" s="441">
        <v>0.99805420114513055</v>
      </c>
      <c r="AD425" s="441">
        <v>0</v>
      </c>
      <c r="AE425" s="441">
        <v>0</v>
      </c>
      <c r="AF425" s="441">
        <v>1</v>
      </c>
      <c r="AG425" s="441">
        <v>1</v>
      </c>
      <c r="AH425" s="441">
        <f t="shared" si="43"/>
        <v>1</v>
      </c>
      <c r="AI425" s="441">
        <v>1</v>
      </c>
      <c r="AJ425" s="441">
        <v>1</v>
      </c>
      <c r="AK425" s="394">
        <f t="shared" si="44"/>
        <v>1</v>
      </c>
      <c r="AL425" s="441">
        <v>1</v>
      </c>
      <c r="AM425" s="441">
        <v>1</v>
      </c>
      <c r="AN425" s="441">
        <v>0.98954412741826625</v>
      </c>
      <c r="AO425" s="419"/>
      <c r="AP425" s="419"/>
      <c r="AQ425" s="419"/>
    </row>
    <row r="426" spans="1:43" x14ac:dyDescent="0.25">
      <c r="A426" s="395" t="s">
        <v>105</v>
      </c>
      <c r="B426" s="384" t="s">
        <v>106</v>
      </c>
      <c r="C426" s="384" t="s">
        <v>800</v>
      </c>
      <c r="D426" s="384" t="s">
        <v>838</v>
      </c>
      <c r="G426" s="405"/>
      <c r="H426" s="405"/>
      <c r="I426" t="s">
        <v>772</v>
      </c>
      <c r="J426" t="s">
        <v>117</v>
      </c>
      <c r="L426" s="442"/>
      <c r="M426" s="441">
        <v>0</v>
      </c>
      <c r="N426" s="441">
        <v>0</v>
      </c>
      <c r="O426" s="441">
        <v>0</v>
      </c>
      <c r="P426" s="441">
        <v>0</v>
      </c>
      <c r="Q426" s="441">
        <v>0</v>
      </c>
      <c r="R426" s="441">
        <v>0</v>
      </c>
      <c r="S426" s="441">
        <v>0</v>
      </c>
      <c r="T426" s="441">
        <v>0</v>
      </c>
      <c r="U426" s="441">
        <v>0</v>
      </c>
      <c r="V426" s="441">
        <v>0</v>
      </c>
      <c r="W426" s="441">
        <v>0</v>
      </c>
      <c r="X426" s="441">
        <v>0</v>
      </c>
      <c r="Y426" s="441">
        <v>0</v>
      </c>
      <c r="Z426" s="441">
        <v>0</v>
      </c>
      <c r="AA426" s="441">
        <v>0</v>
      </c>
      <c r="AB426" s="441">
        <f t="shared" si="42"/>
        <v>0</v>
      </c>
      <c r="AC426" s="441">
        <v>0</v>
      </c>
      <c r="AD426" s="441">
        <v>0</v>
      </c>
      <c r="AE426" s="441">
        <v>0</v>
      </c>
      <c r="AF426" s="441">
        <v>0</v>
      </c>
      <c r="AG426" s="441">
        <v>0</v>
      </c>
      <c r="AH426" s="441">
        <f t="shared" si="43"/>
        <v>0</v>
      </c>
      <c r="AI426" s="441">
        <v>0</v>
      </c>
      <c r="AJ426" s="441">
        <v>0</v>
      </c>
      <c r="AK426" s="394">
        <f t="shared" si="44"/>
        <v>0</v>
      </c>
      <c r="AL426" s="441">
        <v>0</v>
      </c>
      <c r="AM426" s="441">
        <v>0</v>
      </c>
      <c r="AN426" s="441">
        <v>0</v>
      </c>
      <c r="AO426" s="419"/>
      <c r="AP426" s="419"/>
      <c r="AQ426" s="419"/>
    </row>
    <row r="427" spans="1:43" x14ac:dyDescent="0.25">
      <c r="A427" s="395" t="s">
        <v>105</v>
      </c>
      <c r="B427" s="384" t="s">
        <v>106</v>
      </c>
      <c r="C427" s="384" t="s">
        <v>800</v>
      </c>
      <c r="D427" s="384" t="s">
        <v>836</v>
      </c>
      <c r="G427" s="405"/>
      <c r="H427" s="405"/>
      <c r="I427" t="s">
        <v>770</v>
      </c>
      <c r="J427" t="s">
        <v>119</v>
      </c>
      <c r="L427" s="442"/>
      <c r="M427" s="441">
        <v>0</v>
      </c>
      <c r="N427" s="441">
        <v>0</v>
      </c>
      <c r="O427" s="441">
        <v>0</v>
      </c>
      <c r="P427" s="441">
        <v>0</v>
      </c>
      <c r="Q427" s="441">
        <v>0</v>
      </c>
      <c r="R427" s="441">
        <v>0</v>
      </c>
      <c r="S427" s="441">
        <v>2.244511805109321E-3</v>
      </c>
      <c r="T427" s="441">
        <v>0</v>
      </c>
      <c r="U427" s="441">
        <v>1.4178549549792524E-3</v>
      </c>
      <c r="V427" s="441">
        <v>0</v>
      </c>
      <c r="W427" s="441">
        <v>0</v>
      </c>
      <c r="X427" s="441">
        <v>0</v>
      </c>
      <c r="Y427" s="441">
        <v>0</v>
      </c>
      <c r="Z427" s="441">
        <v>0</v>
      </c>
      <c r="AA427" s="441">
        <v>3.9824292213258897E-5</v>
      </c>
      <c r="AB427" s="441">
        <f t="shared" si="42"/>
        <v>1.9457988548694542E-3</v>
      </c>
      <c r="AC427" s="441">
        <v>1.9457988548694542E-3</v>
      </c>
      <c r="AD427" s="441">
        <v>0</v>
      </c>
      <c r="AE427" s="441">
        <v>0</v>
      </c>
      <c r="AF427" s="441">
        <v>0</v>
      </c>
      <c r="AG427" s="441">
        <v>0</v>
      </c>
      <c r="AH427" s="441">
        <f t="shared" si="43"/>
        <v>0</v>
      </c>
      <c r="AI427" s="441">
        <v>0</v>
      </c>
      <c r="AJ427" s="441">
        <v>0</v>
      </c>
      <c r="AK427" s="394">
        <f t="shared" si="44"/>
        <v>0</v>
      </c>
      <c r="AL427" s="441">
        <v>0</v>
      </c>
      <c r="AM427" s="441">
        <v>0</v>
      </c>
      <c r="AN427" s="441">
        <v>1.045587258173373E-2</v>
      </c>
      <c r="AO427" s="419"/>
      <c r="AP427" s="419"/>
      <c r="AQ427" s="419"/>
    </row>
    <row r="428" spans="1:43" x14ac:dyDescent="0.25">
      <c r="A428" s="395" t="s">
        <v>105</v>
      </c>
      <c r="B428" s="384" t="s">
        <v>106</v>
      </c>
      <c r="C428" s="384" t="s">
        <v>800</v>
      </c>
      <c r="D428" s="384" t="s">
        <v>834</v>
      </c>
      <c r="G428" s="405"/>
      <c r="H428" s="405"/>
      <c r="I428" t="s">
        <v>767</v>
      </c>
      <c r="J428" t="s">
        <v>115</v>
      </c>
      <c r="L428" s="442"/>
      <c r="M428" s="441">
        <v>0</v>
      </c>
      <c r="N428" s="441">
        <v>0</v>
      </c>
      <c r="O428" s="441">
        <v>0</v>
      </c>
      <c r="P428" s="441">
        <v>0</v>
      </c>
      <c r="Q428" s="441">
        <v>3.7804839902260095E-3</v>
      </c>
      <c r="R428" s="441">
        <v>0</v>
      </c>
      <c r="S428" s="441">
        <v>0</v>
      </c>
      <c r="T428" s="441">
        <v>0</v>
      </c>
      <c r="U428" s="441">
        <v>0</v>
      </c>
      <c r="V428" s="441">
        <v>0</v>
      </c>
      <c r="W428" s="441">
        <v>0</v>
      </c>
      <c r="X428" s="441">
        <v>0</v>
      </c>
      <c r="Y428" s="441">
        <v>0</v>
      </c>
      <c r="Z428" s="441">
        <v>0</v>
      </c>
      <c r="AA428" s="441">
        <v>3.0120781616915814E-4</v>
      </c>
      <c r="AB428" s="441">
        <f t="shared" si="42"/>
        <v>9.7520092465061266E-4</v>
      </c>
      <c r="AC428" s="441">
        <v>9.7520092465061266E-4</v>
      </c>
      <c r="AD428" s="441">
        <v>0</v>
      </c>
      <c r="AE428" s="441">
        <v>0</v>
      </c>
      <c r="AF428" s="441">
        <v>0</v>
      </c>
      <c r="AG428" s="441">
        <v>0</v>
      </c>
      <c r="AH428" s="441">
        <f t="shared" si="43"/>
        <v>0</v>
      </c>
      <c r="AI428" s="441">
        <v>0</v>
      </c>
      <c r="AJ428" s="441">
        <v>0</v>
      </c>
      <c r="AK428" s="394">
        <f t="shared" si="44"/>
        <v>0</v>
      </c>
      <c r="AL428" s="441">
        <v>0</v>
      </c>
      <c r="AM428" s="441">
        <v>0</v>
      </c>
      <c r="AN428" s="441">
        <v>0</v>
      </c>
      <c r="AO428" s="419"/>
      <c r="AP428" s="419"/>
      <c r="AQ428" s="419"/>
    </row>
    <row r="429" spans="1:43" x14ac:dyDescent="0.25">
      <c r="A429" s="395" t="s">
        <v>105</v>
      </c>
      <c r="B429" s="384" t="s">
        <v>106</v>
      </c>
      <c r="C429" s="384" t="s">
        <v>800</v>
      </c>
      <c r="D429" s="384" t="s">
        <v>838</v>
      </c>
      <c r="G429" s="405"/>
      <c r="H429" s="405"/>
      <c r="I429" t="s">
        <v>772</v>
      </c>
      <c r="J429" t="s">
        <v>139</v>
      </c>
      <c r="L429" s="442"/>
      <c r="M429" s="441">
        <v>0</v>
      </c>
      <c r="N429" s="441">
        <v>0</v>
      </c>
      <c r="O429" s="441">
        <v>0</v>
      </c>
      <c r="P429" s="441">
        <v>0</v>
      </c>
      <c r="Q429" s="441">
        <v>0</v>
      </c>
      <c r="R429" s="441">
        <v>0</v>
      </c>
      <c r="S429" s="441">
        <v>0</v>
      </c>
      <c r="T429" s="441">
        <v>0</v>
      </c>
      <c r="U429" s="441">
        <v>0</v>
      </c>
      <c r="V429" s="441">
        <v>0</v>
      </c>
      <c r="W429" s="441">
        <v>0</v>
      </c>
      <c r="X429" s="441">
        <v>0</v>
      </c>
      <c r="Y429" s="441">
        <v>0</v>
      </c>
      <c r="Z429" s="441">
        <v>0</v>
      </c>
      <c r="AA429" s="441">
        <v>0</v>
      </c>
      <c r="AB429" s="441">
        <f t="shared" si="42"/>
        <v>0</v>
      </c>
      <c r="AC429" s="441">
        <v>0</v>
      </c>
      <c r="AD429" s="441">
        <v>0</v>
      </c>
      <c r="AE429" s="441">
        <v>0</v>
      </c>
      <c r="AF429" s="441">
        <v>0</v>
      </c>
      <c r="AG429" s="441">
        <v>0</v>
      </c>
      <c r="AH429" s="441">
        <f t="shared" si="43"/>
        <v>0</v>
      </c>
      <c r="AI429" s="441">
        <v>0</v>
      </c>
      <c r="AJ429" s="441">
        <v>0</v>
      </c>
      <c r="AK429" s="394">
        <f t="shared" si="44"/>
        <v>0</v>
      </c>
      <c r="AL429" s="441">
        <v>0</v>
      </c>
      <c r="AM429" s="441">
        <v>0</v>
      </c>
      <c r="AN429" s="441">
        <v>0</v>
      </c>
      <c r="AO429" s="419"/>
      <c r="AP429" s="419"/>
      <c r="AQ429" s="419"/>
    </row>
    <row r="430" spans="1:43" x14ac:dyDescent="0.25">
      <c r="A430" s="395" t="s">
        <v>105</v>
      </c>
      <c r="B430" s="384" t="s">
        <v>106</v>
      </c>
      <c r="C430" s="384" t="s">
        <v>800</v>
      </c>
      <c r="D430" s="384" t="s">
        <v>835</v>
      </c>
      <c r="G430" s="405"/>
      <c r="H430" s="405"/>
      <c r="I430" t="s">
        <v>768</v>
      </c>
      <c r="J430" t="s">
        <v>1701</v>
      </c>
      <c r="L430" s="442"/>
      <c r="M430" s="441">
        <v>0</v>
      </c>
      <c r="N430" s="441">
        <v>0</v>
      </c>
      <c r="O430" s="441">
        <v>0</v>
      </c>
      <c r="P430" s="441">
        <v>0</v>
      </c>
      <c r="Q430" s="441">
        <v>0</v>
      </c>
      <c r="R430" s="441">
        <v>0</v>
      </c>
      <c r="S430" s="441">
        <v>0</v>
      </c>
      <c r="T430" s="441">
        <v>0</v>
      </c>
      <c r="U430" s="441">
        <v>0</v>
      </c>
      <c r="V430" s="441">
        <v>0</v>
      </c>
      <c r="W430" s="441">
        <v>0</v>
      </c>
      <c r="X430" s="441">
        <v>0</v>
      </c>
      <c r="Y430" s="441">
        <v>0</v>
      </c>
      <c r="Z430" s="441">
        <v>0</v>
      </c>
      <c r="AA430" s="441">
        <v>0</v>
      </c>
      <c r="AB430" s="441">
        <f t="shared" si="42"/>
        <v>0</v>
      </c>
      <c r="AC430" s="441">
        <v>0</v>
      </c>
      <c r="AD430" s="441">
        <v>0</v>
      </c>
      <c r="AE430" s="441">
        <v>0</v>
      </c>
      <c r="AF430" s="441">
        <v>0</v>
      </c>
      <c r="AG430" s="441">
        <v>0</v>
      </c>
      <c r="AH430" s="441">
        <f t="shared" si="43"/>
        <v>0</v>
      </c>
      <c r="AI430" s="441">
        <v>0</v>
      </c>
      <c r="AJ430" s="441">
        <v>0</v>
      </c>
      <c r="AK430" s="394">
        <f t="shared" si="44"/>
        <v>0</v>
      </c>
      <c r="AL430" s="441">
        <v>0</v>
      </c>
      <c r="AM430" s="441">
        <v>0</v>
      </c>
      <c r="AN430" s="441">
        <v>0</v>
      </c>
      <c r="AO430" s="419"/>
      <c r="AP430" s="419"/>
      <c r="AQ430" s="419"/>
    </row>
    <row r="431" spans="1:43" x14ac:dyDescent="0.25">
      <c r="A431" s="395" t="s">
        <v>105</v>
      </c>
      <c r="B431" s="384" t="s">
        <v>106</v>
      </c>
      <c r="C431" s="384" t="s">
        <v>800</v>
      </c>
      <c r="D431" s="384" t="s">
        <v>833</v>
      </c>
      <c r="G431" s="405"/>
      <c r="H431" s="405"/>
      <c r="I431" t="s">
        <v>350</v>
      </c>
      <c r="J431" t="s">
        <v>137</v>
      </c>
      <c r="L431" s="442"/>
      <c r="M431" s="441">
        <v>0</v>
      </c>
      <c r="N431" s="441">
        <v>0</v>
      </c>
      <c r="O431" s="441">
        <v>0</v>
      </c>
      <c r="P431" s="441">
        <v>0</v>
      </c>
      <c r="Q431" s="441">
        <v>0</v>
      </c>
      <c r="R431" s="441">
        <v>0</v>
      </c>
      <c r="S431" s="441">
        <v>0</v>
      </c>
      <c r="T431" s="441">
        <v>0</v>
      </c>
      <c r="U431" s="441">
        <v>0</v>
      </c>
      <c r="V431" s="441">
        <v>0</v>
      </c>
      <c r="W431" s="441">
        <v>0</v>
      </c>
      <c r="X431" s="441">
        <v>0</v>
      </c>
      <c r="Y431" s="441">
        <v>0</v>
      </c>
      <c r="Z431" s="441">
        <v>0</v>
      </c>
      <c r="AA431" s="441">
        <v>0</v>
      </c>
      <c r="AB431" s="441">
        <f t="shared" si="42"/>
        <v>1.0565926842793377E-5</v>
      </c>
      <c r="AC431" s="441">
        <v>1.0565926842793377E-5</v>
      </c>
      <c r="AD431" s="441">
        <v>0</v>
      </c>
      <c r="AE431" s="441">
        <v>0</v>
      </c>
      <c r="AF431" s="441">
        <v>0</v>
      </c>
      <c r="AG431" s="441">
        <v>0</v>
      </c>
      <c r="AH431" s="441">
        <f t="shared" si="43"/>
        <v>0</v>
      </c>
      <c r="AI431" s="441">
        <v>0</v>
      </c>
      <c r="AJ431" s="441">
        <v>0</v>
      </c>
      <c r="AK431" s="394">
        <f t="shared" si="44"/>
        <v>0</v>
      </c>
      <c r="AL431" s="441">
        <v>0</v>
      </c>
      <c r="AM431" s="441">
        <v>0</v>
      </c>
      <c r="AN431" s="441">
        <v>0</v>
      </c>
      <c r="AO431" s="419"/>
      <c r="AP431" s="419"/>
      <c r="AQ431" s="419"/>
    </row>
    <row r="432" spans="1:43" x14ac:dyDescent="0.25">
      <c r="A432" s="395" t="s">
        <v>105</v>
      </c>
      <c r="B432" s="384" t="s">
        <v>106</v>
      </c>
      <c r="C432" s="384" t="s">
        <v>800</v>
      </c>
      <c r="D432" s="384" t="s">
        <v>833</v>
      </c>
      <c r="G432" s="405"/>
      <c r="H432" s="405"/>
      <c r="I432" t="s">
        <v>350</v>
      </c>
      <c r="J432" t="s">
        <v>126</v>
      </c>
      <c r="L432" s="442"/>
      <c r="M432" s="441">
        <v>0</v>
      </c>
      <c r="N432" s="441">
        <v>1</v>
      </c>
      <c r="O432" s="441">
        <v>1</v>
      </c>
      <c r="P432" s="441">
        <v>1</v>
      </c>
      <c r="Q432" s="441">
        <v>1</v>
      </c>
      <c r="R432" s="441">
        <v>1</v>
      </c>
      <c r="S432" s="441">
        <v>1</v>
      </c>
      <c r="T432" s="441">
        <v>0</v>
      </c>
      <c r="U432" s="441">
        <v>1</v>
      </c>
      <c r="V432" s="441">
        <v>1</v>
      </c>
      <c r="W432" s="441">
        <v>1</v>
      </c>
      <c r="X432" s="441">
        <v>0</v>
      </c>
      <c r="Y432" s="441">
        <v>1</v>
      </c>
      <c r="Z432" s="441">
        <v>1</v>
      </c>
      <c r="AA432" s="441">
        <v>1</v>
      </c>
      <c r="AB432" s="441">
        <f t="shared" si="42"/>
        <v>0.99998943407315721</v>
      </c>
      <c r="AC432" s="441">
        <v>0.99998943407315721</v>
      </c>
      <c r="AD432" s="441">
        <v>0</v>
      </c>
      <c r="AE432" s="441">
        <v>0</v>
      </c>
      <c r="AF432" s="441">
        <v>1</v>
      </c>
      <c r="AG432" s="441">
        <v>1</v>
      </c>
      <c r="AH432" s="441">
        <f t="shared" si="43"/>
        <v>1</v>
      </c>
      <c r="AI432" s="441">
        <v>1</v>
      </c>
      <c r="AJ432" s="441">
        <v>1</v>
      </c>
      <c r="AK432" s="394">
        <f t="shared" si="44"/>
        <v>0</v>
      </c>
      <c r="AL432" s="441">
        <v>1</v>
      </c>
      <c r="AM432" s="441">
        <v>1</v>
      </c>
      <c r="AN432" s="441">
        <v>1</v>
      </c>
      <c r="AO432" s="419"/>
      <c r="AP432" s="419"/>
      <c r="AQ432" s="419"/>
    </row>
    <row r="433" spans="1:43" x14ac:dyDescent="0.25">
      <c r="A433" s="395" t="s">
        <v>105</v>
      </c>
      <c r="B433" s="384" t="s">
        <v>106</v>
      </c>
      <c r="C433" s="384" t="s">
        <v>800</v>
      </c>
      <c r="D433" s="384" t="s">
        <v>835</v>
      </c>
      <c r="G433" s="405"/>
      <c r="H433" s="405"/>
      <c r="I433" t="s">
        <v>768</v>
      </c>
      <c r="J433" t="s">
        <v>130</v>
      </c>
      <c r="L433" s="442"/>
      <c r="M433" s="441">
        <v>0</v>
      </c>
      <c r="N433" s="441">
        <v>0</v>
      </c>
      <c r="O433" s="441">
        <v>0</v>
      </c>
      <c r="P433" s="441">
        <v>0</v>
      </c>
      <c r="Q433" s="441">
        <v>0</v>
      </c>
      <c r="R433" s="441">
        <v>0</v>
      </c>
      <c r="S433" s="441">
        <v>0</v>
      </c>
      <c r="T433" s="441">
        <v>0</v>
      </c>
      <c r="U433" s="441">
        <v>0</v>
      </c>
      <c r="V433" s="441">
        <v>0</v>
      </c>
      <c r="W433" s="441">
        <v>0</v>
      </c>
      <c r="X433" s="441">
        <v>0</v>
      </c>
      <c r="Y433" s="441">
        <v>0</v>
      </c>
      <c r="Z433" s="441">
        <v>0</v>
      </c>
      <c r="AA433" s="441">
        <v>0</v>
      </c>
      <c r="AB433" s="441">
        <f t="shared" si="42"/>
        <v>0</v>
      </c>
      <c r="AC433" s="441">
        <v>0</v>
      </c>
      <c r="AD433" s="441">
        <v>0</v>
      </c>
      <c r="AE433" s="441">
        <v>0</v>
      </c>
      <c r="AF433" s="441">
        <v>0</v>
      </c>
      <c r="AG433" s="441">
        <v>0</v>
      </c>
      <c r="AH433" s="441">
        <f t="shared" si="43"/>
        <v>0</v>
      </c>
      <c r="AI433" s="441">
        <v>0</v>
      </c>
      <c r="AJ433" s="441">
        <v>0</v>
      </c>
      <c r="AK433" s="394">
        <f t="shared" si="44"/>
        <v>0</v>
      </c>
      <c r="AL433" s="441">
        <v>0</v>
      </c>
      <c r="AM433" s="441">
        <v>0</v>
      </c>
      <c r="AN433" s="441">
        <v>0</v>
      </c>
      <c r="AO433" s="419"/>
      <c r="AP433" s="419"/>
      <c r="AQ433" s="419"/>
    </row>
    <row r="434" spans="1:43" x14ac:dyDescent="0.25">
      <c r="A434" s="395" t="s">
        <v>105</v>
      </c>
      <c r="B434" s="384" t="s">
        <v>106</v>
      </c>
      <c r="C434" s="384" t="s">
        <v>800</v>
      </c>
      <c r="D434" s="384" t="s">
        <v>834</v>
      </c>
      <c r="G434" s="405"/>
      <c r="H434" s="405"/>
      <c r="I434" t="s">
        <v>767</v>
      </c>
      <c r="J434" t="s">
        <v>132</v>
      </c>
      <c r="L434" s="442"/>
      <c r="M434" s="441">
        <v>0</v>
      </c>
      <c r="N434" s="441">
        <v>2.253002537937546E-2</v>
      </c>
      <c r="O434" s="441">
        <v>0</v>
      </c>
      <c r="P434" s="441">
        <v>0</v>
      </c>
      <c r="Q434" s="441">
        <v>7.8606816807532842E-2</v>
      </c>
      <c r="R434" s="441">
        <v>1.0885051020294327E-2</v>
      </c>
      <c r="S434" s="441">
        <v>0.13511663349361738</v>
      </c>
      <c r="T434" s="441">
        <v>0</v>
      </c>
      <c r="U434" s="441">
        <v>7.8481852777614228E-2</v>
      </c>
      <c r="V434" s="441">
        <v>0</v>
      </c>
      <c r="W434" s="441">
        <v>1.9606305844928881E-2</v>
      </c>
      <c r="X434" s="441">
        <v>0.9976875048176983</v>
      </c>
      <c r="Y434" s="441">
        <v>2.3674341468874389E-2</v>
      </c>
      <c r="Z434" s="441">
        <v>0</v>
      </c>
      <c r="AA434" s="441">
        <v>8.7535227729794701E-3</v>
      </c>
      <c r="AB434" s="441">
        <f t="shared" si="42"/>
        <v>2.2027979706591275E-2</v>
      </c>
      <c r="AC434" s="441">
        <v>2.2027979706591275E-2</v>
      </c>
      <c r="AD434" s="441">
        <v>0</v>
      </c>
      <c r="AE434" s="441">
        <v>0</v>
      </c>
      <c r="AF434" s="441">
        <v>0.17695693936118218</v>
      </c>
      <c r="AG434" s="441">
        <v>1.9606305844928881E-2</v>
      </c>
      <c r="AH434" s="441">
        <f t="shared" si="43"/>
        <v>1.0885051020294327E-2</v>
      </c>
      <c r="AI434" s="441">
        <v>0</v>
      </c>
      <c r="AJ434" s="441">
        <v>2.77569797007196E-3</v>
      </c>
      <c r="AK434" s="394">
        <f t="shared" si="44"/>
        <v>0</v>
      </c>
      <c r="AL434" s="441">
        <v>2.5886103401703848E-3</v>
      </c>
      <c r="AM434" s="441">
        <v>2.7241040649219075E-2</v>
      </c>
      <c r="AN434" s="441">
        <v>4.2567186695933821E-3</v>
      </c>
      <c r="AO434" s="419"/>
      <c r="AP434" s="419"/>
      <c r="AQ434" s="419"/>
    </row>
    <row r="435" spans="1:43" x14ac:dyDescent="0.25">
      <c r="A435" s="395" t="s">
        <v>105</v>
      </c>
      <c r="B435" s="384" t="s">
        <v>106</v>
      </c>
      <c r="C435" s="384" t="s">
        <v>802</v>
      </c>
      <c r="D435" s="384" t="s">
        <v>843</v>
      </c>
      <c r="E435" s="405" t="s">
        <v>105</v>
      </c>
      <c r="F435" s="405" t="s">
        <v>106</v>
      </c>
      <c r="G435" s="405" t="s">
        <v>803</v>
      </c>
      <c r="H435" s="405"/>
      <c r="I435" t="s">
        <v>331</v>
      </c>
      <c r="J435" t="s">
        <v>120</v>
      </c>
      <c r="K435" s="210"/>
      <c r="L435" s="443"/>
      <c r="M435" s="441">
        <v>1</v>
      </c>
      <c r="N435" s="441">
        <v>1</v>
      </c>
      <c r="O435" s="441">
        <v>1</v>
      </c>
      <c r="P435" s="441">
        <v>1</v>
      </c>
      <c r="Q435" s="441">
        <v>1</v>
      </c>
      <c r="R435" s="441">
        <v>1</v>
      </c>
      <c r="S435" s="441">
        <v>1</v>
      </c>
      <c r="T435" s="441">
        <v>1</v>
      </c>
      <c r="U435" s="441">
        <v>1</v>
      </c>
      <c r="V435" s="441">
        <v>1</v>
      </c>
      <c r="W435" s="441">
        <v>1</v>
      </c>
      <c r="X435" s="441">
        <v>1</v>
      </c>
      <c r="Y435" s="441">
        <v>1</v>
      </c>
      <c r="Z435" s="441">
        <v>1</v>
      </c>
      <c r="AA435" s="441">
        <v>1</v>
      </c>
      <c r="AB435" s="441">
        <f t="shared" si="42"/>
        <v>1</v>
      </c>
      <c r="AC435" s="441">
        <v>1</v>
      </c>
      <c r="AD435" s="441">
        <v>0</v>
      </c>
      <c r="AE435" s="441">
        <v>0</v>
      </c>
      <c r="AF435" s="441">
        <v>1</v>
      </c>
      <c r="AG435" s="441">
        <v>1</v>
      </c>
      <c r="AH435" s="441">
        <f t="shared" si="43"/>
        <v>1</v>
      </c>
      <c r="AI435" s="441">
        <v>1</v>
      </c>
      <c r="AJ435" s="441">
        <v>1</v>
      </c>
      <c r="AK435" s="394">
        <f t="shared" si="44"/>
        <v>1</v>
      </c>
      <c r="AL435" s="441">
        <v>1</v>
      </c>
      <c r="AM435" s="441">
        <v>1</v>
      </c>
      <c r="AN435" s="441">
        <v>1</v>
      </c>
      <c r="AO435" s="419"/>
      <c r="AP435" s="419"/>
      <c r="AQ435" s="419"/>
    </row>
    <row r="436" spans="1:43" x14ac:dyDescent="0.25">
      <c r="A436" s="395" t="s">
        <v>105</v>
      </c>
      <c r="B436" s="384" t="s">
        <v>106</v>
      </c>
      <c r="C436" s="384" t="s">
        <v>802</v>
      </c>
      <c r="D436" s="384" t="s">
        <v>840</v>
      </c>
      <c r="E436" s="405"/>
      <c r="F436" s="405"/>
      <c r="G436" s="405"/>
      <c r="H436" s="405"/>
      <c r="I436" t="s">
        <v>767</v>
      </c>
      <c r="J436" t="s">
        <v>128</v>
      </c>
      <c r="L436" s="442"/>
      <c r="M436" s="441">
        <v>0</v>
      </c>
      <c r="N436" s="441">
        <v>0.97746997462062457</v>
      </c>
      <c r="O436" s="441">
        <v>0</v>
      </c>
      <c r="P436" s="441">
        <v>1</v>
      </c>
      <c r="Q436" s="441">
        <v>0.91761269920224098</v>
      </c>
      <c r="R436" s="441">
        <v>0.98911494897970564</v>
      </c>
      <c r="S436" s="441">
        <v>0.86488336650638264</v>
      </c>
      <c r="T436" s="441">
        <v>1</v>
      </c>
      <c r="U436" s="441">
        <v>0.92151814722238579</v>
      </c>
      <c r="V436" s="441">
        <v>1</v>
      </c>
      <c r="W436" s="441">
        <v>0.98039369415507116</v>
      </c>
      <c r="X436" s="441">
        <v>2.3124951823017036E-3</v>
      </c>
      <c r="Y436" s="441">
        <v>0.97632565853112563</v>
      </c>
      <c r="Z436" s="441">
        <v>1</v>
      </c>
      <c r="AA436" s="441">
        <v>0.99094526941085137</v>
      </c>
      <c r="AB436" s="441">
        <f t="shared" si="42"/>
        <v>0.97699681936875804</v>
      </c>
      <c r="AC436" s="441">
        <v>0.97699681936875804</v>
      </c>
      <c r="AD436" s="441">
        <v>0</v>
      </c>
      <c r="AE436" s="441">
        <v>0</v>
      </c>
      <c r="AF436" s="441">
        <v>0.82304306063881782</v>
      </c>
      <c r="AG436" s="441">
        <v>0.98039369415507116</v>
      </c>
      <c r="AH436" s="441">
        <f t="shared" si="43"/>
        <v>0.98911494897970564</v>
      </c>
      <c r="AI436" s="441">
        <v>1</v>
      </c>
      <c r="AJ436" s="441">
        <v>0.99722430202992807</v>
      </c>
      <c r="AK436" s="394">
        <f t="shared" si="44"/>
        <v>0</v>
      </c>
      <c r="AL436" s="441">
        <v>0.99741138965982967</v>
      </c>
      <c r="AM436" s="441">
        <v>0.97275895935078094</v>
      </c>
      <c r="AN436" s="441">
        <v>0.99574328133040657</v>
      </c>
      <c r="AO436" s="419"/>
      <c r="AP436" s="419"/>
      <c r="AQ436" s="419"/>
    </row>
    <row r="437" spans="1:43" x14ac:dyDescent="0.25">
      <c r="A437" s="395" t="s">
        <v>105</v>
      </c>
      <c r="B437" s="384" t="s">
        <v>106</v>
      </c>
      <c r="C437" s="384" t="s">
        <v>802</v>
      </c>
      <c r="D437" s="384" t="s">
        <v>842</v>
      </c>
      <c r="E437" s="405"/>
      <c r="F437" s="405"/>
      <c r="G437" s="405"/>
      <c r="H437" s="405"/>
      <c r="I437" t="s">
        <v>770</v>
      </c>
      <c r="J437" t="s">
        <v>134</v>
      </c>
      <c r="L437" s="442"/>
      <c r="M437" s="441">
        <v>1</v>
      </c>
      <c r="N437" s="441">
        <v>1</v>
      </c>
      <c r="O437" s="441">
        <v>1</v>
      </c>
      <c r="P437" s="441">
        <v>1</v>
      </c>
      <c r="Q437" s="441">
        <v>1</v>
      </c>
      <c r="R437" s="441">
        <v>1</v>
      </c>
      <c r="S437" s="441">
        <v>0.99775548819489068</v>
      </c>
      <c r="T437" s="441">
        <v>1</v>
      </c>
      <c r="U437" s="441">
        <v>0.99858214504502074</v>
      </c>
      <c r="V437" s="441">
        <v>1</v>
      </c>
      <c r="W437" s="441">
        <v>1</v>
      </c>
      <c r="X437" s="441">
        <v>1</v>
      </c>
      <c r="Y437" s="441">
        <v>1</v>
      </c>
      <c r="Z437" s="441">
        <v>1</v>
      </c>
      <c r="AA437" s="441">
        <v>0.99996017570778672</v>
      </c>
      <c r="AB437" s="441">
        <f t="shared" si="42"/>
        <v>0.99805420114513055</v>
      </c>
      <c r="AC437" s="441">
        <v>0.99805420114513055</v>
      </c>
      <c r="AD437" s="441">
        <v>0</v>
      </c>
      <c r="AE437" s="441">
        <v>0</v>
      </c>
      <c r="AF437" s="441">
        <v>1</v>
      </c>
      <c r="AG437" s="441">
        <v>1</v>
      </c>
      <c r="AH437" s="441">
        <f t="shared" si="43"/>
        <v>1</v>
      </c>
      <c r="AI437" s="441">
        <v>1</v>
      </c>
      <c r="AJ437" s="441">
        <v>1</v>
      </c>
      <c r="AK437" s="394">
        <f t="shared" si="44"/>
        <v>1</v>
      </c>
      <c r="AL437" s="441">
        <v>1</v>
      </c>
      <c r="AM437" s="441">
        <v>1</v>
      </c>
      <c r="AN437" s="441">
        <v>0.98954412741826625</v>
      </c>
      <c r="AO437" s="419"/>
      <c r="AP437" s="419"/>
      <c r="AQ437" s="419"/>
    </row>
    <row r="438" spans="1:43" x14ac:dyDescent="0.25">
      <c r="A438" s="395" t="s">
        <v>105</v>
      </c>
      <c r="B438" s="384" t="s">
        <v>106</v>
      </c>
      <c r="C438" s="384" t="s">
        <v>802</v>
      </c>
      <c r="D438" s="384" t="s">
        <v>844</v>
      </c>
      <c r="G438" s="405"/>
      <c r="H438" s="405"/>
      <c r="I438" t="s">
        <v>772</v>
      </c>
      <c r="J438" t="s">
        <v>117</v>
      </c>
      <c r="L438" s="442"/>
      <c r="M438" s="441">
        <v>0</v>
      </c>
      <c r="N438" s="441">
        <v>0</v>
      </c>
      <c r="O438" s="441">
        <v>0</v>
      </c>
      <c r="P438" s="441">
        <v>0</v>
      </c>
      <c r="Q438" s="441">
        <v>0</v>
      </c>
      <c r="R438" s="441">
        <v>0</v>
      </c>
      <c r="S438" s="441">
        <v>0</v>
      </c>
      <c r="T438" s="441">
        <v>0</v>
      </c>
      <c r="U438" s="441">
        <v>0</v>
      </c>
      <c r="V438" s="441">
        <v>0</v>
      </c>
      <c r="W438" s="441">
        <v>0</v>
      </c>
      <c r="X438" s="441">
        <v>0</v>
      </c>
      <c r="Y438" s="441">
        <v>0</v>
      </c>
      <c r="Z438" s="441">
        <v>0</v>
      </c>
      <c r="AA438" s="441">
        <v>0</v>
      </c>
      <c r="AB438" s="441">
        <f t="shared" si="42"/>
        <v>0</v>
      </c>
      <c r="AC438" s="441">
        <v>0</v>
      </c>
      <c r="AD438" s="441">
        <v>0</v>
      </c>
      <c r="AE438" s="441">
        <v>0</v>
      </c>
      <c r="AF438" s="441">
        <v>0</v>
      </c>
      <c r="AG438" s="441">
        <v>0</v>
      </c>
      <c r="AH438" s="441">
        <f t="shared" si="43"/>
        <v>0</v>
      </c>
      <c r="AI438" s="441">
        <v>0</v>
      </c>
      <c r="AJ438" s="441">
        <v>0</v>
      </c>
      <c r="AK438" s="394">
        <f t="shared" si="44"/>
        <v>0</v>
      </c>
      <c r="AL438" s="441">
        <v>0</v>
      </c>
      <c r="AM438" s="441">
        <v>0</v>
      </c>
      <c r="AN438" s="441">
        <v>0</v>
      </c>
      <c r="AO438" s="419"/>
      <c r="AP438" s="419"/>
      <c r="AQ438" s="419"/>
    </row>
    <row r="439" spans="1:43" x14ac:dyDescent="0.25">
      <c r="A439" s="395" t="s">
        <v>105</v>
      </c>
      <c r="B439" s="384" t="s">
        <v>106</v>
      </c>
      <c r="C439" s="384" t="s">
        <v>802</v>
      </c>
      <c r="D439" s="384" t="s">
        <v>842</v>
      </c>
      <c r="G439" s="405"/>
      <c r="H439" s="405"/>
      <c r="I439" t="s">
        <v>770</v>
      </c>
      <c r="J439" t="s">
        <v>119</v>
      </c>
      <c r="L439" s="442"/>
      <c r="M439" s="441">
        <v>0</v>
      </c>
      <c r="N439" s="441">
        <v>0</v>
      </c>
      <c r="O439" s="441">
        <v>0</v>
      </c>
      <c r="P439" s="441">
        <v>0</v>
      </c>
      <c r="Q439" s="441">
        <v>0</v>
      </c>
      <c r="R439" s="441">
        <v>0</v>
      </c>
      <c r="S439" s="441">
        <v>2.244511805109321E-3</v>
      </c>
      <c r="T439" s="441">
        <v>0</v>
      </c>
      <c r="U439" s="441">
        <v>1.4178549549792524E-3</v>
      </c>
      <c r="V439" s="441">
        <v>0</v>
      </c>
      <c r="W439" s="441">
        <v>0</v>
      </c>
      <c r="X439" s="441">
        <v>0</v>
      </c>
      <c r="Y439" s="441">
        <v>0</v>
      </c>
      <c r="Z439" s="441">
        <v>0</v>
      </c>
      <c r="AA439" s="441">
        <v>3.9824292213258897E-5</v>
      </c>
      <c r="AB439" s="441">
        <f t="shared" si="42"/>
        <v>1.9457988548694542E-3</v>
      </c>
      <c r="AC439" s="441">
        <v>1.9457988548694542E-3</v>
      </c>
      <c r="AD439" s="441">
        <v>0</v>
      </c>
      <c r="AE439" s="441">
        <v>0</v>
      </c>
      <c r="AF439" s="441">
        <v>0</v>
      </c>
      <c r="AG439" s="441">
        <v>0</v>
      </c>
      <c r="AH439" s="441">
        <f t="shared" si="43"/>
        <v>0</v>
      </c>
      <c r="AI439" s="441">
        <v>0</v>
      </c>
      <c r="AJ439" s="441">
        <v>0</v>
      </c>
      <c r="AK439" s="394">
        <f t="shared" si="44"/>
        <v>0</v>
      </c>
      <c r="AL439" s="441">
        <v>0</v>
      </c>
      <c r="AM439" s="441">
        <v>0</v>
      </c>
      <c r="AN439" s="441">
        <v>1.045587258173373E-2</v>
      </c>
      <c r="AO439" s="419"/>
      <c r="AP439" s="419"/>
      <c r="AQ439" s="419"/>
    </row>
    <row r="440" spans="1:43" x14ac:dyDescent="0.25">
      <c r="A440" s="395" t="s">
        <v>105</v>
      </c>
      <c r="B440" s="384" t="s">
        <v>106</v>
      </c>
      <c r="C440" s="384" t="s">
        <v>802</v>
      </c>
      <c r="D440" s="384" t="s">
        <v>840</v>
      </c>
      <c r="G440" s="405"/>
      <c r="H440" s="405"/>
      <c r="I440" t="s">
        <v>767</v>
      </c>
      <c r="J440" t="s">
        <v>115</v>
      </c>
      <c r="L440" s="442"/>
      <c r="M440" s="441">
        <v>0</v>
      </c>
      <c r="N440" s="441">
        <v>0</v>
      </c>
      <c r="O440" s="441">
        <v>0</v>
      </c>
      <c r="P440" s="441">
        <v>0</v>
      </c>
      <c r="Q440" s="441">
        <v>3.7804839902260095E-3</v>
      </c>
      <c r="R440" s="441">
        <v>0</v>
      </c>
      <c r="S440" s="441">
        <v>0</v>
      </c>
      <c r="T440" s="441">
        <v>0</v>
      </c>
      <c r="U440" s="441">
        <v>0</v>
      </c>
      <c r="V440" s="441">
        <v>0</v>
      </c>
      <c r="W440" s="441">
        <v>0</v>
      </c>
      <c r="X440" s="441">
        <v>0</v>
      </c>
      <c r="Y440" s="441">
        <v>0</v>
      </c>
      <c r="Z440" s="441">
        <v>0</v>
      </c>
      <c r="AA440" s="441">
        <v>3.0120781616915814E-4</v>
      </c>
      <c r="AB440" s="441">
        <f t="shared" si="42"/>
        <v>9.7520092465061266E-4</v>
      </c>
      <c r="AC440" s="441">
        <v>9.7520092465061266E-4</v>
      </c>
      <c r="AD440" s="441">
        <v>0</v>
      </c>
      <c r="AE440" s="441">
        <v>0</v>
      </c>
      <c r="AF440" s="441">
        <v>0</v>
      </c>
      <c r="AG440" s="441">
        <v>0</v>
      </c>
      <c r="AH440" s="441">
        <f t="shared" si="43"/>
        <v>0</v>
      </c>
      <c r="AI440" s="441">
        <v>0</v>
      </c>
      <c r="AJ440" s="441">
        <v>0</v>
      </c>
      <c r="AK440" s="394">
        <f t="shared" si="44"/>
        <v>0</v>
      </c>
      <c r="AL440" s="441">
        <v>0</v>
      </c>
      <c r="AM440" s="441">
        <v>0</v>
      </c>
      <c r="AN440" s="441">
        <v>0</v>
      </c>
      <c r="AO440" s="419"/>
      <c r="AP440" s="419"/>
      <c r="AQ440" s="419"/>
    </row>
    <row r="441" spans="1:43" x14ac:dyDescent="0.25">
      <c r="A441" s="395" t="s">
        <v>105</v>
      </c>
      <c r="B441" s="384" t="s">
        <v>106</v>
      </c>
      <c r="C441" s="384" t="s">
        <v>802</v>
      </c>
      <c r="D441" s="384" t="s">
        <v>844</v>
      </c>
      <c r="G441" s="405"/>
      <c r="H441" s="405"/>
      <c r="I441" t="s">
        <v>772</v>
      </c>
      <c r="J441" t="s">
        <v>139</v>
      </c>
      <c r="L441" s="442"/>
      <c r="M441" s="441">
        <v>0</v>
      </c>
      <c r="N441" s="441">
        <v>0</v>
      </c>
      <c r="O441" s="441">
        <v>0</v>
      </c>
      <c r="P441" s="441">
        <v>0</v>
      </c>
      <c r="Q441" s="441">
        <v>0</v>
      </c>
      <c r="R441" s="441">
        <v>0</v>
      </c>
      <c r="S441" s="441">
        <v>0</v>
      </c>
      <c r="T441" s="441">
        <v>0</v>
      </c>
      <c r="U441" s="441">
        <v>0</v>
      </c>
      <c r="V441" s="441">
        <v>0</v>
      </c>
      <c r="W441" s="441">
        <v>0</v>
      </c>
      <c r="X441" s="441">
        <v>0</v>
      </c>
      <c r="Y441" s="441">
        <v>0</v>
      </c>
      <c r="Z441" s="441">
        <v>0</v>
      </c>
      <c r="AA441" s="441">
        <v>0</v>
      </c>
      <c r="AB441" s="441">
        <f t="shared" si="42"/>
        <v>0</v>
      </c>
      <c r="AC441" s="441">
        <v>0</v>
      </c>
      <c r="AD441" s="441">
        <v>0</v>
      </c>
      <c r="AE441" s="441">
        <v>0</v>
      </c>
      <c r="AF441" s="441">
        <v>0</v>
      </c>
      <c r="AG441" s="441">
        <v>0</v>
      </c>
      <c r="AH441" s="441">
        <f t="shared" si="43"/>
        <v>0</v>
      </c>
      <c r="AI441" s="441">
        <v>0</v>
      </c>
      <c r="AJ441" s="441">
        <v>0</v>
      </c>
      <c r="AK441" s="394">
        <f t="shared" si="44"/>
        <v>0</v>
      </c>
      <c r="AL441" s="441">
        <v>0</v>
      </c>
      <c r="AM441" s="441">
        <v>0</v>
      </c>
      <c r="AN441" s="441">
        <v>0</v>
      </c>
      <c r="AO441" s="419"/>
      <c r="AP441" s="419"/>
      <c r="AQ441" s="419"/>
    </row>
    <row r="442" spans="1:43" x14ac:dyDescent="0.25">
      <c r="A442" s="395" t="s">
        <v>105</v>
      </c>
      <c r="B442" s="384" t="s">
        <v>106</v>
      </c>
      <c r="C442" s="384" t="s">
        <v>802</v>
      </c>
      <c r="D442" s="384" t="s">
        <v>841</v>
      </c>
      <c r="G442" s="405"/>
      <c r="H442" s="405"/>
      <c r="I442" t="s">
        <v>768</v>
      </c>
      <c r="J442" t="s">
        <v>1701</v>
      </c>
      <c r="L442" s="442"/>
      <c r="M442" s="441">
        <v>0</v>
      </c>
      <c r="N442" s="441">
        <v>0</v>
      </c>
      <c r="O442" s="441">
        <v>0</v>
      </c>
      <c r="P442" s="441">
        <v>0</v>
      </c>
      <c r="Q442" s="441">
        <v>0</v>
      </c>
      <c r="R442" s="441">
        <v>0</v>
      </c>
      <c r="S442" s="441">
        <v>0</v>
      </c>
      <c r="T442" s="441">
        <v>0</v>
      </c>
      <c r="U442" s="441">
        <v>0</v>
      </c>
      <c r="V442" s="441">
        <v>0</v>
      </c>
      <c r="W442" s="441">
        <v>0</v>
      </c>
      <c r="X442" s="441">
        <v>0</v>
      </c>
      <c r="Y442" s="441">
        <v>0</v>
      </c>
      <c r="Z442" s="441">
        <v>0</v>
      </c>
      <c r="AA442" s="441">
        <v>0</v>
      </c>
      <c r="AB442" s="441">
        <f t="shared" si="42"/>
        <v>0</v>
      </c>
      <c r="AC442" s="441">
        <v>0</v>
      </c>
      <c r="AD442" s="441">
        <v>0</v>
      </c>
      <c r="AE442" s="441">
        <v>0</v>
      </c>
      <c r="AF442" s="441">
        <v>0</v>
      </c>
      <c r="AG442" s="441">
        <v>0</v>
      </c>
      <c r="AH442" s="441">
        <f t="shared" si="43"/>
        <v>0</v>
      </c>
      <c r="AI442" s="441">
        <v>0</v>
      </c>
      <c r="AJ442" s="441">
        <v>0</v>
      </c>
      <c r="AK442" s="394">
        <f t="shared" si="44"/>
        <v>0</v>
      </c>
      <c r="AL442" s="441">
        <v>0</v>
      </c>
      <c r="AM442" s="441">
        <v>0</v>
      </c>
      <c r="AN442" s="441">
        <v>0</v>
      </c>
      <c r="AO442" s="419"/>
      <c r="AP442" s="419"/>
      <c r="AQ442" s="419"/>
    </row>
    <row r="443" spans="1:43" x14ac:dyDescent="0.25">
      <c r="A443" s="395" t="s">
        <v>105</v>
      </c>
      <c r="B443" s="384" t="s">
        <v>106</v>
      </c>
      <c r="C443" s="384" t="s">
        <v>802</v>
      </c>
      <c r="D443" s="384" t="s">
        <v>839</v>
      </c>
      <c r="G443" s="405"/>
      <c r="H443" s="405"/>
      <c r="I443" t="s">
        <v>350</v>
      </c>
      <c r="J443" t="s">
        <v>137</v>
      </c>
      <c r="L443" s="442"/>
      <c r="M443" s="441">
        <v>0</v>
      </c>
      <c r="N443" s="441">
        <v>0</v>
      </c>
      <c r="O443" s="441">
        <v>0</v>
      </c>
      <c r="P443" s="441">
        <v>0</v>
      </c>
      <c r="Q443" s="441">
        <v>0</v>
      </c>
      <c r="R443" s="441">
        <v>0</v>
      </c>
      <c r="S443" s="441">
        <v>0</v>
      </c>
      <c r="T443" s="441">
        <v>0</v>
      </c>
      <c r="U443" s="441">
        <v>0</v>
      </c>
      <c r="V443" s="441">
        <v>0</v>
      </c>
      <c r="W443" s="441">
        <v>0</v>
      </c>
      <c r="X443" s="441">
        <v>0</v>
      </c>
      <c r="Y443" s="441">
        <v>0</v>
      </c>
      <c r="Z443" s="441">
        <v>0</v>
      </c>
      <c r="AA443" s="441">
        <v>0</v>
      </c>
      <c r="AB443" s="441">
        <f t="shared" si="42"/>
        <v>1.0565926842793377E-5</v>
      </c>
      <c r="AC443" s="441">
        <v>1.0565926842793377E-5</v>
      </c>
      <c r="AD443" s="441">
        <v>0</v>
      </c>
      <c r="AE443" s="441">
        <v>0</v>
      </c>
      <c r="AF443" s="441">
        <v>0</v>
      </c>
      <c r="AG443" s="441">
        <v>0</v>
      </c>
      <c r="AH443" s="441">
        <f t="shared" si="43"/>
        <v>0</v>
      </c>
      <c r="AI443" s="441">
        <v>0</v>
      </c>
      <c r="AJ443" s="441">
        <v>0</v>
      </c>
      <c r="AK443" s="394">
        <f t="shared" si="44"/>
        <v>0</v>
      </c>
      <c r="AL443" s="441">
        <v>0</v>
      </c>
      <c r="AM443" s="441">
        <v>0</v>
      </c>
      <c r="AN443" s="441">
        <v>0</v>
      </c>
      <c r="AO443" s="419"/>
      <c r="AP443" s="419"/>
      <c r="AQ443" s="419"/>
    </row>
    <row r="444" spans="1:43" x14ac:dyDescent="0.25">
      <c r="A444" s="395" t="s">
        <v>105</v>
      </c>
      <c r="B444" s="384" t="s">
        <v>106</v>
      </c>
      <c r="C444" s="384" t="s">
        <v>802</v>
      </c>
      <c r="D444" s="384" t="s">
        <v>839</v>
      </c>
      <c r="G444" s="405"/>
      <c r="H444" s="405"/>
      <c r="I444" t="s">
        <v>350</v>
      </c>
      <c r="J444" t="s">
        <v>126</v>
      </c>
      <c r="L444" s="442"/>
      <c r="M444" s="441">
        <v>0</v>
      </c>
      <c r="N444" s="441">
        <v>1</v>
      </c>
      <c r="O444" s="441">
        <v>1</v>
      </c>
      <c r="P444" s="441">
        <v>1</v>
      </c>
      <c r="Q444" s="441">
        <v>1</v>
      </c>
      <c r="R444" s="441">
        <v>1</v>
      </c>
      <c r="S444" s="441">
        <v>1</v>
      </c>
      <c r="T444" s="441">
        <v>0</v>
      </c>
      <c r="U444" s="441">
        <v>1</v>
      </c>
      <c r="V444" s="441">
        <v>1</v>
      </c>
      <c r="W444" s="441">
        <v>1</v>
      </c>
      <c r="X444" s="441">
        <v>0</v>
      </c>
      <c r="Y444" s="441">
        <v>1</v>
      </c>
      <c r="Z444" s="441">
        <v>1</v>
      </c>
      <c r="AA444" s="441">
        <v>1</v>
      </c>
      <c r="AB444" s="441">
        <f t="shared" si="42"/>
        <v>0.99998943407315721</v>
      </c>
      <c r="AC444" s="441">
        <v>0.99998943407315721</v>
      </c>
      <c r="AD444" s="441">
        <v>0</v>
      </c>
      <c r="AE444" s="441">
        <v>0</v>
      </c>
      <c r="AF444" s="441">
        <v>1</v>
      </c>
      <c r="AG444" s="441">
        <v>1</v>
      </c>
      <c r="AH444" s="441">
        <f t="shared" si="43"/>
        <v>1</v>
      </c>
      <c r="AI444" s="441">
        <v>1</v>
      </c>
      <c r="AJ444" s="441">
        <v>1</v>
      </c>
      <c r="AK444" s="394">
        <f t="shared" si="44"/>
        <v>0</v>
      </c>
      <c r="AL444" s="441">
        <v>1</v>
      </c>
      <c r="AM444" s="441">
        <v>1</v>
      </c>
      <c r="AN444" s="441">
        <v>1</v>
      </c>
      <c r="AO444" s="419"/>
      <c r="AP444" s="419"/>
      <c r="AQ444" s="419"/>
    </row>
    <row r="445" spans="1:43" x14ac:dyDescent="0.25">
      <c r="A445" s="395" t="s">
        <v>105</v>
      </c>
      <c r="B445" s="384" t="s">
        <v>106</v>
      </c>
      <c r="C445" s="384" t="s">
        <v>802</v>
      </c>
      <c r="D445" s="384" t="s">
        <v>841</v>
      </c>
      <c r="G445" s="405"/>
      <c r="H445" s="405"/>
      <c r="I445" t="s">
        <v>768</v>
      </c>
      <c r="J445" t="s">
        <v>130</v>
      </c>
      <c r="L445" s="442"/>
      <c r="M445" s="441">
        <v>0</v>
      </c>
      <c r="N445" s="441">
        <v>0</v>
      </c>
      <c r="O445" s="441">
        <v>0</v>
      </c>
      <c r="P445" s="441">
        <v>0</v>
      </c>
      <c r="Q445" s="441">
        <v>0</v>
      </c>
      <c r="R445" s="441">
        <v>0</v>
      </c>
      <c r="S445" s="441">
        <v>0</v>
      </c>
      <c r="T445" s="441">
        <v>0</v>
      </c>
      <c r="U445" s="441">
        <v>0</v>
      </c>
      <c r="V445" s="441">
        <v>0</v>
      </c>
      <c r="W445" s="441">
        <v>0</v>
      </c>
      <c r="X445" s="441">
        <v>0</v>
      </c>
      <c r="Y445" s="441">
        <v>0</v>
      </c>
      <c r="Z445" s="441">
        <v>0</v>
      </c>
      <c r="AA445" s="441">
        <v>0</v>
      </c>
      <c r="AB445" s="441">
        <f t="shared" si="42"/>
        <v>0</v>
      </c>
      <c r="AC445" s="441">
        <v>0</v>
      </c>
      <c r="AD445" s="441">
        <v>0</v>
      </c>
      <c r="AE445" s="441">
        <v>0</v>
      </c>
      <c r="AF445" s="441">
        <v>0</v>
      </c>
      <c r="AG445" s="441">
        <v>0</v>
      </c>
      <c r="AH445" s="441">
        <f t="shared" si="43"/>
        <v>0</v>
      </c>
      <c r="AI445" s="441">
        <v>0</v>
      </c>
      <c r="AJ445" s="441">
        <v>0</v>
      </c>
      <c r="AK445" s="394">
        <f t="shared" si="44"/>
        <v>0</v>
      </c>
      <c r="AL445" s="441">
        <v>0</v>
      </c>
      <c r="AM445" s="441">
        <v>0</v>
      </c>
      <c r="AN445" s="441">
        <v>0</v>
      </c>
      <c r="AO445" s="419"/>
      <c r="AP445" s="419"/>
      <c r="AQ445" s="419"/>
    </row>
    <row r="446" spans="1:43" x14ac:dyDescent="0.25">
      <c r="A446" s="395" t="s">
        <v>105</v>
      </c>
      <c r="B446" s="384" t="s">
        <v>106</v>
      </c>
      <c r="C446" s="384" t="s">
        <v>802</v>
      </c>
      <c r="D446" s="384" t="s">
        <v>840</v>
      </c>
      <c r="G446" s="405"/>
      <c r="H446" s="405"/>
      <c r="I446" t="s">
        <v>767</v>
      </c>
      <c r="J446" t="s">
        <v>132</v>
      </c>
      <c r="L446" s="442"/>
      <c r="M446" s="441">
        <v>0</v>
      </c>
      <c r="N446" s="441">
        <v>2.253002537937546E-2</v>
      </c>
      <c r="O446" s="441">
        <v>0</v>
      </c>
      <c r="P446" s="441">
        <v>0</v>
      </c>
      <c r="Q446" s="441">
        <v>7.8606816807532842E-2</v>
      </c>
      <c r="R446" s="441">
        <v>1.0885051020294327E-2</v>
      </c>
      <c r="S446" s="441">
        <v>0.13511663349361738</v>
      </c>
      <c r="T446" s="441">
        <v>0</v>
      </c>
      <c r="U446" s="441">
        <v>7.8481852777614228E-2</v>
      </c>
      <c r="V446" s="441">
        <v>0</v>
      </c>
      <c r="W446" s="441">
        <v>1.9606305844928881E-2</v>
      </c>
      <c r="X446" s="441">
        <v>0.9976875048176983</v>
      </c>
      <c r="Y446" s="441">
        <v>2.3674341468874389E-2</v>
      </c>
      <c r="Z446" s="441">
        <v>0</v>
      </c>
      <c r="AA446" s="441">
        <v>8.7535227729794701E-3</v>
      </c>
      <c r="AB446" s="441">
        <f t="shared" si="42"/>
        <v>2.2027979706591275E-2</v>
      </c>
      <c r="AC446" s="441">
        <v>2.2027979706591275E-2</v>
      </c>
      <c r="AD446" s="441">
        <v>0</v>
      </c>
      <c r="AE446" s="441">
        <v>0</v>
      </c>
      <c r="AF446" s="441">
        <v>0.17695693936118218</v>
      </c>
      <c r="AG446" s="441">
        <v>1.9606305844928881E-2</v>
      </c>
      <c r="AH446" s="441">
        <f t="shared" si="43"/>
        <v>1.0885051020294327E-2</v>
      </c>
      <c r="AI446" s="441">
        <v>0</v>
      </c>
      <c r="AJ446" s="441">
        <v>2.77569797007196E-3</v>
      </c>
      <c r="AK446" s="394">
        <f t="shared" si="44"/>
        <v>0</v>
      </c>
      <c r="AL446" s="441">
        <v>2.5886103401703848E-3</v>
      </c>
      <c r="AM446" s="441">
        <v>2.7241040649219075E-2</v>
      </c>
      <c r="AN446" s="441">
        <v>4.2567186695933821E-3</v>
      </c>
      <c r="AO446" s="419"/>
      <c r="AP446" s="419"/>
      <c r="AQ446" s="419"/>
    </row>
    <row r="447" spans="1:43" x14ac:dyDescent="0.25">
      <c r="A447" s="395" t="s">
        <v>105</v>
      </c>
      <c r="B447" s="384" t="s">
        <v>106</v>
      </c>
      <c r="C447" s="384" t="s">
        <v>804</v>
      </c>
      <c r="D447" s="384" t="s">
        <v>849</v>
      </c>
      <c r="E447" s="405" t="s">
        <v>105</v>
      </c>
      <c r="F447" s="405" t="s">
        <v>106</v>
      </c>
      <c r="G447" s="405" t="s">
        <v>805</v>
      </c>
      <c r="H447" s="405"/>
      <c r="I447" t="s">
        <v>331</v>
      </c>
      <c r="J447" t="s">
        <v>120</v>
      </c>
      <c r="K447" s="210"/>
      <c r="L447" s="443"/>
      <c r="M447" s="441">
        <v>1</v>
      </c>
      <c r="N447" s="441">
        <v>1</v>
      </c>
      <c r="O447" s="441">
        <v>1</v>
      </c>
      <c r="P447" s="441">
        <v>1</v>
      </c>
      <c r="Q447" s="441">
        <v>1</v>
      </c>
      <c r="R447" s="441">
        <v>1</v>
      </c>
      <c r="S447" s="441">
        <v>1</v>
      </c>
      <c r="T447" s="441">
        <v>1</v>
      </c>
      <c r="U447" s="441">
        <v>1</v>
      </c>
      <c r="V447" s="441">
        <v>1</v>
      </c>
      <c r="W447" s="441">
        <v>1</v>
      </c>
      <c r="X447" s="441">
        <v>1</v>
      </c>
      <c r="Y447" s="441">
        <v>1</v>
      </c>
      <c r="Z447" s="441">
        <v>1</v>
      </c>
      <c r="AA447" s="441">
        <v>1</v>
      </c>
      <c r="AB447" s="441">
        <f t="shared" si="42"/>
        <v>1</v>
      </c>
      <c r="AC447" s="441">
        <v>1</v>
      </c>
      <c r="AD447" s="441">
        <v>0</v>
      </c>
      <c r="AE447" s="441">
        <v>0</v>
      </c>
      <c r="AF447" s="441">
        <v>1</v>
      </c>
      <c r="AG447" s="441">
        <v>1</v>
      </c>
      <c r="AH447" s="441">
        <f t="shared" si="43"/>
        <v>1</v>
      </c>
      <c r="AI447" s="441">
        <v>1</v>
      </c>
      <c r="AJ447" s="441">
        <v>1</v>
      </c>
      <c r="AK447" s="394">
        <f t="shared" si="44"/>
        <v>1</v>
      </c>
      <c r="AL447" s="441">
        <v>1</v>
      </c>
      <c r="AM447" s="441">
        <v>1</v>
      </c>
      <c r="AN447" s="441">
        <v>1</v>
      </c>
      <c r="AO447" s="419"/>
      <c r="AP447" s="419"/>
      <c r="AQ447" s="419"/>
    </row>
    <row r="448" spans="1:43" x14ac:dyDescent="0.25">
      <c r="A448" s="395" t="s">
        <v>105</v>
      </c>
      <c r="B448" s="384" t="s">
        <v>106</v>
      </c>
      <c r="C448" s="384" t="s">
        <v>804</v>
      </c>
      <c r="D448" s="384" t="s">
        <v>846</v>
      </c>
      <c r="E448" s="405"/>
      <c r="F448" s="405"/>
      <c r="G448" s="405"/>
      <c r="H448" s="405"/>
      <c r="I448" t="s">
        <v>767</v>
      </c>
      <c r="J448" t="s">
        <v>128</v>
      </c>
      <c r="L448" s="442"/>
      <c r="M448" s="441">
        <v>0</v>
      </c>
      <c r="N448" s="441">
        <v>0.97746997462062457</v>
      </c>
      <c r="O448" s="441">
        <v>0</v>
      </c>
      <c r="P448" s="441">
        <v>1</v>
      </c>
      <c r="Q448" s="441">
        <v>0.91761269920224098</v>
      </c>
      <c r="R448" s="441">
        <v>0.98911494897970564</v>
      </c>
      <c r="S448" s="441">
        <v>0.86488336650638264</v>
      </c>
      <c r="T448" s="441">
        <v>1</v>
      </c>
      <c r="U448" s="441">
        <v>0.92151814722238579</v>
      </c>
      <c r="V448" s="441">
        <v>1</v>
      </c>
      <c r="W448" s="441">
        <v>0.98039369415507116</v>
      </c>
      <c r="X448" s="441">
        <v>2.3124951823017036E-3</v>
      </c>
      <c r="Y448" s="441">
        <v>0.97632565853112563</v>
      </c>
      <c r="Z448" s="441">
        <v>1</v>
      </c>
      <c r="AA448" s="441">
        <v>0.99094526941085137</v>
      </c>
      <c r="AB448" s="441">
        <f t="shared" si="42"/>
        <v>0.97699681936875804</v>
      </c>
      <c r="AC448" s="441">
        <v>0.97699681936875804</v>
      </c>
      <c r="AD448" s="441">
        <v>0</v>
      </c>
      <c r="AE448" s="441">
        <v>0</v>
      </c>
      <c r="AF448" s="441">
        <v>0.82304306063881782</v>
      </c>
      <c r="AG448" s="441">
        <v>0.98039369415507116</v>
      </c>
      <c r="AH448" s="441">
        <f t="shared" si="43"/>
        <v>0.98911494897970564</v>
      </c>
      <c r="AI448" s="441">
        <v>1</v>
      </c>
      <c r="AJ448" s="441">
        <v>0.99722430202992807</v>
      </c>
      <c r="AK448" s="394">
        <f t="shared" si="44"/>
        <v>0</v>
      </c>
      <c r="AL448" s="441">
        <v>0.99741138965982967</v>
      </c>
      <c r="AM448" s="441">
        <v>0.97275895935078094</v>
      </c>
      <c r="AN448" s="441">
        <v>0.99574328133040657</v>
      </c>
      <c r="AO448" s="419"/>
      <c r="AP448" s="419"/>
      <c r="AQ448" s="419"/>
    </row>
    <row r="449" spans="1:43" x14ac:dyDescent="0.25">
      <c r="A449" s="395" t="s">
        <v>105</v>
      </c>
      <c r="B449" s="384" t="s">
        <v>106</v>
      </c>
      <c r="C449" s="384" t="s">
        <v>804</v>
      </c>
      <c r="D449" s="384" t="s">
        <v>848</v>
      </c>
      <c r="E449" s="405"/>
      <c r="F449" s="405"/>
      <c r="G449" s="405"/>
      <c r="H449" s="405"/>
      <c r="I449" t="s">
        <v>770</v>
      </c>
      <c r="J449" t="s">
        <v>134</v>
      </c>
      <c r="L449" s="442"/>
      <c r="M449" s="441">
        <v>1</v>
      </c>
      <c r="N449" s="441">
        <v>1</v>
      </c>
      <c r="O449" s="441">
        <v>1</v>
      </c>
      <c r="P449" s="441">
        <v>1</v>
      </c>
      <c r="Q449" s="441">
        <v>1</v>
      </c>
      <c r="R449" s="441">
        <v>1</v>
      </c>
      <c r="S449" s="441">
        <v>0.99775548819489068</v>
      </c>
      <c r="T449" s="441">
        <v>1</v>
      </c>
      <c r="U449" s="441">
        <v>0.99858214504502074</v>
      </c>
      <c r="V449" s="441">
        <v>1</v>
      </c>
      <c r="W449" s="441">
        <v>1</v>
      </c>
      <c r="X449" s="441">
        <v>1</v>
      </c>
      <c r="Y449" s="441">
        <v>1</v>
      </c>
      <c r="Z449" s="441">
        <v>1</v>
      </c>
      <c r="AA449" s="441">
        <v>0.99996017570778672</v>
      </c>
      <c r="AB449" s="441">
        <f t="shared" si="42"/>
        <v>0.99805420114513055</v>
      </c>
      <c r="AC449" s="441">
        <v>0.99805420114513055</v>
      </c>
      <c r="AD449" s="441">
        <v>0</v>
      </c>
      <c r="AE449" s="441">
        <v>0</v>
      </c>
      <c r="AF449" s="441">
        <v>1</v>
      </c>
      <c r="AG449" s="441">
        <v>1</v>
      </c>
      <c r="AH449" s="441">
        <f t="shared" si="43"/>
        <v>1</v>
      </c>
      <c r="AI449" s="441">
        <v>1</v>
      </c>
      <c r="AJ449" s="441">
        <v>1</v>
      </c>
      <c r="AK449" s="394">
        <f t="shared" si="44"/>
        <v>1</v>
      </c>
      <c r="AL449" s="441">
        <v>1</v>
      </c>
      <c r="AM449" s="441">
        <v>1</v>
      </c>
      <c r="AN449" s="441">
        <v>0.98954412741826625</v>
      </c>
      <c r="AO449" s="419"/>
      <c r="AP449" s="419"/>
      <c r="AQ449" s="419"/>
    </row>
    <row r="450" spans="1:43" x14ac:dyDescent="0.25">
      <c r="A450" s="395" t="s">
        <v>105</v>
      </c>
      <c r="B450" s="384" t="s">
        <v>106</v>
      </c>
      <c r="C450" s="384" t="s">
        <v>804</v>
      </c>
      <c r="D450" s="384" t="s">
        <v>850</v>
      </c>
      <c r="G450" s="405"/>
      <c r="H450" s="405"/>
      <c r="I450" t="s">
        <v>772</v>
      </c>
      <c r="J450" t="s">
        <v>117</v>
      </c>
      <c r="L450" s="442"/>
      <c r="M450" s="441">
        <v>0</v>
      </c>
      <c r="N450" s="441">
        <v>0</v>
      </c>
      <c r="O450" s="441">
        <v>0</v>
      </c>
      <c r="P450" s="441">
        <v>0</v>
      </c>
      <c r="Q450" s="441">
        <v>0</v>
      </c>
      <c r="R450" s="441">
        <v>0</v>
      </c>
      <c r="S450" s="441">
        <v>0</v>
      </c>
      <c r="T450" s="441">
        <v>0</v>
      </c>
      <c r="U450" s="441">
        <v>0</v>
      </c>
      <c r="V450" s="441">
        <v>0</v>
      </c>
      <c r="W450" s="441">
        <v>0</v>
      </c>
      <c r="X450" s="441">
        <v>0</v>
      </c>
      <c r="Y450" s="441">
        <v>0</v>
      </c>
      <c r="Z450" s="441">
        <v>0</v>
      </c>
      <c r="AA450" s="441">
        <v>0</v>
      </c>
      <c r="AB450" s="441">
        <f t="shared" si="42"/>
        <v>0</v>
      </c>
      <c r="AC450" s="441">
        <v>0</v>
      </c>
      <c r="AD450" s="441">
        <v>0</v>
      </c>
      <c r="AE450" s="441">
        <v>0</v>
      </c>
      <c r="AF450" s="441">
        <v>0</v>
      </c>
      <c r="AG450" s="441">
        <v>0</v>
      </c>
      <c r="AH450" s="441">
        <f t="shared" si="43"/>
        <v>0</v>
      </c>
      <c r="AI450" s="441">
        <v>0</v>
      </c>
      <c r="AJ450" s="441">
        <v>0</v>
      </c>
      <c r="AK450" s="394">
        <f t="shared" si="44"/>
        <v>0</v>
      </c>
      <c r="AL450" s="441">
        <v>0</v>
      </c>
      <c r="AM450" s="441">
        <v>0</v>
      </c>
      <c r="AN450" s="441">
        <v>0</v>
      </c>
      <c r="AO450" s="419"/>
      <c r="AP450" s="419"/>
      <c r="AQ450" s="419"/>
    </row>
    <row r="451" spans="1:43" x14ac:dyDescent="0.25">
      <c r="A451" s="395" t="s">
        <v>105</v>
      </c>
      <c r="B451" s="384" t="s">
        <v>106</v>
      </c>
      <c r="C451" s="384" t="s">
        <v>804</v>
      </c>
      <c r="D451" s="384" t="s">
        <v>848</v>
      </c>
      <c r="G451" s="405"/>
      <c r="H451" s="405"/>
      <c r="I451" t="s">
        <v>770</v>
      </c>
      <c r="J451" t="s">
        <v>119</v>
      </c>
      <c r="L451" s="442"/>
      <c r="M451" s="441">
        <v>0</v>
      </c>
      <c r="N451" s="441">
        <v>0</v>
      </c>
      <c r="O451" s="441">
        <v>0</v>
      </c>
      <c r="P451" s="441">
        <v>0</v>
      </c>
      <c r="Q451" s="441">
        <v>0</v>
      </c>
      <c r="R451" s="441">
        <v>0</v>
      </c>
      <c r="S451" s="441">
        <v>2.244511805109321E-3</v>
      </c>
      <c r="T451" s="441">
        <v>0</v>
      </c>
      <c r="U451" s="441">
        <v>1.4178549549792524E-3</v>
      </c>
      <c r="V451" s="441">
        <v>0</v>
      </c>
      <c r="W451" s="441">
        <v>0</v>
      </c>
      <c r="X451" s="441">
        <v>0</v>
      </c>
      <c r="Y451" s="441">
        <v>0</v>
      </c>
      <c r="Z451" s="441">
        <v>0</v>
      </c>
      <c r="AA451" s="441">
        <v>3.9824292213258897E-5</v>
      </c>
      <c r="AB451" s="441">
        <f t="shared" ref="AB451:AB498" si="45">AC451</f>
        <v>1.9457988548694542E-3</v>
      </c>
      <c r="AC451" s="441">
        <v>1.9457988548694542E-3</v>
      </c>
      <c r="AD451" s="441">
        <v>0</v>
      </c>
      <c r="AE451" s="441">
        <v>0</v>
      </c>
      <c r="AF451" s="441">
        <v>0</v>
      </c>
      <c r="AG451" s="441">
        <v>0</v>
      </c>
      <c r="AH451" s="441">
        <f t="shared" ref="AH451:AH498" si="46">R451</f>
        <v>0</v>
      </c>
      <c r="AI451" s="441">
        <v>0</v>
      </c>
      <c r="AJ451" s="441">
        <v>0</v>
      </c>
      <c r="AK451" s="394">
        <f t="shared" ref="AK451:AK498" si="47">M451</f>
        <v>0</v>
      </c>
      <c r="AL451" s="441">
        <v>0</v>
      </c>
      <c r="AM451" s="441">
        <v>0</v>
      </c>
      <c r="AN451" s="441">
        <v>1.045587258173373E-2</v>
      </c>
      <c r="AO451" s="419"/>
      <c r="AP451" s="419"/>
      <c r="AQ451" s="419"/>
    </row>
    <row r="452" spans="1:43" x14ac:dyDescent="0.25">
      <c r="A452" s="395" t="s">
        <v>105</v>
      </c>
      <c r="B452" s="384" t="s">
        <v>106</v>
      </c>
      <c r="C452" s="384" t="s">
        <v>804</v>
      </c>
      <c r="D452" s="384" t="s">
        <v>846</v>
      </c>
      <c r="G452" s="405"/>
      <c r="H452" s="405"/>
      <c r="I452" t="s">
        <v>767</v>
      </c>
      <c r="J452" t="s">
        <v>115</v>
      </c>
      <c r="L452" s="442"/>
      <c r="M452" s="441">
        <v>0</v>
      </c>
      <c r="N452" s="441">
        <v>0</v>
      </c>
      <c r="O452" s="441">
        <v>0</v>
      </c>
      <c r="P452" s="441">
        <v>0</v>
      </c>
      <c r="Q452" s="441">
        <v>3.7804839902260095E-3</v>
      </c>
      <c r="R452" s="441">
        <v>0</v>
      </c>
      <c r="S452" s="441">
        <v>0</v>
      </c>
      <c r="T452" s="441">
        <v>0</v>
      </c>
      <c r="U452" s="441">
        <v>0</v>
      </c>
      <c r="V452" s="441">
        <v>0</v>
      </c>
      <c r="W452" s="441">
        <v>0</v>
      </c>
      <c r="X452" s="441">
        <v>0</v>
      </c>
      <c r="Y452" s="441">
        <v>0</v>
      </c>
      <c r="Z452" s="441">
        <v>0</v>
      </c>
      <c r="AA452" s="441">
        <v>3.0120781616915814E-4</v>
      </c>
      <c r="AB452" s="441">
        <f t="shared" si="45"/>
        <v>9.7520092465061266E-4</v>
      </c>
      <c r="AC452" s="441">
        <v>9.7520092465061266E-4</v>
      </c>
      <c r="AD452" s="441">
        <v>0</v>
      </c>
      <c r="AE452" s="441">
        <v>0</v>
      </c>
      <c r="AF452" s="441">
        <v>0</v>
      </c>
      <c r="AG452" s="441">
        <v>0</v>
      </c>
      <c r="AH452" s="441">
        <f t="shared" si="46"/>
        <v>0</v>
      </c>
      <c r="AI452" s="441">
        <v>0</v>
      </c>
      <c r="AJ452" s="441">
        <v>0</v>
      </c>
      <c r="AK452" s="394">
        <f t="shared" si="47"/>
        <v>0</v>
      </c>
      <c r="AL452" s="441">
        <v>0</v>
      </c>
      <c r="AM452" s="441">
        <v>0</v>
      </c>
      <c r="AN452" s="441">
        <v>0</v>
      </c>
      <c r="AO452" s="419"/>
      <c r="AP452" s="419"/>
      <c r="AQ452" s="419"/>
    </row>
    <row r="453" spans="1:43" x14ac:dyDescent="0.25">
      <c r="A453" s="395" t="s">
        <v>105</v>
      </c>
      <c r="B453" s="384" t="s">
        <v>106</v>
      </c>
      <c r="C453" s="384" t="s">
        <v>804</v>
      </c>
      <c r="D453" s="384" t="s">
        <v>850</v>
      </c>
      <c r="G453" s="405"/>
      <c r="H453" s="405"/>
      <c r="I453" t="s">
        <v>772</v>
      </c>
      <c r="J453" t="s">
        <v>139</v>
      </c>
      <c r="L453" s="442"/>
      <c r="M453" s="441">
        <v>0</v>
      </c>
      <c r="N453" s="441">
        <v>0</v>
      </c>
      <c r="O453" s="441">
        <v>0</v>
      </c>
      <c r="P453" s="441">
        <v>0</v>
      </c>
      <c r="Q453" s="441">
        <v>0</v>
      </c>
      <c r="R453" s="441">
        <v>0</v>
      </c>
      <c r="S453" s="441">
        <v>0</v>
      </c>
      <c r="T453" s="441">
        <v>0</v>
      </c>
      <c r="U453" s="441">
        <v>0</v>
      </c>
      <c r="V453" s="441">
        <v>0</v>
      </c>
      <c r="W453" s="441">
        <v>0</v>
      </c>
      <c r="X453" s="441">
        <v>0</v>
      </c>
      <c r="Y453" s="441">
        <v>0</v>
      </c>
      <c r="Z453" s="441">
        <v>0</v>
      </c>
      <c r="AA453" s="441">
        <v>0</v>
      </c>
      <c r="AB453" s="441">
        <f t="shared" si="45"/>
        <v>0</v>
      </c>
      <c r="AC453" s="441">
        <v>0</v>
      </c>
      <c r="AD453" s="441">
        <v>0</v>
      </c>
      <c r="AE453" s="441">
        <v>0</v>
      </c>
      <c r="AF453" s="441">
        <v>0</v>
      </c>
      <c r="AG453" s="441">
        <v>0</v>
      </c>
      <c r="AH453" s="441">
        <f t="shared" si="46"/>
        <v>0</v>
      </c>
      <c r="AI453" s="441">
        <v>0</v>
      </c>
      <c r="AJ453" s="441">
        <v>0</v>
      </c>
      <c r="AK453" s="394">
        <f t="shared" si="47"/>
        <v>0</v>
      </c>
      <c r="AL453" s="441">
        <v>0</v>
      </c>
      <c r="AM453" s="441">
        <v>0</v>
      </c>
      <c r="AN453" s="441">
        <v>0</v>
      </c>
      <c r="AO453" s="419"/>
      <c r="AP453" s="419"/>
      <c r="AQ453" s="419"/>
    </row>
    <row r="454" spans="1:43" x14ac:dyDescent="0.25">
      <c r="A454" s="395" t="s">
        <v>105</v>
      </c>
      <c r="B454" s="384" t="s">
        <v>106</v>
      </c>
      <c r="C454" s="384" t="s">
        <v>804</v>
      </c>
      <c r="D454" s="384" t="s">
        <v>847</v>
      </c>
      <c r="G454" s="405"/>
      <c r="H454" s="405"/>
      <c r="I454" t="s">
        <v>768</v>
      </c>
      <c r="J454" t="s">
        <v>1701</v>
      </c>
      <c r="L454" s="442"/>
      <c r="M454" s="441">
        <v>0</v>
      </c>
      <c r="N454" s="441">
        <v>0</v>
      </c>
      <c r="O454" s="441">
        <v>0</v>
      </c>
      <c r="P454" s="441">
        <v>0</v>
      </c>
      <c r="Q454" s="441">
        <v>0</v>
      </c>
      <c r="R454" s="441">
        <v>0</v>
      </c>
      <c r="S454" s="441">
        <v>0</v>
      </c>
      <c r="T454" s="441">
        <v>0</v>
      </c>
      <c r="U454" s="441">
        <v>0</v>
      </c>
      <c r="V454" s="441">
        <v>0</v>
      </c>
      <c r="W454" s="441">
        <v>0</v>
      </c>
      <c r="X454" s="441">
        <v>0</v>
      </c>
      <c r="Y454" s="441">
        <v>0</v>
      </c>
      <c r="Z454" s="441">
        <v>0</v>
      </c>
      <c r="AA454" s="441">
        <v>0</v>
      </c>
      <c r="AB454" s="441">
        <f t="shared" si="45"/>
        <v>0</v>
      </c>
      <c r="AC454" s="441">
        <v>0</v>
      </c>
      <c r="AD454" s="441">
        <v>0</v>
      </c>
      <c r="AE454" s="441">
        <v>0</v>
      </c>
      <c r="AF454" s="441">
        <v>0</v>
      </c>
      <c r="AG454" s="441">
        <v>0</v>
      </c>
      <c r="AH454" s="441">
        <f t="shared" si="46"/>
        <v>0</v>
      </c>
      <c r="AI454" s="441">
        <v>0</v>
      </c>
      <c r="AJ454" s="441">
        <v>0</v>
      </c>
      <c r="AK454" s="394">
        <f t="shared" si="47"/>
        <v>0</v>
      </c>
      <c r="AL454" s="441">
        <v>0</v>
      </c>
      <c r="AM454" s="441">
        <v>0</v>
      </c>
      <c r="AN454" s="441">
        <v>0</v>
      </c>
      <c r="AO454" s="419"/>
      <c r="AP454" s="419"/>
      <c r="AQ454" s="419"/>
    </row>
    <row r="455" spans="1:43" x14ac:dyDescent="0.25">
      <c r="A455" s="395" t="s">
        <v>105</v>
      </c>
      <c r="B455" s="384" t="s">
        <v>106</v>
      </c>
      <c r="C455" s="384" t="s">
        <v>804</v>
      </c>
      <c r="D455" s="384" t="s">
        <v>845</v>
      </c>
      <c r="G455" s="405"/>
      <c r="H455" s="405"/>
      <c r="I455" t="s">
        <v>350</v>
      </c>
      <c r="J455" t="s">
        <v>137</v>
      </c>
      <c r="L455" s="442"/>
      <c r="M455" s="441">
        <v>0</v>
      </c>
      <c r="N455" s="441">
        <v>0</v>
      </c>
      <c r="O455" s="441">
        <v>0</v>
      </c>
      <c r="P455" s="441">
        <v>0</v>
      </c>
      <c r="Q455" s="441">
        <v>0</v>
      </c>
      <c r="R455" s="441">
        <v>0</v>
      </c>
      <c r="S455" s="441">
        <v>0</v>
      </c>
      <c r="T455" s="441">
        <v>0</v>
      </c>
      <c r="U455" s="441">
        <v>0</v>
      </c>
      <c r="V455" s="441">
        <v>0</v>
      </c>
      <c r="W455" s="441">
        <v>0</v>
      </c>
      <c r="X455" s="441">
        <v>0</v>
      </c>
      <c r="Y455" s="441">
        <v>0</v>
      </c>
      <c r="Z455" s="441">
        <v>0</v>
      </c>
      <c r="AA455" s="441">
        <v>0</v>
      </c>
      <c r="AB455" s="441">
        <f t="shared" si="45"/>
        <v>1.0565926842793377E-5</v>
      </c>
      <c r="AC455" s="441">
        <v>1.0565926842793377E-5</v>
      </c>
      <c r="AD455" s="441">
        <v>0</v>
      </c>
      <c r="AE455" s="441">
        <v>0</v>
      </c>
      <c r="AF455" s="441">
        <v>0</v>
      </c>
      <c r="AG455" s="441">
        <v>0</v>
      </c>
      <c r="AH455" s="441">
        <f t="shared" si="46"/>
        <v>0</v>
      </c>
      <c r="AI455" s="441">
        <v>0</v>
      </c>
      <c r="AJ455" s="441">
        <v>0</v>
      </c>
      <c r="AK455" s="394">
        <f t="shared" si="47"/>
        <v>0</v>
      </c>
      <c r="AL455" s="441">
        <v>0</v>
      </c>
      <c r="AM455" s="441">
        <v>0</v>
      </c>
      <c r="AN455" s="441">
        <v>0</v>
      </c>
      <c r="AO455" s="419"/>
      <c r="AP455" s="419"/>
      <c r="AQ455" s="419"/>
    </row>
    <row r="456" spans="1:43" x14ac:dyDescent="0.25">
      <c r="A456" s="395" t="s">
        <v>105</v>
      </c>
      <c r="B456" s="384" t="s">
        <v>106</v>
      </c>
      <c r="C456" s="384" t="s">
        <v>804</v>
      </c>
      <c r="D456" s="384" t="s">
        <v>845</v>
      </c>
      <c r="G456" s="405"/>
      <c r="H456" s="405"/>
      <c r="I456" t="s">
        <v>350</v>
      </c>
      <c r="J456" t="s">
        <v>126</v>
      </c>
      <c r="L456" s="442"/>
      <c r="M456" s="441">
        <v>0</v>
      </c>
      <c r="N456" s="441">
        <v>1</v>
      </c>
      <c r="O456" s="441">
        <v>1</v>
      </c>
      <c r="P456" s="441">
        <v>1</v>
      </c>
      <c r="Q456" s="441">
        <v>1</v>
      </c>
      <c r="R456" s="441">
        <v>1</v>
      </c>
      <c r="S456" s="441">
        <v>1</v>
      </c>
      <c r="T456" s="441">
        <v>0</v>
      </c>
      <c r="U456" s="441">
        <v>1</v>
      </c>
      <c r="V456" s="441">
        <v>1</v>
      </c>
      <c r="W456" s="441">
        <v>1</v>
      </c>
      <c r="X456" s="441">
        <v>0</v>
      </c>
      <c r="Y456" s="441">
        <v>1</v>
      </c>
      <c r="Z456" s="441">
        <v>1</v>
      </c>
      <c r="AA456" s="441">
        <v>1</v>
      </c>
      <c r="AB456" s="441">
        <f t="shared" si="45"/>
        <v>0.99998943407315721</v>
      </c>
      <c r="AC456" s="441">
        <v>0.99998943407315721</v>
      </c>
      <c r="AD456" s="441">
        <v>0</v>
      </c>
      <c r="AE456" s="441">
        <v>0</v>
      </c>
      <c r="AF456" s="441">
        <v>1</v>
      </c>
      <c r="AG456" s="441">
        <v>1</v>
      </c>
      <c r="AH456" s="441">
        <f t="shared" si="46"/>
        <v>1</v>
      </c>
      <c r="AI456" s="441">
        <v>1</v>
      </c>
      <c r="AJ456" s="441">
        <v>1</v>
      </c>
      <c r="AK456" s="394">
        <f t="shared" si="47"/>
        <v>0</v>
      </c>
      <c r="AL456" s="441">
        <v>1</v>
      </c>
      <c r="AM456" s="441">
        <v>1</v>
      </c>
      <c r="AN456" s="441">
        <v>1</v>
      </c>
      <c r="AO456" s="419"/>
      <c r="AP456" s="419"/>
      <c r="AQ456" s="419"/>
    </row>
    <row r="457" spans="1:43" x14ac:dyDescent="0.25">
      <c r="A457" s="395" t="s">
        <v>105</v>
      </c>
      <c r="B457" s="384" t="s">
        <v>106</v>
      </c>
      <c r="C457" s="384" t="s">
        <v>804</v>
      </c>
      <c r="D457" s="384" t="s">
        <v>847</v>
      </c>
      <c r="G457" s="405"/>
      <c r="H457" s="405"/>
      <c r="I457" t="s">
        <v>768</v>
      </c>
      <c r="J457" t="s">
        <v>130</v>
      </c>
      <c r="L457" s="442"/>
      <c r="M457" s="441">
        <v>0</v>
      </c>
      <c r="N457" s="441">
        <v>0</v>
      </c>
      <c r="O457" s="441">
        <v>0</v>
      </c>
      <c r="P457" s="441">
        <v>0</v>
      </c>
      <c r="Q457" s="441">
        <v>0</v>
      </c>
      <c r="R457" s="441">
        <v>0</v>
      </c>
      <c r="S457" s="441">
        <v>0</v>
      </c>
      <c r="T457" s="441">
        <v>0</v>
      </c>
      <c r="U457" s="441">
        <v>0</v>
      </c>
      <c r="V457" s="441">
        <v>0</v>
      </c>
      <c r="W457" s="441">
        <v>0</v>
      </c>
      <c r="X457" s="441">
        <v>0</v>
      </c>
      <c r="Y457" s="441">
        <v>0</v>
      </c>
      <c r="Z457" s="441">
        <v>0</v>
      </c>
      <c r="AA457" s="441">
        <v>0</v>
      </c>
      <c r="AB457" s="441">
        <f t="shared" si="45"/>
        <v>0</v>
      </c>
      <c r="AC457" s="441">
        <v>0</v>
      </c>
      <c r="AD457" s="441">
        <v>0</v>
      </c>
      <c r="AE457" s="441">
        <v>0</v>
      </c>
      <c r="AF457" s="441">
        <v>0</v>
      </c>
      <c r="AG457" s="441">
        <v>0</v>
      </c>
      <c r="AH457" s="441">
        <f t="shared" si="46"/>
        <v>0</v>
      </c>
      <c r="AI457" s="441">
        <v>0</v>
      </c>
      <c r="AJ457" s="441">
        <v>0</v>
      </c>
      <c r="AK457" s="394">
        <f t="shared" si="47"/>
        <v>0</v>
      </c>
      <c r="AL457" s="441">
        <v>0</v>
      </c>
      <c r="AM457" s="441">
        <v>0</v>
      </c>
      <c r="AN457" s="441">
        <v>0</v>
      </c>
      <c r="AO457" s="419"/>
      <c r="AP457" s="419"/>
      <c r="AQ457" s="419"/>
    </row>
    <row r="458" spans="1:43" x14ac:dyDescent="0.25">
      <c r="A458" s="395" t="s">
        <v>105</v>
      </c>
      <c r="B458" s="384" t="s">
        <v>106</v>
      </c>
      <c r="C458" s="384" t="s">
        <v>804</v>
      </c>
      <c r="D458" s="384" t="s">
        <v>846</v>
      </c>
      <c r="G458" s="405"/>
      <c r="H458" s="405"/>
      <c r="I458" t="s">
        <v>767</v>
      </c>
      <c r="J458" t="s">
        <v>132</v>
      </c>
      <c r="L458" s="442"/>
      <c r="M458" s="441">
        <v>0</v>
      </c>
      <c r="N458" s="441">
        <v>2.253002537937546E-2</v>
      </c>
      <c r="O458" s="441">
        <v>0</v>
      </c>
      <c r="P458" s="441">
        <v>0</v>
      </c>
      <c r="Q458" s="441">
        <v>7.8606816807532842E-2</v>
      </c>
      <c r="R458" s="441">
        <v>1.0885051020294327E-2</v>
      </c>
      <c r="S458" s="441">
        <v>0.13511663349361738</v>
      </c>
      <c r="T458" s="441">
        <v>0</v>
      </c>
      <c r="U458" s="441">
        <v>7.8481852777614228E-2</v>
      </c>
      <c r="V458" s="441">
        <v>0</v>
      </c>
      <c r="W458" s="441">
        <v>1.9606305844928881E-2</v>
      </c>
      <c r="X458" s="441">
        <v>0.9976875048176983</v>
      </c>
      <c r="Y458" s="441">
        <v>2.3674341468874389E-2</v>
      </c>
      <c r="Z458" s="441">
        <v>0</v>
      </c>
      <c r="AA458" s="441">
        <v>8.7535227729794701E-3</v>
      </c>
      <c r="AB458" s="441">
        <f t="shared" si="45"/>
        <v>2.2027979706591275E-2</v>
      </c>
      <c r="AC458" s="441">
        <v>2.2027979706591275E-2</v>
      </c>
      <c r="AD458" s="441">
        <v>0</v>
      </c>
      <c r="AE458" s="441">
        <v>0</v>
      </c>
      <c r="AF458" s="441">
        <v>0.17695693936118218</v>
      </c>
      <c r="AG458" s="441">
        <v>1.9606305844928881E-2</v>
      </c>
      <c r="AH458" s="441">
        <f t="shared" si="46"/>
        <v>1.0885051020294327E-2</v>
      </c>
      <c r="AI458" s="441">
        <v>0</v>
      </c>
      <c r="AJ458" s="441">
        <v>2.77569797007196E-3</v>
      </c>
      <c r="AK458" s="394">
        <f t="shared" si="47"/>
        <v>0</v>
      </c>
      <c r="AL458" s="441">
        <v>2.5886103401703848E-3</v>
      </c>
      <c r="AM458" s="441">
        <v>2.7241040649219075E-2</v>
      </c>
      <c r="AN458" s="441">
        <v>4.2567186695933821E-3</v>
      </c>
      <c r="AO458" s="419"/>
      <c r="AP458" s="419"/>
      <c r="AQ458" s="419"/>
    </row>
    <row r="459" spans="1:43" x14ac:dyDescent="0.25">
      <c r="A459" s="395" t="s">
        <v>105</v>
      </c>
      <c r="B459" s="384" t="s">
        <v>106</v>
      </c>
      <c r="C459" s="384" t="s">
        <v>804</v>
      </c>
      <c r="D459" s="384" t="s">
        <v>831</v>
      </c>
      <c r="G459" s="405"/>
      <c r="H459" s="405"/>
      <c r="I459" t="s">
        <v>806</v>
      </c>
      <c r="J459" t="s">
        <v>141</v>
      </c>
      <c r="L459" s="442"/>
      <c r="M459" s="441">
        <v>1</v>
      </c>
      <c r="N459" s="441">
        <v>1</v>
      </c>
      <c r="O459" s="441">
        <v>1</v>
      </c>
      <c r="P459" s="441">
        <v>1</v>
      </c>
      <c r="Q459" s="441">
        <v>1</v>
      </c>
      <c r="R459" s="441">
        <v>1</v>
      </c>
      <c r="S459" s="441">
        <v>1</v>
      </c>
      <c r="T459" s="441">
        <v>1</v>
      </c>
      <c r="U459" s="441">
        <v>1</v>
      </c>
      <c r="V459" s="441">
        <v>1</v>
      </c>
      <c r="W459" s="441">
        <v>1</v>
      </c>
      <c r="X459" s="441">
        <v>1</v>
      </c>
      <c r="Y459" s="441">
        <v>1</v>
      </c>
      <c r="Z459" s="441">
        <v>1</v>
      </c>
      <c r="AA459" s="441">
        <v>1</v>
      </c>
      <c r="AB459" s="441">
        <f t="shared" si="45"/>
        <v>1</v>
      </c>
      <c r="AC459" s="441">
        <v>1</v>
      </c>
      <c r="AD459" s="441">
        <v>1</v>
      </c>
      <c r="AE459" s="441">
        <v>1</v>
      </c>
      <c r="AF459" s="441">
        <v>1</v>
      </c>
      <c r="AG459" s="441">
        <v>1</v>
      </c>
      <c r="AH459" s="441">
        <f t="shared" si="46"/>
        <v>1</v>
      </c>
      <c r="AI459" s="441">
        <v>1</v>
      </c>
      <c r="AJ459" s="441">
        <v>1</v>
      </c>
      <c r="AK459" s="394">
        <f t="shared" si="47"/>
        <v>1</v>
      </c>
      <c r="AL459" s="441">
        <v>1</v>
      </c>
      <c r="AM459" s="441">
        <v>1</v>
      </c>
      <c r="AN459" s="441">
        <v>1</v>
      </c>
      <c r="AO459" s="419"/>
      <c r="AP459" s="419"/>
      <c r="AQ459" s="419"/>
    </row>
    <row r="460" spans="1:43" x14ac:dyDescent="0.25">
      <c r="A460" s="395" t="s">
        <v>107</v>
      </c>
      <c r="B460" s="384" t="s">
        <v>108</v>
      </c>
      <c r="C460" s="384" t="s">
        <v>800</v>
      </c>
      <c r="D460" s="384" t="s">
        <v>851</v>
      </c>
      <c r="E460" s="435" t="s">
        <v>107</v>
      </c>
      <c r="F460" s="435" t="s">
        <v>108</v>
      </c>
      <c r="G460" s="435" t="s">
        <v>801</v>
      </c>
      <c r="H460" s="435"/>
      <c r="I460" s="215" t="s">
        <v>350</v>
      </c>
      <c r="J460" s="215" t="s">
        <v>126</v>
      </c>
      <c r="K460" s="444"/>
      <c r="L460" s="445"/>
      <c r="M460" s="439">
        <v>0</v>
      </c>
      <c r="N460" s="439">
        <v>1</v>
      </c>
      <c r="O460" s="439">
        <v>1</v>
      </c>
      <c r="P460" s="439">
        <v>1</v>
      </c>
      <c r="Q460" s="439">
        <v>1</v>
      </c>
      <c r="R460" s="439">
        <v>1</v>
      </c>
      <c r="S460" s="439">
        <v>1</v>
      </c>
      <c r="T460" s="439">
        <v>1</v>
      </c>
      <c r="U460" s="439">
        <v>1</v>
      </c>
      <c r="V460" s="439">
        <v>1</v>
      </c>
      <c r="W460" s="439">
        <v>1</v>
      </c>
      <c r="X460" s="439">
        <v>0</v>
      </c>
      <c r="Y460" s="439">
        <v>1</v>
      </c>
      <c r="Z460" s="439">
        <v>1</v>
      </c>
      <c r="AA460" s="439">
        <v>1</v>
      </c>
      <c r="AB460" s="441">
        <f t="shared" si="45"/>
        <v>1</v>
      </c>
      <c r="AC460" s="439">
        <v>1</v>
      </c>
      <c r="AD460" s="439">
        <v>0</v>
      </c>
      <c r="AE460" s="439">
        <v>0</v>
      </c>
      <c r="AF460" s="439">
        <v>1</v>
      </c>
      <c r="AG460" s="439">
        <v>1</v>
      </c>
      <c r="AH460" s="441">
        <f t="shared" si="46"/>
        <v>1</v>
      </c>
      <c r="AI460" s="439">
        <v>1</v>
      </c>
      <c r="AJ460" s="439">
        <v>1</v>
      </c>
      <c r="AK460" s="394">
        <f t="shared" si="47"/>
        <v>0</v>
      </c>
      <c r="AL460" s="439">
        <v>1</v>
      </c>
      <c r="AM460" s="439">
        <v>1</v>
      </c>
      <c r="AN460" s="439">
        <v>1</v>
      </c>
      <c r="AO460" s="419"/>
      <c r="AP460" s="419"/>
      <c r="AQ460" s="419"/>
    </row>
    <row r="461" spans="1:43" x14ac:dyDescent="0.25">
      <c r="A461" s="395" t="s">
        <v>107</v>
      </c>
      <c r="B461" s="384" t="s">
        <v>108</v>
      </c>
      <c r="C461" s="384" t="s">
        <v>802</v>
      </c>
      <c r="D461" s="384" t="s">
        <v>853</v>
      </c>
      <c r="E461" s="405" t="s">
        <v>107</v>
      </c>
      <c r="F461" s="405" t="s">
        <v>108</v>
      </c>
      <c r="G461" s="405" t="s">
        <v>803</v>
      </c>
      <c r="H461" s="405"/>
      <c r="I461" t="s">
        <v>350</v>
      </c>
      <c r="J461" t="s">
        <v>126</v>
      </c>
      <c r="L461" s="440"/>
      <c r="M461" s="441">
        <v>0</v>
      </c>
      <c r="N461" s="441">
        <v>1</v>
      </c>
      <c r="O461" s="441">
        <v>1</v>
      </c>
      <c r="P461" s="441">
        <v>1</v>
      </c>
      <c r="Q461" s="441">
        <v>1</v>
      </c>
      <c r="R461" s="441">
        <v>1</v>
      </c>
      <c r="S461" s="441">
        <v>1</v>
      </c>
      <c r="T461" s="441">
        <v>1</v>
      </c>
      <c r="U461" s="441">
        <v>1</v>
      </c>
      <c r="V461" s="441">
        <v>1</v>
      </c>
      <c r="W461" s="441">
        <v>1</v>
      </c>
      <c r="X461" s="441">
        <v>0</v>
      </c>
      <c r="Y461" s="441">
        <v>1</v>
      </c>
      <c r="Z461" s="441">
        <v>1</v>
      </c>
      <c r="AA461" s="441">
        <v>1</v>
      </c>
      <c r="AB461" s="441">
        <f t="shared" si="45"/>
        <v>1</v>
      </c>
      <c r="AC461" s="441">
        <v>1</v>
      </c>
      <c r="AD461" s="441">
        <v>0</v>
      </c>
      <c r="AE461" s="441">
        <v>0</v>
      </c>
      <c r="AF461" s="441">
        <v>1</v>
      </c>
      <c r="AG461" s="441">
        <v>1</v>
      </c>
      <c r="AH461" s="441">
        <f t="shared" si="46"/>
        <v>1</v>
      </c>
      <c r="AI461" s="441">
        <v>1</v>
      </c>
      <c r="AJ461" s="441">
        <v>1</v>
      </c>
      <c r="AK461" s="394">
        <f t="shared" si="47"/>
        <v>0</v>
      </c>
      <c r="AL461" s="441">
        <v>1</v>
      </c>
      <c r="AM461" s="441">
        <v>1</v>
      </c>
      <c r="AN461" s="441">
        <v>1</v>
      </c>
      <c r="AO461" s="419"/>
      <c r="AP461" s="419"/>
      <c r="AQ461" s="419"/>
    </row>
    <row r="462" spans="1:43" x14ac:dyDescent="0.25">
      <c r="A462" s="395" t="s">
        <v>107</v>
      </c>
      <c r="B462" s="384" t="s">
        <v>108</v>
      </c>
      <c r="C462" s="384" t="s">
        <v>804</v>
      </c>
      <c r="D462" s="384" t="s">
        <v>853</v>
      </c>
      <c r="E462" s="434" t="s">
        <v>107</v>
      </c>
      <c r="F462" s="434" t="s">
        <v>108</v>
      </c>
      <c r="G462" s="405" t="s">
        <v>805</v>
      </c>
      <c r="H462" s="405"/>
      <c r="I462" t="s">
        <v>350</v>
      </c>
      <c r="J462" t="s">
        <v>126</v>
      </c>
      <c r="L462" s="440"/>
      <c r="M462" s="441">
        <v>0</v>
      </c>
      <c r="N462" s="441">
        <v>1</v>
      </c>
      <c r="O462" s="441">
        <v>1</v>
      </c>
      <c r="P462" s="441">
        <v>1</v>
      </c>
      <c r="Q462" s="441">
        <v>1</v>
      </c>
      <c r="R462" s="441">
        <v>1</v>
      </c>
      <c r="S462" s="441">
        <v>1</v>
      </c>
      <c r="T462" s="441">
        <v>1</v>
      </c>
      <c r="U462" s="441">
        <v>1</v>
      </c>
      <c r="V462" s="441">
        <v>1</v>
      </c>
      <c r="W462" s="441">
        <v>1</v>
      </c>
      <c r="X462" s="441">
        <v>0</v>
      </c>
      <c r="Y462" s="441">
        <v>1</v>
      </c>
      <c r="Z462" s="441">
        <v>1</v>
      </c>
      <c r="AA462" s="441">
        <v>1</v>
      </c>
      <c r="AB462" s="441">
        <f t="shared" si="45"/>
        <v>1</v>
      </c>
      <c r="AC462" s="441">
        <v>1</v>
      </c>
      <c r="AD462" s="441">
        <v>0</v>
      </c>
      <c r="AE462" s="441">
        <v>0</v>
      </c>
      <c r="AF462" s="441">
        <v>1</v>
      </c>
      <c r="AG462" s="441">
        <v>1</v>
      </c>
      <c r="AH462" s="441">
        <f t="shared" si="46"/>
        <v>1</v>
      </c>
      <c r="AI462" s="441">
        <v>1</v>
      </c>
      <c r="AJ462" s="441">
        <v>1</v>
      </c>
      <c r="AK462" s="394">
        <f t="shared" si="47"/>
        <v>0</v>
      </c>
      <c r="AL462" s="441">
        <v>1</v>
      </c>
      <c r="AM462" s="441">
        <v>1</v>
      </c>
      <c r="AN462" s="441">
        <v>1</v>
      </c>
      <c r="AO462" s="419"/>
      <c r="AP462" s="419"/>
      <c r="AQ462" s="419"/>
    </row>
    <row r="463" spans="1:43" x14ac:dyDescent="0.25">
      <c r="A463" s="395" t="s">
        <v>109</v>
      </c>
      <c r="B463" s="384" t="s">
        <v>110</v>
      </c>
      <c r="C463" s="384" t="s">
        <v>800</v>
      </c>
      <c r="D463" s="384" t="s">
        <v>858</v>
      </c>
      <c r="E463" s="405" t="s">
        <v>109</v>
      </c>
      <c r="F463" s="9" t="s">
        <v>110</v>
      </c>
      <c r="G463" s="435" t="s">
        <v>801</v>
      </c>
      <c r="H463" s="435"/>
      <c r="I463" s="215" t="s">
        <v>331</v>
      </c>
      <c r="J463" s="215" t="s">
        <v>120</v>
      </c>
      <c r="K463" s="406"/>
      <c r="L463" s="438"/>
      <c r="M463" s="439">
        <v>0</v>
      </c>
      <c r="N463" s="439">
        <v>0</v>
      </c>
      <c r="O463" s="439">
        <v>0</v>
      </c>
      <c r="P463" s="439">
        <v>0</v>
      </c>
      <c r="Q463" s="439">
        <v>0</v>
      </c>
      <c r="R463" s="439">
        <v>0</v>
      </c>
      <c r="S463" s="439">
        <v>0</v>
      </c>
      <c r="T463" s="439">
        <v>0</v>
      </c>
      <c r="U463" s="439">
        <v>0</v>
      </c>
      <c r="V463" s="439">
        <v>0</v>
      </c>
      <c r="W463" s="439">
        <v>0</v>
      </c>
      <c r="X463" s="439">
        <v>0</v>
      </c>
      <c r="Y463" s="439">
        <v>0</v>
      </c>
      <c r="Z463" s="439">
        <v>0</v>
      </c>
      <c r="AA463" s="439">
        <v>0</v>
      </c>
      <c r="AB463" s="441">
        <f t="shared" si="45"/>
        <v>0</v>
      </c>
      <c r="AC463" s="439">
        <v>0</v>
      </c>
      <c r="AD463" s="439">
        <v>0</v>
      </c>
      <c r="AE463" s="439">
        <v>0</v>
      </c>
      <c r="AF463" s="439">
        <v>0</v>
      </c>
      <c r="AG463" s="439">
        <v>0</v>
      </c>
      <c r="AH463" s="441">
        <f t="shared" si="46"/>
        <v>0</v>
      </c>
      <c r="AI463" s="439">
        <v>0</v>
      </c>
      <c r="AJ463" s="439">
        <v>0</v>
      </c>
      <c r="AK463" s="394">
        <f t="shared" si="47"/>
        <v>0</v>
      </c>
      <c r="AL463" s="439">
        <v>0</v>
      </c>
      <c r="AM463" s="439">
        <v>0</v>
      </c>
      <c r="AN463" s="439">
        <v>0</v>
      </c>
      <c r="AO463" s="419"/>
      <c r="AP463" s="419"/>
      <c r="AQ463" s="419"/>
    </row>
    <row r="464" spans="1:43" x14ac:dyDescent="0.25">
      <c r="A464" s="395" t="s">
        <v>109</v>
      </c>
      <c r="B464" s="384" t="s">
        <v>110</v>
      </c>
      <c r="C464" s="384" t="s">
        <v>800</v>
      </c>
      <c r="D464" s="384" t="s">
        <v>855</v>
      </c>
      <c r="E464" s="405"/>
      <c r="F464" s="405"/>
      <c r="G464" s="405"/>
      <c r="H464" s="405"/>
      <c r="I464" t="s">
        <v>767</v>
      </c>
      <c r="J464" t="s">
        <v>128</v>
      </c>
      <c r="L464" s="440"/>
      <c r="M464" s="441">
        <v>0</v>
      </c>
      <c r="N464" s="441">
        <v>0.97746997462062457</v>
      </c>
      <c r="O464" s="441">
        <v>0</v>
      </c>
      <c r="P464" s="441">
        <v>1</v>
      </c>
      <c r="Q464" s="441">
        <v>0.91761269920224109</v>
      </c>
      <c r="R464" s="441">
        <v>0.98911494897970564</v>
      </c>
      <c r="S464" s="441">
        <v>0.86488336650638253</v>
      </c>
      <c r="T464" s="441">
        <v>0</v>
      </c>
      <c r="U464" s="441">
        <v>0.92151814722238579</v>
      </c>
      <c r="V464" s="441">
        <v>1</v>
      </c>
      <c r="W464" s="441">
        <v>0.98039369415507116</v>
      </c>
      <c r="X464" s="441">
        <v>2.3124951823017036E-3</v>
      </c>
      <c r="Y464" s="441">
        <v>0.97632565853112563</v>
      </c>
      <c r="Z464" s="441">
        <v>1</v>
      </c>
      <c r="AA464" s="441">
        <v>0.99094526941085137</v>
      </c>
      <c r="AB464" s="441">
        <f t="shared" si="45"/>
        <v>0.97699681936875815</v>
      </c>
      <c r="AC464" s="441">
        <v>0.97699681936875815</v>
      </c>
      <c r="AD464" s="441">
        <v>0</v>
      </c>
      <c r="AE464" s="441">
        <v>0</v>
      </c>
      <c r="AF464" s="441">
        <v>0.82304306063881782</v>
      </c>
      <c r="AG464" s="441">
        <v>0.98039369415507116</v>
      </c>
      <c r="AH464" s="441">
        <f t="shared" si="46"/>
        <v>0.98911494897970564</v>
      </c>
      <c r="AI464" s="441">
        <v>1</v>
      </c>
      <c r="AJ464" s="441">
        <v>0.99722430202992807</v>
      </c>
      <c r="AK464" s="394">
        <f t="shared" si="47"/>
        <v>0</v>
      </c>
      <c r="AL464" s="441">
        <v>0.99741138965982956</v>
      </c>
      <c r="AM464" s="441">
        <v>0.97275895935078094</v>
      </c>
      <c r="AN464" s="441">
        <v>0.99574328133040668</v>
      </c>
      <c r="AO464" s="419"/>
      <c r="AP464" s="419"/>
      <c r="AQ464" s="419"/>
    </row>
    <row r="465" spans="1:43" x14ac:dyDescent="0.25">
      <c r="A465" s="395" t="s">
        <v>109</v>
      </c>
      <c r="B465" s="384" t="s">
        <v>110</v>
      </c>
      <c r="C465" s="384" t="s">
        <v>800</v>
      </c>
      <c r="D465" s="384" t="s">
        <v>857</v>
      </c>
      <c r="E465" s="405"/>
      <c r="F465" s="405"/>
      <c r="G465" s="405"/>
      <c r="H465" s="405"/>
      <c r="I465" t="s">
        <v>770</v>
      </c>
      <c r="J465" t="s">
        <v>134</v>
      </c>
      <c r="L465" s="440"/>
      <c r="M465" s="441">
        <v>1</v>
      </c>
      <c r="N465" s="441">
        <v>1</v>
      </c>
      <c r="O465" s="441">
        <v>1</v>
      </c>
      <c r="P465" s="441">
        <v>1</v>
      </c>
      <c r="Q465" s="441">
        <v>1</v>
      </c>
      <c r="R465" s="441">
        <v>1</v>
      </c>
      <c r="S465" s="441">
        <v>0.99775548819489068</v>
      </c>
      <c r="T465" s="441">
        <v>0</v>
      </c>
      <c r="U465" s="441">
        <v>0.99858214504502074</v>
      </c>
      <c r="V465" s="441">
        <v>1</v>
      </c>
      <c r="W465" s="441">
        <v>1</v>
      </c>
      <c r="X465" s="441">
        <v>1</v>
      </c>
      <c r="Y465" s="441">
        <v>1</v>
      </c>
      <c r="Z465" s="441">
        <v>1</v>
      </c>
      <c r="AA465" s="441">
        <v>0.99996017570778672</v>
      </c>
      <c r="AB465" s="441">
        <f t="shared" si="45"/>
        <v>0.99805420114513066</v>
      </c>
      <c r="AC465" s="441">
        <v>0.99805420114513066</v>
      </c>
      <c r="AD465" s="441">
        <v>0</v>
      </c>
      <c r="AE465" s="441">
        <v>0</v>
      </c>
      <c r="AF465" s="441">
        <v>1</v>
      </c>
      <c r="AG465" s="441">
        <v>1</v>
      </c>
      <c r="AH465" s="441">
        <f t="shared" si="46"/>
        <v>1</v>
      </c>
      <c r="AI465" s="441">
        <v>1</v>
      </c>
      <c r="AJ465" s="441">
        <v>1</v>
      </c>
      <c r="AK465" s="394">
        <f t="shared" si="47"/>
        <v>1</v>
      </c>
      <c r="AL465" s="441">
        <v>1</v>
      </c>
      <c r="AM465" s="441">
        <v>1</v>
      </c>
      <c r="AN465" s="441">
        <v>0.98954412741826625</v>
      </c>
      <c r="AO465" s="419"/>
      <c r="AP465" s="419"/>
      <c r="AQ465" s="419"/>
    </row>
    <row r="466" spans="1:43" x14ac:dyDescent="0.25">
      <c r="A466" s="395" t="s">
        <v>109</v>
      </c>
      <c r="B466" s="384" t="s">
        <v>110</v>
      </c>
      <c r="C466" s="384" t="s">
        <v>800</v>
      </c>
      <c r="D466" s="384" t="s">
        <v>859</v>
      </c>
      <c r="G466" s="405"/>
      <c r="H466" s="405"/>
      <c r="I466" t="s">
        <v>772</v>
      </c>
      <c r="J466" t="s">
        <v>117</v>
      </c>
      <c r="L466" s="442"/>
      <c r="M466" s="441">
        <v>0</v>
      </c>
      <c r="N466" s="441">
        <v>0</v>
      </c>
      <c r="O466" s="441">
        <v>0</v>
      </c>
      <c r="P466" s="441">
        <v>0</v>
      </c>
      <c r="Q466" s="441">
        <v>0</v>
      </c>
      <c r="R466" s="441">
        <v>0</v>
      </c>
      <c r="S466" s="441">
        <v>0</v>
      </c>
      <c r="T466" s="441">
        <v>0</v>
      </c>
      <c r="U466" s="441">
        <v>0</v>
      </c>
      <c r="V466" s="441">
        <v>0</v>
      </c>
      <c r="W466" s="441">
        <v>0</v>
      </c>
      <c r="X466" s="441">
        <v>0</v>
      </c>
      <c r="Y466" s="441">
        <v>0</v>
      </c>
      <c r="Z466" s="441">
        <v>0</v>
      </c>
      <c r="AA466" s="441">
        <v>0</v>
      </c>
      <c r="AB466" s="441">
        <f t="shared" si="45"/>
        <v>0</v>
      </c>
      <c r="AC466" s="441">
        <v>0</v>
      </c>
      <c r="AD466" s="441">
        <v>0</v>
      </c>
      <c r="AE466" s="441">
        <v>0</v>
      </c>
      <c r="AF466" s="441">
        <v>0</v>
      </c>
      <c r="AG466" s="441">
        <v>0</v>
      </c>
      <c r="AH466" s="441">
        <f t="shared" si="46"/>
        <v>0</v>
      </c>
      <c r="AI466" s="441">
        <v>0</v>
      </c>
      <c r="AJ466" s="441">
        <v>0</v>
      </c>
      <c r="AK466" s="394">
        <f t="shared" si="47"/>
        <v>0</v>
      </c>
      <c r="AL466" s="441">
        <v>0</v>
      </c>
      <c r="AM466" s="441">
        <v>0</v>
      </c>
      <c r="AN466" s="441">
        <v>0</v>
      </c>
      <c r="AO466" s="419"/>
      <c r="AP466" s="419"/>
      <c r="AQ466" s="419"/>
    </row>
    <row r="467" spans="1:43" x14ac:dyDescent="0.25">
      <c r="A467" s="395" t="s">
        <v>109</v>
      </c>
      <c r="B467" s="384" t="s">
        <v>110</v>
      </c>
      <c r="C467" s="384" t="s">
        <v>800</v>
      </c>
      <c r="D467" s="384" t="s">
        <v>857</v>
      </c>
      <c r="G467" s="405"/>
      <c r="H467" s="405"/>
      <c r="I467" t="s">
        <v>770</v>
      </c>
      <c r="J467" t="s">
        <v>119</v>
      </c>
      <c r="L467" s="442"/>
      <c r="M467" s="441">
        <v>0</v>
      </c>
      <c r="N467" s="441">
        <v>0</v>
      </c>
      <c r="O467" s="441">
        <v>0</v>
      </c>
      <c r="P467" s="441">
        <v>0</v>
      </c>
      <c r="Q467" s="441">
        <v>0</v>
      </c>
      <c r="R467" s="441">
        <v>0</v>
      </c>
      <c r="S467" s="441">
        <v>2.244511805109321E-3</v>
      </c>
      <c r="T467" s="441">
        <v>0</v>
      </c>
      <c r="U467" s="441">
        <v>1.4178549549792524E-3</v>
      </c>
      <c r="V467" s="441">
        <v>0</v>
      </c>
      <c r="W467" s="441">
        <v>0</v>
      </c>
      <c r="X467" s="441">
        <v>0</v>
      </c>
      <c r="Y467" s="441">
        <v>0</v>
      </c>
      <c r="Z467" s="441">
        <v>0</v>
      </c>
      <c r="AA467" s="441">
        <v>3.9824292213258897E-5</v>
      </c>
      <c r="AB467" s="441">
        <f t="shared" si="45"/>
        <v>1.9457988548694544E-3</v>
      </c>
      <c r="AC467" s="441">
        <v>1.9457988548694544E-3</v>
      </c>
      <c r="AD467" s="441">
        <v>0</v>
      </c>
      <c r="AE467" s="441">
        <v>0</v>
      </c>
      <c r="AF467" s="441">
        <v>0</v>
      </c>
      <c r="AG467" s="441">
        <v>0</v>
      </c>
      <c r="AH467" s="441">
        <f t="shared" si="46"/>
        <v>0</v>
      </c>
      <c r="AI467" s="441">
        <v>0</v>
      </c>
      <c r="AJ467" s="441">
        <v>0</v>
      </c>
      <c r="AK467" s="394">
        <f t="shared" si="47"/>
        <v>0</v>
      </c>
      <c r="AL467" s="441">
        <v>0</v>
      </c>
      <c r="AM467" s="441">
        <v>0</v>
      </c>
      <c r="AN467" s="441">
        <v>1.0455872581733729E-2</v>
      </c>
      <c r="AO467" s="419"/>
      <c r="AP467" s="419"/>
      <c r="AQ467" s="419"/>
    </row>
    <row r="468" spans="1:43" x14ac:dyDescent="0.25">
      <c r="A468" s="395" t="s">
        <v>109</v>
      </c>
      <c r="B468" s="384" t="s">
        <v>110</v>
      </c>
      <c r="C468" s="384" t="s">
        <v>800</v>
      </c>
      <c r="D468" s="384" t="s">
        <v>855</v>
      </c>
      <c r="G468" s="405"/>
      <c r="H468" s="405"/>
      <c r="I468" t="s">
        <v>767</v>
      </c>
      <c r="J468" t="s">
        <v>115</v>
      </c>
      <c r="L468" s="442"/>
      <c r="M468" s="441">
        <v>0</v>
      </c>
      <c r="N468" s="441">
        <v>0</v>
      </c>
      <c r="O468" s="441">
        <v>0</v>
      </c>
      <c r="P468" s="441">
        <v>0</v>
      </c>
      <c r="Q468" s="441">
        <v>3.78048399022601E-3</v>
      </c>
      <c r="R468" s="441">
        <v>0</v>
      </c>
      <c r="S468" s="441">
        <v>0</v>
      </c>
      <c r="T468" s="441">
        <v>0</v>
      </c>
      <c r="U468" s="441">
        <v>0</v>
      </c>
      <c r="V468" s="441">
        <v>0</v>
      </c>
      <c r="W468" s="441">
        <v>0</v>
      </c>
      <c r="X468" s="441">
        <v>0</v>
      </c>
      <c r="Y468" s="441">
        <v>0</v>
      </c>
      <c r="Z468" s="441">
        <v>0</v>
      </c>
      <c r="AA468" s="441">
        <v>3.0120781616915809E-4</v>
      </c>
      <c r="AB468" s="441">
        <f t="shared" si="45"/>
        <v>9.7520092465061276E-4</v>
      </c>
      <c r="AC468" s="441">
        <v>9.7520092465061276E-4</v>
      </c>
      <c r="AD468" s="441">
        <v>0</v>
      </c>
      <c r="AE468" s="441">
        <v>0</v>
      </c>
      <c r="AF468" s="441">
        <v>0</v>
      </c>
      <c r="AG468" s="441">
        <v>0</v>
      </c>
      <c r="AH468" s="441">
        <f t="shared" si="46"/>
        <v>0</v>
      </c>
      <c r="AI468" s="441">
        <v>0</v>
      </c>
      <c r="AJ468" s="441">
        <v>0</v>
      </c>
      <c r="AK468" s="394">
        <f t="shared" si="47"/>
        <v>0</v>
      </c>
      <c r="AL468" s="441">
        <v>0</v>
      </c>
      <c r="AM468" s="441">
        <v>0</v>
      </c>
      <c r="AN468" s="441">
        <v>0</v>
      </c>
      <c r="AO468" s="419"/>
      <c r="AP468" s="419"/>
      <c r="AQ468" s="419"/>
    </row>
    <row r="469" spans="1:43" x14ac:dyDescent="0.25">
      <c r="A469" s="395" t="s">
        <v>109</v>
      </c>
      <c r="B469" s="384" t="s">
        <v>110</v>
      </c>
      <c r="C469" s="384" t="s">
        <v>800</v>
      </c>
      <c r="D469" s="384" t="s">
        <v>859</v>
      </c>
      <c r="G469" s="405"/>
      <c r="H469" s="405"/>
      <c r="I469" t="s">
        <v>772</v>
      </c>
      <c r="J469" t="s">
        <v>139</v>
      </c>
      <c r="L469" s="442"/>
      <c r="M469" s="441">
        <v>0</v>
      </c>
      <c r="N469" s="441">
        <v>0</v>
      </c>
      <c r="O469" s="441">
        <v>0</v>
      </c>
      <c r="P469" s="441">
        <v>0</v>
      </c>
      <c r="Q469" s="441">
        <v>0</v>
      </c>
      <c r="R469" s="441">
        <v>0</v>
      </c>
      <c r="S469" s="441">
        <v>0</v>
      </c>
      <c r="T469" s="441">
        <v>0</v>
      </c>
      <c r="U469" s="441">
        <v>0</v>
      </c>
      <c r="V469" s="441">
        <v>0</v>
      </c>
      <c r="W469" s="441">
        <v>0</v>
      </c>
      <c r="X469" s="441">
        <v>0</v>
      </c>
      <c r="Y469" s="441">
        <v>0</v>
      </c>
      <c r="Z469" s="441">
        <v>0</v>
      </c>
      <c r="AA469" s="441">
        <v>0</v>
      </c>
      <c r="AB469" s="441">
        <f t="shared" si="45"/>
        <v>0</v>
      </c>
      <c r="AC469" s="441">
        <v>0</v>
      </c>
      <c r="AD469" s="441">
        <v>0</v>
      </c>
      <c r="AE469" s="441">
        <v>0</v>
      </c>
      <c r="AF469" s="441">
        <v>0</v>
      </c>
      <c r="AG469" s="441">
        <v>0</v>
      </c>
      <c r="AH469" s="441">
        <f t="shared" si="46"/>
        <v>0</v>
      </c>
      <c r="AI469" s="441">
        <v>0</v>
      </c>
      <c r="AJ469" s="441">
        <v>0</v>
      </c>
      <c r="AK469" s="394">
        <f t="shared" si="47"/>
        <v>0</v>
      </c>
      <c r="AL469" s="441">
        <v>0</v>
      </c>
      <c r="AM469" s="441">
        <v>0</v>
      </c>
      <c r="AN469" s="441">
        <v>0</v>
      </c>
      <c r="AO469" s="419"/>
      <c r="AP469" s="419"/>
      <c r="AQ469" s="419"/>
    </row>
    <row r="470" spans="1:43" x14ac:dyDescent="0.25">
      <c r="A470" s="395" t="s">
        <v>109</v>
      </c>
      <c r="B470" s="384" t="s">
        <v>110</v>
      </c>
      <c r="C470" s="384" t="s">
        <v>800</v>
      </c>
      <c r="D470" s="384" t="s">
        <v>856</v>
      </c>
      <c r="G470" s="405"/>
      <c r="H470" s="405"/>
      <c r="I470" t="s">
        <v>768</v>
      </c>
      <c r="J470" t="s">
        <v>1701</v>
      </c>
      <c r="L470" s="442"/>
      <c r="M470" s="441">
        <v>0</v>
      </c>
      <c r="N470" s="441">
        <v>0</v>
      </c>
      <c r="O470" s="441">
        <v>0</v>
      </c>
      <c r="P470" s="441">
        <v>0</v>
      </c>
      <c r="Q470" s="441">
        <v>0</v>
      </c>
      <c r="R470" s="441">
        <v>0</v>
      </c>
      <c r="S470" s="441">
        <v>0</v>
      </c>
      <c r="T470" s="441">
        <v>0</v>
      </c>
      <c r="U470" s="441">
        <v>0</v>
      </c>
      <c r="V470" s="441">
        <v>0</v>
      </c>
      <c r="W470" s="441">
        <v>0</v>
      </c>
      <c r="X470" s="441">
        <v>0</v>
      </c>
      <c r="Y470" s="441">
        <v>0</v>
      </c>
      <c r="Z470" s="441">
        <v>0</v>
      </c>
      <c r="AA470" s="441">
        <v>0</v>
      </c>
      <c r="AB470" s="441">
        <f t="shared" si="45"/>
        <v>0</v>
      </c>
      <c r="AC470" s="441">
        <v>0</v>
      </c>
      <c r="AD470" s="441">
        <v>0</v>
      </c>
      <c r="AE470" s="441">
        <v>0</v>
      </c>
      <c r="AF470" s="441">
        <v>0</v>
      </c>
      <c r="AG470" s="441">
        <v>0</v>
      </c>
      <c r="AH470" s="441">
        <f t="shared" si="46"/>
        <v>0</v>
      </c>
      <c r="AI470" s="441">
        <v>0</v>
      </c>
      <c r="AJ470" s="441">
        <v>0</v>
      </c>
      <c r="AK470" s="394">
        <f t="shared" si="47"/>
        <v>0</v>
      </c>
      <c r="AL470" s="441">
        <v>0</v>
      </c>
      <c r="AM470" s="441">
        <v>0</v>
      </c>
      <c r="AN470" s="441">
        <v>0</v>
      </c>
      <c r="AO470" s="419"/>
      <c r="AP470" s="419"/>
      <c r="AQ470" s="419"/>
    </row>
    <row r="471" spans="1:43" x14ac:dyDescent="0.25">
      <c r="A471" s="395" t="s">
        <v>109</v>
      </c>
      <c r="B471" s="384" t="s">
        <v>110</v>
      </c>
      <c r="C471" s="384" t="s">
        <v>800</v>
      </c>
      <c r="D471" s="384" t="s">
        <v>854</v>
      </c>
      <c r="G471" s="405"/>
      <c r="H471" s="405"/>
      <c r="I471" t="s">
        <v>350</v>
      </c>
      <c r="J471" t="s">
        <v>137</v>
      </c>
      <c r="L471" s="442"/>
      <c r="M471" s="441">
        <v>0</v>
      </c>
      <c r="N471" s="441">
        <v>0</v>
      </c>
      <c r="O471" s="441">
        <v>0</v>
      </c>
      <c r="P471" s="441">
        <v>0</v>
      </c>
      <c r="Q471" s="441">
        <v>0</v>
      </c>
      <c r="R471" s="441">
        <v>0</v>
      </c>
      <c r="S471" s="441">
        <v>0</v>
      </c>
      <c r="T471" s="441">
        <v>0</v>
      </c>
      <c r="U471" s="441">
        <v>0</v>
      </c>
      <c r="V471" s="441">
        <v>0</v>
      </c>
      <c r="W471" s="441">
        <v>0</v>
      </c>
      <c r="X471" s="441">
        <v>0</v>
      </c>
      <c r="Y471" s="441">
        <v>0</v>
      </c>
      <c r="Z471" s="441">
        <v>0</v>
      </c>
      <c r="AA471" s="441">
        <v>0</v>
      </c>
      <c r="AB471" s="441">
        <f t="shared" si="45"/>
        <v>1.0565926842793376E-5</v>
      </c>
      <c r="AC471" s="441">
        <v>1.0565926842793376E-5</v>
      </c>
      <c r="AD471" s="441">
        <v>0</v>
      </c>
      <c r="AE471" s="441">
        <v>0</v>
      </c>
      <c r="AF471" s="441">
        <v>0</v>
      </c>
      <c r="AG471" s="441">
        <v>0</v>
      </c>
      <c r="AH471" s="441">
        <f t="shared" si="46"/>
        <v>0</v>
      </c>
      <c r="AI471" s="441">
        <v>0</v>
      </c>
      <c r="AJ471" s="441">
        <v>0</v>
      </c>
      <c r="AK471" s="394">
        <f t="shared" si="47"/>
        <v>0</v>
      </c>
      <c r="AL471" s="441">
        <v>0</v>
      </c>
      <c r="AM471" s="441">
        <v>0</v>
      </c>
      <c r="AN471" s="441">
        <v>0</v>
      </c>
      <c r="AO471" s="419"/>
      <c r="AP471" s="419"/>
      <c r="AQ471" s="419"/>
    </row>
    <row r="472" spans="1:43" x14ac:dyDescent="0.25">
      <c r="A472" s="395" t="s">
        <v>109</v>
      </c>
      <c r="B472" s="384" t="s">
        <v>110</v>
      </c>
      <c r="C472" s="384" t="s">
        <v>800</v>
      </c>
      <c r="D472" s="384" t="s">
        <v>854</v>
      </c>
      <c r="G472" s="405"/>
      <c r="H472" s="405"/>
      <c r="I472" t="s">
        <v>350</v>
      </c>
      <c r="J472" t="s">
        <v>126</v>
      </c>
      <c r="L472" s="442"/>
      <c r="M472" s="441">
        <v>0</v>
      </c>
      <c r="N472" s="441">
        <v>1</v>
      </c>
      <c r="O472" s="441">
        <v>1</v>
      </c>
      <c r="P472" s="441">
        <v>1</v>
      </c>
      <c r="Q472" s="441">
        <v>1</v>
      </c>
      <c r="R472" s="441">
        <v>1</v>
      </c>
      <c r="S472" s="441">
        <v>1</v>
      </c>
      <c r="T472" s="441">
        <v>1</v>
      </c>
      <c r="U472" s="441">
        <v>1</v>
      </c>
      <c r="V472" s="441">
        <v>1</v>
      </c>
      <c r="W472" s="441">
        <v>1</v>
      </c>
      <c r="X472" s="441">
        <v>0</v>
      </c>
      <c r="Y472" s="441">
        <v>1</v>
      </c>
      <c r="Z472" s="441">
        <v>1</v>
      </c>
      <c r="AA472" s="441">
        <v>1</v>
      </c>
      <c r="AB472" s="441">
        <f t="shared" si="45"/>
        <v>0.99998943407315721</v>
      </c>
      <c r="AC472" s="441">
        <v>0.99998943407315721</v>
      </c>
      <c r="AD472" s="441">
        <v>0</v>
      </c>
      <c r="AE472" s="441">
        <v>0</v>
      </c>
      <c r="AF472" s="441">
        <v>1</v>
      </c>
      <c r="AG472" s="441">
        <v>1</v>
      </c>
      <c r="AH472" s="441">
        <f t="shared" si="46"/>
        <v>1</v>
      </c>
      <c r="AI472" s="441">
        <v>1</v>
      </c>
      <c r="AJ472" s="441">
        <v>1</v>
      </c>
      <c r="AK472" s="394">
        <f t="shared" si="47"/>
        <v>0</v>
      </c>
      <c r="AL472" s="441">
        <v>1</v>
      </c>
      <c r="AM472" s="441">
        <v>1</v>
      </c>
      <c r="AN472" s="441">
        <v>1</v>
      </c>
      <c r="AO472" s="419"/>
      <c r="AP472" s="419"/>
      <c r="AQ472" s="419"/>
    </row>
    <row r="473" spans="1:43" x14ac:dyDescent="0.25">
      <c r="A473" s="395" t="s">
        <v>109</v>
      </c>
      <c r="B473" s="384" t="s">
        <v>110</v>
      </c>
      <c r="C473" s="384" t="s">
        <v>800</v>
      </c>
      <c r="D473" s="384" t="s">
        <v>856</v>
      </c>
      <c r="G473" s="405"/>
      <c r="H473" s="405"/>
      <c r="I473" t="s">
        <v>768</v>
      </c>
      <c r="J473" t="s">
        <v>130</v>
      </c>
      <c r="L473" s="442"/>
      <c r="M473" s="441">
        <v>0</v>
      </c>
      <c r="N473" s="441">
        <v>0</v>
      </c>
      <c r="O473" s="441">
        <v>0</v>
      </c>
      <c r="P473" s="441">
        <v>0</v>
      </c>
      <c r="Q473" s="441">
        <v>0</v>
      </c>
      <c r="R473" s="441">
        <v>0</v>
      </c>
      <c r="S473" s="441">
        <v>0</v>
      </c>
      <c r="T473" s="441">
        <v>0</v>
      </c>
      <c r="U473" s="441">
        <v>0</v>
      </c>
      <c r="V473" s="441">
        <v>0</v>
      </c>
      <c r="W473" s="441">
        <v>0</v>
      </c>
      <c r="X473" s="441">
        <v>0</v>
      </c>
      <c r="Y473" s="441">
        <v>0</v>
      </c>
      <c r="Z473" s="441">
        <v>0</v>
      </c>
      <c r="AA473" s="441">
        <v>0</v>
      </c>
      <c r="AB473" s="441">
        <f t="shared" si="45"/>
        <v>0</v>
      </c>
      <c r="AC473" s="441">
        <v>0</v>
      </c>
      <c r="AD473" s="441">
        <v>0</v>
      </c>
      <c r="AE473" s="441">
        <v>0</v>
      </c>
      <c r="AF473" s="441">
        <v>0</v>
      </c>
      <c r="AG473" s="441">
        <v>0</v>
      </c>
      <c r="AH473" s="441">
        <f t="shared" si="46"/>
        <v>0</v>
      </c>
      <c r="AI473" s="441">
        <v>0</v>
      </c>
      <c r="AJ473" s="441">
        <v>0</v>
      </c>
      <c r="AK473" s="394">
        <f t="shared" si="47"/>
        <v>0</v>
      </c>
      <c r="AL473" s="441">
        <v>0</v>
      </c>
      <c r="AM473" s="441">
        <v>0</v>
      </c>
      <c r="AN473" s="441">
        <v>0</v>
      </c>
      <c r="AO473" s="419"/>
      <c r="AP473" s="419"/>
      <c r="AQ473" s="419"/>
    </row>
    <row r="474" spans="1:43" x14ac:dyDescent="0.25">
      <c r="A474" s="395" t="s">
        <v>109</v>
      </c>
      <c r="B474" s="384" t="s">
        <v>110</v>
      </c>
      <c r="C474" s="384" t="s">
        <v>800</v>
      </c>
      <c r="D474" s="384" t="s">
        <v>855</v>
      </c>
      <c r="G474" s="405"/>
      <c r="H474" s="405"/>
      <c r="I474" t="s">
        <v>767</v>
      </c>
      <c r="J474" t="s">
        <v>132</v>
      </c>
      <c r="L474" s="442"/>
      <c r="M474" s="441">
        <v>0</v>
      </c>
      <c r="N474" s="441">
        <v>2.253002537937546E-2</v>
      </c>
      <c r="O474" s="441">
        <v>0</v>
      </c>
      <c r="P474" s="441">
        <v>0</v>
      </c>
      <c r="Q474" s="441">
        <v>7.8606816807532842E-2</v>
      </c>
      <c r="R474" s="441">
        <v>1.0885051020294328E-2</v>
      </c>
      <c r="S474" s="441">
        <v>0.13511663349361738</v>
      </c>
      <c r="T474" s="441">
        <v>0</v>
      </c>
      <c r="U474" s="441">
        <v>7.8481852777614228E-2</v>
      </c>
      <c r="V474" s="441">
        <v>0</v>
      </c>
      <c r="W474" s="441">
        <v>1.9606305844928881E-2</v>
      </c>
      <c r="X474" s="441">
        <v>0.9976875048176983</v>
      </c>
      <c r="Y474" s="441">
        <v>2.3674341468874392E-2</v>
      </c>
      <c r="Z474" s="441">
        <v>0</v>
      </c>
      <c r="AA474" s="441">
        <v>8.7535227729794683E-3</v>
      </c>
      <c r="AB474" s="441">
        <f t="shared" si="45"/>
        <v>2.2027979706591275E-2</v>
      </c>
      <c r="AC474" s="441">
        <v>2.2027979706591275E-2</v>
      </c>
      <c r="AD474" s="441">
        <v>0</v>
      </c>
      <c r="AE474" s="441">
        <v>0</v>
      </c>
      <c r="AF474" s="441">
        <v>0.17695693936118215</v>
      </c>
      <c r="AG474" s="441">
        <v>1.9606305844928881E-2</v>
      </c>
      <c r="AH474" s="441">
        <f t="shared" si="46"/>
        <v>1.0885051020294328E-2</v>
      </c>
      <c r="AI474" s="441">
        <v>0</v>
      </c>
      <c r="AJ474" s="441">
        <v>2.7756979700719604E-3</v>
      </c>
      <c r="AK474" s="394">
        <f t="shared" si="47"/>
        <v>0</v>
      </c>
      <c r="AL474" s="441">
        <v>2.5886103401703848E-3</v>
      </c>
      <c r="AM474" s="441">
        <v>2.7241040649219072E-2</v>
      </c>
      <c r="AN474" s="441">
        <v>4.256718669593383E-3</v>
      </c>
      <c r="AO474" s="419"/>
      <c r="AP474" s="419"/>
      <c r="AQ474" s="419"/>
    </row>
    <row r="475" spans="1:43" x14ac:dyDescent="0.25">
      <c r="A475" s="395" t="s">
        <v>109</v>
      </c>
      <c r="B475" s="384" t="s">
        <v>110</v>
      </c>
      <c r="C475" s="384" t="s">
        <v>802</v>
      </c>
      <c r="D475" s="384" t="s">
        <v>864</v>
      </c>
      <c r="E475" s="405" t="s">
        <v>109</v>
      </c>
      <c r="F475" s="9" t="s">
        <v>110</v>
      </c>
      <c r="G475" s="405" t="s">
        <v>803</v>
      </c>
      <c r="H475" s="405"/>
      <c r="I475" t="s">
        <v>331</v>
      </c>
      <c r="J475" t="s">
        <v>120</v>
      </c>
      <c r="K475" s="210"/>
      <c r="L475" s="443"/>
      <c r="M475" s="441">
        <v>0</v>
      </c>
      <c r="N475" s="441">
        <v>0</v>
      </c>
      <c r="O475" s="441">
        <v>0</v>
      </c>
      <c r="P475" s="441">
        <v>0</v>
      </c>
      <c r="Q475" s="441">
        <v>0</v>
      </c>
      <c r="R475" s="441">
        <v>0</v>
      </c>
      <c r="S475" s="441">
        <v>0</v>
      </c>
      <c r="T475" s="441">
        <v>0</v>
      </c>
      <c r="U475" s="441">
        <v>0</v>
      </c>
      <c r="V475" s="441">
        <v>0</v>
      </c>
      <c r="W475" s="441">
        <v>0</v>
      </c>
      <c r="X475" s="441">
        <v>0</v>
      </c>
      <c r="Y475" s="441">
        <v>0</v>
      </c>
      <c r="Z475" s="441">
        <v>0</v>
      </c>
      <c r="AA475" s="441">
        <v>0</v>
      </c>
      <c r="AB475" s="441">
        <f t="shared" si="45"/>
        <v>0</v>
      </c>
      <c r="AC475" s="441">
        <v>0</v>
      </c>
      <c r="AD475" s="441">
        <v>0</v>
      </c>
      <c r="AE475" s="441">
        <v>0</v>
      </c>
      <c r="AF475" s="441">
        <v>0</v>
      </c>
      <c r="AG475" s="441">
        <v>0</v>
      </c>
      <c r="AH475" s="441">
        <f t="shared" si="46"/>
        <v>0</v>
      </c>
      <c r="AI475" s="441">
        <v>0</v>
      </c>
      <c r="AJ475" s="441">
        <v>0</v>
      </c>
      <c r="AK475" s="394">
        <f t="shared" si="47"/>
        <v>0</v>
      </c>
      <c r="AL475" s="441">
        <v>0</v>
      </c>
      <c r="AM475" s="441">
        <v>0</v>
      </c>
      <c r="AN475" s="441">
        <v>0</v>
      </c>
      <c r="AO475" s="419"/>
      <c r="AP475" s="419"/>
      <c r="AQ475" s="419"/>
    </row>
    <row r="476" spans="1:43" x14ac:dyDescent="0.25">
      <c r="A476" s="395" t="s">
        <v>109</v>
      </c>
      <c r="B476" s="384" t="s">
        <v>110</v>
      </c>
      <c r="C476" s="384" t="s">
        <v>802</v>
      </c>
      <c r="D476" s="384" t="s">
        <v>861</v>
      </c>
      <c r="E476" s="405"/>
      <c r="F476" s="405"/>
      <c r="G476" s="405"/>
      <c r="H476" s="405"/>
      <c r="I476" t="s">
        <v>767</v>
      </c>
      <c r="J476" t="s">
        <v>128</v>
      </c>
      <c r="L476" s="442"/>
      <c r="M476" s="441">
        <v>0</v>
      </c>
      <c r="N476" s="441">
        <v>0.97746997462062457</v>
      </c>
      <c r="O476" s="441">
        <v>0</v>
      </c>
      <c r="P476" s="441">
        <v>1</v>
      </c>
      <c r="Q476" s="441">
        <v>0.91761269920224109</v>
      </c>
      <c r="R476" s="441">
        <v>0.98911494897970564</v>
      </c>
      <c r="S476" s="441">
        <v>0.86488336650638253</v>
      </c>
      <c r="T476" s="441">
        <v>0</v>
      </c>
      <c r="U476" s="441">
        <v>0.92151814722238579</v>
      </c>
      <c r="V476" s="441">
        <v>1</v>
      </c>
      <c r="W476" s="441">
        <v>0.98039369415507116</v>
      </c>
      <c r="X476" s="441">
        <v>2.3124951823017036E-3</v>
      </c>
      <c r="Y476" s="441">
        <v>0.97632565853112563</v>
      </c>
      <c r="Z476" s="441">
        <v>1</v>
      </c>
      <c r="AA476" s="441">
        <v>0.99094526941085137</v>
      </c>
      <c r="AB476" s="441">
        <f t="shared" si="45"/>
        <v>0.97699681936875815</v>
      </c>
      <c r="AC476" s="441">
        <v>0.97699681936875815</v>
      </c>
      <c r="AD476" s="441">
        <v>0</v>
      </c>
      <c r="AE476" s="441">
        <v>0</v>
      </c>
      <c r="AF476" s="441">
        <v>0.82304306063881782</v>
      </c>
      <c r="AG476" s="441">
        <v>0.98039369415507116</v>
      </c>
      <c r="AH476" s="441">
        <f t="shared" si="46"/>
        <v>0.98911494897970564</v>
      </c>
      <c r="AI476" s="441">
        <v>1</v>
      </c>
      <c r="AJ476" s="441">
        <v>0.99722430202992807</v>
      </c>
      <c r="AK476" s="394">
        <f t="shared" si="47"/>
        <v>0</v>
      </c>
      <c r="AL476" s="441">
        <v>0.99741138965982956</v>
      </c>
      <c r="AM476" s="441">
        <v>0.97275895935078094</v>
      </c>
      <c r="AN476" s="441">
        <v>0.99574328133040668</v>
      </c>
      <c r="AO476" s="419"/>
      <c r="AP476" s="419"/>
      <c r="AQ476" s="419"/>
    </row>
    <row r="477" spans="1:43" x14ac:dyDescent="0.25">
      <c r="A477" s="395" t="s">
        <v>109</v>
      </c>
      <c r="B477" s="384" t="s">
        <v>110</v>
      </c>
      <c r="C477" s="384" t="s">
        <v>802</v>
      </c>
      <c r="D477" s="384" t="s">
        <v>863</v>
      </c>
      <c r="E477" s="405"/>
      <c r="F477" s="405"/>
      <c r="G477" s="405"/>
      <c r="H477" s="405"/>
      <c r="I477" t="s">
        <v>770</v>
      </c>
      <c r="J477" t="s">
        <v>134</v>
      </c>
      <c r="L477" s="442"/>
      <c r="M477" s="441">
        <v>1</v>
      </c>
      <c r="N477" s="441">
        <v>1</v>
      </c>
      <c r="O477" s="441">
        <v>1</v>
      </c>
      <c r="P477" s="441">
        <v>1</v>
      </c>
      <c r="Q477" s="441">
        <v>1</v>
      </c>
      <c r="R477" s="441">
        <v>1</v>
      </c>
      <c r="S477" s="441">
        <v>0.99775548819489068</v>
      </c>
      <c r="T477" s="441">
        <v>0</v>
      </c>
      <c r="U477" s="441">
        <v>0.99858214504502074</v>
      </c>
      <c r="V477" s="441">
        <v>1</v>
      </c>
      <c r="W477" s="441">
        <v>1</v>
      </c>
      <c r="X477" s="441">
        <v>1</v>
      </c>
      <c r="Y477" s="441">
        <v>1</v>
      </c>
      <c r="Z477" s="441">
        <v>1</v>
      </c>
      <c r="AA477" s="441">
        <v>0.99996017570778672</v>
      </c>
      <c r="AB477" s="441">
        <f t="shared" si="45"/>
        <v>0.99805420114513066</v>
      </c>
      <c r="AC477" s="441">
        <v>0.99805420114513066</v>
      </c>
      <c r="AD477" s="441">
        <v>0</v>
      </c>
      <c r="AE477" s="441">
        <v>0</v>
      </c>
      <c r="AF477" s="441">
        <v>1</v>
      </c>
      <c r="AG477" s="441">
        <v>1</v>
      </c>
      <c r="AH477" s="441">
        <f t="shared" si="46"/>
        <v>1</v>
      </c>
      <c r="AI477" s="441">
        <v>1</v>
      </c>
      <c r="AJ477" s="441">
        <v>1</v>
      </c>
      <c r="AK477" s="394">
        <f t="shared" si="47"/>
        <v>1</v>
      </c>
      <c r="AL477" s="441">
        <v>1</v>
      </c>
      <c r="AM477" s="441">
        <v>1</v>
      </c>
      <c r="AN477" s="441">
        <v>0.98954412741826625</v>
      </c>
      <c r="AO477" s="419"/>
      <c r="AP477" s="419"/>
      <c r="AQ477" s="419"/>
    </row>
    <row r="478" spans="1:43" x14ac:dyDescent="0.25">
      <c r="A478" s="395" t="s">
        <v>109</v>
      </c>
      <c r="B478" s="384" t="s">
        <v>110</v>
      </c>
      <c r="C478" s="384" t="s">
        <v>802</v>
      </c>
      <c r="D478" s="384" t="s">
        <v>865</v>
      </c>
      <c r="G478" s="405"/>
      <c r="H478" s="405"/>
      <c r="I478" t="s">
        <v>772</v>
      </c>
      <c r="J478" t="s">
        <v>117</v>
      </c>
      <c r="L478" s="442"/>
      <c r="M478" s="441">
        <v>0</v>
      </c>
      <c r="N478" s="441">
        <v>0</v>
      </c>
      <c r="O478" s="441">
        <v>0</v>
      </c>
      <c r="P478" s="441">
        <v>0</v>
      </c>
      <c r="Q478" s="441">
        <v>0</v>
      </c>
      <c r="R478" s="441">
        <v>0</v>
      </c>
      <c r="S478" s="441">
        <v>0</v>
      </c>
      <c r="T478" s="441">
        <v>0</v>
      </c>
      <c r="U478" s="441">
        <v>0</v>
      </c>
      <c r="V478" s="441">
        <v>0</v>
      </c>
      <c r="W478" s="441">
        <v>0</v>
      </c>
      <c r="X478" s="441">
        <v>0</v>
      </c>
      <c r="Y478" s="441">
        <v>0</v>
      </c>
      <c r="Z478" s="441">
        <v>0</v>
      </c>
      <c r="AA478" s="441">
        <v>0</v>
      </c>
      <c r="AB478" s="441">
        <f t="shared" si="45"/>
        <v>0</v>
      </c>
      <c r="AC478" s="441">
        <v>0</v>
      </c>
      <c r="AD478" s="441">
        <v>0</v>
      </c>
      <c r="AE478" s="441">
        <v>0</v>
      </c>
      <c r="AF478" s="441">
        <v>0</v>
      </c>
      <c r="AG478" s="441">
        <v>0</v>
      </c>
      <c r="AH478" s="441">
        <f t="shared" si="46"/>
        <v>0</v>
      </c>
      <c r="AI478" s="441">
        <v>0</v>
      </c>
      <c r="AJ478" s="441">
        <v>0</v>
      </c>
      <c r="AK478" s="394">
        <f t="shared" si="47"/>
        <v>0</v>
      </c>
      <c r="AL478" s="441">
        <v>0</v>
      </c>
      <c r="AM478" s="441">
        <v>0</v>
      </c>
      <c r="AN478" s="441">
        <v>0</v>
      </c>
      <c r="AO478" s="419"/>
      <c r="AP478" s="419"/>
      <c r="AQ478" s="419"/>
    </row>
    <row r="479" spans="1:43" x14ac:dyDescent="0.25">
      <c r="A479" s="395" t="s">
        <v>109</v>
      </c>
      <c r="B479" s="384" t="s">
        <v>110</v>
      </c>
      <c r="C479" s="384" t="s">
        <v>802</v>
      </c>
      <c r="D479" s="384" t="s">
        <v>863</v>
      </c>
      <c r="G479" s="405"/>
      <c r="H479" s="405"/>
      <c r="I479" t="s">
        <v>770</v>
      </c>
      <c r="J479" t="s">
        <v>119</v>
      </c>
      <c r="L479" s="442"/>
      <c r="M479" s="441">
        <v>0</v>
      </c>
      <c r="N479" s="441">
        <v>0</v>
      </c>
      <c r="O479" s="441">
        <v>0</v>
      </c>
      <c r="P479" s="441">
        <v>0</v>
      </c>
      <c r="Q479" s="441">
        <v>0</v>
      </c>
      <c r="R479" s="441">
        <v>0</v>
      </c>
      <c r="S479" s="441">
        <v>2.244511805109321E-3</v>
      </c>
      <c r="T479" s="441">
        <v>0</v>
      </c>
      <c r="U479" s="441">
        <v>1.4178549549792524E-3</v>
      </c>
      <c r="V479" s="441">
        <v>0</v>
      </c>
      <c r="W479" s="441">
        <v>0</v>
      </c>
      <c r="X479" s="441">
        <v>0</v>
      </c>
      <c r="Y479" s="441">
        <v>0</v>
      </c>
      <c r="Z479" s="441">
        <v>0</v>
      </c>
      <c r="AA479" s="441">
        <v>3.9824292213258897E-5</v>
      </c>
      <c r="AB479" s="441">
        <f t="shared" si="45"/>
        <v>1.9457988548694544E-3</v>
      </c>
      <c r="AC479" s="441">
        <v>1.9457988548694544E-3</v>
      </c>
      <c r="AD479" s="441">
        <v>0</v>
      </c>
      <c r="AE479" s="441">
        <v>0</v>
      </c>
      <c r="AF479" s="441">
        <v>0</v>
      </c>
      <c r="AG479" s="441">
        <v>0</v>
      </c>
      <c r="AH479" s="441">
        <f t="shared" si="46"/>
        <v>0</v>
      </c>
      <c r="AI479" s="441">
        <v>0</v>
      </c>
      <c r="AJ479" s="441">
        <v>0</v>
      </c>
      <c r="AK479" s="394">
        <f t="shared" si="47"/>
        <v>0</v>
      </c>
      <c r="AL479" s="441">
        <v>0</v>
      </c>
      <c r="AM479" s="441">
        <v>0</v>
      </c>
      <c r="AN479" s="441">
        <v>1.0455872581733729E-2</v>
      </c>
      <c r="AO479" s="419"/>
      <c r="AP479" s="419"/>
      <c r="AQ479" s="419"/>
    </row>
    <row r="480" spans="1:43" x14ac:dyDescent="0.25">
      <c r="A480" s="395" t="s">
        <v>109</v>
      </c>
      <c r="B480" s="384" t="s">
        <v>110</v>
      </c>
      <c r="C480" s="384" t="s">
        <v>802</v>
      </c>
      <c r="D480" s="384" t="s">
        <v>861</v>
      </c>
      <c r="G480" s="405"/>
      <c r="H480" s="405"/>
      <c r="I480" t="s">
        <v>767</v>
      </c>
      <c r="J480" t="s">
        <v>115</v>
      </c>
      <c r="L480" s="442"/>
      <c r="M480" s="441">
        <v>0</v>
      </c>
      <c r="N480" s="441">
        <v>0</v>
      </c>
      <c r="O480" s="441">
        <v>0</v>
      </c>
      <c r="P480" s="441">
        <v>0</v>
      </c>
      <c r="Q480" s="441">
        <v>3.78048399022601E-3</v>
      </c>
      <c r="R480" s="441">
        <v>0</v>
      </c>
      <c r="S480" s="441">
        <v>0</v>
      </c>
      <c r="T480" s="441">
        <v>0</v>
      </c>
      <c r="U480" s="441">
        <v>0</v>
      </c>
      <c r="V480" s="441">
        <v>0</v>
      </c>
      <c r="W480" s="441">
        <v>0</v>
      </c>
      <c r="X480" s="441">
        <v>0</v>
      </c>
      <c r="Y480" s="441">
        <v>0</v>
      </c>
      <c r="Z480" s="441">
        <v>0</v>
      </c>
      <c r="AA480" s="441">
        <v>3.0120781616915809E-4</v>
      </c>
      <c r="AB480" s="441">
        <f t="shared" si="45"/>
        <v>9.7520092465061276E-4</v>
      </c>
      <c r="AC480" s="441">
        <v>9.7520092465061276E-4</v>
      </c>
      <c r="AD480" s="441">
        <v>0</v>
      </c>
      <c r="AE480" s="441">
        <v>0</v>
      </c>
      <c r="AF480" s="441">
        <v>0</v>
      </c>
      <c r="AG480" s="441">
        <v>0</v>
      </c>
      <c r="AH480" s="441">
        <f t="shared" si="46"/>
        <v>0</v>
      </c>
      <c r="AI480" s="441">
        <v>0</v>
      </c>
      <c r="AJ480" s="441">
        <v>0</v>
      </c>
      <c r="AK480" s="394">
        <f t="shared" si="47"/>
        <v>0</v>
      </c>
      <c r="AL480" s="441">
        <v>0</v>
      </c>
      <c r="AM480" s="441">
        <v>0</v>
      </c>
      <c r="AN480" s="441">
        <v>0</v>
      </c>
      <c r="AO480" s="419"/>
      <c r="AP480" s="419"/>
      <c r="AQ480" s="419"/>
    </row>
    <row r="481" spans="1:43" x14ac:dyDescent="0.25">
      <c r="A481" s="395" t="s">
        <v>109</v>
      </c>
      <c r="B481" s="384" t="s">
        <v>110</v>
      </c>
      <c r="C481" s="384" t="s">
        <v>802</v>
      </c>
      <c r="D481" s="384" t="s">
        <v>865</v>
      </c>
      <c r="G481" s="405"/>
      <c r="H481" s="405"/>
      <c r="I481" t="s">
        <v>772</v>
      </c>
      <c r="J481" t="s">
        <v>139</v>
      </c>
      <c r="L481" s="442"/>
      <c r="M481" s="441">
        <v>0</v>
      </c>
      <c r="N481" s="441">
        <v>0</v>
      </c>
      <c r="O481" s="441">
        <v>0</v>
      </c>
      <c r="P481" s="441">
        <v>0</v>
      </c>
      <c r="Q481" s="441">
        <v>0</v>
      </c>
      <c r="R481" s="441">
        <v>0</v>
      </c>
      <c r="S481" s="441">
        <v>0</v>
      </c>
      <c r="T481" s="441">
        <v>0</v>
      </c>
      <c r="U481" s="441">
        <v>0</v>
      </c>
      <c r="V481" s="441">
        <v>0</v>
      </c>
      <c r="W481" s="441">
        <v>0</v>
      </c>
      <c r="X481" s="441">
        <v>0</v>
      </c>
      <c r="Y481" s="441">
        <v>0</v>
      </c>
      <c r="Z481" s="441">
        <v>0</v>
      </c>
      <c r="AA481" s="441">
        <v>0</v>
      </c>
      <c r="AB481" s="441">
        <f t="shared" si="45"/>
        <v>0</v>
      </c>
      <c r="AC481" s="441">
        <v>0</v>
      </c>
      <c r="AD481" s="441">
        <v>0</v>
      </c>
      <c r="AE481" s="441">
        <v>0</v>
      </c>
      <c r="AF481" s="441">
        <v>0</v>
      </c>
      <c r="AG481" s="441">
        <v>0</v>
      </c>
      <c r="AH481" s="441">
        <f t="shared" si="46"/>
        <v>0</v>
      </c>
      <c r="AI481" s="441">
        <v>0</v>
      </c>
      <c r="AJ481" s="441">
        <v>0</v>
      </c>
      <c r="AK481" s="394">
        <f t="shared" si="47"/>
        <v>0</v>
      </c>
      <c r="AL481" s="441">
        <v>0</v>
      </c>
      <c r="AM481" s="441">
        <v>0</v>
      </c>
      <c r="AN481" s="441">
        <v>0</v>
      </c>
      <c r="AO481" s="419"/>
      <c r="AP481" s="419"/>
      <c r="AQ481" s="419"/>
    </row>
    <row r="482" spans="1:43" x14ac:dyDescent="0.25">
      <c r="A482" s="395" t="s">
        <v>109</v>
      </c>
      <c r="B482" s="384" t="s">
        <v>110</v>
      </c>
      <c r="C482" s="384" t="s">
        <v>802</v>
      </c>
      <c r="D482" s="384" t="s">
        <v>862</v>
      </c>
      <c r="G482" s="405"/>
      <c r="H482" s="405"/>
      <c r="I482" t="s">
        <v>768</v>
      </c>
      <c r="J482" t="s">
        <v>1701</v>
      </c>
      <c r="L482" s="442"/>
      <c r="M482" s="441">
        <v>0</v>
      </c>
      <c r="N482" s="441">
        <v>0</v>
      </c>
      <c r="O482" s="441">
        <v>0</v>
      </c>
      <c r="P482" s="441">
        <v>0</v>
      </c>
      <c r="Q482" s="441">
        <v>0</v>
      </c>
      <c r="R482" s="441">
        <v>0</v>
      </c>
      <c r="S482" s="441">
        <v>0</v>
      </c>
      <c r="T482" s="441">
        <v>0</v>
      </c>
      <c r="U482" s="441">
        <v>0</v>
      </c>
      <c r="V482" s="441">
        <v>0</v>
      </c>
      <c r="W482" s="441">
        <v>0</v>
      </c>
      <c r="X482" s="441">
        <v>0</v>
      </c>
      <c r="Y482" s="441">
        <v>0</v>
      </c>
      <c r="Z482" s="441">
        <v>0</v>
      </c>
      <c r="AA482" s="441">
        <v>0</v>
      </c>
      <c r="AB482" s="441">
        <f t="shared" si="45"/>
        <v>0</v>
      </c>
      <c r="AC482" s="441">
        <v>0</v>
      </c>
      <c r="AD482" s="441">
        <v>0</v>
      </c>
      <c r="AE482" s="441">
        <v>0</v>
      </c>
      <c r="AF482" s="441">
        <v>0</v>
      </c>
      <c r="AG482" s="441">
        <v>0</v>
      </c>
      <c r="AH482" s="441">
        <f t="shared" si="46"/>
        <v>0</v>
      </c>
      <c r="AI482" s="441">
        <v>0</v>
      </c>
      <c r="AJ482" s="441">
        <v>0</v>
      </c>
      <c r="AK482" s="394">
        <f t="shared" si="47"/>
        <v>0</v>
      </c>
      <c r="AL482" s="441">
        <v>0</v>
      </c>
      <c r="AM482" s="441">
        <v>0</v>
      </c>
      <c r="AN482" s="441">
        <v>0</v>
      </c>
      <c r="AO482" s="419"/>
      <c r="AP482" s="419"/>
      <c r="AQ482" s="419"/>
    </row>
    <row r="483" spans="1:43" x14ac:dyDescent="0.25">
      <c r="A483" s="395" t="s">
        <v>109</v>
      </c>
      <c r="B483" s="384" t="s">
        <v>110</v>
      </c>
      <c r="C483" s="384" t="s">
        <v>802</v>
      </c>
      <c r="D483" s="384" t="s">
        <v>860</v>
      </c>
      <c r="G483" s="405"/>
      <c r="H483" s="405"/>
      <c r="I483" t="s">
        <v>350</v>
      </c>
      <c r="J483" t="s">
        <v>137</v>
      </c>
      <c r="L483" s="442"/>
      <c r="M483" s="441">
        <v>0</v>
      </c>
      <c r="N483" s="441">
        <v>0</v>
      </c>
      <c r="O483" s="441">
        <v>0</v>
      </c>
      <c r="P483" s="441">
        <v>0</v>
      </c>
      <c r="Q483" s="441">
        <v>0</v>
      </c>
      <c r="R483" s="441">
        <v>0</v>
      </c>
      <c r="S483" s="441">
        <v>0</v>
      </c>
      <c r="T483" s="441">
        <v>0</v>
      </c>
      <c r="U483" s="441">
        <v>0</v>
      </c>
      <c r="V483" s="441">
        <v>0</v>
      </c>
      <c r="W483" s="441">
        <v>0</v>
      </c>
      <c r="X483" s="441">
        <v>0</v>
      </c>
      <c r="Y483" s="441">
        <v>0</v>
      </c>
      <c r="Z483" s="441">
        <v>0</v>
      </c>
      <c r="AA483" s="441">
        <v>0</v>
      </c>
      <c r="AB483" s="441">
        <f t="shared" si="45"/>
        <v>1.0565926842793376E-5</v>
      </c>
      <c r="AC483" s="441">
        <v>1.0565926842793376E-5</v>
      </c>
      <c r="AD483" s="441">
        <v>0</v>
      </c>
      <c r="AE483" s="441">
        <v>0</v>
      </c>
      <c r="AF483" s="441">
        <v>0</v>
      </c>
      <c r="AG483" s="441">
        <v>0</v>
      </c>
      <c r="AH483" s="441">
        <f t="shared" si="46"/>
        <v>0</v>
      </c>
      <c r="AI483" s="441">
        <v>0</v>
      </c>
      <c r="AJ483" s="441">
        <v>0</v>
      </c>
      <c r="AK483" s="394">
        <f t="shared" si="47"/>
        <v>0</v>
      </c>
      <c r="AL483" s="441">
        <v>0</v>
      </c>
      <c r="AM483" s="441">
        <v>0</v>
      </c>
      <c r="AN483" s="441">
        <v>0</v>
      </c>
      <c r="AO483" s="419"/>
      <c r="AP483" s="419"/>
      <c r="AQ483" s="419"/>
    </row>
    <row r="484" spans="1:43" x14ac:dyDescent="0.25">
      <c r="A484" s="395" t="s">
        <v>109</v>
      </c>
      <c r="B484" s="384" t="s">
        <v>110</v>
      </c>
      <c r="C484" s="384" t="s">
        <v>802</v>
      </c>
      <c r="D484" s="384" t="s">
        <v>860</v>
      </c>
      <c r="G484" s="405"/>
      <c r="H484" s="405"/>
      <c r="I484" t="s">
        <v>350</v>
      </c>
      <c r="J484" t="s">
        <v>126</v>
      </c>
      <c r="L484" s="442"/>
      <c r="M484" s="441">
        <v>0</v>
      </c>
      <c r="N484" s="441">
        <v>1</v>
      </c>
      <c r="O484" s="441">
        <v>1</v>
      </c>
      <c r="P484" s="441">
        <v>1</v>
      </c>
      <c r="Q484" s="441">
        <v>1</v>
      </c>
      <c r="R484" s="441">
        <v>1</v>
      </c>
      <c r="S484" s="441">
        <v>1</v>
      </c>
      <c r="T484" s="441">
        <v>1</v>
      </c>
      <c r="U484" s="441">
        <v>1</v>
      </c>
      <c r="V484" s="441">
        <v>1</v>
      </c>
      <c r="W484" s="441">
        <v>1</v>
      </c>
      <c r="X484" s="441">
        <v>0</v>
      </c>
      <c r="Y484" s="441">
        <v>1</v>
      </c>
      <c r="Z484" s="441">
        <v>1</v>
      </c>
      <c r="AA484" s="441">
        <v>1</v>
      </c>
      <c r="AB484" s="441">
        <f t="shared" si="45"/>
        <v>0.99998943407315721</v>
      </c>
      <c r="AC484" s="441">
        <v>0.99998943407315721</v>
      </c>
      <c r="AD484" s="441">
        <v>0</v>
      </c>
      <c r="AE484" s="441">
        <v>0</v>
      </c>
      <c r="AF484" s="441">
        <v>1</v>
      </c>
      <c r="AG484" s="441">
        <v>1</v>
      </c>
      <c r="AH484" s="441">
        <f t="shared" si="46"/>
        <v>1</v>
      </c>
      <c r="AI484" s="441">
        <v>1</v>
      </c>
      <c r="AJ484" s="441">
        <v>1</v>
      </c>
      <c r="AK484" s="394">
        <f t="shared" si="47"/>
        <v>0</v>
      </c>
      <c r="AL484" s="441">
        <v>1</v>
      </c>
      <c r="AM484" s="441">
        <v>1</v>
      </c>
      <c r="AN484" s="441">
        <v>1</v>
      </c>
      <c r="AO484" s="419"/>
      <c r="AP484" s="419"/>
      <c r="AQ484" s="419"/>
    </row>
    <row r="485" spans="1:43" x14ac:dyDescent="0.25">
      <c r="A485" s="395" t="s">
        <v>109</v>
      </c>
      <c r="B485" s="384" t="s">
        <v>110</v>
      </c>
      <c r="C485" s="384" t="s">
        <v>802</v>
      </c>
      <c r="D485" s="384" t="s">
        <v>862</v>
      </c>
      <c r="G485" s="405"/>
      <c r="H485" s="405"/>
      <c r="I485" t="s">
        <v>768</v>
      </c>
      <c r="J485" t="s">
        <v>130</v>
      </c>
      <c r="L485" s="442"/>
      <c r="M485" s="441">
        <v>0</v>
      </c>
      <c r="N485" s="441">
        <v>0</v>
      </c>
      <c r="O485" s="441">
        <v>0</v>
      </c>
      <c r="P485" s="441">
        <v>0</v>
      </c>
      <c r="Q485" s="441">
        <v>0</v>
      </c>
      <c r="R485" s="441">
        <v>0</v>
      </c>
      <c r="S485" s="441">
        <v>0</v>
      </c>
      <c r="T485" s="441">
        <v>0</v>
      </c>
      <c r="U485" s="441">
        <v>0</v>
      </c>
      <c r="V485" s="441">
        <v>0</v>
      </c>
      <c r="W485" s="441">
        <v>0</v>
      </c>
      <c r="X485" s="441">
        <v>0</v>
      </c>
      <c r="Y485" s="441">
        <v>0</v>
      </c>
      <c r="Z485" s="441">
        <v>0</v>
      </c>
      <c r="AA485" s="441">
        <v>0</v>
      </c>
      <c r="AB485" s="441">
        <f t="shared" si="45"/>
        <v>0</v>
      </c>
      <c r="AC485" s="441">
        <v>0</v>
      </c>
      <c r="AD485" s="441">
        <v>0</v>
      </c>
      <c r="AE485" s="441">
        <v>0</v>
      </c>
      <c r="AF485" s="441">
        <v>0</v>
      </c>
      <c r="AG485" s="441">
        <v>0</v>
      </c>
      <c r="AH485" s="441">
        <f t="shared" si="46"/>
        <v>0</v>
      </c>
      <c r="AI485" s="441">
        <v>0</v>
      </c>
      <c r="AJ485" s="441">
        <v>0</v>
      </c>
      <c r="AK485" s="394">
        <f t="shared" si="47"/>
        <v>0</v>
      </c>
      <c r="AL485" s="441">
        <v>0</v>
      </c>
      <c r="AM485" s="441">
        <v>0</v>
      </c>
      <c r="AN485" s="441">
        <v>0</v>
      </c>
      <c r="AO485" s="419"/>
      <c r="AP485" s="419"/>
      <c r="AQ485" s="419"/>
    </row>
    <row r="486" spans="1:43" x14ac:dyDescent="0.25">
      <c r="A486" s="395" t="s">
        <v>109</v>
      </c>
      <c r="B486" s="384" t="s">
        <v>110</v>
      </c>
      <c r="C486" s="384" t="s">
        <v>802</v>
      </c>
      <c r="D486" s="384" t="s">
        <v>861</v>
      </c>
      <c r="G486" s="405"/>
      <c r="H486" s="405"/>
      <c r="I486" t="s">
        <v>767</v>
      </c>
      <c r="J486" t="s">
        <v>132</v>
      </c>
      <c r="L486" s="442"/>
      <c r="M486" s="441">
        <v>0</v>
      </c>
      <c r="N486" s="441">
        <v>2.253002537937546E-2</v>
      </c>
      <c r="O486" s="441">
        <v>0</v>
      </c>
      <c r="P486" s="441">
        <v>0</v>
      </c>
      <c r="Q486" s="441">
        <v>7.8606816807532842E-2</v>
      </c>
      <c r="R486" s="441">
        <v>1.0885051020294328E-2</v>
      </c>
      <c r="S486" s="441">
        <v>0.13511663349361738</v>
      </c>
      <c r="T486" s="441">
        <v>0</v>
      </c>
      <c r="U486" s="441">
        <v>7.8481852777614228E-2</v>
      </c>
      <c r="V486" s="441">
        <v>0</v>
      </c>
      <c r="W486" s="441">
        <v>1.9606305844928881E-2</v>
      </c>
      <c r="X486" s="441">
        <v>0.9976875048176983</v>
      </c>
      <c r="Y486" s="441">
        <v>2.3674341468874392E-2</v>
      </c>
      <c r="Z486" s="441">
        <v>0</v>
      </c>
      <c r="AA486" s="441">
        <v>8.7535227729794683E-3</v>
      </c>
      <c r="AB486" s="441">
        <f t="shared" si="45"/>
        <v>2.2027979706591275E-2</v>
      </c>
      <c r="AC486" s="441">
        <v>2.2027979706591275E-2</v>
      </c>
      <c r="AD486" s="441">
        <v>0</v>
      </c>
      <c r="AE486" s="441">
        <v>0</v>
      </c>
      <c r="AF486" s="441">
        <v>0.17695693936118215</v>
      </c>
      <c r="AG486" s="441">
        <v>1.9606305844928881E-2</v>
      </c>
      <c r="AH486" s="441">
        <f t="shared" si="46"/>
        <v>1.0885051020294328E-2</v>
      </c>
      <c r="AI486" s="441">
        <v>0</v>
      </c>
      <c r="AJ486" s="441">
        <v>2.7756979700719604E-3</v>
      </c>
      <c r="AK486" s="394">
        <f t="shared" si="47"/>
        <v>0</v>
      </c>
      <c r="AL486" s="441">
        <v>2.5886103401703848E-3</v>
      </c>
      <c r="AM486" s="441">
        <v>2.7241040649219072E-2</v>
      </c>
      <c r="AN486" s="441">
        <v>4.256718669593383E-3</v>
      </c>
      <c r="AO486" s="419"/>
      <c r="AP486" s="419"/>
      <c r="AQ486" s="419"/>
    </row>
    <row r="487" spans="1:43" x14ac:dyDescent="0.25">
      <c r="A487" s="395" t="s">
        <v>109</v>
      </c>
      <c r="B487" s="384" t="s">
        <v>110</v>
      </c>
      <c r="C487" s="384" t="s">
        <v>804</v>
      </c>
      <c r="D487" s="384" t="s">
        <v>870</v>
      </c>
      <c r="E487" s="405" t="s">
        <v>109</v>
      </c>
      <c r="F487" s="9" t="s">
        <v>110</v>
      </c>
      <c r="G487" s="405" t="s">
        <v>805</v>
      </c>
      <c r="H487" s="405"/>
      <c r="I487" t="s">
        <v>331</v>
      </c>
      <c r="J487" t="s">
        <v>120</v>
      </c>
      <c r="K487" s="210"/>
      <c r="L487" s="443"/>
      <c r="M487" s="441">
        <v>0</v>
      </c>
      <c r="N487" s="441">
        <v>0</v>
      </c>
      <c r="O487" s="441">
        <v>0</v>
      </c>
      <c r="P487" s="441">
        <v>0</v>
      </c>
      <c r="Q487" s="441">
        <v>0</v>
      </c>
      <c r="R487" s="441">
        <v>0</v>
      </c>
      <c r="S487" s="441">
        <v>0</v>
      </c>
      <c r="T487" s="441">
        <v>0</v>
      </c>
      <c r="U487" s="441">
        <v>0</v>
      </c>
      <c r="V487" s="441">
        <v>0</v>
      </c>
      <c r="W487" s="441">
        <v>0</v>
      </c>
      <c r="X487" s="441">
        <v>0</v>
      </c>
      <c r="Y487" s="441">
        <v>0</v>
      </c>
      <c r="Z487" s="441">
        <v>0</v>
      </c>
      <c r="AA487" s="441">
        <v>0</v>
      </c>
      <c r="AB487" s="441">
        <f t="shared" si="45"/>
        <v>0</v>
      </c>
      <c r="AC487" s="441">
        <v>0</v>
      </c>
      <c r="AD487" s="441">
        <v>0</v>
      </c>
      <c r="AE487" s="441">
        <v>0</v>
      </c>
      <c r="AF487" s="441">
        <v>0</v>
      </c>
      <c r="AG487" s="441">
        <v>0</v>
      </c>
      <c r="AH487" s="441">
        <f t="shared" si="46"/>
        <v>0</v>
      </c>
      <c r="AI487" s="441">
        <v>0</v>
      </c>
      <c r="AJ487" s="441">
        <v>0</v>
      </c>
      <c r="AK487" s="394">
        <f t="shared" si="47"/>
        <v>0</v>
      </c>
      <c r="AL487" s="441">
        <v>0</v>
      </c>
      <c r="AM487" s="441">
        <v>0</v>
      </c>
      <c r="AN487" s="441">
        <v>0</v>
      </c>
      <c r="AO487" s="419"/>
      <c r="AP487" s="419"/>
      <c r="AQ487" s="419"/>
    </row>
    <row r="488" spans="1:43" x14ac:dyDescent="0.25">
      <c r="A488" s="395" t="s">
        <v>109</v>
      </c>
      <c r="B488" s="384" t="s">
        <v>110</v>
      </c>
      <c r="C488" s="384" t="s">
        <v>804</v>
      </c>
      <c r="D488" s="384" t="s">
        <v>867</v>
      </c>
      <c r="E488" s="405"/>
      <c r="F488" s="405"/>
      <c r="G488" s="405"/>
      <c r="H488" s="405"/>
      <c r="I488" t="s">
        <v>767</v>
      </c>
      <c r="J488" t="s">
        <v>128</v>
      </c>
      <c r="L488" s="442"/>
      <c r="M488" s="441">
        <v>0</v>
      </c>
      <c r="N488" s="441">
        <v>0.97746997462062457</v>
      </c>
      <c r="O488" s="441">
        <v>0</v>
      </c>
      <c r="P488" s="441">
        <v>1</v>
      </c>
      <c r="Q488" s="441">
        <v>0.91761269920224109</v>
      </c>
      <c r="R488" s="441">
        <v>0.98911494897970564</v>
      </c>
      <c r="S488" s="441">
        <v>0.86488336650638253</v>
      </c>
      <c r="T488" s="441">
        <v>0</v>
      </c>
      <c r="U488" s="441">
        <v>0.92151814722238579</v>
      </c>
      <c r="V488" s="441">
        <v>1</v>
      </c>
      <c r="W488" s="441">
        <v>0.98039369415507116</v>
      </c>
      <c r="X488" s="441">
        <v>2.3124951823017036E-3</v>
      </c>
      <c r="Y488" s="441">
        <v>0.97632565853112563</v>
      </c>
      <c r="Z488" s="441">
        <v>1</v>
      </c>
      <c r="AA488" s="441">
        <v>0.99094526941085137</v>
      </c>
      <c r="AB488" s="441">
        <f t="shared" si="45"/>
        <v>0.97699681936875815</v>
      </c>
      <c r="AC488" s="441">
        <v>0.97699681936875815</v>
      </c>
      <c r="AD488" s="441">
        <v>0</v>
      </c>
      <c r="AE488" s="441">
        <v>0</v>
      </c>
      <c r="AF488" s="441">
        <v>0.82304306063881782</v>
      </c>
      <c r="AG488" s="441">
        <v>0.98039369415507116</v>
      </c>
      <c r="AH488" s="441">
        <f t="shared" si="46"/>
        <v>0.98911494897970564</v>
      </c>
      <c r="AI488" s="441">
        <v>1</v>
      </c>
      <c r="AJ488" s="441">
        <v>0.99722430202992807</v>
      </c>
      <c r="AK488" s="394">
        <f t="shared" si="47"/>
        <v>0</v>
      </c>
      <c r="AL488" s="441">
        <v>0.99741138965982956</v>
      </c>
      <c r="AM488" s="441">
        <v>0.97275895935078094</v>
      </c>
      <c r="AN488" s="441">
        <v>0.99574328133040668</v>
      </c>
      <c r="AO488" s="419"/>
      <c r="AP488" s="419"/>
      <c r="AQ488" s="419"/>
    </row>
    <row r="489" spans="1:43" x14ac:dyDescent="0.25">
      <c r="A489" s="395" t="s">
        <v>109</v>
      </c>
      <c r="B489" s="384" t="s">
        <v>110</v>
      </c>
      <c r="C489" s="384" t="s">
        <v>804</v>
      </c>
      <c r="D489" s="384" t="s">
        <v>869</v>
      </c>
      <c r="E489" s="405"/>
      <c r="F489" s="405"/>
      <c r="G489" s="405"/>
      <c r="H489" s="405"/>
      <c r="I489" t="s">
        <v>770</v>
      </c>
      <c r="J489" t="s">
        <v>134</v>
      </c>
      <c r="L489" s="442"/>
      <c r="M489" s="441">
        <v>1</v>
      </c>
      <c r="N489" s="441">
        <v>1</v>
      </c>
      <c r="O489" s="441">
        <v>1</v>
      </c>
      <c r="P489" s="441">
        <v>1</v>
      </c>
      <c r="Q489" s="441">
        <v>1</v>
      </c>
      <c r="R489" s="441">
        <v>1</v>
      </c>
      <c r="S489" s="441">
        <v>0.99775548819489068</v>
      </c>
      <c r="T489" s="441">
        <v>0</v>
      </c>
      <c r="U489" s="441">
        <v>0.99858214504502074</v>
      </c>
      <c r="V489" s="441">
        <v>1</v>
      </c>
      <c r="W489" s="441">
        <v>1</v>
      </c>
      <c r="X489" s="441">
        <v>1</v>
      </c>
      <c r="Y489" s="441">
        <v>1</v>
      </c>
      <c r="Z489" s="441">
        <v>1</v>
      </c>
      <c r="AA489" s="441">
        <v>0.99996017570778672</v>
      </c>
      <c r="AB489" s="441">
        <f t="shared" si="45"/>
        <v>0.99805420114513066</v>
      </c>
      <c r="AC489" s="441">
        <v>0.99805420114513066</v>
      </c>
      <c r="AD489" s="441">
        <v>0</v>
      </c>
      <c r="AE489" s="441">
        <v>0</v>
      </c>
      <c r="AF489" s="441">
        <v>1</v>
      </c>
      <c r="AG489" s="441">
        <v>1</v>
      </c>
      <c r="AH489" s="441">
        <f t="shared" si="46"/>
        <v>1</v>
      </c>
      <c r="AI489" s="441">
        <v>1</v>
      </c>
      <c r="AJ489" s="441">
        <v>1</v>
      </c>
      <c r="AK489" s="394">
        <f t="shared" si="47"/>
        <v>1</v>
      </c>
      <c r="AL489" s="441">
        <v>1</v>
      </c>
      <c r="AM489" s="441">
        <v>1</v>
      </c>
      <c r="AN489" s="441">
        <v>0.98954412741826625</v>
      </c>
      <c r="AO489" s="419"/>
      <c r="AP489" s="419"/>
      <c r="AQ489" s="419"/>
    </row>
    <row r="490" spans="1:43" x14ac:dyDescent="0.25">
      <c r="A490" s="395" t="s">
        <v>109</v>
      </c>
      <c r="B490" s="384" t="s">
        <v>110</v>
      </c>
      <c r="C490" s="384" t="s">
        <v>804</v>
      </c>
      <c r="D490" s="384" t="s">
        <v>871</v>
      </c>
      <c r="G490" s="405"/>
      <c r="H490" s="405"/>
      <c r="I490" t="s">
        <v>772</v>
      </c>
      <c r="J490" t="s">
        <v>117</v>
      </c>
      <c r="L490" s="442"/>
      <c r="M490" s="441">
        <v>0</v>
      </c>
      <c r="N490" s="441">
        <v>0</v>
      </c>
      <c r="O490" s="441">
        <v>0</v>
      </c>
      <c r="P490" s="441">
        <v>0</v>
      </c>
      <c r="Q490" s="441">
        <v>0</v>
      </c>
      <c r="R490" s="441">
        <v>0</v>
      </c>
      <c r="S490" s="441">
        <v>0</v>
      </c>
      <c r="T490" s="441">
        <v>0</v>
      </c>
      <c r="U490" s="441">
        <v>0</v>
      </c>
      <c r="V490" s="441">
        <v>0</v>
      </c>
      <c r="W490" s="441">
        <v>0</v>
      </c>
      <c r="X490" s="441">
        <v>0</v>
      </c>
      <c r="Y490" s="441">
        <v>0</v>
      </c>
      <c r="Z490" s="441">
        <v>0</v>
      </c>
      <c r="AA490" s="441">
        <v>0</v>
      </c>
      <c r="AB490" s="441">
        <f t="shared" si="45"/>
        <v>0</v>
      </c>
      <c r="AC490" s="441">
        <v>0</v>
      </c>
      <c r="AD490" s="441">
        <v>0</v>
      </c>
      <c r="AE490" s="441">
        <v>0</v>
      </c>
      <c r="AF490" s="441">
        <v>0</v>
      </c>
      <c r="AG490" s="441">
        <v>0</v>
      </c>
      <c r="AH490" s="441">
        <f t="shared" si="46"/>
        <v>0</v>
      </c>
      <c r="AI490" s="441">
        <v>0</v>
      </c>
      <c r="AJ490" s="441">
        <v>0</v>
      </c>
      <c r="AK490" s="394">
        <f t="shared" si="47"/>
        <v>0</v>
      </c>
      <c r="AL490" s="441">
        <v>0</v>
      </c>
      <c r="AM490" s="441">
        <v>0</v>
      </c>
      <c r="AN490" s="441">
        <v>0</v>
      </c>
      <c r="AO490" s="419"/>
      <c r="AP490" s="419"/>
      <c r="AQ490" s="419"/>
    </row>
    <row r="491" spans="1:43" x14ac:dyDescent="0.25">
      <c r="A491" s="395" t="s">
        <v>109</v>
      </c>
      <c r="B491" s="384" t="s">
        <v>110</v>
      </c>
      <c r="C491" s="384" t="s">
        <v>804</v>
      </c>
      <c r="D491" s="384" t="s">
        <v>869</v>
      </c>
      <c r="G491" s="405"/>
      <c r="H491" s="405"/>
      <c r="I491" t="s">
        <v>770</v>
      </c>
      <c r="J491" t="s">
        <v>119</v>
      </c>
      <c r="L491" s="442"/>
      <c r="M491" s="441">
        <v>0</v>
      </c>
      <c r="N491" s="441">
        <v>0</v>
      </c>
      <c r="O491" s="441">
        <v>0</v>
      </c>
      <c r="P491" s="441">
        <v>0</v>
      </c>
      <c r="Q491" s="441">
        <v>0</v>
      </c>
      <c r="R491" s="441">
        <v>0</v>
      </c>
      <c r="S491" s="441">
        <v>2.244511805109321E-3</v>
      </c>
      <c r="T491" s="441">
        <v>0</v>
      </c>
      <c r="U491" s="441">
        <v>1.4178549549792524E-3</v>
      </c>
      <c r="V491" s="441">
        <v>0</v>
      </c>
      <c r="W491" s="441">
        <v>0</v>
      </c>
      <c r="X491" s="441">
        <v>0</v>
      </c>
      <c r="Y491" s="441">
        <v>0</v>
      </c>
      <c r="Z491" s="441">
        <v>0</v>
      </c>
      <c r="AA491" s="441">
        <v>3.9824292213258897E-5</v>
      </c>
      <c r="AB491" s="441">
        <f t="shared" si="45"/>
        <v>1.9457988548694544E-3</v>
      </c>
      <c r="AC491" s="441">
        <v>1.9457988548694544E-3</v>
      </c>
      <c r="AD491" s="441">
        <v>0</v>
      </c>
      <c r="AE491" s="441">
        <v>0</v>
      </c>
      <c r="AF491" s="441">
        <v>0</v>
      </c>
      <c r="AG491" s="441">
        <v>0</v>
      </c>
      <c r="AH491" s="441">
        <f t="shared" si="46"/>
        <v>0</v>
      </c>
      <c r="AI491" s="441">
        <v>0</v>
      </c>
      <c r="AJ491" s="441">
        <v>0</v>
      </c>
      <c r="AK491" s="394">
        <f t="shared" si="47"/>
        <v>0</v>
      </c>
      <c r="AL491" s="441">
        <v>0</v>
      </c>
      <c r="AM491" s="441">
        <v>0</v>
      </c>
      <c r="AN491" s="441">
        <v>1.0455872581733729E-2</v>
      </c>
      <c r="AO491" s="419"/>
      <c r="AP491" s="419"/>
      <c r="AQ491" s="419"/>
    </row>
    <row r="492" spans="1:43" x14ac:dyDescent="0.25">
      <c r="A492" s="395" t="s">
        <v>109</v>
      </c>
      <c r="B492" s="384" t="s">
        <v>110</v>
      </c>
      <c r="C492" s="384" t="s">
        <v>804</v>
      </c>
      <c r="D492" s="384" t="s">
        <v>867</v>
      </c>
      <c r="G492" s="405"/>
      <c r="H492" s="405"/>
      <c r="I492" t="s">
        <v>767</v>
      </c>
      <c r="J492" t="s">
        <v>115</v>
      </c>
      <c r="L492" s="442"/>
      <c r="M492" s="441">
        <v>0</v>
      </c>
      <c r="N492" s="441">
        <v>0</v>
      </c>
      <c r="O492" s="441">
        <v>0</v>
      </c>
      <c r="P492" s="441">
        <v>0</v>
      </c>
      <c r="Q492" s="441">
        <v>3.78048399022601E-3</v>
      </c>
      <c r="R492" s="441">
        <v>0</v>
      </c>
      <c r="S492" s="441">
        <v>0</v>
      </c>
      <c r="T492" s="441">
        <v>0</v>
      </c>
      <c r="U492" s="441">
        <v>0</v>
      </c>
      <c r="V492" s="441">
        <v>0</v>
      </c>
      <c r="W492" s="441">
        <v>0</v>
      </c>
      <c r="X492" s="441">
        <v>0</v>
      </c>
      <c r="Y492" s="441">
        <v>0</v>
      </c>
      <c r="Z492" s="441">
        <v>0</v>
      </c>
      <c r="AA492" s="441">
        <v>3.0120781616915809E-4</v>
      </c>
      <c r="AB492" s="441">
        <f t="shared" si="45"/>
        <v>9.7520092465061276E-4</v>
      </c>
      <c r="AC492" s="441">
        <v>9.7520092465061276E-4</v>
      </c>
      <c r="AD492" s="441">
        <v>0</v>
      </c>
      <c r="AE492" s="441">
        <v>0</v>
      </c>
      <c r="AF492" s="441">
        <v>0</v>
      </c>
      <c r="AG492" s="441">
        <v>0</v>
      </c>
      <c r="AH492" s="441">
        <f t="shared" si="46"/>
        <v>0</v>
      </c>
      <c r="AI492" s="441">
        <v>0</v>
      </c>
      <c r="AJ492" s="441">
        <v>0</v>
      </c>
      <c r="AK492" s="394">
        <f t="shared" si="47"/>
        <v>0</v>
      </c>
      <c r="AL492" s="441">
        <v>0</v>
      </c>
      <c r="AM492" s="441">
        <v>0</v>
      </c>
      <c r="AN492" s="441">
        <v>0</v>
      </c>
      <c r="AO492" s="419"/>
      <c r="AP492" s="419"/>
      <c r="AQ492" s="419"/>
    </row>
    <row r="493" spans="1:43" x14ac:dyDescent="0.25">
      <c r="A493" s="395" t="s">
        <v>109</v>
      </c>
      <c r="B493" s="384" t="s">
        <v>110</v>
      </c>
      <c r="C493" s="384" t="s">
        <v>804</v>
      </c>
      <c r="D493" s="384" t="s">
        <v>871</v>
      </c>
      <c r="G493" s="405"/>
      <c r="H493" s="405"/>
      <c r="I493" t="s">
        <v>772</v>
      </c>
      <c r="J493" t="s">
        <v>139</v>
      </c>
      <c r="L493" s="442"/>
      <c r="M493" s="441">
        <v>0</v>
      </c>
      <c r="N493" s="441">
        <v>0</v>
      </c>
      <c r="O493" s="441">
        <v>0</v>
      </c>
      <c r="P493" s="441">
        <v>0</v>
      </c>
      <c r="Q493" s="441">
        <v>0</v>
      </c>
      <c r="R493" s="441">
        <v>0</v>
      </c>
      <c r="S493" s="441">
        <v>0</v>
      </c>
      <c r="T493" s="441">
        <v>0</v>
      </c>
      <c r="U493" s="441">
        <v>0</v>
      </c>
      <c r="V493" s="441">
        <v>0</v>
      </c>
      <c r="W493" s="441">
        <v>0</v>
      </c>
      <c r="X493" s="441">
        <v>0</v>
      </c>
      <c r="Y493" s="441">
        <v>0</v>
      </c>
      <c r="Z493" s="441">
        <v>0</v>
      </c>
      <c r="AA493" s="441">
        <v>0</v>
      </c>
      <c r="AB493" s="441">
        <f t="shared" si="45"/>
        <v>0</v>
      </c>
      <c r="AC493" s="441">
        <v>0</v>
      </c>
      <c r="AD493" s="441">
        <v>0</v>
      </c>
      <c r="AE493" s="441">
        <v>0</v>
      </c>
      <c r="AF493" s="441">
        <v>0</v>
      </c>
      <c r="AG493" s="441">
        <v>0</v>
      </c>
      <c r="AH493" s="441">
        <f t="shared" si="46"/>
        <v>0</v>
      </c>
      <c r="AI493" s="441">
        <v>0</v>
      </c>
      <c r="AJ493" s="441">
        <v>0</v>
      </c>
      <c r="AK493" s="394">
        <f t="shared" si="47"/>
        <v>0</v>
      </c>
      <c r="AL493" s="441">
        <v>0</v>
      </c>
      <c r="AM493" s="441">
        <v>0</v>
      </c>
      <c r="AN493" s="441">
        <v>0</v>
      </c>
      <c r="AO493" s="419"/>
      <c r="AP493" s="419"/>
      <c r="AQ493" s="419"/>
    </row>
    <row r="494" spans="1:43" x14ac:dyDescent="0.25">
      <c r="A494" s="395" t="s">
        <v>109</v>
      </c>
      <c r="B494" s="384" t="s">
        <v>110</v>
      </c>
      <c r="C494" s="384" t="s">
        <v>804</v>
      </c>
      <c r="D494" s="384" t="s">
        <v>868</v>
      </c>
      <c r="G494" s="405"/>
      <c r="H494" s="405"/>
      <c r="I494" t="s">
        <v>768</v>
      </c>
      <c r="J494" t="s">
        <v>1701</v>
      </c>
      <c r="L494" s="442"/>
      <c r="M494" s="441">
        <v>0</v>
      </c>
      <c r="N494" s="441">
        <v>0</v>
      </c>
      <c r="O494" s="441">
        <v>0</v>
      </c>
      <c r="P494" s="441">
        <v>0</v>
      </c>
      <c r="Q494" s="441">
        <v>0</v>
      </c>
      <c r="R494" s="441">
        <v>0</v>
      </c>
      <c r="S494" s="441">
        <v>0</v>
      </c>
      <c r="T494" s="441">
        <v>0</v>
      </c>
      <c r="U494" s="441">
        <v>0</v>
      </c>
      <c r="V494" s="441">
        <v>0</v>
      </c>
      <c r="W494" s="441">
        <v>0</v>
      </c>
      <c r="X494" s="441">
        <v>0</v>
      </c>
      <c r="Y494" s="441">
        <v>0</v>
      </c>
      <c r="Z494" s="441">
        <v>0</v>
      </c>
      <c r="AA494" s="441">
        <v>0</v>
      </c>
      <c r="AB494" s="441">
        <f t="shared" si="45"/>
        <v>0</v>
      </c>
      <c r="AC494" s="441">
        <v>0</v>
      </c>
      <c r="AD494" s="441">
        <v>0</v>
      </c>
      <c r="AE494" s="441">
        <v>0</v>
      </c>
      <c r="AF494" s="441">
        <v>0</v>
      </c>
      <c r="AG494" s="441">
        <v>0</v>
      </c>
      <c r="AH494" s="441">
        <f t="shared" si="46"/>
        <v>0</v>
      </c>
      <c r="AI494" s="441">
        <v>0</v>
      </c>
      <c r="AJ494" s="441">
        <v>0</v>
      </c>
      <c r="AK494" s="394">
        <f t="shared" si="47"/>
        <v>0</v>
      </c>
      <c r="AL494" s="441">
        <v>0</v>
      </c>
      <c r="AM494" s="441">
        <v>0</v>
      </c>
      <c r="AN494" s="441">
        <v>0</v>
      </c>
      <c r="AO494" s="419"/>
      <c r="AP494" s="419"/>
      <c r="AQ494" s="419"/>
    </row>
    <row r="495" spans="1:43" x14ac:dyDescent="0.25">
      <c r="A495" s="395" t="s">
        <v>109</v>
      </c>
      <c r="B495" s="384" t="s">
        <v>110</v>
      </c>
      <c r="C495" s="384" t="s">
        <v>804</v>
      </c>
      <c r="D495" s="384" t="s">
        <v>866</v>
      </c>
      <c r="G495" s="405"/>
      <c r="H495" s="405"/>
      <c r="I495" t="s">
        <v>350</v>
      </c>
      <c r="J495" t="s">
        <v>137</v>
      </c>
      <c r="L495" s="442"/>
      <c r="M495" s="441">
        <v>0</v>
      </c>
      <c r="N495" s="441">
        <v>0</v>
      </c>
      <c r="O495" s="441">
        <v>0</v>
      </c>
      <c r="P495" s="441">
        <v>0</v>
      </c>
      <c r="Q495" s="441">
        <v>0</v>
      </c>
      <c r="R495" s="441">
        <v>0</v>
      </c>
      <c r="S495" s="441">
        <v>0</v>
      </c>
      <c r="T495" s="441">
        <v>0</v>
      </c>
      <c r="U495" s="441">
        <v>0</v>
      </c>
      <c r="V495" s="441">
        <v>0</v>
      </c>
      <c r="W495" s="441">
        <v>0</v>
      </c>
      <c r="X495" s="441">
        <v>0</v>
      </c>
      <c r="Y495" s="441">
        <v>0</v>
      </c>
      <c r="Z495" s="441">
        <v>0</v>
      </c>
      <c r="AA495" s="441">
        <v>0</v>
      </c>
      <c r="AB495" s="441">
        <f t="shared" si="45"/>
        <v>1.0565926842793376E-5</v>
      </c>
      <c r="AC495" s="441">
        <v>1.0565926842793376E-5</v>
      </c>
      <c r="AD495" s="441">
        <v>0</v>
      </c>
      <c r="AE495" s="441">
        <v>0</v>
      </c>
      <c r="AF495" s="441">
        <v>0</v>
      </c>
      <c r="AG495" s="441">
        <v>0</v>
      </c>
      <c r="AH495" s="441">
        <f t="shared" si="46"/>
        <v>0</v>
      </c>
      <c r="AI495" s="441">
        <v>0</v>
      </c>
      <c r="AJ495" s="441">
        <v>0</v>
      </c>
      <c r="AK495" s="394">
        <f t="shared" si="47"/>
        <v>0</v>
      </c>
      <c r="AL495" s="441">
        <v>0</v>
      </c>
      <c r="AM495" s="441">
        <v>0</v>
      </c>
      <c r="AN495" s="441">
        <v>0</v>
      </c>
      <c r="AO495" s="419"/>
      <c r="AP495" s="419"/>
      <c r="AQ495" s="419"/>
    </row>
    <row r="496" spans="1:43" x14ac:dyDescent="0.25">
      <c r="A496" s="395" t="s">
        <v>109</v>
      </c>
      <c r="B496" s="384" t="s">
        <v>110</v>
      </c>
      <c r="C496" s="384" t="s">
        <v>804</v>
      </c>
      <c r="D496" s="384" t="s">
        <v>866</v>
      </c>
      <c r="G496" s="405"/>
      <c r="H496" s="405"/>
      <c r="I496" t="s">
        <v>350</v>
      </c>
      <c r="J496" t="s">
        <v>126</v>
      </c>
      <c r="L496" s="442"/>
      <c r="M496" s="441">
        <v>0</v>
      </c>
      <c r="N496" s="441">
        <v>1</v>
      </c>
      <c r="O496" s="441">
        <v>1</v>
      </c>
      <c r="P496" s="441">
        <v>1</v>
      </c>
      <c r="Q496" s="441">
        <v>1</v>
      </c>
      <c r="R496" s="441">
        <v>1</v>
      </c>
      <c r="S496" s="441">
        <v>1</v>
      </c>
      <c r="T496" s="441">
        <v>1</v>
      </c>
      <c r="U496" s="441">
        <v>1</v>
      </c>
      <c r="V496" s="441">
        <v>1</v>
      </c>
      <c r="W496" s="441">
        <v>1</v>
      </c>
      <c r="X496" s="441">
        <v>0</v>
      </c>
      <c r="Y496" s="441">
        <v>1</v>
      </c>
      <c r="Z496" s="441">
        <v>1</v>
      </c>
      <c r="AA496" s="441">
        <v>1</v>
      </c>
      <c r="AB496" s="441">
        <f t="shared" si="45"/>
        <v>0.99998943407315721</v>
      </c>
      <c r="AC496" s="441">
        <v>0.99998943407315721</v>
      </c>
      <c r="AD496" s="441">
        <v>0</v>
      </c>
      <c r="AE496" s="441">
        <v>0</v>
      </c>
      <c r="AF496" s="441">
        <v>1</v>
      </c>
      <c r="AG496" s="441">
        <v>1</v>
      </c>
      <c r="AH496" s="441">
        <f t="shared" si="46"/>
        <v>1</v>
      </c>
      <c r="AI496" s="441">
        <v>1</v>
      </c>
      <c r="AJ496" s="441">
        <v>1</v>
      </c>
      <c r="AK496" s="394">
        <f t="shared" si="47"/>
        <v>0</v>
      </c>
      <c r="AL496" s="441">
        <v>1</v>
      </c>
      <c r="AM496" s="441">
        <v>1</v>
      </c>
      <c r="AN496" s="441">
        <v>1</v>
      </c>
      <c r="AO496" s="419"/>
      <c r="AP496" s="419"/>
      <c r="AQ496" s="419"/>
    </row>
    <row r="497" spans="1:43" x14ac:dyDescent="0.25">
      <c r="A497" s="395" t="s">
        <v>109</v>
      </c>
      <c r="B497" s="384" t="s">
        <v>110</v>
      </c>
      <c r="C497" s="384" t="s">
        <v>804</v>
      </c>
      <c r="D497" s="384" t="s">
        <v>868</v>
      </c>
      <c r="G497" s="405"/>
      <c r="H497" s="405"/>
      <c r="I497" t="s">
        <v>768</v>
      </c>
      <c r="J497" t="s">
        <v>130</v>
      </c>
      <c r="L497" s="442"/>
      <c r="M497" s="441">
        <v>0</v>
      </c>
      <c r="N497" s="441">
        <v>0</v>
      </c>
      <c r="O497" s="441">
        <v>0</v>
      </c>
      <c r="P497" s="441">
        <v>0</v>
      </c>
      <c r="Q497" s="441">
        <v>0</v>
      </c>
      <c r="R497" s="441">
        <v>0</v>
      </c>
      <c r="S497" s="441">
        <v>0</v>
      </c>
      <c r="T497" s="441">
        <v>0</v>
      </c>
      <c r="U497" s="441">
        <v>0</v>
      </c>
      <c r="V497" s="441">
        <v>0</v>
      </c>
      <c r="W497" s="441">
        <v>0</v>
      </c>
      <c r="X497" s="441">
        <v>0</v>
      </c>
      <c r="Y497" s="441">
        <v>0</v>
      </c>
      <c r="Z497" s="441">
        <v>0</v>
      </c>
      <c r="AA497" s="441">
        <v>0</v>
      </c>
      <c r="AB497" s="441">
        <f t="shared" si="45"/>
        <v>0</v>
      </c>
      <c r="AC497" s="441">
        <v>0</v>
      </c>
      <c r="AD497" s="441">
        <v>0</v>
      </c>
      <c r="AE497" s="441">
        <v>0</v>
      </c>
      <c r="AF497" s="441">
        <v>0</v>
      </c>
      <c r="AG497" s="441">
        <v>0</v>
      </c>
      <c r="AH497" s="441">
        <f t="shared" si="46"/>
        <v>0</v>
      </c>
      <c r="AI497" s="441">
        <v>0</v>
      </c>
      <c r="AJ497" s="441">
        <v>0</v>
      </c>
      <c r="AK497" s="394">
        <f t="shared" si="47"/>
        <v>0</v>
      </c>
      <c r="AL497" s="441">
        <v>0</v>
      </c>
      <c r="AM497" s="441">
        <v>0</v>
      </c>
      <c r="AN497" s="441">
        <v>0</v>
      </c>
      <c r="AO497" s="419"/>
      <c r="AP497" s="419"/>
      <c r="AQ497" s="419"/>
    </row>
    <row r="498" spans="1:43" x14ac:dyDescent="0.25">
      <c r="A498" s="446" t="s">
        <v>109</v>
      </c>
      <c r="B498" s="447" t="s">
        <v>110</v>
      </c>
      <c r="C498" s="447" t="s">
        <v>804</v>
      </c>
      <c r="D498" s="447" t="s">
        <v>867</v>
      </c>
      <c r="E498" s="47"/>
      <c r="F498" s="47"/>
      <c r="G498" s="434"/>
      <c r="H498" s="434"/>
      <c r="I498" s="216" t="s">
        <v>767</v>
      </c>
      <c r="J498" s="216" t="s">
        <v>132</v>
      </c>
      <c r="K498" s="414"/>
      <c r="L498" s="448"/>
      <c r="M498" s="449">
        <v>0</v>
      </c>
      <c r="N498" s="449">
        <v>2.253002537937546E-2</v>
      </c>
      <c r="O498" s="449">
        <v>0</v>
      </c>
      <c r="P498" s="449">
        <v>0</v>
      </c>
      <c r="Q498" s="449">
        <v>7.8606816807532842E-2</v>
      </c>
      <c r="R498" s="449">
        <v>1.0885051020294328E-2</v>
      </c>
      <c r="S498" s="449">
        <v>0.13511663349361738</v>
      </c>
      <c r="T498" s="449">
        <v>0</v>
      </c>
      <c r="U498" s="449">
        <v>7.8481852777614228E-2</v>
      </c>
      <c r="V498" s="449">
        <v>0</v>
      </c>
      <c r="W498" s="449">
        <v>1.9606305844928881E-2</v>
      </c>
      <c r="X498" s="449">
        <v>0.9976875048176983</v>
      </c>
      <c r="Y498" s="449">
        <v>2.3674341468874392E-2</v>
      </c>
      <c r="Z498" s="449">
        <v>0</v>
      </c>
      <c r="AA498" s="449">
        <v>8.7535227729794683E-3</v>
      </c>
      <c r="AB498" s="449">
        <f t="shared" si="45"/>
        <v>2.2027979706591275E-2</v>
      </c>
      <c r="AC498" s="449">
        <v>2.2027979706591275E-2</v>
      </c>
      <c r="AD498" s="449">
        <v>0</v>
      </c>
      <c r="AE498" s="449">
        <v>0</v>
      </c>
      <c r="AF498" s="449">
        <v>0.17695693936118215</v>
      </c>
      <c r="AG498" s="449">
        <v>1.9606305844928881E-2</v>
      </c>
      <c r="AH498" s="449">
        <f t="shared" si="46"/>
        <v>1.0885051020294328E-2</v>
      </c>
      <c r="AI498" s="449">
        <v>0</v>
      </c>
      <c r="AJ498" s="449">
        <v>2.7756979700719604E-3</v>
      </c>
      <c r="AK498" s="394">
        <f t="shared" si="47"/>
        <v>0</v>
      </c>
      <c r="AL498" s="449">
        <v>2.5886103401703848E-3</v>
      </c>
      <c r="AM498" s="449">
        <v>2.7241040649219072E-2</v>
      </c>
      <c r="AN498" s="449">
        <v>4.256718669593383E-3</v>
      </c>
      <c r="AO498" s="419"/>
      <c r="AP498" s="419"/>
      <c r="AQ498" s="419"/>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D360-40C6-49D7-B41D-B3EE80F30898}">
  <sheetPr>
    <tabColor theme="9" tint="0.59999389629810485"/>
  </sheetPr>
  <dimension ref="A1:AY120"/>
  <sheetViews>
    <sheetView showGridLines="0" zoomScale="70" zoomScaleNormal="70" workbookViewId="0">
      <pane xSplit="2" ySplit="1" topLeftCell="AK93" activePane="bottomRight" state="frozen"/>
      <selection pane="topRight" sqref="A1:O1048576"/>
      <selection pane="bottomLeft" sqref="A1:O1048576"/>
      <selection pane="bottomRight" activeCell="AR114" sqref="AR114:AR117"/>
    </sheetView>
  </sheetViews>
  <sheetFormatPr defaultColWidth="9.28515625" defaultRowHeight="15" x14ac:dyDescent="0.25"/>
  <cols>
    <col min="1" max="1" width="24.7109375" style="9" customWidth="1"/>
    <col min="2" max="2" width="63" style="9" customWidth="1"/>
    <col min="3" max="3" width="11.42578125" style="9" customWidth="1"/>
    <col min="4" max="4" width="12.7109375" style="9" customWidth="1"/>
    <col min="5" max="5" width="10.28515625" style="9" customWidth="1"/>
    <col min="6" max="6" width="10.42578125" style="9" customWidth="1"/>
    <col min="7" max="7" width="14.5703125" customWidth="1"/>
    <col min="8" max="8" width="14.5703125" style="9" customWidth="1"/>
    <col min="9" max="9" width="10" style="9" customWidth="1"/>
    <col min="10" max="10" width="9.28515625" style="9" bestFit="1" customWidth="1"/>
    <col min="11" max="11" width="7" style="9" bestFit="1" customWidth="1"/>
    <col min="12" max="12" width="7.7109375" style="9" bestFit="1" customWidth="1"/>
    <col min="13" max="14" width="7" style="9" bestFit="1" customWidth="1"/>
    <col min="15" max="15" width="8.7109375" style="9" bestFit="1" customWidth="1"/>
    <col min="16" max="16" width="8.28515625" style="9" bestFit="1" customWidth="1"/>
    <col min="17" max="17" width="8.7109375" style="9" bestFit="1" customWidth="1"/>
    <col min="18" max="18" width="7.7109375" style="9" bestFit="1" customWidth="1"/>
    <col min="19" max="19" width="8.28515625" style="9" bestFit="1" customWidth="1"/>
    <col min="20" max="20" width="7.7109375" style="9" bestFit="1" customWidth="1"/>
    <col min="21" max="21" width="8.28515625" style="9" bestFit="1" customWidth="1"/>
    <col min="22" max="22" width="10.42578125" style="9" customWidth="1"/>
    <col min="23" max="23" width="8.28515625" style="9" bestFit="1" customWidth="1"/>
    <col min="24" max="25" width="8.7109375" style="9" bestFit="1" customWidth="1"/>
    <col min="26" max="27" width="9.28515625" style="9" bestFit="1" customWidth="1"/>
    <col min="28" max="29" width="8.42578125" style="9" customWidth="1"/>
    <col min="30" max="30" width="9.28515625" style="9" bestFit="1" customWidth="1"/>
    <col min="31" max="31" width="7" style="9" bestFit="1" customWidth="1"/>
    <col min="32" max="32" width="8.28515625" style="9" bestFit="1" customWidth="1"/>
    <col min="33" max="33" width="8.28515625" style="9" customWidth="1"/>
    <col min="34" max="34" width="8.5703125" style="9" bestFit="1" customWidth="1"/>
    <col min="35" max="35" width="7" style="9" bestFit="1" customWidth="1"/>
    <col min="36" max="36" width="10.28515625" style="9" bestFit="1" customWidth="1"/>
    <col min="37" max="37" width="8.7109375" style="9" bestFit="1" customWidth="1"/>
    <col min="38" max="38" width="10" style="9" customWidth="1"/>
    <col min="39" max="39" width="10.42578125" style="9" customWidth="1"/>
    <col min="40" max="40" width="16.7109375" style="9" bestFit="1" customWidth="1"/>
    <col min="41" max="41" width="74" style="9" bestFit="1" customWidth="1"/>
    <col min="42" max="42" width="10.5703125" style="9" bestFit="1" customWidth="1"/>
    <col min="43" max="43" width="10.42578125" style="9" bestFit="1" customWidth="1"/>
    <col min="44" max="44" width="35" style="9" bestFit="1" customWidth="1"/>
    <col min="45" max="45" width="7.7109375" style="9" bestFit="1" customWidth="1"/>
    <col min="46" max="46" width="8.42578125" style="9" bestFit="1" customWidth="1"/>
    <col min="47" max="47" width="10.42578125" style="9" bestFit="1" customWidth="1"/>
    <col min="48" max="48" width="7.7109375" style="9" bestFit="1" customWidth="1"/>
    <col min="49" max="16384" width="9.28515625" style="9"/>
  </cols>
  <sheetData>
    <row r="1" spans="1:50" ht="23.25" x14ac:dyDescent="0.25">
      <c r="A1" s="8" t="s">
        <v>539</v>
      </c>
    </row>
    <row r="2" spans="1:50" customFormat="1" x14ac:dyDescent="0.25">
      <c r="A2" s="5" t="s">
        <v>7</v>
      </c>
      <c r="B2" t="s">
        <v>90</v>
      </c>
    </row>
    <row r="3" spans="1:50" x14ac:dyDescent="0.25">
      <c r="A3" s="12" t="s">
        <v>541</v>
      </c>
      <c r="B3" s="9" t="s">
        <v>91</v>
      </c>
    </row>
    <row r="5" spans="1:50" ht="21" x14ac:dyDescent="0.25">
      <c r="A5" s="14" t="s">
        <v>542</v>
      </c>
      <c r="F5"/>
      <c r="G5" s="9"/>
      <c r="AN5" s="14" t="s">
        <v>544</v>
      </c>
    </row>
    <row r="6" spans="1:50" x14ac:dyDescent="0.25">
      <c r="A6" s="52" t="s">
        <v>300</v>
      </c>
      <c r="F6"/>
      <c r="G6" s="9"/>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42" t="s">
        <v>301</v>
      </c>
      <c r="AO6" s="57"/>
      <c r="AP6" s="57"/>
      <c r="AQ6" s="57"/>
      <c r="AR6" s="57"/>
      <c r="AS6" s="57"/>
      <c r="AT6" s="57"/>
      <c r="AU6" s="57"/>
    </row>
    <row r="7" spans="1:50" ht="30.75" thickBot="1" x14ac:dyDescent="0.3">
      <c r="A7" s="54" t="s">
        <v>306</v>
      </c>
      <c r="B7" s="55" t="s">
        <v>545</v>
      </c>
      <c r="C7" s="54" t="s">
        <v>302</v>
      </c>
      <c r="D7" s="54" t="s">
        <v>546</v>
      </c>
      <c r="E7" s="54" t="s">
        <v>303</v>
      </c>
      <c r="F7" s="54" t="s">
        <v>547</v>
      </c>
      <c r="G7" s="54" t="s">
        <v>569</v>
      </c>
      <c r="H7" s="54" t="s">
        <v>304</v>
      </c>
      <c r="I7" s="54" t="s">
        <v>326</v>
      </c>
      <c r="J7" s="54" t="s">
        <v>549</v>
      </c>
      <c r="K7" s="54" t="s">
        <v>162</v>
      </c>
      <c r="L7" s="54" t="s">
        <v>164</v>
      </c>
      <c r="M7" s="54" t="s">
        <v>166</v>
      </c>
      <c r="N7" s="54" t="s">
        <v>168</v>
      </c>
      <c r="O7" s="54" t="s">
        <v>170</v>
      </c>
      <c r="P7" s="54" t="s">
        <v>173</v>
      </c>
      <c r="Q7" s="54" t="s">
        <v>175</v>
      </c>
      <c r="R7" s="54" t="s">
        <v>177</v>
      </c>
      <c r="S7" s="54" t="s">
        <v>179</v>
      </c>
      <c r="T7" s="54" t="s">
        <v>181</v>
      </c>
      <c r="U7" s="54" t="s">
        <v>183</v>
      </c>
      <c r="V7" s="54" t="s">
        <v>185</v>
      </c>
      <c r="W7" s="54" t="s">
        <v>188</v>
      </c>
      <c r="X7" s="54" t="s">
        <v>190</v>
      </c>
      <c r="Y7" s="54" t="s">
        <v>192</v>
      </c>
      <c r="Z7" s="54" t="s">
        <v>194</v>
      </c>
      <c r="AA7" s="54" t="s">
        <v>196</v>
      </c>
      <c r="AB7" s="54" t="s">
        <v>198</v>
      </c>
      <c r="AC7" s="54" t="s">
        <v>9</v>
      </c>
      <c r="AD7" s="54" t="s">
        <v>201</v>
      </c>
      <c r="AE7" s="54" t="s">
        <v>203</v>
      </c>
      <c r="AF7" s="54" t="s">
        <v>205</v>
      </c>
      <c r="AG7" s="54" t="s">
        <v>207</v>
      </c>
      <c r="AH7" s="54" t="s">
        <v>210</v>
      </c>
      <c r="AI7" s="54" t="s">
        <v>212</v>
      </c>
      <c r="AJ7" s="54" t="s">
        <v>214</v>
      </c>
      <c r="AK7" s="54" t="s">
        <v>217</v>
      </c>
      <c r="AL7" s="54" t="s">
        <v>219</v>
      </c>
      <c r="AN7" s="44" t="s">
        <v>305</v>
      </c>
      <c r="AO7" s="44" t="s">
        <v>306</v>
      </c>
      <c r="AP7" s="44" t="s">
        <v>307</v>
      </c>
      <c r="AQ7" s="44" t="s">
        <v>308</v>
      </c>
      <c r="AR7" s="44" t="s">
        <v>309</v>
      </c>
      <c r="AS7" s="44" t="s">
        <v>550</v>
      </c>
      <c r="AT7" s="44" t="s">
        <v>310</v>
      </c>
      <c r="AU7" s="44" t="s">
        <v>311</v>
      </c>
      <c r="AV7" s="44" t="s">
        <v>312</v>
      </c>
    </row>
    <row r="8" spans="1:50" ht="76.5" x14ac:dyDescent="0.25">
      <c r="A8" s="50" t="s">
        <v>551</v>
      </c>
      <c r="B8" s="50" t="s">
        <v>26</v>
      </c>
      <c r="C8" s="50" t="s">
        <v>313</v>
      </c>
      <c r="D8" s="50" t="s">
        <v>314</v>
      </c>
      <c r="E8" s="50" t="s">
        <v>552</v>
      </c>
      <c r="F8" s="50" t="s">
        <v>553</v>
      </c>
      <c r="G8" s="50" t="s">
        <v>554</v>
      </c>
      <c r="H8" s="50" t="s">
        <v>315</v>
      </c>
      <c r="I8" s="50" t="s">
        <v>555</v>
      </c>
      <c r="J8" s="50" t="s">
        <v>556</v>
      </c>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N8" s="51" t="s">
        <v>557</v>
      </c>
      <c r="AO8" s="51" t="s">
        <v>316</v>
      </c>
      <c r="AP8" s="51" t="s">
        <v>26</v>
      </c>
      <c r="AQ8" s="51" t="s">
        <v>317</v>
      </c>
      <c r="AR8" s="51" t="s">
        <v>318</v>
      </c>
      <c r="AS8" s="51" t="s">
        <v>328</v>
      </c>
      <c r="AT8" s="51" t="s">
        <v>319</v>
      </c>
      <c r="AU8" s="51" t="s">
        <v>320</v>
      </c>
      <c r="AV8" s="51" t="s">
        <v>321</v>
      </c>
      <c r="AX8" s="9" t="s">
        <v>881</v>
      </c>
    </row>
    <row r="9" spans="1:50" x14ac:dyDescent="0.25">
      <c r="A9" s="9" t="str">
        <f>AO9</f>
        <v>I-CM-DRYKLN</v>
      </c>
      <c r="B9" s="9" t="str">
        <f>AP9</f>
        <v>IND Cement technology: Dry Kiln</v>
      </c>
      <c r="C9" s="9" t="s">
        <v>882</v>
      </c>
      <c r="D9" s="9">
        <v>1</v>
      </c>
      <c r="E9" s="145">
        <v>0.95</v>
      </c>
      <c r="F9" s="67" t="s">
        <v>558</v>
      </c>
      <c r="G9" s="62">
        <v>30</v>
      </c>
      <c r="H9" s="62"/>
      <c r="I9" s="62" t="s">
        <v>559</v>
      </c>
      <c r="J9" s="62" t="s">
        <v>454</v>
      </c>
      <c r="K9" s="145">
        <f>'Inputs_BY INM'!E$35*(1-'Inputs_BY INM'!E$52)/1000/$AX9</f>
        <v>22.300000000000004</v>
      </c>
      <c r="L9" s="145">
        <f>'Inputs_BY INM'!F$35*(1-'Inputs_BY INM'!F52)/1000/$AX9</f>
        <v>77.57307692307694</v>
      </c>
      <c r="M9" s="145">
        <f>'Inputs_BY INM'!G$35*(1-'Inputs_BY INM'!G52)/1000/$AX9</f>
        <v>15.652692307692309</v>
      </c>
      <c r="N9" s="145">
        <f>'Inputs_BY INM'!H$35*(1-'Inputs_BY INM'!H52)/1000/$AX9</f>
        <v>18.095769230769235</v>
      </c>
      <c r="O9" s="145">
        <f>'Inputs_BY INM'!I$35*(1-'Inputs_BY INM'!I52)/1000/$AX9</f>
        <v>6.6363461538461559</v>
      </c>
      <c r="P9" s="145">
        <f>'Inputs_BY INM'!J$35*(1-'Inputs_BY INM'!J52)/1000/$AX9</f>
        <v>29.213846153846152</v>
      </c>
      <c r="Q9" s="145">
        <f>'Inputs_BY INM'!K$35*(1-'Inputs_BY INM'!K52)/1000/$AX9</f>
        <v>81.787307692307706</v>
      </c>
      <c r="R9" s="145">
        <f>'Inputs_BY INM'!L$35*(1-'Inputs_BY INM'!L52)/1000/$AX9</f>
        <v>43.186538461538468</v>
      </c>
      <c r="S9" s="145">
        <f>'Inputs_BY INM'!M$35*(1-'Inputs_BY INM'!M52)/1000/$AX9</f>
        <v>38</v>
      </c>
      <c r="T9" s="145">
        <f>'Inputs_BY INM'!N$35*(1-'Inputs_BY INM'!N52)/1000/$AX9</f>
        <v>13.381899999999998</v>
      </c>
      <c r="U9" s="145">
        <f>'Inputs_BY INM'!O$35*(1-'Inputs_BY INM'!O52)/1000/$AX9</f>
        <v>1.6163461538461537</v>
      </c>
      <c r="V9" s="145">
        <f>'Inputs_BY INM'!P$35*(1-'Inputs_BY INM'!P52)/1000/$AX9</f>
        <v>1533.837</v>
      </c>
      <c r="W9" s="145">
        <f>'Inputs_BY INM'!Q$35*(1-'Inputs_BY INM'!Q52)/1000/$AX9</f>
        <v>17.430000000000003</v>
      </c>
      <c r="X9" s="145">
        <f>'Inputs_BY INM'!R$35*(1-'Inputs_BY INM'!R52)/1000/$AX9</f>
        <v>13.234038461538461</v>
      </c>
      <c r="Y9" s="145">
        <f>'Inputs_BY INM'!S$35*(1-'Inputs_BY INM'!S52)/1000/$AX9</f>
        <v>38.0398</v>
      </c>
      <c r="Z9" s="145">
        <f>'Inputs_BY INM'!T$35*(1-'Inputs_BY INM'!T52)/1000/$AX9</f>
        <v>57.776299999999992</v>
      </c>
      <c r="AA9" s="145">
        <f>'Inputs_BY INM'!U$35*(1-'Inputs_BY INM'!U52)/1000/$AX9</f>
        <v>43.634999999999998</v>
      </c>
      <c r="AB9" s="145">
        <f>'Inputs_BY INM'!V$35*(1-'Inputs_BY INM'!V52)/1000/$AX9</f>
        <v>176.90909090909088</v>
      </c>
      <c r="AC9" s="145">
        <f>'Inputs_BY INM'!W$35*(1-'Inputs_BY INM'!W52)/1000/$AX9</f>
        <v>267.59776536312842</v>
      </c>
      <c r="AD9" s="145">
        <f>'Inputs_BY INM'!X$35*(1-'Inputs_BY INM'!X52)/1000/$AX9</f>
        <v>49.292999999999999</v>
      </c>
      <c r="AE9" s="145">
        <f>'Inputs_BY INM'!Y$35*(1-'Inputs_BY INM'!Y52)/1000/$AX9</f>
        <v>51.123846153846166</v>
      </c>
      <c r="AF9" s="145">
        <f>'Inputs_BY INM'!Z$35*(1-'Inputs_BY INM'!Z52)/1000/$AX9</f>
        <v>61.458199999999991</v>
      </c>
      <c r="AG9" s="145">
        <f>'Inputs_BY INM'!AA$35*(1-'Inputs_BY INM'!AA52)/1000/$AX9</f>
        <v>155.21653846153851</v>
      </c>
      <c r="AH9" s="145">
        <f>'Inputs_BY INM'!AB$35*(1-'Inputs_BY INM'!AB52)/1000/$AX9</f>
        <v>37.32692307692308</v>
      </c>
      <c r="AI9" s="145">
        <f>'Inputs_BY INM'!AC$35*(1-'Inputs_BY INM'!AC52)/1000/$AX9</f>
        <v>17.138461538461542</v>
      </c>
      <c r="AJ9" s="145">
        <f>'Inputs_BY INM'!AD$35*(1-'Inputs_BY INM'!AD52)/1000/$AX9</f>
        <v>38.448400000000007</v>
      </c>
      <c r="AK9" s="145">
        <f>'Inputs_BY INM'!AE$35*(1-'Inputs_BY INM'!AE52)/1000/$AX9</f>
        <v>45.931699999999999</v>
      </c>
      <c r="AL9" s="145">
        <f>'Inputs_BY INM'!AF$35*(1-'Inputs_BY INM'!AF52)/1000/$AX9</f>
        <v>78.600000000000009</v>
      </c>
      <c r="AN9" s="9" t="s">
        <v>560</v>
      </c>
      <c r="AO9" s="9" t="s">
        <v>883</v>
      </c>
      <c r="AP9" s="9" t="s">
        <v>884</v>
      </c>
      <c r="AQ9" s="9" t="s">
        <v>323</v>
      </c>
      <c r="AR9" s="9" t="s">
        <v>454</v>
      </c>
      <c r="AS9" s="9" t="s">
        <v>558</v>
      </c>
      <c r="AT9" s="9" t="s">
        <v>558</v>
      </c>
      <c r="AX9" s="9">
        <v>0.95</v>
      </c>
    </row>
    <row r="10" spans="1:50" x14ac:dyDescent="0.25">
      <c r="A10" s="9" t="str">
        <f t="shared" ref="A10:B10" si="0">AO10</f>
        <v>I-CM-WETKLN</v>
      </c>
      <c r="B10" s="9" t="str">
        <f t="shared" si="0"/>
        <v>IND Cement technology: Wet Kiln</v>
      </c>
      <c r="C10" s="9" t="s">
        <v>882</v>
      </c>
      <c r="D10" s="9">
        <v>1</v>
      </c>
      <c r="E10" s="145">
        <v>0.95</v>
      </c>
      <c r="F10" s="67" t="s">
        <v>558</v>
      </c>
      <c r="G10" s="62">
        <v>30</v>
      </c>
      <c r="H10" s="62"/>
      <c r="I10" s="62" t="s">
        <v>559</v>
      </c>
      <c r="J10" s="62" t="s">
        <v>454</v>
      </c>
      <c r="K10" s="145">
        <f>'Inputs_BY INM'!E$35*('Inputs_BY INM'!E$52)/1000/$AX10</f>
        <v>1.1736842105263161</v>
      </c>
      <c r="L10" s="145">
        <f>'Inputs_BY INM'!F$35*('Inputs_BY INM'!F$52)/1000/$AX10</f>
        <v>4.0827935222672078</v>
      </c>
      <c r="M10" s="145">
        <f>'Inputs_BY INM'!G$35*('Inputs_BY INM'!G$52)/1000/$AX10</f>
        <v>0.82382591093117419</v>
      </c>
      <c r="N10" s="145">
        <f>'Inputs_BY INM'!H$35*('Inputs_BY INM'!H$52)/1000/$AX10</f>
        <v>0.95240890688259139</v>
      </c>
      <c r="O10" s="145">
        <f>'Inputs_BY INM'!I$35*('Inputs_BY INM'!I$52)/1000/$AX10</f>
        <v>0.34928137651821872</v>
      </c>
      <c r="P10" s="145">
        <f>'Inputs_BY INM'!J$35*('Inputs_BY INM'!J$52)/1000/$AX10</f>
        <v>1.537570850202429</v>
      </c>
      <c r="Q10" s="145">
        <f>'Inputs_BY INM'!K$35*('Inputs_BY INM'!K$52)/1000/$AX10</f>
        <v>4.3045951417004051</v>
      </c>
      <c r="R10" s="145">
        <f>'Inputs_BY INM'!L$35*('Inputs_BY INM'!L$52)/1000/$AX10</f>
        <v>2.2729757085020248</v>
      </c>
      <c r="S10" s="145">
        <f>'Inputs_BY INM'!M$35*('Inputs_BY INM'!M$52)/1000/$AX10</f>
        <v>2</v>
      </c>
      <c r="T10" s="145">
        <f>'Inputs_BY INM'!N$35*('Inputs_BY INM'!N$52)/1000/$AX10</f>
        <v>0.7043105263157895</v>
      </c>
      <c r="U10" s="145">
        <f>'Inputs_BY INM'!O$35*('Inputs_BY INM'!O$52)/1000/$AX10</f>
        <v>8.5070850202429146E-2</v>
      </c>
      <c r="V10" s="145">
        <f>'Inputs_BY INM'!P$35*('Inputs_BY INM'!P$52)/1000/$AX10</f>
        <v>80.728263157894744</v>
      </c>
      <c r="W10" s="145">
        <f>'Inputs_BY INM'!Q$35*('Inputs_BY INM'!Q$52)/1000/$AX10</f>
        <v>0.91736842105263194</v>
      </c>
      <c r="X10" s="145">
        <f>'Inputs_BY INM'!R$35*('Inputs_BY INM'!R$52)/1000/$AX10</f>
        <v>0.69652834008097175</v>
      </c>
      <c r="Y10" s="145">
        <f>'Inputs_BY INM'!S$35*('Inputs_BY INM'!S$52)/1000/$AX10</f>
        <v>2.0020947368421056</v>
      </c>
      <c r="Z10" s="145">
        <f>'Inputs_BY INM'!T$35*('Inputs_BY INM'!T$52)/1000/$AX10</f>
        <v>3.0408578947368423</v>
      </c>
      <c r="AA10" s="145">
        <f>'Inputs_BY INM'!U$35*('Inputs_BY INM'!U$52)/1000/$AX10</f>
        <v>2.2965789473684213</v>
      </c>
      <c r="AB10" s="145">
        <f>'Inputs_BY INM'!V$35*('Inputs_BY INM'!V$52)/1000/$AX10</f>
        <v>9.3110047846889934</v>
      </c>
      <c r="AC10" s="145">
        <f>'Inputs_BY INM'!W$35*('Inputs_BY INM'!W$52)/1000/$AX10</f>
        <v>14.084092913848867</v>
      </c>
      <c r="AD10" s="145">
        <f>'Inputs_BY INM'!X$35*('Inputs_BY INM'!X$52)/1000/$AX10</f>
        <v>2.5943684210526321</v>
      </c>
      <c r="AE10" s="145">
        <f>'Inputs_BY INM'!Y$35*('Inputs_BY INM'!Y$52)/1000/$AX10</f>
        <v>2.6907287449392721</v>
      </c>
      <c r="AF10" s="145">
        <f>'Inputs_BY INM'!Z$35*('Inputs_BY INM'!Z$52)/1000/$AX10</f>
        <v>3.2346421052631578</v>
      </c>
      <c r="AG10" s="145">
        <f>'Inputs_BY INM'!AA$35*('Inputs_BY INM'!AA$52)/1000/$AX10</f>
        <v>8.1692914979757116</v>
      </c>
      <c r="AH10" s="145">
        <f>'Inputs_BY INM'!AB$35*('Inputs_BY INM'!AB$52)/1000/$AX10</f>
        <v>1.9645748987854255</v>
      </c>
      <c r="AI10" s="145">
        <f>'Inputs_BY INM'!AC$35*('Inputs_BY INM'!AC$52)/1000/$AX10</f>
        <v>0.90202429149797592</v>
      </c>
      <c r="AJ10" s="145">
        <f>'Inputs_BY INM'!AD$35*('Inputs_BY INM'!AD$52)/1000/$AX10</f>
        <v>2.0236000000000001</v>
      </c>
      <c r="AK10" s="145">
        <f>'Inputs_BY INM'!AE$35*('Inputs_BY INM'!AE$52)/1000/$AX10</f>
        <v>2.4174578947368421</v>
      </c>
      <c r="AL10" s="145">
        <f>'Inputs_BY INM'!AF$35*('Inputs_BY INM'!AF$52)/1000/$AX10</f>
        <v>4.1368421052631579</v>
      </c>
      <c r="AN10" s="9" t="s">
        <v>560</v>
      </c>
      <c r="AO10" s="9" t="s">
        <v>885</v>
      </c>
      <c r="AP10" s="9" t="s">
        <v>886</v>
      </c>
      <c r="AQ10" s="9" t="s">
        <v>323</v>
      </c>
      <c r="AR10" s="9" t="s">
        <v>454</v>
      </c>
      <c r="AS10" s="9" t="s">
        <v>558</v>
      </c>
      <c r="AT10" s="9" t="s">
        <v>558</v>
      </c>
      <c r="AX10" s="9">
        <v>0.95</v>
      </c>
    </row>
    <row r="11" spans="1:50" x14ac:dyDescent="0.25">
      <c r="A11" s="9" t="str">
        <f>AO11</f>
        <v>I-CM-GRND</v>
      </c>
      <c r="B11" s="9" t="str">
        <f>AP11</f>
        <v>IND Cement technology: Grinding</v>
      </c>
      <c r="C11" s="9" t="s">
        <v>364</v>
      </c>
      <c r="D11" s="9">
        <v>1</v>
      </c>
      <c r="E11" s="145">
        <v>0.95</v>
      </c>
      <c r="F11" s="67" t="s">
        <v>558</v>
      </c>
      <c r="G11" s="62">
        <v>30</v>
      </c>
      <c r="H11" s="62"/>
      <c r="I11" s="62" t="s">
        <v>559</v>
      </c>
      <c r="J11" s="62" t="s">
        <v>454</v>
      </c>
      <c r="K11" s="145">
        <f>'Inputs_BY INM'!E27/1000/$E11</f>
        <v>27.608631578947371</v>
      </c>
      <c r="L11" s="145">
        <f>'Inputs_BY INM'!F27/1000/$E11</f>
        <v>104.69052631578948</v>
      </c>
      <c r="M11" s="145">
        <f>'Inputs_BY INM'!G27/1000/$E11</f>
        <v>36.356842105263162</v>
      </c>
      <c r="N11" s="145">
        <f>'Inputs_BY INM'!H27/1000/$E11</f>
        <v>23.78526315789474</v>
      </c>
      <c r="O11" s="145">
        <f>'Inputs_BY INM'!I27/1000/$E11</f>
        <v>11.473684210526317</v>
      </c>
      <c r="P11" s="145">
        <f>'Inputs_BY INM'!J27/1000/$E11</f>
        <v>39.746105263157901</v>
      </c>
      <c r="Q11" s="145">
        <f>'Inputs_BY INM'!K27/1000/$E11</f>
        <v>89.559157894736842</v>
      </c>
      <c r="R11" s="145">
        <f>'Inputs_BY INM'!L27/1000/$E11</f>
        <v>93.367368421052632</v>
      </c>
      <c r="S11" s="145">
        <f>'Inputs_BY INM'!M27/1000/$E11</f>
        <v>59.590736842105265</v>
      </c>
      <c r="T11" s="145">
        <f>'Inputs_BY INM'!N27/1000/$E11</f>
        <v>13.810526315789474</v>
      </c>
      <c r="U11" s="145">
        <f>'Inputs_BY INM'!O27/1000/$E11</f>
        <v>5.2947368421052641</v>
      </c>
      <c r="V11" s="145">
        <f>'Inputs_BY INM'!P27/1000/$E11</f>
        <v>2481.2389084210527</v>
      </c>
      <c r="W11" s="145">
        <f>'Inputs_BY INM'!Q27/1000/$E11</f>
        <v>21.842736842105264</v>
      </c>
      <c r="X11" s="145">
        <f>'Inputs_BY INM'!R27/1000/$E11</f>
        <v>13.98842105263158</v>
      </c>
      <c r="Y11" s="145">
        <f>'Inputs_BY INM'!S27/1000/$E11</f>
        <v>51.5421052631579</v>
      </c>
      <c r="Z11" s="145">
        <f>'Inputs_BY INM'!T27/1000/$E11</f>
        <v>67.77000000000001</v>
      </c>
      <c r="AA11" s="145">
        <f>'Inputs_BY INM'!U27/1000/$E11</f>
        <v>61.73842105263158</v>
      </c>
      <c r="AB11" s="145">
        <f>'Inputs_BY INM'!V27/1000/$E11</f>
        <v>215.92947368421054</v>
      </c>
      <c r="AC11" s="145">
        <f>'Inputs_BY INM'!W27/1000/$E11</f>
        <v>356.76105263157899</v>
      </c>
      <c r="AD11" s="145">
        <f>'Inputs_BY INM'!X27/1000/$E11</f>
        <v>56.275473684210532</v>
      </c>
      <c r="AE11" s="145">
        <f>'Inputs_BY INM'!Y27/1000/$E11</f>
        <v>69.62484210526317</v>
      </c>
      <c r="AF11" s="145">
        <f>'Inputs_BY INM'!Z27/1000/$E11</f>
        <v>74.567684210526323</v>
      </c>
      <c r="AG11" s="145">
        <f>'Inputs_BY INM'!AA27/1000/$E11</f>
        <v>170.34968421052633</v>
      </c>
      <c r="AH11" s="145">
        <f>'Inputs_BY INM'!AB27/1000/$E11</f>
        <v>44.664210526315792</v>
      </c>
      <c r="AI11" s="145">
        <f>'Inputs_BY INM'!AC27/1000/$E11</f>
        <v>24.210526315789476</v>
      </c>
      <c r="AJ11" s="145">
        <f>'Inputs_BY INM'!AD27/1000/$E11</f>
        <v>60.711578947368423</v>
      </c>
      <c r="AK11" s="145">
        <f>'Inputs_BY INM'!AE27/1000/$E11</f>
        <v>53.300565263157907</v>
      </c>
      <c r="AL11" s="145">
        <f>'Inputs_BY INM'!AF27/1000/$E11</f>
        <v>92.73684210526315</v>
      </c>
      <c r="AN11" s="9" t="s">
        <v>560</v>
      </c>
      <c r="AO11" s="9" t="s">
        <v>887</v>
      </c>
      <c r="AP11" s="9" t="s">
        <v>888</v>
      </c>
      <c r="AQ11" s="9" t="s">
        <v>323</v>
      </c>
      <c r="AR11" s="9" t="s">
        <v>454</v>
      </c>
      <c r="AX11" s="9">
        <v>0.95</v>
      </c>
    </row>
    <row r="12" spans="1:50" x14ac:dyDescent="0.25">
      <c r="A12" s="9" t="str">
        <f t="shared" ref="A12:A24" si="1">AO12</f>
        <v>I-NM-LTH_ELC00</v>
      </c>
      <c r="B12" s="9" t="str">
        <f t="shared" ref="B12:B24" si="2">AP12</f>
        <v>IND Non-metallic minerals technology: Low temperature heat using Electricity - Existing</v>
      </c>
      <c r="C12" s="9" t="s">
        <v>889</v>
      </c>
      <c r="E12" s="145">
        <v>0.9</v>
      </c>
      <c r="F12" s="67"/>
      <c r="G12" s="62">
        <v>25</v>
      </c>
      <c r="H12" s="67">
        <v>0.8</v>
      </c>
      <c r="I12" s="62" t="s">
        <v>559</v>
      </c>
      <c r="J12" s="62" t="s">
        <v>323</v>
      </c>
      <c r="K12" s="145">
        <f>'Inputs_BY INM'!E280/1000/$E12</f>
        <v>0</v>
      </c>
      <c r="L12" s="145">
        <f>'Inputs_BY INM'!F280/1000/$E12</f>
        <v>0</v>
      </c>
      <c r="M12" s="145">
        <f>'Inputs_BY INM'!G280/1000/$E12</f>
        <v>0</v>
      </c>
      <c r="N12" s="145">
        <f>'Inputs_BY INM'!H280/1000/$E12</f>
        <v>0</v>
      </c>
      <c r="O12" s="145">
        <f>'Inputs_BY INM'!I280/1000/$E12</f>
        <v>1.4388869496355319</v>
      </c>
      <c r="P12" s="145">
        <f>'Inputs_BY INM'!J280/1000/$E12</f>
        <v>0</v>
      </c>
      <c r="Q12" s="145">
        <f>'Inputs_BY INM'!K280/1000/$E12</f>
        <v>0</v>
      </c>
      <c r="R12" s="145">
        <f>'Inputs_BY INM'!L280/1000/$E12</f>
        <v>0</v>
      </c>
      <c r="S12" s="145">
        <f>'Inputs_BY INM'!M280/1000/$E12</f>
        <v>0</v>
      </c>
      <c r="T12" s="145">
        <f>'Inputs_BY INM'!N280/1000/$E12</f>
        <v>0.17247636173525663</v>
      </c>
      <c r="U12" s="145">
        <f>'Inputs_BY INM'!O280/1000/$E12</f>
        <v>3.8270222745619122E-2</v>
      </c>
      <c r="V12" s="145">
        <f>'Inputs_BY INM'!P280/1000/$E12</f>
        <v>0</v>
      </c>
      <c r="W12" s="145">
        <f>'Inputs_BY INM'!Q280/1000/$E12</f>
        <v>1.6905231978941782</v>
      </c>
      <c r="X12" s="145">
        <f>'Inputs_BY INM'!R280/1000/$E12</f>
        <v>4.4518480829541831</v>
      </c>
      <c r="Y12" s="145">
        <f>'Inputs_BY INM'!S280/1000/$E12</f>
        <v>6.1980343612232671</v>
      </c>
      <c r="Z12" s="145">
        <f>'Inputs_BY INM'!T280/1000/$E12</f>
        <v>12.0048008710164</v>
      </c>
      <c r="AA12" s="145">
        <f>'Inputs_BY INM'!U280/1000/$E12</f>
        <v>9.0129897587518943</v>
      </c>
      <c r="AB12" s="145">
        <f>'Inputs_BY INM'!V280/1000/$E12</f>
        <v>0</v>
      </c>
      <c r="AC12" s="145">
        <f>'Inputs_BY INM'!W280/1000/$E12</f>
        <v>0</v>
      </c>
      <c r="AD12" s="145">
        <f>'Inputs_BY INM'!X280/1000/$E12</f>
        <v>7.4820985511221796</v>
      </c>
      <c r="AE12" s="145">
        <f>'Inputs_BY INM'!Y280/1000/$E12</f>
        <v>0</v>
      </c>
      <c r="AF12" s="145">
        <f>'Inputs_BY INM'!Z280/1000/$E12</f>
        <v>3.1303479215274912</v>
      </c>
      <c r="AG12" s="145">
        <f>'Inputs_BY INM'!AA280/1000/$E12</f>
        <v>0</v>
      </c>
      <c r="AH12" s="145">
        <f>'Inputs_BY INM'!AB280/1000/$E12</f>
        <v>3.7164427221189325</v>
      </c>
      <c r="AI12" s="145">
        <f>'Inputs_BY INM'!AC280/1000/$E12</f>
        <v>0</v>
      </c>
      <c r="AJ12" s="145">
        <f>'Inputs_BY INM'!AD280/1000/$E12</f>
        <v>6.6228973187014306</v>
      </c>
      <c r="AK12" s="145">
        <f>'Inputs_BY INM'!AE280/1000/$E12</f>
        <v>4.7688250125124689</v>
      </c>
      <c r="AL12" s="145">
        <f>'Inputs_BY INM'!AF280/1000/$E12</f>
        <v>13.443231917873709</v>
      </c>
      <c r="AN12" s="9" t="s">
        <v>322</v>
      </c>
      <c r="AO12" s="9" t="s">
        <v>890</v>
      </c>
      <c r="AP12" s="9" t="s">
        <v>774</v>
      </c>
      <c r="AQ12" s="9" t="s">
        <v>323</v>
      </c>
      <c r="AR12" s="9" t="s">
        <v>891</v>
      </c>
    </row>
    <row r="13" spans="1:50" x14ac:dyDescent="0.25">
      <c r="A13" s="9" t="str">
        <f t="shared" si="1"/>
        <v>I-NM-MDR_ELC00</v>
      </c>
      <c r="B13" s="9" t="str">
        <f t="shared" si="2"/>
        <v>IND Non-metallic minerals technology: Machine drive using Electricity - Existing</v>
      </c>
      <c r="C13" s="9" t="s">
        <v>892</v>
      </c>
      <c r="E13" s="145">
        <v>0.9</v>
      </c>
      <c r="F13" s="67"/>
      <c r="G13" s="62">
        <v>15</v>
      </c>
      <c r="H13" s="67">
        <v>0.8</v>
      </c>
      <c r="I13" s="62" t="s">
        <v>559</v>
      </c>
      <c r="J13" s="62" t="s">
        <v>323</v>
      </c>
      <c r="K13" s="145">
        <f>'Inputs_BY INM'!E281/1000/$E13</f>
        <v>0</v>
      </c>
      <c r="L13" s="145">
        <f>'Inputs_BY INM'!F281/1000/$E13</f>
        <v>0</v>
      </c>
      <c r="M13" s="145">
        <f>'Inputs_BY INM'!G281/1000/$E13</f>
        <v>0</v>
      </c>
      <c r="N13" s="145">
        <f>'Inputs_BY INM'!H281/1000/$E13</f>
        <v>0</v>
      </c>
      <c r="O13" s="145">
        <f>'Inputs_BY INM'!I281/1000/$E13</f>
        <v>5.0361043237243601</v>
      </c>
      <c r="P13" s="145">
        <f>'Inputs_BY INM'!J281/1000/$E13</f>
        <v>0</v>
      </c>
      <c r="Q13" s="145">
        <f>'Inputs_BY INM'!K281/1000/$E13</f>
        <v>0</v>
      </c>
      <c r="R13" s="145">
        <f>'Inputs_BY INM'!L281/1000/$E13</f>
        <v>0</v>
      </c>
      <c r="S13" s="145">
        <f>'Inputs_BY INM'!M281/1000/$E13</f>
        <v>0</v>
      </c>
      <c r="T13" s="145">
        <f>'Inputs_BY INM'!N281/1000/$E13</f>
        <v>0.60366726607339827</v>
      </c>
      <c r="U13" s="145">
        <f>'Inputs_BY INM'!O281/1000/$E13</f>
        <v>0.13394577960966692</v>
      </c>
      <c r="V13" s="145">
        <f>'Inputs_BY INM'!P281/1000/$E13</f>
        <v>0</v>
      </c>
      <c r="W13" s="145">
        <f>'Inputs_BY INM'!Q281/1000/$E13</f>
        <v>5.9168311926296218</v>
      </c>
      <c r="X13" s="145">
        <f>'Inputs_BY INM'!R281/1000/$E13</f>
        <v>15.58146829033964</v>
      </c>
      <c r="Y13" s="145">
        <f>'Inputs_BY INM'!S281/1000/$E13</f>
        <v>21.693120264281426</v>
      </c>
      <c r="Z13" s="145">
        <f>'Inputs_BY INM'!T281/1000/$E13</f>
        <v>42.016803048557385</v>
      </c>
      <c r="AA13" s="145">
        <f>'Inputs_BY INM'!U281/1000/$E13</f>
        <v>31.545464155631624</v>
      </c>
      <c r="AB13" s="145">
        <f>'Inputs_BY INM'!V281/1000/$E13</f>
        <v>0</v>
      </c>
      <c r="AC13" s="145">
        <f>'Inputs_BY INM'!W281/1000/$E13</f>
        <v>0</v>
      </c>
      <c r="AD13" s="145">
        <f>'Inputs_BY INM'!X281/1000/$E13</f>
        <v>26.187344928927626</v>
      </c>
      <c r="AE13" s="145">
        <f>'Inputs_BY INM'!Y281/1000/$E13</f>
        <v>0</v>
      </c>
      <c r="AF13" s="145">
        <f>'Inputs_BY INM'!Z281/1000/$E13</f>
        <v>10.956217725346219</v>
      </c>
      <c r="AG13" s="145">
        <f>'Inputs_BY INM'!AA281/1000/$E13</f>
        <v>0</v>
      </c>
      <c r="AH13" s="145">
        <f>'Inputs_BY INM'!AB281/1000/$E13</f>
        <v>13.007549527416259</v>
      </c>
      <c r="AI13" s="145">
        <f>'Inputs_BY INM'!AC281/1000/$E13</f>
        <v>0</v>
      </c>
      <c r="AJ13" s="145">
        <f>'Inputs_BY INM'!AD281/1000/$E13</f>
        <v>23.180140615455006</v>
      </c>
      <c r="AK13" s="145">
        <f>'Inputs_BY INM'!AE281/1000/$E13</f>
        <v>16.690887543793643</v>
      </c>
      <c r="AL13" s="145">
        <f>'Inputs_BY INM'!AF281/1000/$E13</f>
        <v>47.051311712557983</v>
      </c>
      <c r="AN13" s="9" t="s">
        <v>322</v>
      </c>
      <c r="AO13" s="9" t="s">
        <v>893</v>
      </c>
      <c r="AP13" s="9" t="s">
        <v>775</v>
      </c>
      <c r="AQ13" s="9" t="s">
        <v>323</v>
      </c>
      <c r="AR13" s="9" t="s">
        <v>891</v>
      </c>
    </row>
    <row r="14" spans="1:50" x14ac:dyDescent="0.25">
      <c r="A14" s="9" t="str">
        <f t="shared" si="1"/>
        <v>I-NM-OTS_ELC00</v>
      </c>
      <c r="B14" s="9" t="str">
        <f t="shared" si="2"/>
        <v>IND Non-metallic minerals technology: Other services using Electricity - Existing</v>
      </c>
      <c r="C14" s="9" t="s">
        <v>894</v>
      </c>
      <c r="E14" s="145">
        <v>0.9</v>
      </c>
      <c r="F14" s="67"/>
      <c r="G14" s="62">
        <v>20</v>
      </c>
      <c r="H14" s="67">
        <v>0.8</v>
      </c>
      <c r="I14" s="62" t="s">
        <v>559</v>
      </c>
      <c r="J14" s="62" t="s">
        <v>323</v>
      </c>
      <c r="K14" s="145">
        <f>'Inputs_BY INM'!E282/1000/$E14</f>
        <v>0</v>
      </c>
      <c r="L14" s="145">
        <f>'Inputs_BY INM'!F282/1000/$E14</f>
        <v>0</v>
      </c>
      <c r="M14" s="145">
        <f>'Inputs_BY INM'!G282/1000/$E14</f>
        <v>0</v>
      </c>
      <c r="N14" s="145">
        <f>'Inputs_BY INM'!H282/1000/$E14</f>
        <v>0</v>
      </c>
      <c r="O14" s="145">
        <f>'Inputs_BY INM'!I282/1000/$E14</f>
        <v>0.7194434748177666</v>
      </c>
      <c r="P14" s="145">
        <f>'Inputs_BY INM'!J282/1000/$E14</f>
        <v>0</v>
      </c>
      <c r="Q14" s="145">
        <f>'Inputs_BY INM'!K282/1000/$E14</f>
        <v>0</v>
      </c>
      <c r="R14" s="145">
        <f>'Inputs_BY INM'!L282/1000/$E14</f>
        <v>0</v>
      </c>
      <c r="S14" s="145">
        <f>'Inputs_BY INM'!M282/1000/$E14</f>
        <v>0</v>
      </c>
      <c r="T14" s="145">
        <f>'Inputs_BY INM'!N282/1000/$E14</f>
        <v>8.6238180867628397E-2</v>
      </c>
      <c r="U14" s="145">
        <f>'Inputs_BY INM'!O282/1000/$E14</f>
        <v>1.9135111372809578E-2</v>
      </c>
      <c r="V14" s="145">
        <f>'Inputs_BY INM'!P282/1000/$E14</f>
        <v>0</v>
      </c>
      <c r="W14" s="145">
        <f>'Inputs_BY INM'!Q282/1000/$E14</f>
        <v>0.84526159894708963</v>
      </c>
      <c r="X14" s="145">
        <f>'Inputs_BY INM'!R282/1000/$E14</f>
        <v>2.2259240414770929</v>
      </c>
      <c r="Y14" s="145">
        <f>'Inputs_BY INM'!S282/1000/$E14</f>
        <v>3.0990171806116358</v>
      </c>
      <c r="Z14" s="145">
        <f>'Inputs_BY INM'!T282/1000/$E14</f>
        <v>6.0024004355082043</v>
      </c>
      <c r="AA14" s="145">
        <f>'Inputs_BY INM'!U282/1000/$E14</f>
        <v>4.5064948793759507</v>
      </c>
      <c r="AB14" s="145">
        <f>'Inputs_BY INM'!V282/1000/$E14</f>
        <v>0</v>
      </c>
      <c r="AC14" s="145">
        <f>'Inputs_BY INM'!W282/1000/$E14</f>
        <v>0</v>
      </c>
      <c r="AD14" s="145">
        <f>'Inputs_BY INM'!X282/1000/$E14</f>
        <v>3.7410492755610929</v>
      </c>
      <c r="AE14" s="145">
        <f>'Inputs_BY INM'!Y282/1000/$E14</f>
        <v>0</v>
      </c>
      <c r="AF14" s="145">
        <f>'Inputs_BY INM'!Z282/1000/$E14</f>
        <v>1.5651739607637469</v>
      </c>
      <c r="AG14" s="145">
        <f>'Inputs_BY INM'!AA282/1000/$E14</f>
        <v>0</v>
      </c>
      <c r="AH14" s="145">
        <f>'Inputs_BY INM'!AB282/1000/$E14</f>
        <v>1.8582213610594676</v>
      </c>
      <c r="AI14" s="145">
        <f>'Inputs_BY INM'!AC282/1000/$E14</f>
        <v>0</v>
      </c>
      <c r="AJ14" s="145">
        <f>'Inputs_BY INM'!AD282/1000/$E14</f>
        <v>3.311448659350718</v>
      </c>
      <c r="AK14" s="145">
        <f>'Inputs_BY INM'!AE282/1000/$E14</f>
        <v>2.3844125062562367</v>
      </c>
      <c r="AL14" s="145">
        <f>'Inputs_BY INM'!AF282/1000/$E14</f>
        <v>6.7216159589368596</v>
      </c>
      <c r="AN14" s="9" t="s">
        <v>322</v>
      </c>
      <c r="AO14" s="9" t="s">
        <v>895</v>
      </c>
      <c r="AP14" s="9" t="s">
        <v>777</v>
      </c>
      <c r="AQ14" s="9" t="s">
        <v>323</v>
      </c>
      <c r="AR14" s="9" t="s">
        <v>891</v>
      </c>
    </row>
    <row r="15" spans="1:50" x14ac:dyDescent="0.25">
      <c r="A15" s="9" t="str">
        <f t="shared" si="1"/>
        <v>I-NM-HTH_GAS00</v>
      </c>
      <c r="B15" s="9" t="str">
        <f t="shared" si="2"/>
        <v>IND Non-metallic minerals technology: High temperature heat using Gas - Existing</v>
      </c>
      <c r="C15" s="9" t="s">
        <v>896</v>
      </c>
      <c r="E15" s="145">
        <v>0.9</v>
      </c>
      <c r="F15" s="67"/>
      <c r="G15" s="62">
        <v>25</v>
      </c>
      <c r="H15" s="67">
        <v>0.6</v>
      </c>
      <c r="I15" s="62" t="s">
        <v>559</v>
      </c>
      <c r="J15" s="62" t="s">
        <v>323</v>
      </c>
      <c r="K15" s="145">
        <f>'Inputs_BY INM'!E283/1000/$E15</f>
        <v>0</v>
      </c>
      <c r="L15" s="145">
        <f>'Inputs_BY INM'!F283/1000/$E15</f>
        <v>0</v>
      </c>
      <c r="M15" s="145">
        <f>'Inputs_BY INM'!G283/1000/$E15</f>
        <v>0</v>
      </c>
      <c r="N15" s="145">
        <f>'Inputs_BY INM'!H283/1000/$E15</f>
        <v>0</v>
      </c>
      <c r="O15" s="145">
        <f>'Inputs_BY INM'!I283/1000/$E15</f>
        <v>1.2443599876620131</v>
      </c>
      <c r="P15" s="145">
        <f>'Inputs_BY INM'!J283/1000/$E15</f>
        <v>0.41604135093619782</v>
      </c>
      <c r="Q15" s="145">
        <f>'Inputs_BY INM'!K283/1000/$E15</f>
        <v>0.4715843758647042</v>
      </c>
      <c r="R15" s="145">
        <f>'Inputs_BY INM'!L283/1000/$E15</f>
        <v>0</v>
      </c>
      <c r="S15" s="145">
        <f>'Inputs_BY INM'!M283/1000/$E15</f>
        <v>0.51641000590052</v>
      </c>
      <c r="T15" s="145">
        <f>'Inputs_BY INM'!N283/1000/$E15</f>
        <v>0.45687700215829069</v>
      </c>
      <c r="U15" s="145">
        <f>'Inputs_BY INM'!O283/1000/$E15</f>
        <v>5.5885950375872849E-3</v>
      </c>
      <c r="V15" s="145">
        <f>'Inputs_BY INM'!P283/1000/$E15</f>
        <v>0</v>
      </c>
      <c r="W15" s="145">
        <f>'Inputs_BY INM'!Q283/1000/$E15</f>
        <v>0.56094820133755607</v>
      </c>
      <c r="X15" s="145">
        <f>'Inputs_BY INM'!R283/1000/$E15</f>
        <v>0.95585827785116018</v>
      </c>
      <c r="Y15" s="145">
        <f>'Inputs_BY INM'!S283/1000/$E15</f>
        <v>1.9441299018807943</v>
      </c>
      <c r="Z15" s="145">
        <f>'Inputs_BY INM'!T283/1000/$E15</f>
        <v>4.8683801290217303</v>
      </c>
      <c r="AA15" s="145">
        <f>'Inputs_BY INM'!U283/1000/$E15</f>
        <v>3.4722898271973639</v>
      </c>
      <c r="AB15" s="145">
        <f>'Inputs_BY INM'!V283/1000/$E15</f>
        <v>0</v>
      </c>
      <c r="AC15" s="145">
        <f>'Inputs_BY INM'!W283/1000/$E15</f>
        <v>0</v>
      </c>
      <c r="AD15" s="145">
        <f>'Inputs_BY INM'!X283/1000/$E15</f>
        <v>0.59903076819576684</v>
      </c>
      <c r="AE15" s="145">
        <f>'Inputs_BY INM'!Y283/1000/$E15</f>
        <v>0</v>
      </c>
      <c r="AF15" s="145">
        <f>'Inputs_BY INM'!Z283/1000/$E15</f>
        <v>0.57036349711667744</v>
      </c>
      <c r="AG15" s="145">
        <f>'Inputs_BY INM'!AA283/1000/$E15</f>
        <v>0</v>
      </c>
      <c r="AH15" s="145">
        <f>'Inputs_BY INM'!AB283/1000/$E15</f>
        <v>0.50297502541273098</v>
      </c>
      <c r="AI15" s="145">
        <f>'Inputs_BY INM'!AC283/1000/$E15</f>
        <v>0</v>
      </c>
      <c r="AJ15" s="145">
        <f>'Inputs_BY INM'!AD283/1000/$E15</f>
        <v>8.2660176468211137</v>
      </c>
      <c r="AK15" s="145">
        <f>'Inputs_BY INM'!AE283/1000/$E15</f>
        <v>0</v>
      </c>
      <c r="AL15" s="145">
        <f>'Inputs_BY INM'!AF283/1000/$E15</f>
        <v>7.5040539842677623</v>
      </c>
      <c r="AN15" s="9" t="s">
        <v>322</v>
      </c>
      <c r="AO15" s="9" t="s">
        <v>897</v>
      </c>
      <c r="AP15" s="9" t="s">
        <v>778</v>
      </c>
      <c r="AQ15" s="9" t="s">
        <v>323</v>
      </c>
      <c r="AR15" s="9" t="s">
        <v>891</v>
      </c>
    </row>
    <row r="16" spans="1:50" x14ac:dyDescent="0.25">
      <c r="A16" s="9" t="str">
        <f t="shared" si="1"/>
        <v>I-NM-LTH_GAS00</v>
      </c>
      <c r="B16" s="9" t="str">
        <f t="shared" si="2"/>
        <v>IND Non-metallic minerals technology: Low temperature heat using Gas - Existing</v>
      </c>
      <c r="C16" s="9" t="s">
        <v>889</v>
      </c>
      <c r="E16" s="145">
        <v>0.9</v>
      </c>
      <c r="F16" s="67"/>
      <c r="G16" s="62">
        <v>25</v>
      </c>
      <c r="H16" s="67">
        <v>0.6</v>
      </c>
      <c r="I16" s="62" t="s">
        <v>559</v>
      </c>
      <c r="J16" s="62" t="s">
        <v>323</v>
      </c>
      <c r="K16" s="145">
        <f>'Inputs_BY INM'!E284/1000/$E16</f>
        <v>0</v>
      </c>
      <c r="L16" s="145">
        <f>'Inputs_BY INM'!F284/1000/$E16</f>
        <v>0</v>
      </c>
      <c r="M16" s="145">
        <f>'Inputs_BY INM'!G284/1000/$E16</f>
        <v>0</v>
      </c>
      <c r="N16" s="145">
        <f>'Inputs_BY INM'!H284/1000/$E16</f>
        <v>0</v>
      </c>
      <c r="O16" s="145">
        <f>'Inputs_BY INM'!I284/1000/$E16</f>
        <v>22.398479777916229</v>
      </c>
      <c r="P16" s="145">
        <f>'Inputs_BY INM'!J284/1000/$E16</f>
        <v>7.4887443168515606</v>
      </c>
      <c r="Q16" s="145">
        <f>'Inputs_BY INM'!K284/1000/$E16</f>
        <v>8.4885187655646774</v>
      </c>
      <c r="R16" s="145">
        <f>'Inputs_BY INM'!L284/1000/$E16</f>
        <v>0</v>
      </c>
      <c r="S16" s="145">
        <f>'Inputs_BY INM'!M284/1000/$E16</f>
        <v>9.2953801062093611</v>
      </c>
      <c r="T16" s="145">
        <f>'Inputs_BY INM'!N284/1000/$E16</f>
        <v>8.2237860388492301</v>
      </c>
      <c r="U16" s="145">
        <f>'Inputs_BY INM'!O284/1000/$E16</f>
        <v>0.10059471067657109</v>
      </c>
      <c r="V16" s="145">
        <f>'Inputs_BY INM'!P284/1000/$E16</f>
        <v>0</v>
      </c>
      <c r="W16" s="145">
        <f>'Inputs_BY INM'!Q284/1000/$E16</f>
        <v>10.097067624076011</v>
      </c>
      <c r="X16" s="145">
        <f>'Inputs_BY INM'!R284/1000/$E16</f>
        <v>17.205449001320883</v>
      </c>
      <c r="Y16" s="145">
        <f>'Inputs_BY INM'!S284/1000/$E16</f>
        <v>34.9943382338543</v>
      </c>
      <c r="Z16" s="145">
        <f>'Inputs_BY INM'!T284/1000/$E16</f>
        <v>87.63084232239116</v>
      </c>
      <c r="AA16" s="145">
        <f>'Inputs_BY INM'!U284/1000/$E16</f>
        <v>62.501216889552545</v>
      </c>
      <c r="AB16" s="145">
        <f>'Inputs_BY INM'!V284/1000/$E16</f>
        <v>0</v>
      </c>
      <c r="AC16" s="145">
        <f>'Inputs_BY INM'!W284/1000/$E16</f>
        <v>0</v>
      </c>
      <c r="AD16" s="145">
        <f>'Inputs_BY INM'!X284/1000/$E16</f>
        <v>10.782553827523802</v>
      </c>
      <c r="AE16" s="145">
        <f>'Inputs_BY INM'!Y284/1000/$E16</f>
        <v>0</v>
      </c>
      <c r="AF16" s="145">
        <f>'Inputs_BY INM'!Z284/1000/$E16</f>
        <v>10.266542948100195</v>
      </c>
      <c r="AG16" s="145">
        <f>'Inputs_BY INM'!AA284/1000/$E16</f>
        <v>0</v>
      </c>
      <c r="AH16" s="145">
        <f>'Inputs_BY INM'!AB284/1000/$E16</f>
        <v>9.0535504574291554</v>
      </c>
      <c r="AI16" s="145">
        <f>'Inputs_BY INM'!AC284/1000/$E16</f>
        <v>0</v>
      </c>
      <c r="AJ16" s="145">
        <f>'Inputs_BY INM'!AD284/1000/$E16</f>
        <v>148.78831764278002</v>
      </c>
      <c r="AK16" s="145">
        <f>'Inputs_BY INM'!AE284/1000/$E16</f>
        <v>0</v>
      </c>
      <c r="AL16" s="145">
        <f>'Inputs_BY INM'!AF284/1000/$E16</f>
        <v>135.07297171681975</v>
      </c>
      <c r="AN16" s="9" t="s">
        <v>322</v>
      </c>
      <c r="AO16" s="9" t="s">
        <v>898</v>
      </c>
      <c r="AP16" s="9" t="s">
        <v>779</v>
      </c>
      <c r="AQ16" s="9" t="s">
        <v>323</v>
      </c>
      <c r="AR16" s="9" t="s">
        <v>891</v>
      </c>
    </row>
    <row r="17" spans="1:51" x14ac:dyDescent="0.25">
      <c r="A17" s="9" t="str">
        <f t="shared" si="1"/>
        <v>I-NM-OTS_GAS00</v>
      </c>
      <c r="B17" s="9" t="str">
        <f t="shared" si="2"/>
        <v>IND Non-metallic minerals technology: Other services using Gas - Existing</v>
      </c>
      <c r="C17" s="9" t="s">
        <v>894</v>
      </c>
      <c r="E17" s="145">
        <v>0.9</v>
      </c>
      <c r="F17" s="67"/>
      <c r="G17" s="62">
        <v>20</v>
      </c>
      <c r="H17" s="67">
        <v>0.6</v>
      </c>
      <c r="I17" s="62" t="s">
        <v>559</v>
      </c>
      <c r="J17" s="62" t="s">
        <v>323</v>
      </c>
      <c r="K17" s="145">
        <f>'Inputs_BY INM'!E285/1000/$E17</f>
        <v>0</v>
      </c>
      <c r="L17" s="145">
        <f>'Inputs_BY INM'!F285/1000/$E17</f>
        <v>0</v>
      </c>
      <c r="M17" s="145">
        <f>'Inputs_BY INM'!G285/1000/$E17</f>
        <v>0</v>
      </c>
      <c r="N17" s="145">
        <f>'Inputs_BY INM'!H285/1000/$E17</f>
        <v>0</v>
      </c>
      <c r="O17" s="145">
        <f>'Inputs_BY INM'!I285/1000/$E17</f>
        <v>1.2443599876620111</v>
      </c>
      <c r="P17" s="145">
        <f>'Inputs_BY INM'!J285/1000/$E17</f>
        <v>0.41604135093619726</v>
      </c>
      <c r="Q17" s="145">
        <f>'Inputs_BY INM'!K285/1000/$E17</f>
        <v>0.47158437586470359</v>
      </c>
      <c r="R17" s="145">
        <f>'Inputs_BY INM'!L285/1000/$E17</f>
        <v>0</v>
      </c>
      <c r="S17" s="145">
        <f>'Inputs_BY INM'!M285/1000/$E17</f>
        <v>0.51641000590051944</v>
      </c>
      <c r="T17" s="145">
        <f>'Inputs_BY INM'!N285/1000/$E17</f>
        <v>0.45687700215828997</v>
      </c>
      <c r="U17" s="145">
        <f>'Inputs_BY INM'!O285/1000/$E17</f>
        <v>5.5885950375872762E-3</v>
      </c>
      <c r="V17" s="145">
        <f>'Inputs_BY INM'!P285/1000/$E17</f>
        <v>0</v>
      </c>
      <c r="W17" s="145">
        <f>'Inputs_BY INM'!Q285/1000/$E17</f>
        <v>0.56094820133755541</v>
      </c>
      <c r="X17" s="145">
        <f>'Inputs_BY INM'!R285/1000/$E17</f>
        <v>0.95585827785115873</v>
      </c>
      <c r="Y17" s="145">
        <f>'Inputs_BY INM'!S285/1000/$E17</f>
        <v>1.9441299018807916</v>
      </c>
      <c r="Z17" s="145">
        <f>'Inputs_BY INM'!T285/1000/$E17</f>
        <v>4.8683801290217241</v>
      </c>
      <c r="AA17" s="145">
        <f>'Inputs_BY INM'!U285/1000/$E17</f>
        <v>3.472289827197359</v>
      </c>
      <c r="AB17" s="145">
        <f>'Inputs_BY INM'!V285/1000/$E17</f>
        <v>0</v>
      </c>
      <c r="AC17" s="145">
        <f>'Inputs_BY INM'!W285/1000/$E17</f>
        <v>0</v>
      </c>
      <c r="AD17" s="145">
        <f>'Inputs_BY INM'!X285/1000/$E17</f>
        <v>0.59903076819576606</v>
      </c>
      <c r="AE17" s="145">
        <f>'Inputs_BY INM'!Y285/1000/$E17</f>
        <v>0</v>
      </c>
      <c r="AF17" s="145">
        <f>'Inputs_BY INM'!Z285/1000/$E17</f>
        <v>0.57036349711667678</v>
      </c>
      <c r="AG17" s="145">
        <f>'Inputs_BY INM'!AA285/1000/$E17</f>
        <v>0</v>
      </c>
      <c r="AH17" s="145">
        <f>'Inputs_BY INM'!AB285/1000/$E17</f>
        <v>0.5029750254127302</v>
      </c>
      <c r="AI17" s="145">
        <f>'Inputs_BY INM'!AC285/1000/$E17</f>
        <v>0</v>
      </c>
      <c r="AJ17" s="145">
        <f>'Inputs_BY INM'!AD285/1000/$E17</f>
        <v>8.2660176468211013</v>
      </c>
      <c r="AK17" s="145">
        <f>'Inputs_BY INM'!AE285/1000/$E17</f>
        <v>0</v>
      </c>
      <c r="AL17" s="145">
        <f>'Inputs_BY INM'!AF285/1000/$E17</f>
        <v>7.5040539842677525</v>
      </c>
      <c r="AN17" s="9" t="s">
        <v>322</v>
      </c>
      <c r="AO17" s="9" t="s">
        <v>899</v>
      </c>
      <c r="AP17" s="9" t="s">
        <v>780</v>
      </c>
      <c r="AQ17" s="9" t="s">
        <v>323</v>
      </c>
      <c r="AR17" s="9" t="s">
        <v>891</v>
      </c>
    </row>
    <row r="18" spans="1:51" x14ac:dyDescent="0.25">
      <c r="A18" s="9" t="str">
        <f t="shared" si="1"/>
        <v>I-NM-HTH_HET00</v>
      </c>
      <c r="B18" s="9" t="str">
        <f t="shared" si="2"/>
        <v>IND Non-metallic minerals technology: High temperature heat using Heat - Existing</v>
      </c>
      <c r="C18" s="9" t="s">
        <v>896</v>
      </c>
      <c r="E18" s="145">
        <v>0.9</v>
      </c>
      <c r="F18" s="65"/>
      <c r="G18" s="62">
        <v>25</v>
      </c>
      <c r="H18" s="67">
        <v>1</v>
      </c>
      <c r="I18" s="62" t="s">
        <v>559</v>
      </c>
      <c r="J18" s="62" t="s">
        <v>323</v>
      </c>
      <c r="K18" s="145">
        <f>'Inputs_BY INM'!E286/1000/$E18</f>
        <v>0</v>
      </c>
      <c r="L18" s="145">
        <f>'Inputs_BY INM'!F286/1000/$E18</f>
        <v>0</v>
      </c>
      <c r="M18" s="145">
        <f>'Inputs_BY INM'!G286/1000/$E18</f>
        <v>0</v>
      </c>
      <c r="N18" s="145">
        <f>'Inputs_BY INM'!H286/1000/$E18</f>
        <v>0</v>
      </c>
      <c r="O18" s="145">
        <f>'Inputs_BY INM'!I286/1000/$E18</f>
        <v>0</v>
      </c>
      <c r="P18" s="145">
        <f>'Inputs_BY INM'!J286/1000/$E18</f>
        <v>0.47974733414471732</v>
      </c>
      <c r="Q18" s="145">
        <f>'Inputs_BY INM'!K286/1000/$E18</f>
        <v>0</v>
      </c>
      <c r="R18" s="145">
        <f>'Inputs_BY INM'!L286/1000/$E18</f>
        <v>0</v>
      </c>
      <c r="S18" s="145">
        <f>'Inputs_BY INM'!M286/1000/$E18</f>
        <v>0</v>
      </c>
      <c r="T18" s="145">
        <f>'Inputs_BY INM'!N286/1000/$E18</f>
        <v>0</v>
      </c>
      <c r="U18" s="145">
        <f>'Inputs_BY INM'!O286/1000/$E18</f>
        <v>0</v>
      </c>
      <c r="V18" s="145">
        <f>'Inputs_BY INM'!P286/1000/$E18</f>
        <v>0</v>
      </c>
      <c r="W18" s="145">
        <f>'Inputs_BY INM'!Q286/1000/$E18</f>
        <v>2.8103927607245001</v>
      </c>
      <c r="X18" s="145">
        <f>'Inputs_BY INM'!R286/1000/$E18</f>
        <v>2.143780830616563E-2</v>
      </c>
      <c r="Y18" s="145">
        <f>'Inputs_BY INM'!S286/1000/$E18</f>
        <v>1.2073527814153533</v>
      </c>
      <c r="Z18" s="145">
        <f>'Inputs_BY INM'!T286/1000/$E18</f>
        <v>4.6810068191164556</v>
      </c>
      <c r="AA18" s="145">
        <f>'Inputs_BY INM'!U286/1000/$E18</f>
        <v>1.3896684494544049</v>
      </c>
      <c r="AB18" s="145">
        <f>'Inputs_BY INM'!V286/1000/$E18</f>
        <v>0</v>
      </c>
      <c r="AC18" s="145">
        <f>'Inputs_BY INM'!W286/1000/$E18</f>
        <v>0</v>
      </c>
      <c r="AD18" s="145">
        <f>'Inputs_BY INM'!X286/1000/$E18</f>
        <v>0</v>
      </c>
      <c r="AE18" s="145">
        <f>'Inputs_BY INM'!Y286/1000/$E18</f>
        <v>0</v>
      </c>
      <c r="AF18" s="145">
        <f>'Inputs_BY INM'!Z286/1000/$E18</f>
        <v>0</v>
      </c>
      <c r="AG18" s="145">
        <f>'Inputs_BY INM'!AA286/1000/$E18</f>
        <v>0</v>
      </c>
      <c r="AH18" s="145">
        <f>'Inputs_BY INM'!AB286/1000/$E18</f>
        <v>0</v>
      </c>
      <c r="AI18" s="145">
        <f>'Inputs_BY INM'!AC286/1000/$E18</f>
        <v>0</v>
      </c>
      <c r="AJ18" s="145">
        <f>'Inputs_BY INM'!AD286/1000/$E18</f>
        <v>71.561348174137819</v>
      </c>
      <c r="AK18" s="145">
        <f>'Inputs_BY INM'!AE286/1000/$E18</f>
        <v>0</v>
      </c>
      <c r="AL18" s="145">
        <f>'Inputs_BY INM'!AF286/1000/$E18</f>
        <v>9.3268372172566866E-2</v>
      </c>
      <c r="AM18" s="61"/>
      <c r="AN18" s="9" t="s">
        <v>322</v>
      </c>
      <c r="AO18" s="9" t="s">
        <v>900</v>
      </c>
      <c r="AP18" s="9" t="s">
        <v>781</v>
      </c>
      <c r="AQ18" s="9" t="s">
        <v>323</v>
      </c>
      <c r="AR18" s="9" t="s">
        <v>891</v>
      </c>
    </row>
    <row r="19" spans="1:51" x14ac:dyDescent="0.25">
      <c r="A19" s="9" t="str">
        <f t="shared" si="1"/>
        <v>I-NM-HTH_OIL00</v>
      </c>
      <c r="B19" s="9" t="str">
        <f t="shared" si="2"/>
        <v>IND Non-metallic minerals technology: High temperature heat using Liquid - Existing</v>
      </c>
      <c r="C19" s="9" t="s">
        <v>896</v>
      </c>
      <c r="E19" s="145">
        <v>0.9</v>
      </c>
      <c r="F19" s="65"/>
      <c r="G19" s="62">
        <v>25</v>
      </c>
      <c r="H19" s="67">
        <v>0.4</v>
      </c>
      <c r="I19" s="62" t="s">
        <v>559</v>
      </c>
      <c r="J19" s="62" t="s">
        <v>323</v>
      </c>
      <c r="K19" s="145">
        <f>'Inputs_BY INM'!E287/1000/$E19</f>
        <v>0</v>
      </c>
      <c r="L19" s="145">
        <f>'Inputs_BY INM'!F287/1000/$E19</f>
        <v>0</v>
      </c>
      <c r="M19" s="145">
        <f>'Inputs_BY INM'!G287/1000/$E19</f>
        <v>0</v>
      </c>
      <c r="N19" s="145">
        <f>'Inputs_BY INM'!H287/1000/$E19</f>
        <v>0</v>
      </c>
      <c r="O19" s="145">
        <f>'Inputs_BY INM'!I287/1000/$E19</f>
        <v>0.32976621146491641</v>
      </c>
      <c r="P19" s="145">
        <f>'Inputs_BY INM'!J287/1000/$E19</f>
        <v>0.10826582565810335</v>
      </c>
      <c r="Q19" s="145">
        <f>'Inputs_BY INM'!K287/1000/$E19</f>
        <v>0.74291254731005385</v>
      </c>
      <c r="R19" s="145">
        <f>'Inputs_BY INM'!L287/1000/$E19</f>
        <v>0.52627964272195615</v>
      </c>
      <c r="S19" s="145">
        <f>'Inputs_BY INM'!M287/1000/$E19</f>
        <v>5.0730238038554196</v>
      </c>
      <c r="T19" s="145">
        <f>'Inputs_BY INM'!N287/1000/$E19</f>
        <v>1.2266667044563513</v>
      </c>
      <c r="U19" s="145">
        <f>'Inputs_BY INM'!O287/1000/$E19</f>
        <v>0.56232920020386568</v>
      </c>
      <c r="V19" s="145">
        <f>'Inputs_BY INM'!P287/1000/$E19</f>
        <v>0</v>
      </c>
      <c r="W19" s="145">
        <f>'Inputs_BY INM'!Q287/1000/$E19</f>
        <v>1.2507460718738757</v>
      </c>
      <c r="X19" s="145">
        <f>'Inputs_BY INM'!R287/1000/$E19</f>
        <v>0.74048571868196789</v>
      </c>
      <c r="Y19" s="145">
        <f>'Inputs_BY INM'!S287/1000/$E19</f>
        <v>2.5882625251591631</v>
      </c>
      <c r="Z19" s="145">
        <f>'Inputs_BY INM'!T287/1000/$E19</f>
        <v>12.971919432941066</v>
      </c>
      <c r="AA19" s="145">
        <f>'Inputs_BY INM'!U287/1000/$E19</f>
        <v>3.9742157840047843</v>
      </c>
      <c r="AB19" s="145">
        <f>'Inputs_BY INM'!V287/1000/$E19</f>
        <v>0</v>
      </c>
      <c r="AC19" s="145">
        <f>'Inputs_BY INM'!W287/1000/$E19</f>
        <v>0</v>
      </c>
      <c r="AD19" s="145">
        <f>'Inputs_BY INM'!X287/1000/$E19</f>
        <v>4.8643576765166765</v>
      </c>
      <c r="AE19" s="145">
        <f>'Inputs_BY INM'!Y287/1000/$E19</f>
        <v>0</v>
      </c>
      <c r="AF19" s="145">
        <f>'Inputs_BY INM'!Z287/1000/$E19</f>
        <v>5.5699072738217286</v>
      </c>
      <c r="AG19" s="145">
        <f>'Inputs_BY INM'!AA287/1000/$E19</f>
        <v>0</v>
      </c>
      <c r="AH19" s="145">
        <f>'Inputs_BY INM'!AB287/1000/$E19</f>
        <v>6.4189086115300329</v>
      </c>
      <c r="AI19" s="145">
        <f>'Inputs_BY INM'!AC287/1000/$E19</f>
        <v>0</v>
      </c>
      <c r="AJ19" s="145">
        <f>'Inputs_BY INM'!AD287/1000/$E19</f>
        <v>2.5827363542962658</v>
      </c>
      <c r="AK19" s="145">
        <f>'Inputs_BY INM'!AE287/1000/$E19</f>
        <v>0</v>
      </c>
      <c r="AL19" s="145">
        <f>'Inputs_BY INM'!AF287/1000/$E19</f>
        <v>4.2547529075774566</v>
      </c>
      <c r="AM19" s="61"/>
      <c r="AN19" s="9" t="s">
        <v>322</v>
      </c>
      <c r="AO19" s="9" t="s">
        <v>901</v>
      </c>
      <c r="AP19" s="9" t="s">
        <v>782</v>
      </c>
      <c r="AQ19" s="9" t="s">
        <v>323</v>
      </c>
      <c r="AR19" s="9" t="s">
        <v>891</v>
      </c>
    </row>
    <row r="20" spans="1:51" x14ac:dyDescent="0.25">
      <c r="A20" s="9" t="str">
        <f t="shared" si="1"/>
        <v>I-NM-LTH_OIL00</v>
      </c>
      <c r="B20" s="9" t="str">
        <f t="shared" si="2"/>
        <v>IND Non-metallic minerals technology: Low temperature heat using Liquid - Existing</v>
      </c>
      <c r="C20" s="9" t="s">
        <v>889</v>
      </c>
      <c r="E20" s="145">
        <v>0.9</v>
      </c>
      <c r="F20" s="65"/>
      <c r="G20" s="62">
        <v>25</v>
      </c>
      <c r="H20" s="67">
        <v>0.4</v>
      </c>
      <c r="I20" s="62" t="s">
        <v>559</v>
      </c>
      <c r="J20" s="62" t="s">
        <v>323</v>
      </c>
      <c r="K20" s="145">
        <f>'Inputs_BY INM'!E288/1000/$E20</f>
        <v>0</v>
      </c>
      <c r="L20" s="145">
        <f>'Inputs_BY INM'!F288/1000/$E20</f>
        <v>0</v>
      </c>
      <c r="M20" s="145">
        <f>'Inputs_BY INM'!G288/1000/$E20</f>
        <v>0</v>
      </c>
      <c r="N20" s="145">
        <f>'Inputs_BY INM'!H288/1000/$E20</f>
        <v>0</v>
      </c>
      <c r="O20" s="145">
        <f>'Inputs_BY INM'!I288/1000/$E20</f>
        <v>0.44282891253860202</v>
      </c>
      <c r="P20" s="145">
        <f>'Inputs_BY INM'!J288/1000/$E20</f>
        <v>0.14538553731231024</v>
      </c>
      <c r="Q20" s="145">
        <f>'Inputs_BY INM'!K288/1000/$E20</f>
        <v>0.99762542067350091</v>
      </c>
      <c r="R20" s="145">
        <f>'Inputs_BY INM'!L288/1000/$E20</f>
        <v>0.70671837736948406</v>
      </c>
      <c r="S20" s="145">
        <f>'Inputs_BY INM'!M288/1000/$E20</f>
        <v>6.8123462508915642</v>
      </c>
      <c r="T20" s="145">
        <f>'Inputs_BY INM'!N288/1000/$E20</f>
        <v>1.6472381459842429</v>
      </c>
      <c r="U20" s="145">
        <f>'Inputs_BY INM'!O288/1000/$E20</f>
        <v>0.75512778313090512</v>
      </c>
      <c r="V20" s="145">
        <f>'Inputs_BY INM'!P288/1000/$E20</f>
        <v>0</v>
      </c>
      <c r="W20" s="145">
        <f>'Inputs_BY INM'!Q288/1000/$E20</f>
        <v>1.679573296516347</v>
      </c>
      <c r="X20" s="145">
        <f>'Inputs_BY INM'!R288/1000/$E20</f>
        <v>0.99436653651578533</v>
      </c>
      <c r="Y20" s="145">
        <f>'Inputs_BY INM'!S288/1000/$E20</f>
        <v>3.4756668194994473</v>
      </c>
      <c r="Z20" s="145">
        <f>'Inputs_BY INM'!T288/1000/$E20</f>
        <v>17.419434667092293</v>
      </c>
      <c r="AA20" s="145">
        <f>'Inputs_BY INM'!U288/1000/$E20</f>
        <v>5.3368040528064249</v>
      </c>
      <c r="AB20" s="145">
        <f>'Inputs_BY INM'!V288/1000/$E20</f>
        <v>0</v>
      </c>
      <c r="AC20" s="145">
        <f>'Inputs_BY INM'!W288/1000/$E20</f>
        <v>0</v>
      </c>
      <c r="AD20" s="145">
        <f>'Inputs_BY INM'!X288/1000/$E20</f>
        <v>6.5321374513223942</v>
      </c>
      <c r="AE20" s="145">
        <f>'Inputs_BY INM'!Y288/1000/$E20</f>
        <v>0</v>
      </c>
      <c r="AF20" s="145">
        <f>'Inputs_BY INM'!Z288/1000/$E20</f>
        <v>7.4795897677034633</v>
      </c>
      <c r="AG20" s="145">
        <f>'Inputs_BY INM'!AA288/1000/$E20</f>
        <v>0</v>
      </c>
      <c r="AH20" s="145">
        <f>'Inputs_BY INM'!AB288/1000/$E20</f>
        <v>8.6196772783403297</v>
      </c>
      <c r="AI20" s="145">
        <f>'Inputs_BY INM'!AC288/1000/$E20</f>
        <v>0</v>
      </c>
      <c r="AJ20" s="145">
        <f>'Inputs_BY INM'!AD288/1000/$E20</f>
        <v>3.4682459614835572</v>
      </c>
      <c r="AK20" s="145">
        <f>'Inputs_BY INM'!AE288/1000/$E20</f>
        <v>0</v>
      </c>
      <c r="AL20" s="145">
        <f>'Inputs_BY INM'!AF288/1000/$E20</f>
        <v>5.7135253330325853</v>
      </c>
      <c r="AM20" s="61"/>
      <c r="AN20" s="9" t="s">
        <v>322</v>
      </c>
      <c r="AO20" s="9" t="s">
        <v>902</v>
      </c>
      <c r="AP20" s="9" t="s">
        <v>783</v>
      </c>
      <c r="AQ20" s="9" t="s">
        <v>323</v>
      </c>
      <c r="AR20" s="9" t="s">
        <v>891</v>
      </c>
    </row>
    <row r="21" spans="1:51" x14ac:dyDescent="0.25">
      <c r="A21" s="9" t="str">
        <f t="shared" si="1"/>
        <v>I-NM-MDR_OIL00</v>
      </c>
      <c r="B21" s="9" t="str">
        <f t="shared" si="2"/>
        <v>IND Non-metallic minerals technology: Machine drive using Liquid - Existing</v>
      </c>
      <c r="C21" s="9" t="s">
        <v>892</v>
      </c>
      <c r="E21" s="145">
        <v>0.9</v>
      </c>
      <c r="F21" s="65"/>
      <c r="G21" s="62">
        <v>15</v>
      </c>
      <c r="H21" s="67">
        <v>0.4</v>
      </c>
      <c r="I21" s="62" t="s">
        <v>559</v>
      </c>
      <c r="J21" s="62" t="s">
        <v>323</v>
      </c>
      <c r="K21" s="145">
        <f>'Inputs_BY INM'!E289/1000/$E21</f>
        <v>0</v>
      </c>
      <c r="L21" s="145">
        <f>'Inputs_BY INM'!F289/1000/$E21</f>
        <v>0</v>
      </c>
      <c r="M21" s="145">
        <f>'Inputs_BY INM'!G289/1000/$E21</f>
        <v>0</v>
      </c>
      <c r="N21" s="145">
        <f>'Inputs_BY INM'!H289/1000/$E21</f>
        <v>0</v>
      </c>
      <c r="O21" s="145">
        <f>'Inputs_BY INM'!I289/1000/$E21</f>
        <v>7.5375134049123757E-2</v>
      </c>
      <c r="P21" s="145">
        <f>'Inputs_BY INM'!J289/1000/$E21</f>
        <v>2.4746474436137915E-2</v>
      </c>
      <c r="Q21" s="145">
        <f>'Inputs_BY INM'!K289/1000/$E21</f>
        <v>0.16980858224229803</v>
      </c>
      <c r="R21" s="145">
        <f>'Inputs_BY INM'!L289/1000/$E21</f>
        <v>0.12029248976501858</v>
      </c>
      <c r="S21" s="145">
        <f>'Inputs_BY INM'!M289/1000/$E21</f>
        <v>1.1595482980240959</v>
      </c>
      <c r="T21" s="145">
        <f>'Inputs_BY INM'!N289/1000/$E21</f>
        <v>0.28038096101859461</v>
      </c>
      <c r="U21" s="145">
        <f>'Inputs_BY INM'!O289/1000/$E21</f>
        <v>0.12853238861802641</v>
      </c>
      <c r="V21" s="145">
        <f>'Inputs_BY INM'!P289/1000/$E21</f>
        <v>0</v>
      </c>
      <c r="W21" s="145">
        <f>'Inputs_BY INM'!Q289/1000/$E21</f>
        <v>0.28588481642831443</v>
      </c>
      <c r="X21" s="145">
        <f>'Inputs_BY INM'!R289/1000/$E21</f>
        <v>0.16925387855587837</v>
      </c>
      <c r="Y21" s="145">
        <f>'Inputs_BY INM'!S289/1000/$E21</f>
        <v>0.59160286289352304</v>
      </c>
      <c r="Z21" s="145">
        <f>'Inputs_BY INM'!T289/1000/$E21</f>
        <v>2.9650101561008158</v>
      </c>
      <c r="AA21" s="145">
        <f>'Inputs_BY INM'!U289/1000/$E21</f>
        <v>0.90839217920109383</v>
      </c>
      <c r="AB21" s="145">
        <f>'Inputs_BY INM'!V289/1000/$E21</f>
        <v>0</v>
      </c>
      <c r="AC21" s="145">
        <f>'Inputs_BY INM'!W289/1000/$E21</f>
        <v>0</v>
      </c>
      <c r="AD21" s="145">
        <f>'Inputs_BY INM'!X289/1000/$E21</f>
        <v>1.1118531832038119</v>
      </c>
      <c r="AE21" s="145">
        <f>'Inputs_BY INM'!Y289/1000/$E21</f>
        <v>0</v>
      </c>
      <c r="AF21" s="145">
        <f>'Inputs_BY INM'!Z289/1000/$E21</f>
        <v>1.2731216625878237</v>
      </c>
      <c r="AG21" s="145">
        <f>'Inputs_BY INM'!AA289/1000/$E21</f>
        <v>0</v>
      </c>
      <c r="AH21" s="145">
        <f>'Inputs_BY INM'!AB289/1000/$E21</f>
        <v>1.4671791112068648</v>
      </c>
      <c r="AI21" s="145">
        <f>'Inputs_BY INM'!AC289/1000/$E21</f>
        <v>0</v>
      </c>
      <c r="AJ21" s="145">
        <f>'Inputs_BY INM'!AD289/1000/$E21</f>
        <v>0.59033973812486074</v>
      </c>
      <c r="AK21" s="145">
        <f>'Inputs_BY INM'!AE289/1000/$E21</f>
        <v>0</v>
      </c>
      <c r="AL21" s="145">
        <f>'Inputs_BY INM'!AF289/1000/$E21</f>
        <v>0.97251495030341861</v>
      </c>
      <c r="AM21" s="61"/>
      <c r="AN21" s="9" t="s">
        <v>322</v>
      </c>
      <c r="AO21" s="9" t="s">
        <v>903</v>
      </c>
      <c r="AP21" s="9" t="s">
        <v>784</v>
      </c>
      <c r="AQ21" s="9" t="s">
        <v>323</v>
      </c>
      <c r="AR21" s="9" t="s">
        <v>891</v>
      </c>
    </row>
    <row r="22" spans="1:51" x14ac:dyDescent="0.25">
      <c r="A22" s="9" t="str">
        <f t="shared" si="1"/>
        <v>I-NM-OTS_OIL00</v>
      </c>
      <c r="B22" s="9" t="str">
        <f t="shared" si="2"/>
        <v>IND Non-metallic minerals technology: Other services using Liquid - Existing</v>
      </c>
      <c r="C22" s="9" t="s">
        <v>894</v>
      </c>
      <c r="E22" s="145">
        <v>0.9</v>
      </c>
      <c r="F22" s="65"/>
      <c r="G22" s="62">
        <v>20</v>
      </c>
      <c r="H22" s="67">
        <v>0.4</v>
      </c>
      <c r="I22" s="62" t="s">
        <v>559</v>
      </c>
      <c r="J22" s="62" t="s">
        <v>323</v>
      </c>
      <c r="K22" s="145">
        <f>'Inputs_BY INM'!E290/1000/$E22</f>
        <v>0</v>
      </c>
      <c r="L22" s="145">
        <f>'Inputs_BY INM'!F290/1000/$E22</f>
        <v>0</v>
      </c>
      <c r="M22" s="145">
        <f>'Inputs_BY INM'!G290/1000/$E22</f>
        <v>0</v>
      </c>
      <c r="N22" s="145">
        <f>'Inputs_BY INM'!H290/1000/$E22</f>
        <v>0</v>
      </c>
      <c r="O22" s="145">
        <f>'Inputs_BY INM'!I290/1000/$E22</f>
        <v>9.4218917561404769E-2</v>
      </c>
      <c r="P22" s="145">
        <f>'Inputs_BY INM'!J290/1000/$E22</f>
        <v>3.0933093045172416E-2</v>
      </c>
      <c r="Q22" s="145">
        <f>'Inputs_BY INM'!K290/1000/$E22</f>
        <v>0.21226072780287272</v>
      </c>
      <c r="R22" s="145">
        <f>'Inputs_BY INM'!L290/1000/$E22</f>
        <v>0.15036561220627334</v>
      </c>
      <c r="S22" s="145">
        <f>'Inputs_BY INM'!M290/1000/$E22</f>
        <v>1.4494353725301212</v>
      </c>
      <c r="T22" s="145">
        <f>'Inputs_BY INM'!N290/1000/$E22</f>
        <v>0.35047620127324347</v>
      </c>
      <c r="U22" s="145">
        <f>'Inputs_BY INM'!O290/1000/$E22</f>
        <v>0.16066548577253317</v>
      </c>
      <c r="V22" s="145">
        <f>'Inputs_BY INM'!P290/1000/$E22</f>
        <v>0</v>
      </c>
      <c r="W22" s="145">
        <f>'Inputs_BY INM'!Q290/1000/$E22</f>
        <v>0.35735602053539334</v>
      </c>
      <c r="X22" s="145">
        <f>'Inputs_BY INM'!R290/1000/$E22</f>
        <v>0.21156734819484818</v>
      </c>
      <c r="Y22" s="145">
        <f>'Inputs_BY INM'!S290/1000/$E22</f>
        <v>0.73950357861690452</v>
      </c>
      <c r="Z22" s="145">
        <f>'Inputs_BY INM'!T290/1000/$E22</f>
        <v>3.7062626951260227</v>
      </c>
      <c r="AA22" s="145">
        <f>'Inputs_BY INM'!U290/1000/$E22</f>
        <v>1.135490224001368</v>
      </c>
      <c r="AB22" s="145">
        <f>'Inputs_BY INM'!V290/1000/$E22</f>
        <v>0</v>
      </c>
      <c r="AC22" s="145">
        <f>'Inputs_BY INM'!W290/1000/$E22</f>
        <v>0</v>
      </c>
      <c r="AD22" s="145">
        <f>'Inputs_BY INM'!X290/1000/$E22</f>
        <v>1.389816479004766</v>
      </c>
      <c r="AE22" s="145">
        <f>'Inputs_BY INM'!Y290/1000/$E22</f>
        <v>0</v>
      </c>
      <c r="AF22" s="145">
        <f>'Inputs_BY INM'!Z290/1000/$E22</f>
        <v>1.5914020782347809</v>
      </c>
      <c r="AG22" s="145">
        <f>'Inputs_BY INM'!AA290/1000/$E22</f>
        <v>0</v>
      </c>
      <c r="AH22" s="145">
        <f>'Inputs_BY INM'!AB290/1000/$E22</f>
        <v>1.8339738890085826</v>
      </c>
      <c r="AI22" s="145">
        <f>'Inputs_BY INM'!AC290/1000/$E22</f>
        <v>0</v>
      </c>
      <c r="AJ22" s="145">
        <f>'Inputs_BY INM'!AD290/1000/$E22</f>
        <v>0.73792467265607653</v>
      </c>
      <c r="AK22" s="145">
        <f>'Inputs_BY INM'!AE290/1000/$E22</f>
        <v>0</v>
      </c>
      <c r="AL22" s="145">
        <f>'Inputs_BY INM'!AF290/1000/$E22</f>
        <v>1.2156436878792747</v>
      </c>
      <c r="AM22" s="61"/>
      <c r="AN22" s="9" t="s">
        <v>322</v>
      </c>
      <c r="AO22" s="9" t="s">
        <v>904</v>
      </c>
      <c r="AP22" s="9" t="s">
        <v>785</v>
      </c>
      <c r="AQ22" s="9" t="s">
        <v>323</v>
      </c>
      <c r="AR22" s="9" t="s">
        <v>891</v>
      </c>
    </row>
    <row r="23" spans="1:51" x14ac:dyDescent="0.25">
      <c r="A23" s="9" t="str">
        <f t="shared" si="1"/>
        <v>I-NM-LTH_COA00</v>
      </c>
      <c r="B23" s="9" t="str">
        <f t="shared" si="2"/>
        <v>IND Non-metallic minerals technology: Low temperature heat using Solid - Existing</v>
      </c>
      <c r="C23" s="9" t="s">
        <v>889</v>
      </c>
      <c r="E23" s="145">
        <v>0.9</v>
      </c>
      <c r="F23" s="65"/>
      <c r="G23" s="62">
        <v>25</v>
      </c>
      <c r="H23" s="67">
        <v>0.4</v>
      </c>
      <c r="I23" s="62" t="s">
        <v>559</v>
      </c>
      <c r="J23" s="62" t="s">
        <v>323</v>
      </c>
      <c r="K23" s="145">
        <f>'Inputs_BY INM'!E291/1000/$E23</f>
        <v>0</v>
      </c>
      <c r="L23" s="145">
        <f>'Inputs_BY INM'!F291/1000/$E23</f>
        <v>0</v>
      </c>
      <c r="M23" s="145">
        <f>'Inputs_BY INM'!G291/1000/$E23</f>
        <v>0</v>
      </c>
      <c r="N23" s="145">
        <f>'Inputs_BY INM'!H291/1000/$E23</f>
        <v>0</v>
      </c>
      <c r="O23" s="145">
        <f>'Inputs_BY INM'!I291/1000/$E23</f>
        <v>6.9306206126820005</v>
      </c>
      <c r="P23" s="145">
        <f>'Inputs_BY INM'!J291/1000/$E23</f>
        <v>4.9931349992944289</v>
      </c>
      <c r="Q23" s="145">
        <f>'Inputs_BY INM'!K291/1000/$E23</f>
        <v>57.503946844498053</v>
      </c>
      <c r="R23" s="145">
        <f>'Inputs_BY INM'!L291/1000/$E23</f>
        <v>10.797768820852596</v>
      </c>
      <c r="S23" s="145">
        <f>'Inputs_BY INM'!M291/1000/$E23</f>
        <v>0.6033756432236751</v>
      </c>
      <c r="T23" s="145">
        <f>'Inputs_BY INM'!N291/1000/$E23</f>
        <v>1.7220140563912043</v>
      </c>
      <c r="U23" s="145">
        <f>'Inputs_BY INM'!O291/1000/$E23</f>
        <v>1.7480913387713782E-2</v>
      </c>
      <c r="V23" s="145">
        <f>'Inputs_BY INM'!P291/1000/$E23</f>
        <v>0</v>
      </c>
      <c r="W23" s="145">
        <f>'Inputs_BY INM'!Q291/1000/$E23</f>
        <v>12.446039830120535</v>
      </c>
      <c r="X23" s="145">
        <f>'Inputs_BY INM'!R291/1000/$E23</f>
        <v>5.2949004537528426</v>
      </c>
      <c r="Y23" s="145">
        <f>'Inputs_BY INM'!S291/1000/$E23</f>
        <v>10.425755651342321</v>
      </c>
      <c r="Z23" s="145">
        <f>'Inputs_BY INM'!T291/1000/$E23</f>
        <v>5.5997233016015953</v>
      </c>
      <c r="AA23" s="145">
        <f>'Inputs_BY INM'!U291/1000/$E23</f>
        <v>22.328563362007213</v>
      </c>
      <c r="AB23" s="145">
        <f>'Inputs_BY INM'!V291/1000/$E23</f>
        <v>0</v>
      </c>
      <c r="AC23" s="145">
        <f>'Inputs_BY INM'!W291/1000/$E23</f>
        <v>0</v>
      </c>
      <c r="AD23" s="145">
        <f>'Inputs_BY INM'!X291/1000/$E23</f>
        <v>24.731729809504561</v>
      </c>
      <c r="AE23" s="145">
        <f>'Inputs_BY INM'!Y291/1000/$E23</f>
        <v>0</v>
      </c>
      <c r="AF23" s="145">
        <f>'Inputs_BY INM'!Z291/1000/$E23</f>
        <v>8.8609332811962691</v>
      </c>
      <c r="AG23" s="145">
        <f>'Inputs_BY INM'!AA291/1000/$E23</f>
        <v>0</v>
      </c>
      <c r="AH23" s="145">
        <f>'Inputs_BY INM'!AB291/1000/$E23</f>
        <v>0.58436818761151565</v>
      </c>
      <c r="AI23" s="145">
        <f>'Inputs_BY INM'!AC291/1000/$E23</f>
        <v>0</v>
      </c>
      <c r="AJ23" s="145">
        <f>'Inputs_BY INM'!AD291/1000/$E23</f>
        <v>10.437083055036233</v>
      </c>
      <c r="AK23" s="145">
        <f>'Inputs_BY INM'!AE291/1000/$E23</f>
        <v>0</v>
      </c>
      <c r="AL23" s="145">
        <f>'Inputs_BY INM'!AF291/1000/$E23</f>
        <v>48.40240419174026</v>
      </c>
      <c r="AM23" s="61"/>
      <c r="AN23" s="9" t="s">
        <v>322</v>
      </c>
      <c r="AO23" s="9" t="s">
        <v>905</v>
      </c>
      <c r="AP23" s="9" t="s">
        <v>786</v>
      </c>
      <c r="AQ23" s="9" t="s">
        <v>323</v>
      </c>
      <c r="AR23" s="9" t="s">
        <v>891</v>
      </c>
    </row>
    <row r="24" spans="1:51" x14ac:dyDescent="0.25">
      <c r="A24" s="9" t="str">
        <f t="shared" si="1"/>
        <v>I-NM-HTH_BIO00</v>
      </c>
      <c r="B24" s="9" t="str">
        <f t="shared" si="2"/>
        <v>IND Non-metallic minerals technology: High temperature heat using Biomass - Existing</v>
      </c>
      <c r="C24" s="9" t="s">
        <v>896</v>
      </c>
      <c r="E24" s="145">
        <v>0.9</v>
      </c>
      <c r="F24" s="65"/>
      <c r="G24" s="62">
        <v>25</v>
      </c>
      <c r="H24" s="67">
        <v>0.4</v>
      </c>
      <c r="I24" s="62" t="s">
        <v>559</v>
      </c>
      <c r="J24" s="62" t="s">
        <v>323</v>
      </c>
      <c r="K24" s="145">
        <f>'Inputs_BY INM'!E292/1000/$E24</f>
        <v>0</v>
      </c>
      <c r="L24" s="145">
        <f>'Inputs_BY INM'!F292/1000/$E24</f>
        <v>0</v>
      </c>
      <c r="M24" s="145">
        <f>'Inputs_BY INM'!G292/1000/$E24</f>
        <v>0</v>
      </c>
      <c r="N24" s="145">
        <f>'Inputs_BY INM'!H292/1000/$E24</f>
        <v>0</v>
      </c>
      <c r="O24" s="145">
        <f>'Inputs_BY INM'!I292/1000/$E24</f>
        <v>0.96120409338627788</v>
      </c>
      <c r="P24" s="145">
        <f>'Inputs_BY INM'!J292/1000/$E24</f>
        <v>8.7505213706286794E-5</v>
      </c>
      <c r="Q24" s="145">
        <f>'Inputs_BY INM'!K292/1000/$E24</f>
        <v>3.1131573411087974</v>
      </c>
      <c r="R24" s="145">
        <f>'Inputs_BY INM'!L292/1000/$E24</f>
        <v>0</v>
      </c>
      <c r="S24" s="145">
        <f>'Inputs_BY INM'!M292/1000/$E24</f>
        <v>0.82976276659558024</v>
      </c>
      <c r="T24" s="145">
        <f>'Inputs_BY INM'!N292/1000/$E24</f>
        <v>1.0800650536317815</v>
      </c>
      <c r="U24" s="145">
        <f>'Inputs_BY INM'!O292/1000/$E24</f>
        <v>0</v>
      </c>
      <c r="V24" s="145">
        <f>'Inputs_BY INM'!P292/1000/$E24</f>
        <v>0</v>
      </c>
      <c r="W24" s="145">
        <f>'Inputs_BY INM'!Q292/1000/$E24</f>
        <v>7.0401758046431923E-2</v>
      </c>
      <c r="X24" s="145">
        <f>'Inputs_BY INM'!R292/1000/$E24</f>
        <v>4.7965905095695263</v>
      </c>
      <c r="Y24" s="145">
        <f>'Inputs_BY INM'!S292/1000/$E24</f>
        <v>16.841910341192303</v>
      </c>
      <c r="Z24" s="145">
        <f>'Inputs_BY INM'!T292/1000/$E24</f>
        <v>15.688246429638646</v>
      </c>
      <c r="AA24" s="145">
        <f>'Inputs_BY INM'!U292/1000/$E24</f>
        <v>21.873119192818098</v>
      </c>
      <c r="AB24" s="145">
        <f>'Inputs_BY INM'!V292/1000/$E24</f>
        <v>0</v>
      </c>
      <c r="AC24" s="145">
        <f>'Inputs_BY INM'!W292/1000/$E24</f>
        <v>0</v>
      </c>
      <c r="AD24" s="145">
        <f>'Inputs_BY INM'!X292/1000/$E24</f>
        <v>5.5912157201341115</v>
      </c>
      <c r="AE24" s="145">
        <f>'Inputs_BY INM'!Y292/1000/$E24</f>
        <v>0</v>
      </c>
      <c r="AF24" s="145">
        <f>'Inputs_BY INM'!Z292/1000/$E24</f>
        <v>2.5300028678505417</v>
      </c>
      <c r="AG24" s="145">
        <f>'Inputs_BY INM'!AA292/1000/$E24</f>
        <v>0</v>
      </c>
      <c r="AH24" s="145">
        <f>'Inputs_BY INM'!AB292/1000/$E24</f>
        <v>0</v>
      </c>
      <c r="AI24" s="145">
        <f>'Inputs_BY INM'!AC292/1000/$E24</f>
        <v>0</v>
      </c>
      <c r="AJ24" s="145">
        <f>'Inputs_BY INM'!AD292/1000/$E24</f>
        <v>1.000329471774432</v>
      </c>
      <c r="AK24" s="145">
        <f>'Inputs_BY INM'!AE292/1000/$E24</f>
        <v>0</v>
      </c>
      <c r="AL24" s="145">
        <f>'Inputs_BY INM'!AF292/1000/$E24</f>
        <v>5.2728554351196921</v>
      </c>
      <c r="AM24" s="61"/>
      <c r="AN24" s="9" t="s">
        <v>322</v>
      </c>
      <c r="AO24" s="9" t="s">
        <v>906</v>
      </c>
      <c r="AP24" s="9" t="s">
        <v>787</v>
      </c>
      <c r="AQ24" s="9" t="s">
        <v>323</v>
      </c>
      <c r="AR24" s="9" t="s">
        <v>891</v>
      </c>
    </row>
    <row r="25" spans="1:51" x14ac:dyDescent="0.25">
      <c r="F25" s="65"/>
      <c r="G25" s="65"/>
      <c r="H25" s="65"/>
      <c r="I25" s="66"/>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row>
    <row r="26" spans="1:51" x14ac:dyDescent="0.25">
      <c r="F26" s="65"/>
      <c r="G26" s="65"/>
      <c r="H26" s="65"/>
      <c r="I26" s="66"/>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row>
    <row r="27" spans="1:51" x14ac:dyDescent="0.25">
      <c r="F27" s="65"/>
      <c r="G27" s="65"/>
      <c r="H27" s="65"/>
      <c r="I27" s="66"/>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row>
    <row r="29" spans="1:51" x14ac:dyDescent="0.25">
      <c r="A29" s="52" t="s">
        <v>300</v>
      </c>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U29" s="53"/>
      <c r="AV29" s="53"/>
      <c r="AW29" s="53"/>
      <c r="AX29" s="53"/>
      <c r="AY29" s="53"/>
    </row>
    <row r="30" spans="1:51" ht="15.75" thickBot="1" x14ac:dyDescent="0.3">
      <c r="A30" s="54" t="s">
        <v>306</v>
      </c>
      <c r="B30" s="55" t="s">
        <v>545</v>
      </c>
      <c r="C30" s="54" t="s">
        <v>325</v>
      </c>
      <c r="D30" s="54" t="s">
        <v>302</v>
      </c>
      <c r="E30" s="54" t="s">
        <v>575</v>
      </c>
      <c r="F30" s="54" t="s">
        <v>575</v>
      </c>
      <c r="G30" s="54" t="s">
        <v>327</v>
      </c>
      <c r="H30" s="54" t="s">
        <v>326</v>
      </c>
      <c r="I30" s="54" t="s">
        <v>549</v>
      </c>
      <c r="J30" s="54" t="s">
        <v>162</v>
      </c>
      <c r="K30" s="54" t="s">
        <v>164</v>
      </c>
      <c r="L30" s="54" t="s">
        <v>166</v>
      </c>
      <c r="M30" s="54" t="s">
        <v>168</v>
      </c>
      <c r="N30" s="54" t="s">
        <v>170</v>
      </c>
      <c r="O30" s="54" t="s">
        <v>173</v>
      </c>
      <c r="P30" s="54" t="s">
        <v>175</v>
      </c>
      <c r="Q30" s="54" t="s">
        <v>177</v>
      </c>
      <c r="R30" s="54" t="s">
        <v>179</v>
      </c>
      <c r="S30" s="54" t="s">
        <v>181</v>
      </c>
      <c r="T30" s="54" t="s">
        <v>183</v>
      </c>
      <c r="U30" s="54" t="s">
        <v>185</v>
      </c>
      <c r="V30" s="54" t="s">
        <v>188</v>
      </c>
      <c r="W30" s="54" t="s">
        <v>190</v>
      </c>
      <c r="X30" s="54" t="s">
        <v>192</v>
      </c>
      <c r="Y30" s="54" t="s">
        <v>194</v>
      </c>
      <c r="Z30" s="54" t="s">
        <v>196</v>
      </c>
      <c r="AA30" s="54" t="s">
        <v>198</v>
      </c>
      <c r="AB30" s="54" t="s">
        <v>9</v>
      </c>
      <c r="AC30" s="54" t="s">
        <v>201</v>
      </c>
      <c r="AD30" s="54" t="s">
        <v>203</v>
      </c>
      <c r="AE30" s="54" t="s">
        <v>205</v>
      </c>
      <c r="AF30" s="54" t="s">
        <v>207</v>
      </c>
      <c r="AG30" s="54" t="s">
        <v>210</v>
      </c>
      <c r="AH30" s="54" t="s">
        <v>212</v>
      </c>
      <c r="AI30" s="54" t="s">
        <v>214</v>
      </c>
      <c r="AJ30" s="54" t="s">
        <v>217</v>
      </c>
      <c r="AK30" s="54" t="s">
        <v>219</v>
      </c>
    </row>
    <row r="31" spans="1:51" ht="38.25" x14ac:dyDescent="0.25">
      <c r="A31" s="50" t="s">
        <v>551</v>
      </c>
      <c r="B31" s="50" t="s">
        <v>26</v>
      </c>
      <c r="C31" s="50" t="s">
        <v>328</v>
      </c>
      <c r="D31" s="50" t="s">
        <v>576</v>
      </c>
      <c r="E31" s="50"/>
      <c r="F31" s="50"/>
      <c r="G31" s="50" t="s">
        <v>330</v>
      </c>
      <c r="H31" s="50" t="s">
        <v>555</v>
      </c>
      <c r="I31" s="357" t="s">
        <v>556</v>
      </c>
      <c r="J31" s="357"/>
      <c r="K31" s="357"/>
      <c r="L31" s="357"/>
      <c r="M31" s="357"/>
      <c r="N31" s="357"/>
      <c r="O31" s="357"/>
      <c r="P31" s="357"/>
      <c r="Q31" s="357"/>
      <c r="R31" s="357"/>
      <c r="S31" s="357"/>
      <c r="T31" s="357"/>
      <c r="U31" s="357"/>
      <c r="V31" s="357"/>
      <c r="W31" s="357"/>
      <c r="X31" s="357"/>
      <c r="Y31" s="357"/>
      <c r="Z31" s="357"/>
      <c r="AA31" s="357"/>
      <c r="AB31" s="357"/>
      <c r="AC31" s="357"/>
      <c r="AD31" s="357"/>
      <c r="AE31" s="357"/>
      <c r="AF31" s="357"/>
      <c r="AG31" s="357"/>
      <c r="AH31" s="357"/>
      <c r="AI31" s="357"/>
      <c r="AJ31" s="357"/>
      <c r="AK31" s="357"/>
    </row>
    <row r="32" spans="1:51" x14ac:dyDescent="0.25">
      <c r="A32" s="9" t="str">
        <f>AO9</f>
        <v>I-CM-DRYKLN</v>
      </c>
      <c r="B32" s="9" t="str">
        <f>AP9</f>
        <v>IND Cement technology: Dry Kiln</v>
      </c>
      <c r="C32" s="13" t="str">
        <f>'Inputs_BY INM'!C121</f>
        <v>INDBFG</v>
      </c>
      <c r="G32" s="318"/>
      <c r="H32" s="61" t="s">
        <v>470</v>
      </c>
      <c r="I32" s="215" t="s">
        <v>512</v>
      </c>
      <c r="J32" s="287" t="str">
        <f>IF('Inputs_BY INM'!E121=0,"",'Inputs_BY INM'!E121)</f>
        <v/>
      </c>
      <c r="K32" s="287" t="str">
        <f>IF('Inputs_BY INM'!F121=0,"",'Inputs_BY INM'!F121)</f>
        <v/>
      </c>
      <c r="L32" s="287" t="str">
        <f>IF('Inputs_BY INM'!G121=0,"",'Inputs_BY INM'!G121)</f>
        <v/>
      </c>
      <c r="M32" s="287" t="str">
        <f>IF('Inputs_BY INM'!H121=0,"",'Inputs_BY INM'!H121)</f>
        <v/>
      </c>
      <c r="N32" s="287" t="str">
        <f>IF('Inputs_BY INM'!I121=0,"",'Inputs_BY INM'!I121)</f>
        <v/>
      </c>
      <c r="O32" s="287" t="str">
        <f>IF('Inputs_BY INM'!J121=0,"",'Inputs_BY INM'!J121)</f>
        <v/>
      </c>
      <c r="P32" s="287" t="str">
        <f>IF('Inputs_BY INM'!K121=0,"",'Inputs_BY INM'!K121)</f>
        <v/>
      </c>
      <c r="Q32" s="287" t="str">
        <f>IF('Inputs_BY INM'!L121=0,"",'Inputs_BY INM'!L121)</f>
        <v/>
      </c>
      <c r="R32" s="287" t="str">
        <f>IF('Inputs_BY INM'!M121=0,"",'Inputs_BY INM'!M121)</f>
        <v/>
      </c>
      <c r="S32" s="287" t="str">
        <f>IF('Inputs_BY INM'!N121=0,"",'Inputs_BY INM'!N121)</f>
        <v/>
      </c>
      <c r="T32" s="287" t="str">
        <f>IF('Inputs_BY INM'!O121=0,"",'Inputs_BY INM'!O121)</f>
        <v/>
      </c>
      <c r="U32" s="287" t="str">
        <f>IF('Inputs_BY INM'!P121=0,"",'Inputs_BY INM'!P121)</f>
        <v/>
      </c>
      <c r="V32" s="287" t="str">
        <f>IF('Inputs_BY INM'!Q121=0,"",'Inputs_BY INM'!Q121)</f>
        <v/>
      </c>
      <c r="W32" s="287">
        <f>IF('Inputs_BY INM'!R121=0,"",'Inputs_BY INM'!R121)</f>
        <v>5.7040676697129016E-3</v>
      </c>
      <c r="X32" s="287" t="str">
        <f>IF('Inputs_BY INM'!S121=0,"",'Inputs_BY INM'!S121)</f>
        <v/>
      </c>
      <c r="Y32" s="287" t="str">
        <f>IF('Inputs_BY INM'!T121=0,"",'Inputs_BY INM'!T121)</f>
        <v/>
      </c>
      <c r="Z32" s="287" t="str">
        <f>IF('Inputs_BY INM'!U121=0,"",'Inputs_BY INM'!U121)</f>
        <v/>
      </c>
      <c r="AA32" s="287" t="str">
        <f>IF('Inputs_BY INM'!V121=0,"",'Inputs_BY INM'!V121)</f>
        <v/>
      </c>
      <c r="AB32" s="287" t="str">
        <f>IF('Inputs_BY INM'!W121=0,"",'Inputs_BY INM'!W121)</f>
        <v/>
      </c>
      <c r="AC32" s="287">
        <f>IF('Inputs_BY INM'!X121=0,"",'Inputs_BY INM'!X121)</f>
        <v>2.6996695127446493E-3</v>
      </c>
      <c r="AD32" s="287" t="str">
        <f>IF('Inputs_BY INM'!Y121=0,"",'Inputs_BY INM'!Y121)</f>
        <v/>
      </c>
      <c r="AE32" s="287" t="str">
        <f>IF('Inputs_BY INM'!Z121=0,"",'Inputs_BY INM'!Z121)</f>
        <v/>
      </c>
      <c r="AF32" s="287" t="str">
        <f>IF('Inputs_BY INM'!AA121=0,"",'Inputs_BY INM'!AA121)</f>
        <v/>
      </c>
      <c r="AG32" s="287" t="str">
        <f>IF('Inputs_BY INM'!AB121=0,"",'Inputs_BY INM'!AB121)</f>
        <v/>
      </c>
      <c r="AH32" s="287" t="str">
        <f>IF('Inputs_BY INM'!AC121=0,"",'Inputs_BY INM'!AC121)</f>
        <v/>
      </c>
      <c r="AI32" s="287" t="str">
        <f>IF('Inputs_BY INM'!AD121=0,"",'Inputs_BY INM'!AD121)</f>
        <v/>
      </c>
      <c r="AJ32" s="287" t="str">
        <f>IF('Inputs_BY INM'!AE121=0,"",'Inputs_BY INM'!AE121)</f>
        <v/>
      </c>
      <c r="AK32" s="287" t="str">
        <f>IF('Inputs_BY INM'!AF121=0,"",'Inputs_BY INM'!AF121)</f>
        <v/>
      </c>
      <c r="AM32" s="320" t="str">
        <f>C32</f>
        <v>INDBFG</v>
      </c>
      <c r="AN32" s="348">
        <f>SUM(J32:AK32)/SUM($J$32:$AK$46)</f>
        <v>8.2544123636427066E-5</v>
      </c>
    </row>
    <row r="33" spans="3:41" x14ac:dyDescent="0.25">
      <c r="C33" s="13" t="str">
        <f>'Inputs_BY INM'!C122</f>
        <v>INDBGS</v>
      </c>
      <c r="G33" s="318"/>
      <c r="H33" s="61" t="s">
        <v>470</v>
      </c>
      <c r="I33" t="s">
        <v>512</v>
      </c>
      <c r="J33" s="288" t="str">
        <f>IF('Inputs_BY INM'!E122=0,"",'Inputs_BY INM'!E122)</f>
        <v/>
      </c>
      <c r="K33" s="288" t="str">
        <f>IF('Inputs_BY INM'!F122=0,"",'Inputs_BY INM'!F122)</f>
        <v/>
      </c>
      <c r="L33" s="288" t="str">
        <f>IF('Inputs_BY INM'!G122=0,"",'Inputs_BY INM'!G122)</f>
        <v/>
      </c>
      <c r="M33" s="288" t="str">
        <f>IF('Inputs_BY INM'!H122=0,"",'Inputs_BY INM'!H122)</f>
        <v/>
      </c>
      <c r="N33" s="288">
        <f>IF('Inputs_BY INM'!I122=0,"",'Inputs_BY INM'!I122)</f>
        <v>3.5238608883792753E-3</v>
      </c>
      <c r="O33" s="288" t="str">
        <f>IF('Inputs_BY INM'!J122=0,"",'Inputs_BY INM'!J122)</f>
        <v/>
      </c>
      <c r="P33" s="288" t="str">
        <f>IF('Inputs_BY INM'!K122=0,"",'Inputs_BY INM'!K122)</f>
        <v/>
      </c>
      <c r="Q33" s="288" t="str">
        <f>IF('Inputs_BY INM'!L122=0,"",'Inputs_BY INM'!L122)</f>
        <v/>
      </c>
      <c r="R33" s="288" t="str">
        <f>IF('Inputs_BY INM'!M122=0,"",'Inputs_BY INM'!M122)</f>
        <v/>
      </c>
      <c r="S33" s="288" t="str">
        <f>IF('Inputs_BY INM'!N122=0,"",'Inputs_BY INM'!N122)</f>
        <v/>
      </c>
      <c r="T33" s="288" t="str">
        <f>IF('Inputs_BY INM'!O122=0,"",'Inputs_BY INM'!O122)</f>
        <v/>
      </c>
      <c r="U33" s="288" t="str">
        <f>IF('Inputs_BY INM'!P122=0,"",'Inputs_BY INM'!P122)</f>
        <v/>
      </c>
      <c r="V33" s="288" t="str">
        <f>IF('Inputs_BY INM'!Q122=0,"",'Inputs_BY INM'!Q122)</f>
        <v/>
      </c>
      <c r="W33" s="288">
        <f>IF('Inputs_BY INM'!R122=0,"",'Inputs_BY INM'!R122)</f>
        <v>4.4941139215919833E-4</v>
      </c>
      <c r="X33" s="288">
        <f>IF('Inputs_BY INM'!S122=0,"",'Inputs_BY INM'!S122)</f>
        <v>3.2673651514252038E-4</v>
      </c>
      <c r="Y33" s="288">
        <f>IF('Inputs_BY INM'!T122=0,"",'Inputs_BY INM'!T122)</f>
        <v>2.0170398804116433E-3</v>
      </c>
      <c r="Z33" s="288">
        <f>IF('Inputs_BY INM'!U122=0,"",'Inputs_BY INM'!U122)</f>
        <v>1.0005657844968736E-3</v>
      </c>
      <c r="AA33" s="288" t="str">
        <f>IF('Inputs_BY INM'!V122=0,"",'Inputs_BY INM'!V122)</f>
        <v/>
      </c>
      <c r="AB33" s="288" t="str">
        <f>IF('Inputs_BY INM'!W122=0,"",'Inputs_BY INM'!W122)</f>
        <v/>
      </c>
      <c r="AC33" s="288" t="str">
        <f>IF('Inputs_BY INM'!X122=0,"",'Inputs_BY INM'!X122)</f>
        <v/>
      </c>
      <c r="AD33" s="288" t="str">
        <f>IF('Inputs_BY INM'!Y122=0,"",'Inputs_BY INM'!Y122)</f>
        <v/>
      </c>
      <c r="AE33" s="288" t="str">
        <f>IF('Inputs_BY INM'!Z122=0,"",'Inputs_BY INM'!Z122)</f>
        <v/>
      </c>
      <c r="AF33" s="288" t="str">
        <f>IF('Inputs_BY INM'!AA122=0,"",'Inputs_BY INM'!AA122)</f>
        <v/>
      </c>
      <c r="AG33" s="288" t="str">
        <f>IF('Inputs_BY INM'!AB122=0,"",'Inputs_BY INM'!AB122)</f>
        <v/>
      </c>
      <c r="AH33" s="288" t="str">
        <f>IF('Inputs_BY INM'!AC122=0,"",'Inputs_BY INM'!AC122)</f>
        <v/>
      </c>
      <c r="AI33" s="288" t="str">
        <f>IF('Inputs_BY INM'!AD122=0,"",'Inputs_BY INM'!AD122)</f>
        <v/>
      </c>
      <c r="AJ33" s="288" t="str">
        <f>IF('Inputs_BY INM'!AE122=0,"",'Inputs_BY INM'!AE122)</f>
        <v/>
      </c>
      <c r="AK33" s="288" t="str">
        <f>IF('Inputs_BY INM'!AF122=0,"",'Inputs_BY INM'!AF122)</f>
        <v/>
      </c>
      <c r="AM33" s="320" t="str">
        <f t="shared" ref="AM33:AM46" si="3">C33</f>
        <v>INDBGS</v>
      </c>
      <c r="AN33" s="348">
        <f t="shared" ref="AN33:AN46" si="4">SUM(J33:AK33)/SUM($J$32:$AK$46)</f>
        <v>7.1875888029850134E-5</v>
      </c>
    </row>
    <row r="34" spans="3:41" x14ac:dyDescent="0.25">
      <c r="C34" s="13" t="str">
        <f>'Inputs_BY INM'!C123</f>
        <v>INDBIO</v>
      </c>
      <c r="G34" s="318"/>
      <c r="H34" s="61" t="s">
        <v>470</v>
      </c>
      <c r="I34" t="s">
        <v>512</v>
      </c>
      <c r="J34" s="288" t="str">
        <f>IF('Inputs_BY INM'!E123=0,"",'Inputs_BY INM'!E123)</f>
        <v/>
      </c>
      <c r="K34" s="288">
        <f>IF('Inputs_BY INM'!F123=0,"",'Inputs_BY INM'!F123)</f>
        <v>5.1760877436527047E-2</v>
      </c>
      <c r="L34" s="288">
        <f>IF('Inputs_BY INM'!G123=0,"",'Inputs_BY INM'!G123)</f>
        <v>7.3419555802500203E-2</v>
      </c>
      <c r="M34" s="288">
        <f>IF('Inputs_BY INM'!H123=0,"",'Inputs_BY INM'!H123)</f>
        <v>7.2980883323126258E-2</v>
      </c>
      <c r="N34" s="288">
        <f>IF('Inputs_BY INM'!I123=0,"",'Inputs_BY INM'!I123)</f>
        <v>0.12876951896932939</v>
      </c>
      <c r="O34" s="288">
        <f>IF('Inputs_BY INM'!J123=0,"",'Inputs_BY INM'!J123)</f>
        <v>2.6993909052237339E-5</v>
      </c>
      <c r="P34" s="288">
        <f>IF('Inputs_BY INM'!K123=0,"",'Inputs_BY INM'!K123)</f>
        <v>0.15361921278109431</v>
      </c>
      <c r="Q34" s="288" t="str">
        <f>IF('Inputs_BY INM'!L123=0,"",'Inputs_BY INM'!L123)</f>
        <v/>
      </c>
      <c r="R34" s="288">
        <f>IF('Inputs_BY INM'!M123=0,"",'Inputs_BY INM'!M123)</f>
        <v>0.12892974340955371</v>
      </c>
      <c r="S34" s="288">
        <f>IF('Inputs_BY INM'!N123=0,"",'Inputs_BY INM'!N123)</f>
        <v>4.2429624928607648E-2</v>
      </c>
      <c r="T34" s="288" t="str">
        <f>IF('Inputs_BY INM'!O123=0,"",'Inputs_BY INM'!O123)</f>
        <v/>
      </c>
      <c r="U34" s="288">
        <f>IF('Inputs_BY INM'!P123=0,"",'Inputs_BY INM'!P123)</f>
        <v>7.2314134157208838E-3</v>
      </c>
      <c r="V34" s="288">
        <f>IF('Inputs_BY INM'!Q123=0,"",'Inputs_BY INM'!Q123)</f>
        <v>9.8131506142876499E-3</v>
      </c>
      <c r="W34" s="288">
        <f>IF('Inputs_BY INM'!R123=0,"",'Inputs_BY INM'!R123)</f>
        <v>0.41221395693125229</v>
      </c>
      <c r="X34" s="288">
        <f>IF('Inputs_BY INM'!S123=0,"",'Inputs_BY INM'!S123)</f>
        <v>5.5688971640891184E-2</v>
      </c>
      <c r="Y34" s="288">
        <f>IF('Inputs_BY INM'!T123=0,"",'Inputs_BY INM'!T123)</f>
        <v>0.24198610812560342</v>
      </c>
      <c r="Z34" s="288">
        <f>IF('Inputs_BY INM'!U123=0,"",'Inputs_BY INM'!U123)</f>
        <v>7.8877936011170213E-2</v>
      </c>
      <c r="AA34" s="288" t="str">
        <f>IF('Inputs_BY INM'!V123=0,"",'Inputs_BY INM'!V123)</f>
        <v/>
      </c>
      <c r="AB34" s="288">
        <f>IF('Inputs_BY INM'!W123=0,"",'Inputs_BY INM'!W123)</f>
        <v>0.154699364987191</v>
      </c>
      <c r="AC34" s="288">
        <f>IF('Inputs_BY INM'!X123=0,"",'Inputs_BY INM'!X123)</f>
        <v>6.9605521607318421E-2</v>
      </c>
      <c r="AD34" s="288">
        <f>IF('Inputs_BY INM'!Y123=0,"",'Inputs_BY INM'!Y123)</f>
        <v>3.1070256798843562E-2</v>
      </c>
      <c r="AE34" s="288" t="str">
        <f>IF('Inputs_BY INM'!Z123=0,"",'Inputs_BY INM'!Z123)</f>
        <v/>
      </c>
      <c r="AF34" s="288" t="str">
        <f>IF('Inputs_BY INM'!AA123=0,"",'Inputs_BY INM'!AA123)</f>
        <v/>
      </c>
      <c r="AG34" s="288" t="str">
        <f>IF('Inputs_BY INM'!AB123=0,"",'Inputs_BY INM'!AB123)</f>
        <v/>
      </c>
      <c r="AH34" s="288" t="str">
        <f>IF('Inputs_BY INM'!AC123=0,"",'Inputs_BY INM'!AC123)</f>
        <v/>
      </c>
      <c r="AI34" s="288">
        <f>IF('Inputs_BY INM'!AD123=0,"",'Inputs_BY INM'!AD123)</f>
        <v>3.7683839039999721E-4</v>
      </c>
      <c r="AJ34" s="288">
        <f>IF('Inputs_BY INM'!AE123=0,"",'Inputs_BY INM'!AE123)</f>
        <v>1.447635203679325E-3</v>
      </c>
      <c r="AK34" s="288">
        <f>IF('Inputs_BY INM'!AF123=0,"",'Inputs_BY INM'!AF123)</f>
        <v>0.11531305663438048</v>
      </c>
      <c r="AM34" s="320" t="str">
        <f t="shared" si="3"/>
        <v>INDBIO</v>
      </c>
      <c r="AN34" s="348">
        <f t="shared" si="4"/>
        <v>1.7977389785048894E-2</v>
      </c>
    </row>
    <row r="35" spans="3:41" x14ac:dyDescent="0.25">
      <c r="C35" s="13" t="str">
        <f>'Inputs_BY INM'!C124</f>
        <v>INDBLQ</v>
      </c>
      <c r="G35" s="318"/>
      <c r="H35" s="61" t="s">
        <v>470</v>
      </c>
      <c r="I35" t="s">
        <v>512</v>
      </c>
      <c r="J35" s="288" t="str">
        <f>IF('Inputs_BY INM'!E124=0,"",'Inputs_BY INM'!E124)</f>
        <v/>
      </c>
      <c r="K35" s="288" t="str">
        <f>IF('Inputs_BY INM'!F124=0,"",'Inputs_BY INM'!F124)</f>
        <v/>
      </c>
      <c r="L35" s="288" t="str">
        <f>IF('Inputs_BY INM'!G124=0,"",'Inputs_BY INM'!G124)</f>
        <v/>
      </c>
      <c r="M35" s="288" t="str">
        <f>IF('Inputs_BY INM'!H124=0,"",'Inputs_BY INM'!H124)</f>
        <v/>
      </c>
      <c r="N35" s="288" t="str">
        <f>IF('Inputs_BY INM'!I124=0,"",'Inputs_BY INM'!I124)</f>
        <v/>
      </c>
      <c r="O35" s="288" t="str">
        <f>IF('Inputs_BY INM'!J124=0,"",'Inputs_BY INM'!J124)</f>
        <v/>
      </c>
      <c r="P35" s="288" t="str">
        <f>IF('Inputs_BY INM'!K124=0,"",'Inputs_BY INM'!K124)</f>
        <v/>
      </c>
      <c r="Q35" s="288" t="str">
        <f>IF('Inputs_BY INM'!L124=0,"",'Inputs_BY INM'!L124)</f>
        <v/>
      </c>
      <c r="R35" s="288">
        <f>IF('Inputs_BY INM'!M124=0,"",'Inputs_BY INM'!M124)</f>
        <v>4.2957740022472948E-3</v>
      </c>
      <c r="S35" s="288" t="str">
        <f>IF('Inputs_BY INM'!N124=0,"",'Inputs_BY INM'!N124)</f>
        <v/>
      </c>
      <c r="T35" s="288" t="str">
        <f>IF('Inputs_BY INM'!O124=0,"",'Inputs_BY INM'!O124)</f>
        <v/>
      </c>
      <c r="U35" s="288" t="str">
        <f>IF('Inputs_BY INM'!P124=0,"",'Inputs_BY INM'!P124)</f>
        <v/>
      </c>
      <c r="V35" s="288" t="str">
        <f>IF('Inputs_BY INM'!Q124=0,"",'Inputs_BY INM'!Q124)</f>
        <v/>
      </c>
      <c r="W35" s="288" t="str">
        <f>IF('Inputs_BY INM'!R124=0,"",'Inputs_BY INM'!R124)</f>
        <v/>
      </c>
      <c r="X35" s="288">
        <f>IF('Inputs_BY INM'!S124=0,"",'Inputs_BY INM'!S124)</f>
        <v>2.6138921211401631E-5</v>
      </c>
      <c r="Y35" s="288">
        <f>IF('Inputs_BY INM'!T124=0,"",'Inputs_BY INM'!T124)</f>
        <v>5.8677523793793269E-4</v>
      </c>
      <c r="Z35" s="288">
        <f>IF('Inputs_BY INM'!U124=0,"",'Inputs_BY INM'!U124)</f>
        <v>4.0763791220243002E-3</v>
      </c>
      <c r="AA35" s="288">
        <f>IF('Inputs_BY INM'!V124=0,"",'Inputs_BY INM'!V124)</f>
        <v>1.9378524922327625E-3</v>
      </c>
      <c r="AB35" s="288" t="str">
        <f>IF('Inputs_BY INM'!W124=0,"",'Inputs_BY INM'!W124)</f>
        <v/>
      </c>
      <c r="AC35" s="288" t="str">
        <f>IF('Inputs_BY INM'!X124=0,"",'Inputs_BY INM'!X124)</f>
        <v/>
      </c>
      <c r="AD35" s="288" t="str">
        <f>IF('Inputs_BY INM'!Y124=0,"",'Inputs_BY INM'!Y124)</f>
        <v/>
      </c>
      <c r="AE35" s="288" t="str">
        <f>IF('Inputs_BY INM'!Z124=0,"",'Inputs_BY INM'!Z124)</f>
        <v/>
      </c>
      <c r="AF35" s="288" t="str">
        <f>IF('Inputs_BY INM'!AA124=0,"",'Inputs_BY INM'!AA124)</f>
        <v/>
      </c>
      <c r="AG35" s="288" t="str">
        <f>IF('Inputs_BY INM'!AB124=0,"",'Inputs_BY INM'!AB124)</f>
        <v/>
      </c>
      <c r="AH35" s="288" t="str">
        <f>IF('Inputs_BY INM'!AC124=0,"",'Inputs_BY INM'!AC124)</f>
        <v/>
      </c>
      <c r="AI35" s="288" t="str">
        <f>IF('Inputs_BY INM'!AD124=0,"",'Inputs_BY INM'!AD124)</f>
        <v/>
      </c>
      <c r="AJ35" s="288" t="str">
        <f>IF('Inputs_BY INM'!AE124=0,"",'Inputs_BY INM'!AE124)</f>
        <v/>
      </c>
      <c r="AK35" s="288">
        <f>IF('Inputs_BY INM'!AF124=0,"",'Inputs_BY INM'!AF124)</f>
        <v>1.4953669229140164E-3</v>
      </c>
      <c r="AM35" s="320" t="str">
        <f t="shared" si="3"/>
        <v>INDBLQ</v>
      </c>
      <c r="AN35" s="348">
        <f t="shared" si="4"/>
        <v>1.2197627916529006E-4</v>
      </c>
    </row>
    <row r="36" spans="3:41" x14ac:dyDescent="0.25">
      <c r="C36" s="13" t="str">
        <f>'Inputs_BY INM'!C125</f>
        <v>INDCOA</v>
      </c>
      <c r="G36" s="318"/>
      <c r="H36" s="61" t="s">
        <v>470</v>
      </c>
      <c r="I36" t="s">
        <v>512</v>
      </c>
      <c r="J36" s="288">
        <f>IF('Inputs_BY INM'!E125=0,"",'Inputs_BY INM'!E125)</f>
        <v>2.0667511202526092</v>
      </c>
      <c r="K36" s="288">
        <f>IF('Inputs_BY INM'!F125=0,"",'Inputs_BY INM'!F125)</f>
        <v>1.2817236925796665</v>
      </c>
      <c r="L36" s="288">
        <f>IF('Inputs_BY INM'!G125=0,"",'Inputs_BY INM'!G125)</f>
        <v>1.1015312910495321</v>
      </c>
      <c r="M36" s="288">
        <f>IF('Inputs_BY INM'!H125=0,"",'Inputs_BY INM'!H125)</f>
        <v>2.3303864612524738</v>
      </c>
      <c r="N36" s="288">
        <f>IF('Inputs_BY INM'!I125=0,"",'Inputs_BY INM'!I125)</f>
        <v>0.9238883950845953</v>
      </c>
      <c r="O36" s="288">
        <f>IF('Inputs_BY INM'!J125=0,"",'Inputs_BY INM'!J125)</f>
        <v>1.5334699854394989</v>
      </c>
      <c r="P36" s="288">
        <f>IF('Inputs_BY INM'!K125=0,"",'Inputs_BY INM'!K125)</f>
        <v>2.8375408237193134</v>
      </c>
      <c r="Q36" s="288">
        <f>IF('Inputs_BY INM'!L125=0,"",'Inputs_BY INM'!L125)</f>
        <v>2.9898213085003706</v>
      </c>
      <c r="R36" s="288">
        <f>IF('Inputs_BY INM'!M125=0,"",'Inputs_BY INM'!M125)</f>
        <v>5.836977131123737E-2</v>
      </c>
      <c r="S36" s="288">
        <f>IF('Inputs_BY INM'!N125=0,"",'Inputs_BY INM'!N125)</f>
        <v>0.443444683912948</v>
      </c>
      <c r="T36" s="288">
        <f>IF('Inputs_BY INM'!O125=0,"",'Inputs_BY INM'!O125)</f>
        <v>3.6334075821538192E-2</v>
      </c>
      <c r="U36" s="288">
        <f>IF('Inputs_BY INM'!P125=0,"",'Inputs_BY INM'!P125)</f>
        <v>3.1642721725970349</v>
      </c>
      <c r="V36" s="288">
        <f>IF('Inputs_BY INM'!Q125=0,"",'Inputs_BY INM'!Q125)</f>
        <v>1.8061951755649506</v>
      </c>
      <c r="W36" s="288">
        <f>IF('Inputs_BY INM'!R125=0,"",'Inputs_BY INM'!R125)</f>
        <v>0.74515865830703998</v>
      </c>
      <c r="X36" s="288">
        <f>IF('Inputs_BY INM'!S125=0,"",'Inputs_BY INM'!S125)</f>
        <v>0.52158910331291386</v>
      </c>
      <c r="Y36" s="288">
        <f>IF('Inputs_BY INM'!T125=0,"",'Inputs_BY INM'!T125)</f>
        <v>0.1485568208649361</v>
      </c>
      <c r="Z36" s="288">
        <f>IF('Inputs_BY INM'!U125=0,"",'Inputs_BY INM'!U125)</f>
        <v>0.50968635772310655</v>
      </c>
      <c r="AA36" s="288">
        <f>IF('Inputs_BY INM'!V125=0,"",'Inputs_BY INM'!V125)</f>
        <v>2.8125160564055354</v>
      </c>
      <c r="AB36" s="288">
        <f>IF('Inputs_BY INM'!W125=0,"",'Inputs_BY INM'!W125)</f>
        <v>2.6298892047822466</v>
      </c>
      <c r="AC36" s="288">
        <f>IF('Inputs_BY INM'!X125=0,"",'Inputs_BY INM'!X125)</f>
        <v>1.4555239458074343</v>
      </c>
      <c r="AD36" s="288">
        <f>IF('Inputs_BY INM'!Y125=0,"",'Inputs_BY INM'!Y125)</f>
        <v>1.229844845944668</v>
      </c>
      <c r="AE36" s="288">
        <f>IF('Inputs_BY INM'!Z125=0,"",'Inputs_BY INM'!Z125)</f>
        <v>0.83819222943376681</v>
      </c>
      <c r="AF36" s="288">
        <f>IF('Inputs_BY INM'!AA125=0,"",'Inputs_BY INM'!AA125)</f>
        <v>0.48912553327013636</v>
      </c>
      <c r="AG36" s="288">
        <f>IF('Inputs_BY INM'!AB125=0,"",'Inputs_BY INM'!AB125)</f>
        <v>7.7659952345856695E-2</v>
      </c>
      <c r="AH36" s="288">
        <f>IF('Inputs_BY INM'!AC125=0,"",'Inputs_BY INM'!AC125)</f>
        <v>8.0726639808681167E-2</v>
      </c>
      <c r="AI36" s="288">
        <f>IF('Inputs_BY INM'!AD125=0,"",'Inputs_BY INM'!AD125)</f>
        <v>0.2085940060638207</v>
      </c>
      <c r="AJ36" s="288">
        <f>IF('Inputs_BY INM'!AE125=0,"",'Inputs_BY INM'!AE125)</f>
        <v>2.0014195353456525</v>
      </c>
      <c r="AK36" s="288">
        <f>IF('Inputs_BY INM'!AF125=0,"",'Inputs_BY INM'!AF125)</f>
        <v>1.058873152389576</v>
      </c>
      <c r="AM36" s="320" t="str">
        <f t="shared" si="3"/>
        <v>INDCOA</v>
      </c>
      <c r="AN36" s="348">
        <f>SUM(J36:AK36)/SUM($J$32:$AK$46)</f>
        <v>0.34752403497765588</v>
      </c>
    </row>
    <row r="37" spans="3:41" x14ac:dyDescent="0.25">
      <c r="C37" s="13" t="str">
        <f>'Inputs_BY INM'!C126</f>
        <v>INDCOG</v>
      </c>
      <c r="G37" s="318"/>
      <c r="H37" s="61" t="s">
        <v>470</v>
      </c>
      <c r="I37" t="s">
        <v>512</v>
      </c>
      <c r="J37" s="288" t="str">
        <f>IF('Inputs_BY INM'!E126=0,"",'Inputs_BY INM'!E126)</f>
        <v/>
      </c>
      <c r="K37" s="288" t="str">
        <f>IF('Inputs_BY INM'!F126=0,"",'Inputs_BY INM'!F126)</f>
        <v/>
      </c>
      <c r="L37" s="288" t="str">
        <f>IF('Inputs_BY INM'!G126=0,"",'Inputs_BY INM'!G126)</f>
        <v/>
      </c>
      <c r="M37" s="288" t="str">
        <f>IF('Inputs_BY INM'!H126=0,"",'Inputs_BY INM'!H126)</f>
        <v/>
      </c>
      <c r="N37" s="288" t="str">
        <f>IF('Inputs_BY INM'!I126=0,"",'Inputs_BY INM'!I126)</f>
        <v/>
      </c>
      <c r="O37" s="288" t="str">
        <f>IF('Inputs_BY INM'!J126=0,"",'Inputs_BY INM'!J126)</f>
        <v/>
      </c>
      <c r="P37" s="288" t="str">
        <f>IF('Inputs_BY INM'!K126=0,"",'Inputs_BY INM'!K126)</f>
        <v/>
      </c>
      <c r="Q37" s="288" t="str">
        <f>IF('Inputs_BY INM'!L126=0,"",'Inputs_BY INM'!L126)</f>
        <v/>
      </c>
      <c r="R37" s="288" t="str">
        <f>IF('Inputs_BY INM'!M126=0,"",'Inputs_BY INM'!M126)</f>
        <v/>
      </c>
      <c r="S37" s="288" t="str">
        <f>IF('Inputs_BY INM'!N126=0,"",'Inputs_BY INM'!N126)</f>
        <v/>
      </c>
      <c r="T37" s="288" t="str">
        <f>IF('Inputs_BY INM'!O126=0,"",'Inputs_BY INM'!O126)</f>
        <v/>
      </c>
      <c r="U37" s="288" t="str">
        <f>IF('Inputs_BY INM'!P126=0,"",'Inputs_BY INM'!P126)</f>
        <v/>
      </c>
      <c r="V37" s="288" t="str">
        <f>IF('Inputs_BY INM'!Q126=0,"",'Inputs_BY INM'!Q126)</f>
        <v/>
      </c>
      <c r="W37" s="288" t="str">
        <f>IF('Inputs_BY INM'!R126=0,"",'Inputs_BY INM'!R126)</f>
        <v/>
      </c>
      <c r="X37" s="288">
        <f>IF('Inputs_BY INM'!S126=0,"",'Inputs_BY INM'!S126)</f>
        <v>3.4372681392993147E-2</v>
      </c>
      <c r="Y37" s="288" t="str">
        <f>IF('Inputs_BY INM'!T126=0,"",'Inputs_BY INM'!T126)</f>
        <v/>
      </c>
      <c r="Z37" s="288">
        <f>IF('Inputs_BY INM'!U126=0,"",'Inputs_BY INM'!U126)</f>
        <v>3.3305870326539457E-2</v>
      </c>
      <c r="AA37" s="288" t="str">
        <f>IF('Inputs_BY INM'!V126=0,"",'Inputs_BY INM'!V126)</f>
        <v/>
      </c>
      <c r="AB37" s="288" t="str">
        <f>IF('Inputs_BY INM'!W126=0,"",'Inputs_BY INM'!W126)</f>
        <v/>
      </c>
      <c r="AC37" s="288">
        <f>IF('Inputs_BY INM'!X126=0,"",'Inputs_BY INM'!X126)</f>
        <v>7.3396546880534305E-2</v>
      </c>
      <c r="AD37" s="288" t="str">
        <f>IF('Inputs_BY INM'!Y126=0,"",'Inputs_BY INM'!Y126)</f>
        <v/>
      </c>
      <c r="AE37" s="288" t="str">
        <f>IF('Inputs_BY INM'!Z126=0,"",'Inputs_BY INM'!Z126)</f>
        <v/>
      </c>
      <c r="AF37" s="288" t="str">
        <f>IF('Inputs_BY INM'!AA126=0,"",'Inputs_BY INM'!AA126)</f>
        <v/>
      </c>
      <c r="AG37" s="288" t="str">
        <f>IF('Inputs_BY INM'!AB126=0,"",'Inputs_BY INM'!AB126)</f>
        <v/>
      </c>
      <c r="AH37" s="288" t="str">
        <f>IF('Inputs_BY INM'!AC126=0,"",'Inputs_BY INM'!AC126)</f>
        <v/>
      </c>
      <c r="AI37" s="288">
        <f>IF('Inputs_BY INM'!AD126=0,"",'Inputs_BY INM'!AD126)</f>
        <v>6.7063276513777284E-3</v>
      </c>
      <c r="AJ37" s="288" t="str">
        <f>IF('Inputs_BY INM'!AE126=0,"",'Inputs_BY INM'!AE126)</f>
        <v/>
      </c>
      <c r="AK37" s="288" t="str">
        <f>IF('Inputs_BY INM'!AF126=0,"",'Inputs_BY INM'!AF126)</f>
        <v/>
      </c>
      <c r="AM37" s="320" t="str">
        <f t="shared" si="3"/>
        <v>INDCOG</v>
      </c>
      <c r="AN37" s="348">
        <f t="shared" si="4"/>
        <v>1.4515551896518858E-3</v>
      </c>
    </row>
    <row r="38" spans="3:41" x14ac:dyDescent="0.25">
      <c r="C38" s="13" t="str">
        <f>'Inputs_BY INM'!C127</f>
        <v>INDCOK</v>
      </c>
      <c r="G38" s="318"/>
      <c r="H38" s="61" t="s">
        <v>470</v>
      </c>
      <c r="I38" t="s">
        <v>512</v>
      </c>
      <c r="J38" s="288" t="str">
        <f>IF('Inputs_BY INM'!E127=0,"",'Inputs_BY INM'!E127)</f>
        <v/>
      </c>
      <c r="K38" s="288" t="str">
        <f>IF('Inputs_BY INM'!F127=0,"",'Inputs_BY INM'!F127)</f>
        <v/>
      </c>
      <c r="L38" s="288" t="str">
        <f>IF('Inputs_BY INM'!G127=0,"",'Inputs_BY INM'!G127)</f>
        <v/>
      </c>
      <c r="M38" s="288" t="str">
        <f>IF('Inputs_BY INM'!H127=0,"",'Inputs_BY INM'!H127)</f>
        <v/>
      </c>
      <c r="N38" s="288">
        <f>IF('Inputs_BY INM'!I127=0,"",'Inputs_BY INM'!I127)</f>
        <v>4.5852647704212254E-3</v>
      </c>
      <c r="O38" s="288">
        <f>IF('Inputs_BY INM'!J127=0,"",'Inputs_BY INM'!J127)</f>
        <v>6.8294589902160464E-3</v>
      </c>
      <c r="P38" s="288" t="str">
        <f>IF('Inputs_BY INM'!K127=0,"",'Inputs_BY INM'!K127)</f>
        <v/>
      </c>
      <c r="Q38" s="288" t="str">
        <f>IF('Inputs_BY INM'!L127=0,"",'Inputs_BY INM'!L127)</f>
        <v/>
      </c>
      <c r="R38" s="288">
        <f>IF('Inputs_BY INM'!M127=0,"",'Inputs_BY INM'!M127)</f>
        <v>3.538361217640535E-2</v>
      </c>
      <c r="S38" s="288">
        <f>IF('Inputs_BY INM'!N127=0,"",'Inputs_BY INM'!N127)</f>
        <v>3.177629918895724E-2</v>
      </c>
      <c r="T38" s="288" t="str">
        <f>IF('Inputs_BY INM'!O127=0,"",'Inputs_BY INM'!O127)</f>
        <v/>
      </c>
      <c r="U38" s="288" t="str">
        <f>IF('Inputs_BY INM'!P127=0,"",'Inputs_BY INM'!P127)</f>
        <v/>
      </c>
      <c r="V38" s="288">
        <f>IF('Inputs_BY INM'!Q127=0,"",'Inputs_BY INM'!Q127)</f>
        <v>1.9656588730471249E-2</v>
      </c>
      <c r="W38" s="288">
        <f>IF('Inputs_BY INM'!R127=0,"",'Inputs_BY INM'!R127)</f>
        <v>2.3300252178099973E-2</v>
      </c>
      <c r="X38" s="288">
        <f>IF('Inputs_BY INM'!S127=0,"",'Inputs_BY INM'!S127)</f>
        <v>9.687084200945445E-2</v>
      </c>
      <c r="Y38" s="288">
        <f>IF('Inputs_BY INM'!T127=0,"",'Inputs_BY INM'!T127)</f>
        <v>1.3525169234469349E-2</v>
      </c>
      <c r="Z38" s="288">
        <f>IF('Inputs_BY INM'!U127=0,"",'Inputs_BY INM'!U127)</f>
        <v>0.27925976335267838</v>
      </c>
      <c r="AA38" s="288" t="str">
        <f>IF('Inputs_BY INM'!V127=0,"",'Inputs_BY INM'!V127)</f>
        <v/>
      </c>
      <c r="AB38" s="288" t="str">
        <f>IF('Inputs_BY INM'!W127=0,"",'Inputs_BY INM'!W127)</f>
        <v/>
      </c>
      <c r="AC38" s="288">
        <f>IF('Inputs_BY INM'!X127=0,"",'Inputs_BY INM'!X127)</f>
        <v>6.3333097973452129E-2</v>
      </c>
      <c r="AD38" s="288">
        <f>IF('Inputs_BY INM'!Y127=0,"",'Inputs_BY INM'!Y127)</f>
        <v>3.4846765117696648E-3</v>
      </c>
      <c r="AE38" s="288">
        <f>IF('Inputs_BY INM'!Z127=0,"",'Inputs_BY INM'!Z127)</f>
        <v>2.6374841502289692E-2</v>
      </c>
      <c r="AF38" s="288" t="str">
        <f>IF('Inputs_BY INM'!AA127=0,"",'Inputs_BY INM'!AA127)</f>
        <v/>
      </c>
      <c r="AG38" s="288" t="str">
        <f>IF('Inputs_BY INM'!AB127=0,"",'Inputs_BY INM'!AB127)</f>
        <v/>
      </c>
      <c r="AH38" s="288" t="str">
        <f>IF('Inputs_BY INM'!AC127=0,"",'Inputs_BY INM'!AC127)</f>
        <v/>
      </c>
      <c r="AI38" s="288">
        <f>IF('Inputs_BY INM'!AD127=0,"",'Inputs_BY INM'!AD127)</f>
        <v>1.6901899658310987E-2</v>
      </c>
      <c r="AJ38" s="288" t="str">
        <f>IF('Inputs_BY INM'!AE127=0,"",'Inputs_BY INM'!AE127)</f>
        <v/>
      </c>
      <c r="AK38" s="288" t="str">
        <f>IF('Inputs_BY INM'!AF127=0,"",'Inputs_BY INM'!AF127)</f>
        <v/>
      </c>
      <c r="AM38" s="320" t="str">
        <f t="shared" si="3"/>
        <v>INDCOK</v>
      </c>
      <c r="AN38" s="348">
        <f t="shared" si="4"/>
        <v>6.1024229833933352E-3</v>
      </c>
    </row>
    <row r="39" spans="3:41" x14ac:dyDescent="0.25">
      <c r="C39" s="13" t="str">
        <f>'Inputs_BY INM'!C128</f>
        <v>INDELC</v>
      </c>
      <c r="G39" s="318"/>
      <c r="H39" s="61" t="s">
        <v>470</v>
      </c>
      <c r="I39" t="s">
        <v>512</v>
      </c>
      <c r="J39" s="629">
        <f>IF('Inputs_BY INM'!E128=0,"",'Inputs_BY INM'!E128)</f>
        <v>0.14519313797063918</v>
      </c>
      <c r="K39" s="629">
        <f>IF('Inputs_BY INM'!F128=0,"",'Inputs_BY INM'!F128)</f>
        <v>0.14725799517916055</v>
      </c>
      <c r="L39" s="629">
        <f>IF('Inputs_BY INM'!G128=0,"",'Inputs_BY INM'!G128)</f>
        <v>0.27239753866668504</v>
      </c>
      <c r="M39" s="629">
        <f>IF('Inputs_BY INM'!H128=0,"",'Inputs_BY INM'!H128)</f>
        <v>0.1541476771483816</v>
      </c>
      <c r="N39" s="629">
        <f>IF('Inputs_BY INM'!I128=0,"",'Inputs_BY INM'!I128)</f>
        <v>0.20275890396558019</v>
      </c>
      <c r="O39" s="629">
        <f>IF('Inputs_BY INM'!J128=0,"",'Inputs_BY INM'!J128)</f>
        <v>0.15955554939312042</v>
      </c>
      <c r="P39" s="629">
        <f>IF('Inputs_BY INM'!K128=0,"",'Inputs_BY INM'!K128)</f>
        <v>0.12841925980580685</v>
      </c>
      <c r="Q39" s="629">
        <f>IF('Inputs_BY INM'!L128=0,"",'Inputs_BY INM'!L128)</f>
        <v>0.25354368385015075</v>
      </c>
      <c r="R39" s="629">
        <f>IF('Inputs_BY INM'!M128=0,"",'Inputs_BY INM'!M128)</f>
        <v>0.18897521212611013</v>
      </c>
      <c r="S39" s="629">
        <f>IF('Inputs_BY INM'!N128=0,"",'Inputs_BY INM'!N128)</f>
        <v>0.15185781836448894</v>
      </c>
      <c r="T39" s="629">
        <f>IF('Inputs_BY INM'!O128=0,"",'Inputs_BY INM'!O128)</f>
        <v>0.38303614460525787</v>
      </c>
      <c r="U39" s="629">
        <f>IF('Inputs_BY INM'!P128=0,"",'Inputs_BY INM'!P128)</f>
        <v>0.18971228111651009</v>
      </c>
      <c r="V39" s="629">
        <f>IF('Inputs_BY INM'!Q128=0,"",'Inputs_BY INM'!Q128)</f>
        <v>0.16075399331919532</v>
      </c>
      <c r="W39" s="629">
        <f>IF('Inputs_BY INM'!R128=0,"",'Inputs_BY INM'!R128)</f>
        <v>0.13559023311212418</v>
      </c>
      <c r="X39" s="629">
        <f>IF('Inputs_BY INM'!S128=0,"",'Inputs_BY INM'!S128)</f>
        <v>0.17381050939899101</v>
      </c>
      <c r="Y39" s="629">
        <f>IF('Inputs_BY INM'!T128=0,"",'Inputs_BY INM'!T128)</f>
        <v>0.15046651533863936</v>
      </c>
      <c r="Z39" s="629">
        <f>IF('Inputs_BY INM'!U128=0,"",'Inputs_BY INM'!U128)</f>
        <v>0.18149833349618838</v>
      </c>
      <c r="AA39" s="629">
        <f>IF('Inputs_BY INM'!V128=0,"",'Inputs_BY INM'!V128)</f>
        <v>0.12288651538119487</v>
      </c>
      <c r="AB39" s="629">
        <f>IF('Inputs_BY INM'!W128=0,"",'Inputs_BY INM'!W128)</f>
        <v>0.14041773752519104</v>
      </c>
      <c r="AC39" s="629">
        <f>IF('Inputs_BY INM'!X128=0,"",'Inputs_BY INM'!X128)</f>
        <v>0.11568495922304028</v>
      </c>
      <c r="AD39" s="629">
        <f>IF('Inputs_BY INM'!Y128=0,"",'Inputs_BY INM'!Y128)</f>
        <v>0.15924670528752308</v>
      </c>
      <c r="AE39" s="629">
        <f>IF('Inputs_BY INM'!Z128=0,"",'Inputs_BY INM'!Z128)</f>
        <v>0.14229082339577726</v>
      </c>
      <c r="AF39" s="629">
        <f>IF('Inputs_BY INM'!AA128=0,"",'Inputs_BY INM'!AA128)</f>
        <v>0.12870914700790848</v>
      </c>
      <c r="AG39" s="629">
        <f>IF('Inputs_BY INM'!AB128=0,"",'Inputs_BY INM'!AB128)</f>
        <v>0.14032774401548881</v>
      </c>
      <c r="AH39" s="629">
        <f>IF('Inputs_BY INM'!AC128=0,"",'Inputs_BY INM'!AC128)</f>
        <v>0.16566793910469005</v>
      </c>
      <c r="AI39" s="629">
        <f>IF('Inputs_BY INM'!AD128=0,"",'Inputs_BY INM'!AD128)</f>
        <v>0.18518223839461032</v>
      </c>
      <c r="AJ39" s="629">
        <f>IF('Inputs_BY INM'!AE128=0,"",'Inputs_BY INM'!AE128)</f>
        <v>0.11758780518433254</v>
      </c>
      <c r="AK39" s="629">
        <f>IF('Inputs_BY INM'!AF128=0,"",'Inputs_BY INM'!AF128)</f>
        <v>0.16626267351893279</v>
      </c>
      <c r="AM39" s="320" t="str">
        <f t="shared" si="3"/>
        <v>INDELC</v>
      </c>
      <c r="AN39" s="348">
        <f t="shared" si="4"/>
        <v>4.6786017526677784E-2</v>
      </c>
      <c r="AO39" s="462"/>
    </row>
    <row r="40" spans="3:41" x14ac:dyDescent="0.25">
      <c r="C40" s="13" t="str">
        <f>'Inputs_BY INM'!C129</f>
        <v>INDGAS</v>
      </c>
      <c r="G40" s="318"/>
      <c r="H40" s="61" t="s">
        <v>470</v>
      </c>
      <c r="I40" t="s">
        <v>512</v>
      </c>
      <c r="J40" s="288">
        <f>IF('Inputs_BY INM'!E129=0,"",'Inputs_BY INM'!E129)</f>
        <v>0.13336773358306697</v>
      </c>
      <c r="K40" s="288">
        <f>IF('Inputs_BY INM'!F129=0,"",'Inputs_BY INM'!F129)</f>
        <v>0.8209905201513007</v>
      </c>
      <c r="L40" s="288" t="str">
        <f>IF('Inputs_BY INM'!G129=0,"",'Inputs_BY INM'!G129)</f>
        <v/>
      </c>
      <c r="M40" s="288">
        <f>IF('Inputs_BY INM'!H129=0,"",'Inputs_BY INM'!H129)</f>
        <v>0.8946978850384194</v>
      </c>
      <c r="N40" s="288">
        <f>IF('Inputs_BY INM'!I129=0,"",'Inputs_BY INM'!I129)</f>
        <v>2.0417165074958956</v>
      </c>
      <c r="O40" s="288">
        <f>IF('Inputs_BY INM'!J129=0,"",'Inputs_BY INM'!J129)</f>
        <v>1.6954064458438705</v>
      </c>
      <c r="P40" s="288">
        <f>IF('Inputs_BY INM'!K129=0,"",'Inputs_BY INM'!K129)</f>
        <v>0.28646879765234068</v>
      </c>
      <c r="Q40" s="288" t="str">
        <f>IF('Inputs_BY INM'!L129=0,"",'Inputs_BY INM'!L129)</f>
        <v/>
      </c>
      <c r="R40" s="288">
        <f>IF('Inputs_BY INM'!M129=0,"",'Inputs_BY INM'!M129)</f>
        <v>0.93595118129665178</v>
      </c>
      <c r="S40" s="288">
        <f>IF('Inputs_BY INM'!N129=0,"",'Inputs_BY INM'!N129)</f>
        <v>1.6811131695198331</v>
      </c>
      <c r="T40" s="288">
        <f>IF('Inputs_BY INM'!O129=0,"",'Inputs_BY INM'!O129)</f>
        <v>0.13432597727962603</v>
      </c>
      <c r="U40" s="288" t="str">
        <f>IF('Inputs_BY INM'!P129=0,"",'Inputs_BY INM'!P129)</f>
        <v/>
      </c>
      <c r="V40" s="288">
        <f>IF('Inputs_BY INM'!Q129=0,"",'Inputs_BY INM'!Q129)</f>
        <v>1.0668469667829266</v>
      </c>
      <c r="W40" s="288">
        <f>IF('Inputs_BY INM'!R129=0,"",'Inputs_BY INM'!R129)</f>
        <v>1.790212995612622</v>
      </c>
      <c r="X40" s="288">
        <f>IF('Inputs_BY INM'!S129=0,"",'Inputs_BY INM'!S129)</f>
        <v>1.4897355366014131</v>
      </c>
      <c r="Y40" s="288">
        <f>IF('Inputs_BY INM'!T129=0,"",'Inputs_BY INM'!T129)</f>
        <v>1.8353962708174825</v>
      </c>
      <c r="Z40" s="288">
        <f>IF('Inputs_BY INM'!U129=0,"",'Inputs_BY INM'!U129)</f>
        <v>1.5771418178131973</v>
      </c>
      <c r="AA40" s="288">
        <f>IF('Inputs_BY INM'!V129=0,"",'Inputs_BY INM'!V129)</f>
        <v>0.33035771058063279</v>
      </c>
      <c r="AB40" s="288" t="str">
        <f>IF('Inputs_BY INM'!W129=0,"",'Inputs_BY INM'!W129)</f>
        <v/>
      </c>
      <c r="AC40" s="288">
        <f>IF('Inputs_BY INM'!X129=0,"",'Inputs_BY INM'!X129)</f>
        <v>0.36870592770867883</v>
      </c>
      <c r="AD40" s="288">
        <f>IF('Inputs_BY INM'!Y129=0,"",'Inputs_BY INM'!Y129)</f>
        <v>1.0809515043599121</v>
      </c>
      <c r="AE40" s="288">
        <f>IF('Inputs_BY INM'!Z129=0,"",'Inputs_BY INM'!Z129)</f>
        <v>0.73970980886191495</v>
      </c>
      <c r="AF40" s="288">
        <f>IF('Inputs_BY INM'!AA129=0,"",'Inputs_BY INM'!AA129)</f>
        <v>2.9170468926683286</v>
      </c>
      <c r="AG40" s="288">
        <f>IF('Inputs_BY INM'!AB129=0,"",'Inputs_BY INM'!AB129)</f>
        <v>0.88956772692956132</v>
      </c>
      <c r="AH40" s="288">
        <f>IF('Inputs_BY INM'!AC129=0,"",'Inputs_BY INM'!AC129)</f>
        <v>2.3278120502908477</v>
      </c>
      <c r="AI40" s="288">
        <f>IF('Inputs_BY INM'!AD129=0,"",'Inputs_BY INM'!AD129)</f>
        <v>2.3692527453318939</v>
      </c>
      <c r="AJ40" s="288">
        <f>IF('Inputs_BY INM'!AE129=0,"",'Inputs_BY INM'!AE129)</f>
        <v>0.53011123833557161</v>
      </c>
      <c r="AK40" s="288">
        <f>IF('Inputs_BY INM'!AF129=0,"",'Inputs_BY INM'!AF129)</f>
        <v>2.1849008779473791</v>
      </c>
      <c r="AM40" s="320" t="str">
        <f t="shared" si="3"/>
        <v>INDGAS</v>
      </c>
      <c r="AN40" s="348">
        <f>SUM(J40:AK40)/SUM($J$32:$AK$46)</f>
        <v>0.29586558487653675</v>
      </c>
    </row>
    <row r="41" spans="3:41" x14ac:dyDescent="0.25">
      <c r="C41" s="13" t="str">
        <f>'Inputs_BY INM'!C130</f>
        <v>INDHET</v>
      </c>
      <c r="G41" s="318"/>
      <c r="H41" s="61" t="s">
        <v>470</v>
      </c>
      <c r="I41" t="s">
        <v>512</v>
      </c>
      <c r="J41" s="288" t="str">
        <f>IF('Inputs_BY INM'!E130=0,"",'Inputs_BY INM'!E130)</f>
        <v/>
      </c>
      <c r="K41" s="288" t="str">
        <f>IF('Inputs_BY INM'!F130=0,"",'Inputs_BY INM'!F130)</f>
        <v/>
      </c>
      <c r="L41" s="288" t="str">
        <f>IF('Inputs_BY INM'!G130=0,"",'Inputs_BY INM'!G130)</f>
        <v/>
      </c>
      <c r="M41" s="288" t="str">
        <f>IF('Inputs_BY INM'!H130=0,"",'Inputs_BY INM'!H130)</f>
        <v/>
      </c>
      <c r="N41" s="288" t="str">
        <f>IF('Inputs_BY INM'!I130=0,"",'Inputs_BY INM'!I130)</f>
        <v/>
      </c>
      <c r="O41" s="288">
        <f>IF('Inputs_BY INM'!J130=0,"",'Inputs_BY INM'!J130)</f>
        <v>5.9197642551556476E-2</v>
      </c>
      <c r="P41" s="288" t="str">
        <f>IF('Inputs_BY INM'!K130=0,"",'Inputs_BY INM'!K130)</f>
        <v/>
      </c>
      <c r="Q41" s="288" t="str">
        <f>IF('Inputs_BY INM'!L130=0,"",'Inputs_BY INM'!L130)</f>
        <v/>
      </c>
      <c r="R41" s="288" t="str">
        <f>IF('Inputs_BY INM'!M130=0,"",'Inputs_BY INM'!M130)</f>
        <v/>
      </c>
      <c r="S41" s="288" t="str">
        <f>IF('Inputs_BY INM'!N130=0,"",'Inputs_BY INM'!N130)</f>
        <v/>
      </c>
      <c r="T41" s="288" t="str">
        <f>IF('Inputs_BY INM'!O130=0,"",'Inputs_BY INM'!O130)</f>
        <v/>
      </c>
      <c r="U41" s="288" t="str">
        <f>IF('Inputs_BY INM'!P130=0,"",'Inputs_BY INM'!P130)</f>
        <v/>
      </c>
      <c r="V41" s="288">
        <f>IF('Inputs_BY INM'!Q130=0,"",'Inputs_BY INM'!Q130)</f>
        <v>0.16491544782344522</v>
      </c>
      <c r="W41" s="288">
        <f>IF('Inputs_BY INM'!R130=0,"",'Inputs_BY INM'!R130)</f>
        <v>1.2445238552100876E-3</v>
      </c>
      <c r="X41" s="288">
        <f>IF('Inputs_BY INM'!S130=0,"",'Inputs_BY INM'!S130)</f>
        <v>2.8648257647696192E-2</v>
      </c>
      <c r="Y41" s="288">
        <f>IF('Inputs_BY INM'!T130=0,"",'Inputs_BY INM'!T130)</f>
        <v>5.4196027914042308E-2</v>
      </c>
      <c r="Z41" s="288">
        <f>IF('Inputs_BY INM'!U130=0,"",'Inputs_BY INM'!U130)</f>
        <v>1.9640735769753448E-2</v>
      </c>
      <c r="AA41" s="288" t="str">
        <f>IF('Inputs_BY INM'!V130=0,"",'Inputs_BY INM'!V130)</f>
        <v/>
      </c>
      <c r="AB41" s="288" t="str">
        <f>IF('Inputs_BY INM'!W130=0,"",'Inputs_BY INM'!W130)</f>
        <v/>
      </c>
      <c r="AC41" s="288" t="str">
        <f>IF('Inputs_BY INM'!X130=0,"",'Inputs_BY INM'!X130)</f>
        <v/>
      </c>
      <c r="AD41" s="288" t="str">
        <f>IF('Inputs_BY INM'!Y130=0,"",'Inputs_BY INM'!Y130)</f>
        <v/>
      </c>
      <c r="AE41" s="288" t="str">
        <f>IF('Inputs_BY INM'!Z130=0,"",'Inputs_BY INM'!Z130)</f>
        <v/>
      </c>
      <c r="AF41" s="288" t="str">
        <f>IF('Inputs_BY INM'!AA130=0,"",'Inputs_BY INM'!AA130)</f>
        <v/>
      </c>
      <c r="AG41" s="288" t="str">
        <f>IF('Inputs_BY INM'!AB130=0,"",'Inputs_BY INM'!AB130)</f>
        <v/>
      </c>
      <c r="AH41" s="288" t="str">
        <f>IF('Inputs_BY INM'!AC130=0,"",'Inputs_BY INM'!AC130)</f>
        <v/>
      </c>
      <c r="AI41" s="288">
        <f>IF('Inputs_BY INM'!AD130=0,"",'Inputs_BY INM'!AD130)</f>
        <v>0.61844064806737331</v>
      </c>
      <c r="AJ41" s="288">
        <f>IF('Inputs_BY INM'!AE130=0,"",'Inputs_BY INM'!AE130)</f>
        <v>2.5333616064388185E-3</v>
      </c>
      <c r="AK41" s="288">
        <f>IF('Inputs_BY INM'!AF130=0,"",'Inputs_BY INM'!AF130)</f>
        <v>8.1615264290911505E-4</v>
      </c>
      <c r="AM41" s="320" t="str">
        <f t="shared" si="3"/>
        <v>INDHET</v>
      </c>
      <c r="AN41" s="348">
        <f t="shared" si="4"/>
        <v>9.3275890684577367E-3</v>
      </c>
    </row>
    <row r="42" spans="3:41" x14ac:dyDescent="0.25">
      <c r="C42" s="13" t="str">
        <f>'Inputs_BY INM'!C131</f>
        <v>INDLPG</v>
      </c>
      <c r="G42" s="318"/>
      <c r="H42" s="61" t="s">
        <v>470</v>
      </c>
      <c r="I42" t="s">
        <v>512</v>
      </c>
      <c r="J42" s="288" t="str">
        <f>IF('Inputs_BY INM'!E131=0,"",'Inputs_BY INM'!E131)</f>
        <v/>
      </c>
      <c r="K42" s="288">
        <f>IF('Inputs_BY INM'!F131=0,"",'Inputs_BY INM'!F131)</f>
        <v>5.1535754851490291E-2</v>
      </c>
      <c r="L42" s="288" t="str">
        <f>IF('Inputs_BY INM'!G131=0,"",'Inputs_BY INM'!G131)</f>
        <v/>
      </c>
      <c r="M42" s="288" t="str">
        <f>IF('Inputs_BY INM'!H131=0,"",'Inputs_BY INM'!H131)</f>
        <v/>
      </c>
      <c r="N42" s="288">
        <f>IF('Inputs_BY INM'!I131=0,"",'Inputs_BY INM'!I131)</f>
        <v>0.17746672907741409</v>
      </c>
      <c r="O42" s="288">
        <f>IF('Inputs_BY INM'!J131=0,"",'Inputs_BY INM'!J131)</f>
        <v>1.5818430704611079E-2</v>
      </c>
      <c r="P42" s="288">
        <f>IF('Inputs_BY INM'!K131=0,"",'Inputs_BY INM'!K131)</f>
        <v>2.3803219434969561E-2</v>
      </c>
      <c r="Q42" s="288" t="str">
        <f>IF('Inputs_BY INM'!L131=0,"",'Inputs_BY INM'!L131)</f>
        <v/>
      </c>
      <c r="R42" s="288">
        <f>IF('Inputs_BY INM'!M131=0,"",'Inputs_BY INM'!M131)</f>
        <v>0.13392263863146389</v>
      </c>
      <c r="S42" s="288" t="str">
        <f>IF('Inputs_BY INM'!N131=0,"",'Inputs_BY INM'!N131)</f>
        <v/>
      </c>
      <c r="T42" s="288">
        <f>IF('Inputs_BY INM'!O131=0,"",'Inputs_BY INM'!O131)</f>
        <v>2.0552608545516552E-2</v>
      </c>
      <c r="U42" s="288">
        <f>IF('Inputs_BY INM'!P131=0,"",'Inputs_BY INM'!P131)</f>
        <v>1.8684138805880816E-2</v>
      </c>
      <c r="V42" s="288">
        <f>IF('Inputs_BY INM'!Q131=0,"",'Inputs_BY INM'!Q131)</f>
        <v>3.0378364401637388E-2</v>
      </c>
      <c r="W42" s="288">
        <f>IF('Inputs_BY INM'!R131=0,"",'Inputs_BY INM'!R131)</f>
        <v>5.330710513149875E-2</v>
      </c>
      <c r="X42" s="288">
        <f>IF('Inputs_BY INM'!S131=0,"",'Inputs_BY INM'!S131)</f>
        <v>1.3252433054180628E-2</v>
      </c>
      <c r="Y42" s="288">
        <f>IF('Inputs_BY INM'!T131=0,"",'Inputs_BY INM'!T131)</f>
        <v>4.1433666488892275E-2</v>
      </c>
      <c r="Z42" s="288">
        <f>IF('Inputs_BY INM'!U131=0,"",'Inputs_BY INM'!U131)</f>
        <v>2.4393423246113599E-2</v>
      </c>
      <c r="AA42" s="288">
        <f>IF('Inputs_BY INM'!V131=0,"",'Inputs_BY INM'!V131)</f>
        <v>0.13546511707608072</v>
      </c>
      <c r="AB42" s="288" t="str">
        <f>IF('Inputs_BY INM'!W131=0,"",'Inputs_BY INM'!W131)</f>
        <v/>
      </c>
      <c r="AC42" s="288">
        <f>IF('Inputs_BY INM'!X131=0,"",'Inputs_BY INM'!X131)</f>
        <v>4.5710574430684936E-2</v>
      </c>
      <c r="AD42" s="288">
        <f>IF('Inputs_BY INM'!Y131=0,"",'Inputs_BY INM'!Y131)</f>
        <v>2.7913385787196356E-2</v>
      </c>
      <c r="AE42" s="288">
        <f>IF('Inputs_BY INM'!Z131=0,"",'Inputs_BY INM'!Z131)</f>
        <v>2.3000636458393401E-3</v>
      </c>
      <c r="AF42" s="288" t="str">
        <f>IF('Inputs_BY INM'!AA131=0,"",'Inputs_BY INM'!AA131)</f>
        <v/>
      </c>
      <c r="AG42" s="288">
        <f>IF('Inputs_BY INM'!AB131=0,"",'Inputs_BY INM'!AB131)</f>
        <v>1.6744119090271422E-3</v>
      </c>
      <c r="AH42" s="288" t="str">
        <f>IF('Inputs_BY INM'!AC131=0,"",'Inputs_BY INM'!AC131)</f>
        <v/>
      </c>
      <c r="AI42" s="288">
        <f>IF('Inputs_BY INM'!AD131=0,"",'Inputs_BY INM'!AD131)</f>
        <v>5.2338665333332961E-3</v>
      </c>
      <c r="AJ42" s="288">
        <f>IF('Inputs_BY INM'!AE131=0,"",'Inputs_BY INM'!AE131)</f>
        <v>1.3752534434953587E-2</v>
      </c>
      <c r="AK42" s="288">
        <f>IF('Inputs_BY INM'!AF131=0,"",'Inputs_BY INM'!AF131)</f>
        <v>3.9273922480928562E-3</v>
      </c>
      <c r="AM42" s="320" t="str">
        <f t="shared" si="3"/>
        <v>INDLPG</v>
      </c>
      <c r="AN42" s="348">
        <f t="shared" si="4"/>
        <v>8.2559067319979383E-3</v>
      </c>
    </row>
    <row r="43" spans="3:41" x14ac:dyDescent="0.25">
      <c r="C43" s="13" t="str">
        <f>'Inputs_BY INM'!C132</f>
        <v>INDOIL</v>
      </c>
      <c r="G43" s="318"/>
      <c r="H43" s="61" t="s">
        <v>470</v>
      </c>
      <c r="I43" t="s">
        <v>512</v>
      </c>
      <c r="J43" s="288">
        <f>IF('Inputs_BY INM'!E132=0,"",'Inputs_BY INM'!E132)</f>
        <v>1.2060535721027872</v>
      </c>
      <c r="K43" s="288">
        <f>IF('Inputs_BY INM'!F132=0,"",'Inputs_BY INM'!F132)</f>
        <v>1.2147614688583135</v>
      </c>
      <c r="L43" s="288">
        <f>IF('Inputs_BY INM'!G132=0,"",'Inputs_BY INM'!G132)</f>
        <v>2.2312215790864323</v>
      </c>
      <c r="M43" s="288">
        <f>IF('Inputs_BY INM'!H132=0,"",'Inputs_BY INM'!H132)</f>
        <v>0.10810719632444406</v>
      </c>
      <c r="N43" s="288">
        <f>IF('Inputs_BY INM'!I132=0,"",'Inputs_BY INM'!I132)</f>
        <v>0.12622214965242873</v>
      </c>
      <c r="O43" s="288">
        <f>IF('Inputs_BY INM'!J132=0,"",'Inputs_BY INM'!J132)</f>
        <v>9.5423468499658978E-2</v>
      </c>
      <c r="P43" s="288">
        <f>IF('Inputs_BY INM'!K132=0,"",'Inputs_BY INM'!K132)</f>
        <v>0.10474037235074612</v>
      </c>
      <c r="Q43" s="288">
        <f>IF('Inputs_BY INM'!L132=0,"",'Inputs_BY INM'!L132)</f>
        <v>0.41635111743809405</v>
      </c>
      <c r="R43" s="288">
        <f>IF('Inputs_BY INM'!M132=0,"",'Inputs_BY INM'!M132)</f>
        <v>2.2521537262483693</v>
      </c>
      <c r="S43" s="288">
        <f>IF('Inputs_BY INM'!N132=0,"",'Inputs_BY INM'!N132)</f>
        <v>0.96720258644076051</v>
      </c>
      <c r="T43" s="288">
        <f>IF('Inputs_BY INM'!O132=0,"",'Inputs_BY INM'!O132)</f>
        <v>3.3394318777795551</v>
      </c>
      <c r="U43" s="288">
        <f>IF('Inputs_BY INM'!P132=0,"",'Inputs_BY INM'!P132)</f>
        <v>0.21598470111982776</v>
      </c>
      <c r="V43" s="288">
        <f>IF('Inputs_BY INM'!Q132=0,"",'Inputs_BY INM'!Q132)</f>
        <v>0.52424637031699051</v>
      </c>
      <c r="W43" s="288">
        <f>IF('Inputs_BY INM'!R132=0,"",'Inputs_BY INM'!R132)</f>
        <v>0.3070516911659999</v>
      </c>
      <c r="X43" s="288">
        <f>IF('Inputs_BY INM'!S132=0,"",'Inputs_BY INM'!S132)</f>
        <v>0.43867644523034793</v>
      </c>
      <c r="Y43" s="288">
        <f>IF('Inputs_BY INM'!T132=0,"",'Inputs_BY INM'!T132)</f>
        <v>1.0727644940695513</v>
      </c>
      <c r="Z43" s="288">
        <f>IF('Inputs_BY INM'!U132=0,"",'Inputs_BY INM'!U132)</f>
        <v>0.40120835058723714</v>
      </c>
      <c r="AA43" s="288">
        <f>IF('Inputs_BY INM'!V132=0,"",'Inputs_BY INM'!V132)</f>
        <v>0.29118540663049913</v>
      </c>
      <c r="AB43" s="288">
        <f>IF('Inputs_BY INM'!W132=0,"",'Inputs_BY INM'!W132)</f>
        <v>0.309398729974382</v>
      </c>
      <c r="AC43" s="288">
        <f>IF('Inputs_BY INM'!X132=0,"",'Inputs_BY INM'!X132)</f>
        <v>0.85353210833149773</v>
      </c>
      <c r="AD43" s="288">
        <f>IF('Inputs_BY INM'!Y132=0,"",'Inputs_BY INM'!Y132)</f>
        <v>1.1535871280982399</v>
      </c>
      <c r="AE43" s="288">
        <f>IF('Inputs_BY INM'!Z132=0,"",'Inputs_BY INM'!Z132)</f>
        <v>1.5527414435911955</v>
      </c>
      <c r="AF43" s="288" t="str">
        <f>IF('Inputs_BY INM'!AA132=0,"",'Inputs_BY INM'!AA132)</f>
        <v/>
      </c>
      <c r="AG43" s="288">
        <f>IF('Inputs_BY INM'!AB132=0,"",'Inputs_BY INM'!AB132)</f>
        <v>2.437270334754019</v>
      </c>
      <c r="AH43" s="288">
        <f>IF('Inputs_BY INM'!AC132=0,"",'Inputs_BY INM'!AC132)</f>
        <v>0.99763373583893489</v>
      </c>
      <c r="AI43" s="288">
        <f>IF('Inputs_BY INM'!AD132=0,"",'Inputs_BY INM'!AD132)</f>
        <v>0.15943055309404328</v>
      </c>
      <c r="AJ43" s="288">
        <f>IF('Inputs_BY INM'!AE132=0,"",'Inputs_BY INM'!AE132)</f>
        <v>0.49017353771641842</v>
      </c>
      <c r="AK43" s="288">
        <f>IF('Inputs_BY INM'!AF132=0,"",'Inputs_BY INM'!AF132)</f>
        <v>0.26593977829449966</v>
      </c>
      <c r="AM43" s="320" t="str">
        <f t="shared" si="3"/>
        <v>INDOIL</v>
      </c>
      <c r="AN43" s="348">
        <f>SUM(J43:AK43)/SUM($J$32:$AK$46)</f>
        <v>0.23114348363458342</v>
      </c>
    </row>
    <row r="44" spans="3:41" x14ac:dyDescent="0.25">
      <c r="C44" s="13" t="str">
        <f>'Inputs_BY INM'!C133</f>
        <v>INDGEO</v>
      </c>
      <c r="G44" s="318"/>
      <c r="H44" s="61" t="s">
        <v>470</v>
      </c>
      <c r="I44" t="s">
        <v>512</v>
      </c>
      <c r="J44" s="288" t="str">
        <f>IF('Inputs_BY INM'!E133=0,"",'Inputs_BY INM'!E133)</f>
        <v/>
      </c>
      <c r="K44" s="288" t="str">
        <f>IF('Inputs_BY INM'!F133=0,"",'Inputs_BY INM'!F133)</f>
        <v/>
      </c>
      <c r="L44" s="288" t="str">
        <f>IF('Inputs_BY INM'!G133=0,"",'Inputs_BY INM'!G133)</f>
        <v/>
      </c>
      <c r="M44" s="288" t="str">
        <f>IF('Inputs_BY INM'!H133=0,"",'Inputs_BY INM'!H133)</f>
        <v/>
      </c>
      <c r="N44" s="288" t="str">
        <f>IF('Inputs_BY INM'!I133=0,"",'Inputs_BY INM'!I133)</f>
        <v/>
      </c>
      <c r="O44" s="288" t="str">
        <f>IF('Inputs_BY INM'!J133=0,"",'Inputs_BY INM'!J133)</f>
        <v/>
      </c>
      <c r="P44" s="288" t="str">
        <f>IF('Inputs_BY INM'!K133=0,"",'Inputs_BY INM'!K133)</f>
        <v/>
      </c>
      <c r="Q44" s="288" t="str">
        <f>IF('Inputs_BY INM'!L133=0,"",'Inputs_BY INM'!L133)</f>
        <v/>
      </c>
      <c r="R44" s="288" t="str">
        <f>IF('Inputs_BY INM'!M133=0,"",'Inputs_BY INM'!M133)</f>
        <v/>
      </c>
      <c r="S44" s="288" t="str">
        <f>IF('Inputs_BY INM'!N133=0,"",'Inputs_BY INM'!N133)</f>
        <v/>
      </c>
      <c r="T44" s="288" t="str">
        <f>IF('Inputs_BY INM'!O133=0,"",'Inputs_BY INM'!O133)</f>
        <v/>
      </c>
      <c r="U44" s="288" t="str">
        <f>IF('Inputs_BY INM'!P133=0,"",'Inputs_BY INM'!P133)</f>
        <v/>
      </c>
      <c r="V44" s="288" t="str">
        <f>IF('Inputs_BY INM'!Q133=0,"",'Inputs_BY INM'!Q133)</f>
        <v/>
      </c>
      <c r="W44" s="288" t="str">
        <f>IF('Inputs_BY INM'!R133=0,"",'Inputs_BY INM'!R133)</f>
        <v/>
      </c>
      <c r="X44" s="288" t="str">
        <f>IF('Inputs_BY INM'!S133=0,"",'Inputs_BY INM'!S133)</f>
        <v/>
      </c>
      <c r="Y44" s="288" t="str">
        <f>IF('Inputs_BY INM'!T133=0,"",'Inputs_BY INM'!T133)</f>
        <v/>
      </c>
      <c r="Z44" s="288" t="str">
        <f>IF('Inputs_BY INM'!U133=0,"",'Inputs_BY INM'!U133)</f>
        <v/>
      </c>
      <c r="AA44" s="288" t="str">
        <f>IF('Inputs_BY INM'!V133=0,"",'Inputs_BY INM'!V133)</f>
        <v/>
      </c>
      <c r="AB44" s="288" t="str">
        <f>IF('Inputs_BY INM'!W133=0,"",'Inputs_BY INM'!W133)</f>
        <v/>
      </c>
      <c r="AC44" s="288" t="str">
        <f>IF('Inputs_BY INM'!X133=0,"",'Inputs_BY INM'!X133)</f>
        <v/>
      </c>
      <c r="AD44" s="288" t="str">
        <f>IF('Inputs_BY INM'!Y133=0,"",'Inputs_BY INM'!Y133)</f>
        <v/>
      </c>
      <c r="AE44" s="288" t="str">
        <f>IF('Inputs_BY INM'!Z133=0,"",'Inputs_BY INM'!Z133)</f>
        <v/>
      </c>
      <c r="AF44" s="288" t="str">
        <f>IF('Inputs_BY INM'!AA133=0,"",'Inputs_BY INM'!AA133)</f>
        <v/>
      </c>
      <c r="AG44" s="288" t="str">
        <f>IF('Inputs_BY INM'!AB133=0,"",'Inputs_BY INM'!AB133)</f>
        <v/>
      </c>
      <c r="AH44" s="288" t="str">
        <f>IF('Inputs_BY INM'!AC133=0,"",'Inputs_BY INM'!AC133)</f>
        <v/>
      </c>
      <c r="AI44" s="288" t="str">
        <f>IF('Inputs_BY INM'!AD133=0,"",'Inputs_BY INM'!AD133)</f>
        <v/>
      </c>
      <c r="AJ44" s="288" t="str">
        <f>IF('Inputs_BY INM'!AE133=0,"",'Inputs_BY INM'!AE133)</f>
        <v/>
      </c>
      <c r="AK44" s="288" t="str">
        <f>IF('Inputs_BY INM'!AF133=0,"",'Inputs_BY INM'!AF133)</f>
        <v/>
      </c>
      <c r="AM44" s="320" t="str">
        <f t="shared" si="3"/>
        <v>INDGEO</v>
      </c>
      <c r="AN44" s="348">
        <f t="shared" si="4"/>
        <v>0</v>
      </c>
    </row>
    <row r="45" spans="3:41" x14ac:dyDescent="0.25">
      <c r="C45" s="13" t="str">
        <f>'Inputs_BY INM'!C134</f>
        <v>INDCSP</v>
      </c>
      <c r="G45" s="318"/>
      <c r="H45" s="61" t="s">
        <v>470</v>
      </c>
      <c r="I45" t="s">
        <v>512</v>
      </c>
      <c r="J45" s="288" t="str">
        <f>IF('Inputs_BY INM'!E134=0,"",'Inputs_BY INM'!E134)</f>
        <v/>
      </c>
      <c r="K45" s="288" t="str">
        <f>IF('Inputs_BY INM'!F134=0,"",'Inputs_BY INM'!F134)</f>
        <v/>
      </c>
      <c r="L45" s="288" t="str">
        <f>IF('Inputs_BY INM'!G134=0,"",'Inputs_BY INM'!G134)</f>
        <v/>
      </c>
      <c r="M45" s="288" t="str">
        <f>IF('Inputs_BY INM'!H134=0,"",'Inputs_BY INM'!H134)</f>
        <v/>
      </c>
      <c r="N45" s="288" t="str">
        <f>IF('Inputs_BY INM'!I134=0,"",'Inputs_BY INM'!I134)</f>
        <v/>
      </c>
      <c r="O45" s="288" t="str">
        <f>IF('Inputs_BY INM'!J134=0,"",'Inputs_BY INM'!J134)</f>
        <v/>
      </c>
      <c r="P45" s="288" t="str">
        <f>IF('Inputs_BY INM'!K134=0,"",'Inputs_BY INM'!K134)</f>
        <v/>
      </c>
      <c r="Q45" s="288" t="str">
        <f>IF('Inputs_BY INM'!L134=0,"",'Inputs_BY INM'!L134)</f>
        <v/>
      </c>
      <c r="R45" s="288" t="str">
        <f>IF('Inputs_BY INM'!M134=0,"",'Inputs_BY INM'!M134)</f>
        <v/>
      </c>
      <c r="S45" s="288" t="str">
        <f>IF('Inputs_BY INM'!N134=0,"",'Inputs_BY INM'!N134)</f>
        <v/>
      </c>
      <c r="T45" s="288" t="str">
        <f>IF('Inputs_BY INM'!O134=0,"",'Inputs_BY INM'!O134)</f>
        <v/>
      </c>
      <c r="U45" s="288" t="str">
        <f>IF('Inputs_BY INM'!P134=0,"",'Inputs_BY INM'!P134)</f>
        <v/>
      </c>
      <c r="V45" s="288" t="str">
        <f>IF('Inputs_BY INM'!Q134=0,"",'Inputs_BY INM'!Q134)</f>
        <v/>
      </c>
      <c r="W45" s="288" t="str">
        <f>IF('Inputs_BY INM'!R134=0,"",'Inputs_BY INM'!R134)</f>
        <v/>
      </c>
      <c r="X45" s="288" t="str">
        <f>IF('Inputs_BY INM'!S134=0,"",'Inputs_BY INM'!S134)</f>
        <v/>
      </c>
      <c r="Y45" s="288" t="str">
        <f>IF('Inputs_BY INM'!T134=0,"",'Inputs_BY INM'!T134)</f>
        <v/>
      </c>
      <c r="Z45" s="288" t="str">
        <f>IF('Inputs_BY INM'!U134=0,"",'Inputs_BY INM'!U134)</f>
        <v/>
      </c>
      <c r="AA45" s="288" t="str">
        <f>IF('Inputs_BY INM'!V134=0,"",'Inputs_BY INM'!V134)</f>
        <v/>
      </c>
      <c r="AB45" s="288" t="str">
        <f>IF('Inputs_BY INM'!W134=0,"",'Inputs_BY INM'!W134)</f>
        <v/>
      </c>
      <c r="AC45" s="288" t="str">
        <f>IF('Inputs_BY INM'!X134=0,"",'Inputs_BY INM'!X134)</f>
        <v/>
      </c>
      <c r="AD45" s="288" t="str">
        <f>IF('Inputs_BY INM'!Y134=0,"",'Inputs_BY INM'!Y134)</f>
        <v/>
      </c>
      <c r="AE45" s="288" t="str">
        <f>IF('Inputs_BY INM'!Z134=0,"",'Inputs_BY INM'!Z134)</f>
        <v/>
      </c>
      <c r="AF45" s="288" t="str">
        <f>IF('Inputs_BY INM'!AA134=0,"",'Inputs_BY INM'!AA134)</f>
        <v/>
      </c>
      <c r="AG45" s="288" t="str">
        <f>IF('Inputs_BY INM'!AB134=0,"",'Inputs_BY INM'!AB134)</f>
        <v/>
      </c>
      <c r="AH45" s="288" t="str">
        <f>IF('Inputs_BY INM'!AC134=0,"",'Inputs_BY INM'!AC134)</f>
        <v/>
      </c>
      <c r="AI45" s="288" t="str">
        <f>IF('Inputs_BY INM'!AD134=0,"",'Inputs_BY INM'!AD134)</f>
        <v/>
      </c>
      <c r="AJ45" s="288" t="str">
        <f>IF('Inputs_BY INM'!AE134=0,"",'Inputs_BY INM'!AE134)</f>
        <v/>
      </c>
      <c r="AK45" s="288" t="str">
        <f>IF('Inputs_BY INM'!AF134=0,"",'Inputs_BY INM'!AF134)</f>
        <v/>
      </c>
      <c r="AM45" s="320" t="str">
        <f t="shared" si="3"/>
        <v>INDCSP</v>
      </c>
      <c r="AN45" s="348">
        <f t="shared" si="4"/>
        <v>0</v>
      </c>
    </row>
    <row r="46" spans="3:41" x14ac:dyDescent="0.25">
      <c r="C46" s="13" t="str">
        <f>'Inputs_BY INM'!C135</f>
        <v>INDWAS</v>
      </c>
      <c r="G46" s="318"/>
      <c r="H46" s="61" t="s">
        <v>470</v>
      </c>
      <c r="I46" t="s">
        <v>512</v>
      </c>
      <c r="J46" s="288" t="str">
        <f>IF('Inputs_BY INM'!E135=0,"",'Inputs_BY INM'!E135)</f>
        <v/>
      </c>
      <c r="K46" s="288">
        <f>IF('Inputs_BY INM'!F135=0,"",'Inputs_BY INM'!F135)</f>
        <v>2.5606599275439953E-2</v>
      </c>
      <c r="L46" s="288" t="str">
        <f>IF('Inputs_BY INM'!G135=0,"",'Inputs_BY INM'!G135)</f>
        <v/>
      </c>
      <c r="M46" s="288" t="str">
        <f>IF('Inputs_BY INM'!H135=0,"",'Inputs_BY INM'!H135)</f>
        <v/>
      </c>
      <c r="N46" s="288" t="str">
        <f>IF('Inputs_BY INM'!I135=0,"",'Inputs_BY INM'!I135)</f>
        <v/>
      </c>
      <c r="O46" s="288" t="str">
        <f>IF('Inputs_BY INM'!J135=0,"",'Inputs_BY INM'!J135)</f>
        <v/>
      </c>
      <c r="P46" s="288" t="str">
        <f>IF('Inputs_BY INM'!K135=0,"",'Inputs_BY INM'!K135)</f>
        <v/>
      </c>
      <c r="Q46" s="288" t="str">
        <f>IF('Inputs_BY INM'!L135=0,"",'Inputs_BY INM'!L135)</f>
        <v/>
      </c>
      <c r="R46" s="288" t="str">
        <f>IF('Inputs_BY INM'!M135=0,"",'Inputs_BY INM'!M135)</f>
        <v/>
      </c>
      <c r="S46" s="288">
        <f>IF('Inputs_BY INM'!N135=0,"",'Inputs_BY INM'!N135)</f>
        <v>0.2556338982441112</v>
      </c>
      <c r="T46" s="288" t="str">
        <f>IF('Inputs_BY INM'!O135=0,"",'Inputs_BY INM'!O135)</f>
        <v/>
      </c>
      <c r="U46" s="288" t="str">
        <f>IF('Inputs_BY INM'!P135=0,"",'Inputs_BY INM'!P135)</f>
        <v/>
      </c>
      <c r="V46" s="288">
        <f>IF('Inputs_BY INM'!Q135=0,"",'Inputs_BY INM'!Q135)</f>
        <v>5.1488753223114208E-4</v>
      </c>
      <c r="W46" s="288">
        <f>IF('Inputs_BY INM'!R135=0,"",'Inputs_BY INM'!R135)</f>
        <v>0.28392428952334581</v>
      </c>
      <c r="X46" s="288">
        <f>IF('Inputs_BY INM'!S135=0,"",'Inputs_BY INM'!S135)</f>
        <v>0.94337980544069633</v>
      </c>
      <c r="Y46" s="288">
        <f>IF('Inputs_BY INM'!T135=0,"",'Inputs_BY INM'!T135)</f>
        <v>0.21210457913361422</v>
      </c>
      <c r="Z46" s="288">
        <f>IF('Inputs_BY INM'!U135=0,"",'Inputs_BY INM'!U135)</f>
        <v>0.69397575203062334</v>
      </c>
      <c r="AA46" s="288" t="str">
        <f>IF('Inputs_BY INM'!V135=0,"",'Inputs_BY INM'!V135)</f>
        <v/>
      </c>
      <c r="AB46" s="288" t="str">
        <f>IF('Inputs_BY INM'!W135=0,"",'Inputs_BY INM'!W135)</f>
        <v/>
      </c>
      <c r="AC46" s="288">
        <f>IF('Inputs_BY INM'!X135=0,"",'Inputs_BY INM'!X135)</f>
        <v>0.27376946450305417</v>
      </c>
      <c r="AD46" s="288">
        <f>IF('Inputs_BY INM'!Y135=0,"",'Inputs_BY INM'!Y135)</f>
        <v>1.2959786258341164E-3</v>
      </c>
      <c r="AE46" s="288">
        <f>IF('Inputs_BY INM'!Z135=0,"",'Inputs_BY INM'!Z135)</f>
        <v>0.24685403890345775</v>
      </c>
      <c r="AF46" s="288" t="str">
        <f>IF('Inputs_BY INM'!AA135=0,"",'Inputs_BY INM'!AA135)</f>
        <v/>
      </c>
      <c r="AG46" s="288" t="str">
        <f>IF('Inputs_BY INM'!AB135=0,"",'Inputs_BY INM'!AB135)</f>
        <v/>
      </c>
      <c r="AH46" s="288" t="str">
        <f>IF('Inputs_BY INM'!AC135=0,"",'Inputs_BY INM'!AC135)</f>
        <v/>
      </c>
      <c r="AI46" s="288">
        <f>IF('Inputs_BY INM'!AD135=0,"",'Inputs_BY INM'!AD135)</f>
        <v>2.1235541147910954E-2</v>
      </c>
      <c r="AJ46" s="288">
        <f>IF('Inputs_BY INM'!AE135=0,"",'Inputs_BY INM'!AE135)</f>
        <v>0.63446870551845469</v>
      </c>
      <c r="AK46" s="288">
        <f>IF('Inputs_BY INM'!AF135=0,"",'Inputs_BY INM'!AF135)</f>
        <v>3.834274161317991E-5</v>
      </c>
      <c r="AM46" s="320" t="str">
        <f t="shared" si="3"/>
        <v>INDWAS</v>
      </c>
      <c r="AN46" s="348">
        <f t="shared" si="4"/>
        <v>3.5289618935165114E-2</v>
      </c>
    </row>
    <row r="47" spans="3:41" x14ac:dyDescent="0.25">
      <c r="C47" s="1"/>
      <c r="D47" s="1" t="s">
        <v>159</v>
      </c>
      <c r="G47" s="9"/>
      <c r="H47" s="61" t="s">
        <v>472</v>
      </c>
      <c r="I47" t="s">
        <v>1628</v>
      </c>
      <c r="J47" s="361">
        <f>IF('Inputs_BY INM'!E32="",0.52,'Inputs_BY INM'!E32)*1000</f>
        <v>520</v>
      </c>
      <c r="K47" s="361">
        <f>IF('Inputs_BY INM'!F32="",0.52,'Inputs_BY INM'!F32)*1000</f>
        <v>520</v>
      </c>
      <c r="L47" s="361">
        <f>IF('Inputs_BY INM'!G32="",0.52,'Inputs_BY INM'!G32)*1000</f>
        <v>520</v>
      </c>
      <c r="M47" s="361">
        <f>IF('Inputs_BY INM'!H32="",0.52,'Inputs_BY INM'!H32)*1000</f>
        <v>520</v>
      </c>
      <c r="N47" s="361">
        <f>IF('Inputs_BY INM'!I32="",0.52,'Inputs_BY INM'!I32)*1000</f>
        <v>520</v>
      </c>
      <c r="O47" s="361">
        <f>IF('Inputs_BY INM'!J32="",0.52,'Inputs_BY INM'!J32)*1000</f>
        <v>520</v>
      </c>
      <c r="P47" s="361">
        <f>IF('Inputs_BY INM'!K32="",0.52,'Inputs_BY INM'!K32)*1000</f>
        <v>520</v>
      </c>
      <c r="Q47" s="361">
        <f>IF('Inputs_BY INM'!L32="",0.52,'Inputs_BY INM'!L32)*1000</f>
        <v>520</v>
      </c>
      <c r="R47" s="361">
        <f>IF('Inputs_BY INM'!M32="",0.52,'Inputs_BY INM'!M32)*1000</f>
        <v>545</v>
      </c>
      <c r="S47" s="361">
        <f>IF('Inputs_BY INM'!N32="",0.52,'Inputs_BY INM'!N32)*1000</f>
        <v>570</v>
      </c>
      <c r="T47" s="361">
        <f>IF('Inputs_BY INM'!O32="",0.52,'Inputs_BY INM'!O32)*1000</f>
        <v>520</v>
      </c>
      <c r="U47" s="361">
        <f>IF('Inputs_BY INM'!P32="",0.52,'Inputs_BY INM'!P32)*1000</f>
        <v>537</v>
      </c>
      <c r="V47" s="361">
        <f>IF('Inputs_BY INM'!Q32="",0.52,'Inputs_BY INM'!Q32)*1000</f>
        <v>520</v>
      </c>
      <c r="W47" s="361">
        <f>IF('Inputs_BY INM'!R32="",0.52,'Inputs_BY INM'!R32)*1000</f>
        <v>520</v>
      </c>
      <c r="X47" s="361">
        <f>IF('Inputs_BY INM'!S32="",0.52,'Inputs_BY INM'!S32)*1000</f>
        <v>520</v>
      </c>
      <c r="Y47" s="361">
        <f>IF('Inputs_BY INM'!T32="",0.52,'Inputs_BY INM'!T32)*1000</f>
        <v>520</v>
      </c>
      <c r="Z47" s="361">
        <f>IF('Inputs_BY INM'!U32="",0.52,'Inputs_BY INM'!U32)*1000</f>
        <v>520</v>
      </c>
      <c r="AA47" s="361">
        <f>IF('Inputs_BY INM'!V32="",0.52,'Inputs_BY INM'!V32)*1000</f>
        <v>550</v>
      </c>
      <c r="AB47" s="361">
        <f>IF('Inputs_BY INM'!W32="",0.52,'Inputs_BY INM'!W32)*1000</f>
        <v>537</v>
      </c>
      <c r="AC47" s="361">
        <f>IF('Inputs_BY INM'!X32="",0.52,'Inputs_BY INM'!X32)*1000</f>
        <v>520</v>
      </c>
      <c r="AD47" s="361">
        <f>IF('Inputs_BY INM'!Y32="",0.52,'Inputs_BY INM'!Y32)*1000</f>
        <v>520</v>
      </c>
      <c r="AE47" s="361">
        <f>IF('Inputs_BY INM'!Z32="",0.52,'Inputs_BY INM'!Z32)*1000</f>
        <v>570</v>
      </c>
      <c r="AF47" s="361">
        <f>IF('Inputs_BY INM'!AA32="",0.52,'Inputs_BY INM'!AA32)*1000</f>
        <v>520</v>
      </c>
      <c r="AG47" s="361">
        <f>IF('Inputs_BY INM'!AB32="",0.52,'Inputs_BY INM'!AB32)*1000</f>
        <v>520</v>
      </c>
      <c r="AH47" s="361">
        <f>IF('Inputs_BY INM'!AC32="",0.52,'Inputs_BY INM'!AC32)*1000</f>
        <v>520</v>
      </c>
      <c r="AI47" s="361">
        <f>IF('Inputs_BY INM'!AD32="",0.52,'Inputs_BY INM'!AD32)*1000</f>
        <v>520</v>
      </c>
      <c r="AJ47" s="361">
        <f>IF('Inputs_BY INM'!AE32="",0.52,'Inputs_BY INM'!AE32)*1000</f>
        <v>520</v>
      </c>
      <c r="AK47" s="361">
        <f>IF('Inputs_BY INM'!AF32="",0.52,'Inputs_BY INM'!AF32)*1000</f>
        <v>520</v>
      </c>
      <c r="AM47" s="1"/>
    </row>
    <row r="48" spans="3:41" x14ac:dyDescent="0.25">
      <c r="D48" s="9" t="s">
        <v>882</v>
      </c>
      <c r="G48" s="9"/>
      <c r="H48" s="61" t="s">
        <v>472</v>
      </c>
      <c r="I48" s="61" t="s">
        <v>454</v>
      </c>
      <c r="J48" s="289">
        <v>1</v>
      </c>
      <c r="K48" s="289">
        <v>1</v>
      </c>
      <c r="L48" s="289">
        <v>1</v>
      </c>
      <c r="M48" s="289">
        <v>1</v>
      </c>
      <c r="N48" s="289">
        <v>1</v>
      </c>
      <c r="O48" s="289">
        <v>1</v>
      </c>
      <c r="P48" s="289">
        <v>1</v>
      </c>
      <c r="Q48" s="289">
        <v>1</v>
      </c>
      <c r="R48" s="289">
        <v>1</v>
      </c>
      <c r="S48" s="289">
        <v>1</v>
      </c>
      <c r="T48" s="289">
        <v>1</v>
      </c>
      <c r="U48" s="289">
        <v>1</v>
      </c>
      <c r="V48" s="289">
        <v>1</v>
      </c>
      <c r="W48" s="289">
        <v>1</v>
      </c>
      <c r="X48" s="289">
        <v>1</v>
      </c>
      <c r="Y48" s="289">
        <v>1</v>
      </c>
      <c r="Z48" s="289">
        <v>1</v>
      </c>
      <c r="AA48" s="289">
        <v>1</v>
      </c>
      <c r="AB48" s="289">
        <v>1</v>
      </c>
      <c r="AC48" s="289">
        <v>1</v>
      </c>
      <c r="AD48" s="289">
        <v>1</v>
      </c>
      <c r="AE48" s="289">
        <v>1</v>
      </c>
      <c r="AF48" s="289">
        <v>1</v>
      </c>
      <c r="AG48" s="289">
        <v>1</v>
      </c>
      <c r="AH48" s="289">
        <v>1</v>
      </c>
      <c r="AI48" s="289">
        <v>1</v>
      </c>
      <c r="AJ48" s="289">
        <v>1</v>
      </c>
      <c r="AK48" s="289">
        <v>1</v>
      </c>
    </row>
    <row r="49" spans="1:41" x14ac:dyDescent="0.25">
      <c r="A49" s="70" t="str">
        <f>AO10</f>
        <v>I-CM-WETKLN</v>
      </c>
      <c r="B49" s="70" t="str">
        <f>AP10</f>
        <v>IND Cement technology: Wet Kiln</v>
      </c>
      <c r="C49" s="215" t="str">
        <f>'Inputs_BY INM'!C140</f>
        <v>INDBFG</v>
      </c>
      <c r="D49" s="70"/>
      <c r="E49" s="70"/>
      <c r="F49" s="70"/>
      <c r="G49" s="70"/>
      <c r="H49" s="358" t="s">
        <v>470</v>
      </c>
      <c r="I49" s="215" t="s">
        <v>512</v>
      </c>
      <c r="J49" s="287" t="str">
        <f>IF('Inputs_BY INM'!E140=0,"",'Inputs_BY INM'!E140)</f>
        <v/>
      </c>
      <c r="K49" s="287" t="str">
        <f>IF('Inputs_BY INM'!F140=0,"",'Inputs_BY INM'!F140)</f>
        <v/>
      </c>
      <c r="L49" s="287" t="str">
        <f>IF('Inputs_BY INM'!G140=0,"",'Inputs_BY INM'!G140)</f>
        <v/>
      </c>
      <c r="M49" s="287" t="str">
        <f>IF('Inputs_BY INM'!H140=0,"",'Inputs_BY INM'!H140)</f>
        <v/>
      </c>
      <c r="N49" s="287" t="str">
        <f>IF('Inputs_BY INM'!I140=0,"",'Inputs_BY INM'!I140)</f>
        <v/>
      </c>
      <c r="O49" s="287" t="str">
        <f>IF('Inputs_BY INM'!J140=0,"",'Inputs_BY INM'!J140)</f>
        <v/>
      </c>
      <c r="P49" s="287" t="str">
        <f>IF('Inputs_BY INM'!K140=0,"",'Inputs_BY INM'!K140)</f>
        <v/>
      </c>
      <c r="Q49" s="287" t="str">
        <f>IF('Inputs_BY INM'!L140=0,"",'Inputs_BY INM'!L140)</f>
        <v/>
      </c>
      <c r="R49" s="287" t="str">
        <f>IF('Inputs_BY INM'!M140=0,"",'Inputs_BY INM'!M140)</f>
        <v/>
      </c>
      <c r="S49" s="287" t="str">
        <f>IF('Inputs_BY INM'!N140=0,"",'Inputs_BY INM'!N140)</f>
        <v/>
      </c>
      <c r="T49" s="287" t="str">
        <f>IF('Inputs_BY INM'!O140=0,"",'Inputs_BY INM'!O140)</f>
        <v/>
      </c>
      <c r="U49" s="287" t="str">
        <f>IF('Inputs_BY INM'!P140=0,"",'Inputs_BY INM'!P140)</f>
        <v/>
      </c>
      <c r="V49" s="287" t="str">
        <f>IF('Inputs_BY INM'!Q140=0,"",'Inputs_BY INM'!Q140)</f>
        <v/>
      </c>
      <c r="W49" s="287">
        <f>IF('Inputs_BY INM'!R140=0,"",'Inputs_BY INM'!R140)</f>
        <v>7.3380206191627356E-3</v>
      </c>
      <c r="X49" s="287" t="str">
        <f>IF('Inputs_BY INM'!S140=0,"",'Inputs_BY INM'!S140)</f>
        <v/>
      </c>
      <c r="Y49" s="287" t="str">
        <f>IF('Inputs_BY INM'!T140=0,"",'Inputs_BY INM'!T140)</f>
        <v/>
      </c>
      <c r="Z49" s="287" t="str">
        <f>IF('Inputs_BY INM'!U140=0,"",'Inputs_BY INM'!U140)</f>
        <v/>
      </c>
      <c r="AA49" s="287" t="str">
        <f>IF('Inputs_BY INM'!V140=0,"",'Inputs_BY INM'!V140)</f>
        <v/>
      </c>
      <c r="AB49" s="287" t="str">
        <f>IF('Inputs_BY INM'!W140=0,"",'Inputs_BY INM'!W140)</f>
        <v/>
      </c>
      <c r="AC49" s="287">
        <f>IF('Inputs_BY INM'!X140=0,"",'Inputs_BY INM'!X140)</f>
        <v>3.9239210551754757E-3</v>
      </c>
      <c r="AD49" s="287" t="str">
        <f>IF('Inputs_BY INM'!Y140=0,"",'Inputs_BY INM'!Y140)</f>
        <v/>
      </c>
      <c r="AE49" s="287" t="str">
        <f>IF('Inputs_BY INM'!Z140=0,"",'Inputs_BY INM'!Z140)</f>
        <v/>
      </c>
      <c r="AF49" s="287" t="str">
        <f>IF('Inputs_BY INM'!AA140=0,"",'Inputs_BY INM'!AA140)</f>
        <v/>
      </c>
      <c r="AG49" s="287" t="str">
        <f>IF('Inputs_BY INM'!AB140=0,"",'Inputs_BY INM'!AB140)</f>
        <v/>
      </c>
      <c r="AH49" s="287" t="str">
        <f>IF('Inputs_BY INM'!AC140=0,"",'Inputs_BY INM'!AC140)</f>
        <v/>
      </c>
      <c r="AI49" s="287" t="str">
        <f>IF('Inputs_BY INM'!AD140=0,"",'Inputs_BY INM'!AD140)</f>
        <v/>
      </c>
      <c r="AJ49" s="287" t="str">
        <f>IF('Inputs_BY INM'!AE140=0,"",'Inputs_BY INM'!AE140)</f>
        <v/>
      </c>
      <c r="AK49" s="287" t="str">
        <f>IF('Inputs_BY INM'!AF140=0,"",'Inputs_BY INM'!AF140)</f>
        <v/>
      </c>
      <c r="AM49" s="320" t="str">
        <f>C49</f>
        <v>INDBFG</v>
      </c>
      <c r="AN49" s="348">
        <f>SUM(J49:AK49)/SUM($J$49:$AK$63)</f>
        <v>8.2860541862378659E-5</v>
      </c>
    </row>
    <row r="50" spans="1:41" x14ac:dyDescent="0.25">
      <c r="C50" t="str">
        <f>'Inputs_BY INM'!C141</f>
        <v>INDBGS</v>
      </c>
      <c r="G50" s="9"/>
      <c r="H50" s="61" t="s">
        <v>470</v>
      </c>
      <c r="I50" t="s">
        <v>512</v>
      </c>
      <c r="J50" s="288" t="str">
        <f>IF('Inputs_BY INM'!E141=0,"",'Inputs_BY INM'!E141)</f>
        <v/>
      </c>
      <c r="K50" s="288" t="str">
        <f>IF('Inputs_BY INM'!F141=0,"",'Inputs_BY INM'!F141)</f>
        <v/>
      </c>
      <c r="L50" s="288" t="str">
        <f>IF('Inputs_BY INM'!G141=0,"",'Inputs_BY INM'!G141)</f>
        <v/>
      </c>
      <c r="M50" s="288" t="str">
        <f>IF('Inputs_BY INM'!H141=0,"",'Inputs_BY INM'!H141)</f>
        <v/>
      </c>
      <c r="N50" s="288">
        <f>IF('Inputs_BY INM'!I141=0,"",'Inputs_BY INM'!I141)</f>
        <v>4.8212850150480113E-3</v>
      </c>
      <c r="O50" s="288" t="str">
        <f>IF('Inputs_BY INM'!J141=0,"",'Inputs_BY INM'!J141)</f>
        <v/>
      </c>
      <c r="P50" s="288" t="str">
        <f>IF('Inputs_BY INM'!K141=0,"",'Inputs_BY INM'!K141)</f>
        <v/>
      </c>
      <c r="Q50" s="288" t="str">
        <f>IF('Inputs_BY INM'!L141=0,"",'Inputs_BY INM'!L141)</f>
        <v/>
      </c>
      <c r="R50" s="288" t="str">
        <f>IF('Inputs_BY INM'!M141=0,"",'Inputs_BY INM'!M141)</f>
        <v/>
      </c>
      <c r="S50" s="288" t="str">
        <f>IF('Inputs_BY INM'!N141=0,"",'Inputs_BY INM'!N141)</f>
        <v/>
      </c>
      <c r="T50" s="288" t="str">
        <f>IF('Inputs_BY INM'!O141=0,"",'Inputs_BY INM'!O141)</f>
        <v/>
      </c>
      <c r="U50" s="288" t="str">
        <f>IF('Inputs_BY INM'!P141=0,"",'Inputs_BY INM'!P141)</f>
        <v/>
      </c>
      <c r="V50" s="288" t="str">
        <f>IF('Inputs_BY INM'!Q141=0,"",'Inputs_BY INM'!Q141)</f>
        <v/>
      </c>
      <c r="W50" s="288">
        <f>IF('Inputs_BY INM'!R141=0,"",'Inputs_BY INM'!R141)</f>
        <v>5.7814707908554887E-4</v>
      </c>
      <c r="X50" s="288">
        <f>IF('Inputs_BY INM'!S141=0,"",'Inputs_BY INM'!S141)</f>
        <v>4.2033149394068612E-4</v>
      </c>
      <c r="Y50" s="288">
        <f>IF('Inputs_BY INM'!T141=0,"",'Inputs_BY INM'!T141)</f>
        <v>2.5948290043479E-3</v>
      </c>
      <c r="Z50" s="288">
        <f>IF('Inputs_BY INM'!U141=0,"",'Inputs_BY INM'!U141)</f>
        <v>1.2871818468164048E-3</v>
      </c>
      <c r="AA50" s="288" t="str">
        <f>IF('Inputs_BY INM'!V141=0,"",'Inputs_BY INM'!V141)</f>
        <v/>
      </c>
      <c r="AB50" s="288" t="str">
        <f>IF('Inputs_BY INM'!W141=0,"",'Inputs_BY INM'!W141)</f>
        <v/>
      </c>
      <c r="AC50" s="288" t="str">
        <f>IF('Inputs_BY INM'!X141=0,"",'Inputs_BY INM'!X141)</f>
        <v/>
      </c>
      <c r="AD50" s="288" t="str">
        <f>IF('Inputs_BY INM'!Y141=0,"",'Inputs_BY INM'!Y141)</f>
        <v/>
      </c>
      <c r="AE50" s="288" t="str">
        <f>IF('Inputs_BY INM'!Z141=0,"",'Inputs_BY INM'!Z141)</f>
        <v/>
      </c>
      <c r="AF50" s="288" t="str">
        <f>IF('Inputs_BY INM'!AA141=0,"",'Inputs_BY INM'!AA141)</f>
        <v/>
      </c>
      <c r="AG50" s="288" t="str">
        <f>IF('Inputs_BY INM'!AB141=0,"",'Inputs_BY INM'!AB141)</f>
        <v/>
      </c>
      <c r="AH50" s="288" t="str">
        <f>IF('Inputs_BY INM'!AC141=0,"",'Inputs_BY INM'!AC141)</f>
        <v/>
      </c>
      <c r="AI50" s="288" t="str">
        <f>IF('Inputs_BY INM'!AD141=0,"",'Inputs_BY INM'!AD141)</f>
        <v/>
      </c>
      <c r="AJ50" s="288" t="str">
        <f>IF('Inputs_BY INM'!AE141=0,"",'Inputs_BY INM'!AE141)</f>
        <v/>
      </c>
      <c r="AK50" s="288" t="str">
        <f>IF('Inputs_BY INM'!AF141=0,"",'Inputs_BY INM'!AF141)</f>
        <v/>
      </c>
      <c r="AM50" s="320" t="str">
        <f t="shared" ref="AM50:AM63" si="5">C50</f>
        <v>INDBGS</v>
      </c>
      <c r="AN50" s="348">
        <f t="shared" ref="AN50:AN63" si="6">SUM(J50:AK50)/SUM($J$49:$AK$63)</f>
        <v>7.1381499772251374E-5</v>
      </c>
    </row>
    <row r="51" spans="1:41" x14ac:dyDescent="0.25">
      <c r="C51" t="str">
        <f>'Inputs_BY INM'!C142</f>
        <v>INDBIO</v>
      </c>
      <c r="G51" s="9"/>
      <c r="H51" s="61" t="s">
        <v>470</v>
      </c>
      <c r="I51" t="s">
        <v>512</v>
      </c>
      <c r="J51" s="288" t="str">
        <f>IF('Inputs_BY INM'!E142=0,"",'Inputs_BY INM'!E142)</f>
        <v/>
      </c>
      <c r="K51" s="288">
        <f>IF('Inputs_BY INM'!F142=0,"",'Inputs_BY INM'!F142)</f>
        <v>6.9801933354988951E-2</v>
      </c>
      <c r="L51" s="288">
        <f>IF('Inputs_BY INM'!G142=0,"",'Inputs_BY INM'!G142)</f>
        <v>0.10045135588904573</v>
      </c>
      <c r="M51" s="288">
        <f>IF('Inputs_BY INM'!H142=0,"",'Inputs_BY INM'!H142)</f>
        <v>9.9851171852753606E-2</v>
      </c>
      <c r="N51" s="288">
        <f>IF('Inputs_BY INM'!I142=0,"",'Inputs_BY INM'!I142)</f>
        <v>0.17618021024868213</v>
      </c>
      <c r="O51" s="288">
        <f>IF('Inputs_BY INM'!J142=0,"",'Inputs_BY INM'!J142)</f>
        <v>3.6932595619851012E-5</v>
      </c>
      <c r="P51" s="288">
        <f>IF('Inputs_BY INM'!K142=0,"",'Inputs_BY INM'!K142)</f>
        <v>0.21017912796938026</v>
      </c>
      <c r="Q51" s="288" t="str">
        <f>IF('Inputs_BY INM'!L142=0,"",'Inputs_BY INM'!L142)</f>
        <v/>
      </c>
      <c r="R51" s="288">
        <f>IF('Inputs_BY INM'!M142=0,"",'Inputs_BY INM'!M142)</f>
        <v>0.16930002003950295</v>
      </c>
      <c r="S51" s="288">
        <f>IF('Inputs_BY INM'!N142=0,"",'Inputs_BY INM'!N142)</f>
        <v>5.7789721510395312E-2</v>
      </c>
      <c r="T51" s="288" t="str">
        <f>IF('Inputs_BY INM'!O142=0,"",'Inputs_BY INM'!O142)</f>
        <v/>
      </c>
      <c r="U51" s="288">
        <f>IF('Inputs_BY INM'!P142=0,"",'Inputs_BY INM'!P142)</f>
        <v>9.8938937271350457E-3</v>
      </c>
      <c r="V51" s="288">
        <f>IF('Inputs_BY INM'!Q142=0,"",'Inputs_BY INM'!Q142)</f>
        <v>1.2624166772940239E-2</v>
      </c>
      <c r="W51" s="288">
        <f>IF('Inputs_BY INM'!R142=0,"",'Inputs_BY INM'!R142)</f>
        <v>0.53029429007816031</v>
      </c>
      <c r="X51" s="288">
        <f>IF('Inputs_BY INM'!S142=0,"",'Inputs_BY INM'!S142)</f>
        <v>7.1641299827250565E-2</v>
      </c>
      <c r="Y51" s="288">
        <f>IF('Inputs_BY INM'!T142=0,"",'Inputs_BY INM'!T142)</f>
        <v>0.31130399458707608</v>
      </c>
      <c r="Z51" s="288">
        <f>IF('Inputs_BY INM'!U142=0,"",'Inputs_BY INM'!U142)</f>
        <v>0.10147283559069326</v>
      </c>
      <c r="AA51" s="288" t="str">
        <f>IF('Inputs_BY INM'!V142=0,"",'Inputs_BY INM'!V142)</f>
        <v/>
      </c>
      <c r="AB51" s="288">
        <f>IF('Inputs_BY INM'!W142=0,"",'Inputs_BY INM'!W142)</f>
        <v>0.23301328565498303</v>
      </c>
      <c r="AC51" s="288">
        <f>IF('Inputs_BY INM'!X142=0,"",'Inputs_BY INM'!X142)</f>
        <v>0.10117037307790727</v>
      </c>
      <c r="AD51" s="288">
        <f>IF('Inputs_BY INM'!Y142=0,"",'Inputs_BY INM'!Y142)</f>
        <v>4.1011110249117001E-2</v>
      </c>
      <c r="AE51" s="288" t="str">
        <f>IF('Inputs_BY INM'!Z142=0,"",'Inputs_BY INM'!Z142)</f>
        <v/>
      </c>
      <c r="AF51" s="288" t="str">
        <f>IF('Inputs_BY INM'!AA142=0,"",'Inputs_BY INM'!AA142)</f>
        <v/>
      </c>
      <c r="AG51" s="288" t="str">
        <f>IF('Inputs_BY INM'!AB142=0,"",'Inputs_BY INM'!AB142)</f>
        <v/>
      </c>
      <c r="AH51" s="288" t="str">
        <f>IF('Inputs_BY INM'!AC142=0,"",'Inputs_BY INM'!AC142)</f>
        <v/>
      </c>
      <c r="AI51" s="288">
        <f>IF('Inputs_BY INM'!AD142=0,"",'Inputs_BY INM'!AD142)</f>
        <v>5.1558371407956979E-4</v>
      </c>
      <c r="AJ51" s="288">
        <f>IF('Inputs_BY INM'!AE142=0,"",'Inputs_BY INM'!AE142)</f>
        <v>2.1041117177915212E-3</v>
      </c>
      <c r="AK51" s="288">
        <f>IF('Inputs_BY INM'!AF142=0,"",'Inputs_BY INM'!AF142)</f>
        <v>0.14798801377516094</v>
      </c>
      <c r="AM51" s="320" t="str">
        <f t="shared" si="5"/>
        <v>INDBIO</v>
      </c>
      <c r="AN51" s="348">
        <f t="shared" si="6"/>
        <v>1.8001207002335522E-2</v>
      </c>
    </row>
    <row r="52" spans="1:41" x14ac:dyDescent="0.25">
      <c r="C52" t="str">
        <f>'Inputs_BY INM'!C143</f>
        <v>INDBLQ</v>
      </c>
      <c r="G52" s="9"/>
      <c r="H52" s="61" t="s">
        <v>470</v>
      </c>
      <c r="I52" t="s">
        <v>512</v>
      </c>
      <c r="J52" s="288" t="str">
        <f>IF('Inputs_BY INM'!E143=0,"",'Inputs_BY INM'!E143)</f>
        <v/>
      </c>
      <c r="K52" s="288" t="str">
        <f>IF('Inputs_BY INM'!F143=0,"",'Inputs_BY INM'!F143)</f>
        <v/>
      </c>
      <c r="L52" s="288" t="str">
        <f>IF('Inputs_BY INM'!G143=0,"",'Inputs_BY INM'!G143)</f>
        <v/>
      </c>
      <c r="M52" s="288" t="str">
        <f>IF('Inputs_BY INM'!H143=0,"",'Inputs_BY INM'!H143)</f>
        <v/>
      </c>
      <c r="N52" s="288" t="str">
        <f>IF('Inputs_BY INM'!I143=0,"",'Inputs_BY INM'!I143)</f>
        <v/>
      </c>
      <c r="O52" s="288" t="str">
        <f>IF('Inputs_BY INM'!J143=0,"",'Inputs_BY INM'!J143)</f>
        <v/>
      </c>
      <c r="P52" s="288" t="str">
        <f>IF('Inputs_BY INM'!K143=0,"",'Inputs_BY INM'!K143)</f>
        <v/>
      </c>
      <c r="Q52" s="288" t="str">
        <f>IF('Inputs_BY INM'!L143=0,"",'Inputs_BY INM'!L143)</f>
        <v/>
      </c>
      <c r="R52" s="288">
        <f>IF('Inputs_BY INM'!M143=0,"",'Inputs_BY INM'!M143)</f>
        <v>5.640859939939599E-3</v>
      </c>
      <c r="S52" s="288" t="str">
        <f>IF('Inputs_BY INM'!N143=0,"",'Inputs_BY INM'!N143)</f>
        <v/>
      </c>
      <c r="T52" s="288" t="str">
        <f>IF('Inputs_BY INM'!O143=0,"",'Inputs_BY INM'!O143)</f>
        <v/>
      </c>
      <c r="U52" s="288" t="str">
        <f>IF('Inputs_BY INM'!P143=0,"",'Inputs_BY INM'!P143)</f>
        <v/>
      </c>
      <c r="V52" s="288" t="str">
        <f>IF('Inputs_BY INM'!Q143=0,"",'Inputs_BY INM'!Q143)</f>
        <v/>
      </c>
      <c r="W52" s="288" t="str">
        <f>IF('Inputs_BY INM'!R143=0,"",'Inputs_BY INM'!R143)</f>
        <v/>
      </c>
      <c r="X52" s="288">
        <f>IF('Inputs_BY INM'!S143=0,"",'Inputs_BY INM'!S143)</f>
        <v>3.3626519515254891E-5</v>
      </c>
      <c r="Y52" s="288">
        <f>IF('Inputs_BY INM'!T143=0,"",'Inputs_BY INM'!T143)</f>
        <v>7.5485934671938918E-4</v>
      </c>
      <c r="Z52" s="288">
        <f>IF('Inputs_BY INM'!U143=0,"",'Inputs_BY INM'!U143)</f>
        <v>5.2440741907335015E-3</v>
      </c>
      <c r="AA52" s="288">
        <f>IF('Inputs_BY INM'!V143=0,"",'Inputs_BY INM'!V143)</f>
        <v>2.5286303380898864E-3</v>
      </c>
      <c r="AB52" s="288" t="str">
        <f>IF('Inputs_BY INM'!W143=0,"",'Inputs_BY INM'!W143)</f>
        <v/>
      </c>
      <c r="AC52" s="288" t="str">
        <f>IF('Inputs_BY INM'!X143=0,"",'Inputs_BY INM'!X143)</f>
        <v/>
      </c>
      <c r="AD52" s="288" t="str">
        <f>IF('Inputs_BY INM'!Y143=0,"",'Inputs_BY INM'!Y143)</f>
        <v/>
      </c>
      <c r="AE52" s="288" t="str">
        <f>IF('Inputs_BY INM'!Z143=0,"",'Inputs_BY INM'!Z143)</f>
        <v/>
      </c>
      <c r="AF52" s="288" t="str">
        <f>IF('Inputs_BY INM'!AA143=0,"",'Inputs_BY INM'!AA143)</f>
        <v/>
      </c>
      <c r="AG52" s="288" t="str">
        <f>IF('Inputs_BY INM'!AB143=0,"",'Inputs_BY INM'!AB143)</f>
        <v/>
      </c>
      <c r="AH52" s="288" t="str">
        <f>IF('Inputs_BY INM'!AC143=0,"",'Inputs_BY INM'!AC143)</f>
        <v/>
      </c>
      <c r="AI52" s="288" t="str">
        <f>IF('Inputs_BY INM'!AD143=0,"",'Inputs_BY INM'!AD143)</f>
        <v/>
      </c>
      <c r="AJ52" s="288" t="str">
        <f>IF('Inputs_BY INM'!AE143=0,"",'Inputs_BY INM'!AE143)</f>
        <v/>
      </c>
      <c r="AK52" s="288">
        <f>IF('Inputs_BY INM'!AF143=0,"",'Inputs_BY INM'!AF143)</f>
        <v>1.9190921413936414E-3</v>
      </c>
      <c r="AM52" s="320" t="str">
        <f t="shared" si="5"/>
        <v>INDBLQ</v>
      </c>
      <c r="AN52" s="348">
        <f t="shared" si="6"/>
        <v>1.1861245952624649E-4</v>
      </c>
    </row>
    <row r="53" spans="1:41" x14ac:dyDescent="0.25">
      <c r="C53" t="str">
        <f>'Inputs_BY INM'!C144</f>
        <v>INDCOA</v>
      </c>
      <c r="G53" s="9"/>
      <c r="H53" s="61" t="s">
        <v>470</v>
      </c>
      <c r="I53" t="s">
        <v>512</v>
      </c>
      <c r="J53" s="288">
        <f>IF('Inputs_BY INM'!E144=0,"",'Inputs_BY INM'!E144)</f>
        <v>2.8276928407609492</v>
      </c>
      <c r="K53" s="288">
        <f>IF('Inputs_BY INM'!F144=0,"",'Inputs_BY INM'!F144)</f>
        <v>1.7284635848506802</v>
      </c>
      <c r="L53" s="288">
        <f>IF('Inputs_BY INM'!G144=0,"",'Inputs_BY INM'!G144)</f>
        <v>1.5070959028652759</v>
      </c>
      <c r="M53" s="288">
        <f>IF('Inputs_BY INM'!H144=0,"",'Inputs_BY INM'!H144)</f>
        <v>3.1883941167935337</v>
      </c>
      <c r="N53" s="288">
        <f>IF('Inputs_BY INM'!I144=0,"",'Inputs_BY INM'!I144)</f>
        <v>1.2640479905115636</v>
      </c>
      <c r="O53" s="288">
        <f>IF('Inputs_BY INM'!J144=0,"",'Inputs_BY INM'!J144)</f>
        <v>2.0980668919724965</v>
      </c>
      <c r="P53" s="288">
        <f>IF('Inputs_BY INM'!K144=0,"",'Inputs_BY INM'!K144)</f>
        <v>3.8822738712812837</v>
      </c>
      <c r="Q53" s="288">
        <f>IF('Inputs_BY INM'!L144=0,"",'Inputs_BY INM'!L144)</f>
        <v>4.0906213749470233</v>
      </c>
      <c r="R53" s="288">
        <f>IF('Inputs_BY INM'!M144=0,"",'Inputs_BY INM'!M144)</f>
        <v>7.6646421464617878E-2</v>
      </c>
      <c r="S53" s="288">
        <f>IF('Inputs_BY INM'!N144=0,"",'Inputs_BY INM'!N144)</f>
        <v>0.60397764137000809</v>
      </c>
      <c r="T53" s="288">
        <f>IF('Inputs_BY INM'!O144=0,"",'Inputs_BY INM'!O144)</f>
        <v>4.7959075425869697E-2</v>
      </c>
      <c r="U53" s="288">
        <f>IF('Inputs_BY INM'!P144=0,"",'Inputs_BY INM'!P144)</f>
        <v>4.3293020049642488</v>
      </c>
      <c r="V53" s="288">
        <f>IF('Inputs_BY INM'!Q144=0,"",'Inputs_BY INM'!Q144)</f>
        <v>2.3235869922971943</v>
      </c>
      <c r="W53" s="288">
        <f>IF('Inputs_BY INM'!R144=0,"",'Inputs_BY INM'!R144)</f>
        <v>0.95861232997607748</v>
      </c>
      <c r="X53" s="288">
        <f>IF('Inputs_BY INM'!S144=0,"",'Inputs_BY INM'!S144)</f>
        <v>0.67100038366715375</v>
      </c>
      <c r="Y53" s="288">
        <f>IF('Inputs_BY INM'!T144=0,"",'Inputs_BY INM'!T144)</f>
        <v>0.19111151510568133</v>
      </c>
      <c r="Z53" s="288">
        <f>IF('Inputs_BY INM'!U144=0,"",'Inputs_BY INM'!U144)</f>
        <v>0.65568804909819001</v>
      </c>
      <c r="AA53" s="288">
        <f>IF('Inputs_BY INM'!V144=0,"",'Inputs_BY INM'!V144)</f>
        <v>3.6699457028320288</v>
      </c>
      <c r="AB53" s="288">
        <f>IF('Inputs_BY INM'!W144=0,"",'Inputs_BY INM'!W144)</f>
        <v>3.9612258561347109</v>
      </c>
      <c r="AC53" s="288">
        <f>IF('Inputs_BY INM'!X144=0,"",'Inputs_BY INM'!X144)</f>
        <v>2.1155778625137565</v>
      </c>
      <c r="AD53" s="288">
        <f>IF('Inputs_BY INM'!Y144=0,"",'Inputs_BY INM'!Y144)</f>
        <v>1.6233307272897202</v>
      </c>
      <c r="AE53" s="288">
        <f>IF('Inputs_BY INM'!Z144=0,"",'Inputs_BY INM'!Z144)</f>
        <v>1.1467999911192159</v>
      </c>
      <c r="AF53" s="288">
        <f>IF('Inputs_BY INM'!AA144=0,"",'Inputs_BY INM'!AA144)</f>
        <v>0.66921302478466604</v>
      </c>
      <c r="AG53" s="288">
        <f>IF('Inputs_BY INM'!AB144=0,"",'Inputs_BY INM'!AB144)</f>
        <v>0.1062529924916044</v>
      </c>
      <c r="AH53" s="288">
        <f>IF('Inputs_BY INM'!AC144=0,"",'Inputs_BY INM'!AC144)</f>
        <v>0.11044878079843266</v>
      </c>
      <c r="AI53" s="288">
        <f>IF('Inputs_BY INM'!AD144=0,"",'Inputs_BY INM'!AD144)</f>
        <v>0.28539468143615593</v>
      </c>
      <c r="AJ53" s="288">
        <f>IF('Inputs_BY INM'!AE144=0,"",'Inputs_BY INM'!AE144)</f>
        <v>2.9090272783049156</v>
      </c>
      <c r="AK53" s="288">
        <f>IF('Inputs_BY INM'!AF144=0,"",'Inputs_BY INM'!AF144)</f>
        <v>1.3589140660699179</v>
      </c>
      <c r="AM53" s="320" t="str">
        <f t="shared" si="5"/>
        <v>INDCOA</v>
      </c>
      <c r="AN53" s="348">
        <f t="shared" si="6"/>
        <v>0.35611140781452189</v>
      </c>
    </row>
    <row r="54" spans="1:41" x14ac:dyDescent="0.25">
      <c r="C54" t="str">
        <f>'Inputs_BY INM'!C145</f>
        <v>INDCOG</v>
      </c>
      <c r="G54" s="9"/>
      <c r="H54" s="61" t="s">
        <v>470</v>
      </c>
      <c r="I54" t="s">
        <v>512</v>
      </c>
      <c r="J54" s="288" t="str">
        <f>IF('Inputs_BY INM'!E145=0,"",'Inputs_BY INM'!E145)</f>
        <v/>
      </c>
      <c r="K54" s="288" t="str">
        <f>IF('Inputs_BY INM'!F145=0,"",'Inputs_BY INM'!F145)</f>
        <v/>
      </c>
      <c r="L54" s="288" t="str">
        <f>IF('Inputs_BY INM'!G145=0,"",'Inputs_BY INM'!G145)</f>
        <v/>
      </c>
      <c r="M54" s="288" t="str">
        <f>IF('Inputs_BY INM'!H145=0,"",'Inputs_BY INM'!H145)</f>
        <v/>
      </c>
      <c r="N54" s="288" t="str">
        <f>IF('Inputs_BY INM'!I145=0,"",'Inputs_BY INM'!I145)</f>
        <v/>
      </c>
      <c r="O54" s="288" t="str">
        <f>IF('Inputs_BY INM'!J145=0,"",'Inputs_BY INM'!J145)</f>
        <v/>
      </c>
      <c r="P54" s="288" t="str">
        <f>IF('Inputs_BY INM'!K145=0,"",'Inputs_BY INM'!K145)</f>
        <v/>
      </c>
      <c r="Q54" s="288" t="str">
        <f>IF('Inputs_BY INM'!L145=0,"",'Inputs_BY INM'!L145)</f>
        <v/>
      </c>
      <c r="R54" s="288" t="str">
        <f>IF('Inputs_BY INM'!M145=0,"",'Inputs_BY INM'!M145)</f>
        <v/>
      </c>
      <c r="S54" s="288" t="str">
        <f>IF('Inputs_BY INM'!N145=0,"",'Inputs_BY INM'!N145)</f>
        <v/>
      </c>
      <c r="T54" s="288" t="str">
        <f>IF('Inputs_BY INM'!O145=0,"",'Inputs_BY INM'!O145)</f>
        <v/>
      </c>
      <c r="U54" s="288" t="str">
        <f>IF('Inputs_BY INM'!P145=0,"",'Inputs_BY INM'!P145)</f>
        <v/>
      </c>
      <c r="V54" s="288" t="str">
        <f>IF('Inputs_BY INM'!Q145=0,"",'Inputs_BY INM'!Q145)</f>
        <v/>
      </c>
      <c r="W54" s="288" t="str">
        <f>IF('Inputs_BY INM'!R145=0,"",'Inputs_BY INM'!R145)</f>
        <v/>
      </c>
      <c r="X54" s="288">
        <f>IF('Inputs_BY INM'!S145=0,"",'Inputs_BY INM'!S145)</f>
        <v>4.4218873162560186E-2</v>
      </c>
      <c r="Y54" s="288" t="str">
        <f>IF('Inputs_BY INM'!T145=0,"",'Inputs_BY INM'!T145)</f>
        <v/>
      </c>
      <c r="Z54" s="288">
        <f>IF('Inputs_BY INM'!U145=0,"",'Inputs_BY INM'!U145)</f>
        <v>4.284646980837941E-2</v>
      </c>
      <c r="AA54" s="288" t="str">
        <f>IF('Inputs_BY INM'!V145=0,"",'Inputs_BY INM'!V145)</f>
        <v/>
      </c>
      <c r="AB54" s="288" t="str">
        <f>IF('Inputs_BY INM'!W145=0,"",'Inputs_BY INM'!W145)</f>
        <v/>
      </c>
      <c r="AC54" s="288">
        <f>IF('Inputs_BY INM'!X145=0,"",'Inputs_BY INM'!X145)</f>
        <v>0.10668056009155794</v>
      </c>
      <c r="AD54" s="288" t="str">
        <f>IF('Inputs_BY INM'!Y145=0,"",'Inputs_BY INM'!Y145)</f>
        <v/>
      </c>
      <c r="AE54" s="288" t="str">
        <f>IF('Inputs_BY INM'!Z145=0,"",'Inputs_BY INM'!Z145)</f>
        <v/>
      </c>
      <c r="AF54" s="288" t="str">
        <f>IF('Inputs_BY INM'!AA145=0,"",'Inputs_BY INM'!AA145)</f>
        <v/>
      </c>
      <c r="AG54" s="288" t="str">
        <f>IF('Inputs_BY INM'!AB145=0,"",'Inputs_BY INM'!AB145)</f>
        <v/>
      </c>
      <c r="AH54" s="288" t="str">
        <f>IF('Inputs_BY INM'!AC145=0,"",'Inputs_BY INM'!AC145)</f>
        <v/>
      </c>
      <c r="AI54" s="288">
        <f>IF('Inputs_BY INM'!AD145=0,"",'Inputs_BY INM'!AD145)</f>
        <v>9.1754805413049364E-3</v>
      </c>
      <c r="AJ54" s="288" t="str">
        <f>IF('Inputs_BY INM'!AE145=0,"",'Inputs_BY INM'!AE145)</f>
        <v/>
      </c>
      <c r="AK54" s="288" t="str">
        <f>IF('Inputs_BY INM'!AF145=0,"",'Inputs_BY INM'!AF145)</f>
        <v/>
      </c>
      <c r="AM54" s="320" t="str">
        <f t="shared" si="5"/>
        <v>INDCOG</v>
      </c>
      <c r="AN54" s="348">
        <f t="shared" si="6"/>
        <v>1.4930086025208198E-3</v>
      </c>
    </row>
    <row r="55" spans="1:41" x14ac:dyDescent="0.25">
      <c r="C55" t="str">
        <f>'Inputs_BY INM'!C146</f>
        <v>INDCOK</v>
      </c>
      <c r="G55" s="9"/>
      <c r="H55" s="61" t="s">
        <v>470</v>
      </c>
      <c r="I55" t="s">
        <v>512</v>
      </c>
      <c r="J55" s="288" t="str">
        <f>IF('Inputs_BY INM'!E146=0,"",'Inputs_BY INM'!E146)</f>
        <v/>
      </c>
      <c r="K55" s="288" t="str">
        <f>IF('Inputs_BY INM'!F146=0,"",'Inputs_BY INM'!F146)</f>
        <v/>
      </c>
      <c r="L55" s="288" t="str">
        <f>IF('Inputs_BY INM'!G146=0,"",'Inputs_BY INM'!G146)</f>
        <v/>
      </c>
      <c r="M55" s="288" t="str">
        <f>IF('Inputs_BY INM'!H146=0,"",'Inputs_BY INM'!H146)</f>
        <v/>
      </c>
      <c r="N55" s="288">
        <f>IF('Inputs_BY INM'!I146=0,"",'Inputs_BY INM'!I146)</f>
        <v>6.2734792966889774E-3</v>
      </c>
      <c r="O55" s="288">
        <f>IF('Inputs_BY INM'!J146=0,"",'Inputs_BY INM'!J146)</f>
        <v>9.3439466918223066E-3</v>
      </c>
      <c r="P55" s="288" t="str">
        <f>IF('Inputs_BY INM'!K146=0,"",'Inputs_BY INM'!K146)</f>
        <v/>
      </c>
      <c r="Q55" s="288" t="str">
        <f>IF('Inputs_BY INM'!L146=0,"",'Inputs_BY INM'!L146)</f>
        <v/>
      </c>
      <c r="R55" s="288">
        <f>IF('Inputs_BY INM'!M146=0,"",'Inputs_BY INM'!M146)</f>
        <v>4.6462872663186695E-2</v>
      </c>
      <c r="S55" s="288">
        <f>IF('Inputs_BY INM'!N146=0,"",'Inputs_BY INM'!N146)</f>
        <v>4.3279748144148866E-2</v>
      </c>
      <c r="T55" s="288" t="str">
        <f>IF('Inputs_BY INM'!O146=0,"",'Inputs_BY INM'!O146)</f>
        <v/>
      </c>
      <c r="U55" s="288" t="str">
        <f>IF('Inputs_BY INM'!P146=0,"",'Inputs_BY INM'!P146)</f>
        <v/>
      </c>
      <c r="V55" s="288">
        <f>IF('Inputs_BY INM'!Q146=0,"",'Inputs_BY INM'!Q146)</f>
        <v>2.5287297023574729E-2</v>
      </c>
      <c r="W55" s="288">
        <f>IF('Inputs_BY INM'!R146=0,"",'Inputs_BY INM'!R146)</f>
        <v>2.9974702407973845E-2</v>
      </c>
      <c r="X55" s="288">
        <f>IF('Inputs_BY INM'!S146=0,"",'Inputs_BY INM'!S146)</f>
        <v>0.12461988132353462</v>
      </c>
      <c r="Y55" s="288">
        <f>IF('Inputs_BY INM'!T146=0,"",'Inputs_BY INM'!T146)</f>
        <v>1.7399507941881921E-2</v>
      </c>
      <c r="Z55" s="288">
        <f>IF('Inputs_BY INM'!U146=0,"",'Inputs_BY INM'!U146)</f>
        <v>0.35925483711654532</v>
      </c>
      <c r="AA55" s="288" t="str">
        <f>IF('Inputs_BY INM'!V146=0,"",'Inputs_BY INM'!V146)</f>
        <v/>
      </c>
      <c r="AB55" s="288" t="str">
        <f>IF('Inputs_BY INM'!W146=0,"",'Inputs_BY INM'!W146)</f>
        <v/>
      </c>
      <c r="AC55" s="288">
        <f>IF('Inputs_BY INM'!X146=0,"",'Inputs_BY INM'!X146)</f>
        <v>9.205351820077616E-2</v>
      </c>
      <c r="AD55" s="288">
        <f>IF('Inputs_BY INM'!Y146=0,"",'Inputs_BY INM'!Y146)</f>
        <v>4.5995903262702779E-3</v>
      </c>
      <c r="AE55" s="288">
        <f>IF('Inputs_BY INM'!Z146=0,"",'Inputs_BY INM'!Z146)</f>
        <v>3.6085598193900469E-2</v>
      </c>
      <c r="AF55" s="288" t="str">
        <f>IF('Inputs_BY INM'!AA146=0,"",'Inputs_BY INM'!AA146)</f>
        <v/>
      </c>
      <c r="AG55" s="288" t="str">
        <f>IF('Inputs_BY INM'!AB146=0,"",'Inputs_BY INM'!AB146)</f>
        <v/>
      </c>
      <c r="AH55" s="288" t="str">
        <f>IF('Inputs_BY INM'!AC146=0,"",'Inputs_BY INM'!AC146)</f>
        <v/>
      </c>
      <c r="AI55" s="288">
        <f>IF('Inputs_BY INM'!AD146=0,"",'Inputs_BY INM'!AD146)</f>
        <v>2.312488436112441E-2</v>
      </c>
      <c r="AJ55" s="288" t="str">
        <f>IF('Inputs_BY INM'!AE146=0,"",'Inputs_BY INM'!AE146)</f>
        <v/>
      </c>
      <c r="AK55" s="288" t="str">
        <f>IF('Inputs_BY INM'!AF146=0,"",'Inputs_BY INM'!AF146)</f>
        <v/>
      </c>
      <c r="AM55" s="320" t="str">
        <f t="shared" si="5"/>
        <v>INDCOK</v>
      </c>
      <c r="AN55" s="348">
        <f t="shared" si="6"/>
        <v>6.016726722460005E-3</v>
      </c>
    </row>
    <row r="56" spans="1:41" x14ac:dyDescent="0.25">
      <c r="C56" t="str">
        <f>'Inputs_BY INM'!C147</f>
        <v>INDELC</v>
      </c>
      <c r="G56" s="9"/>
      <c r="H56" s="61" t="s">
        <v>470</v>
      </c>
      <c r="I56" t="s">
        <v>512</v>
      </c>
      <c r="J56" s="629">
        <f>IF('Inputs_BY INM'!E147=0,"",'Inputs_BY INM'!E147)</f>
        <v>0.14519313797063929</v>
      </c>
      <c r="K56" s="629">
        <f>IF('Inputs_BY INM'!F147=0,"",'Inputs_BY INM'!F147)</f>
        <v>0.14725799517916066</v>
      </c>
      <c r="L56" s="629">
        <f>IF('Inputs_BY INM'!G147=0,"",'Inputs_BY INM'!G147)</f>
        <v>0.27239753866668526</v>
      </c>
      <c r="M56" s="629">
        <f>IF('Inputs_BY INM'!H147=0,"",'Inputs_BY INM'!H147)</f>
        <v>0.15414767714838171</v>
      </c>
      <c r="N56" s="629">
        <f>IF('Inputs_BY INM'!I147=0,"",'Inputs_BY INM'!I147)</f>
        <v>0.20275890396558036</v>
      </c>
      <c r="O56" s="629">
        <f>IF('Inputs_BY INM'!J147=0,"",'Inputs_BY INM'!J147)</f>
        <v>0.15955554939312058</v>
      </c>
      <c r="P56" s="629">
        <f>IF('Inputs_BY INM'!K147=0,"",'Inputs_BY INM'!K147)</f>
        <v>0.12841925980580696</v>
      </c>
      <c r="Q56" s="629">
        <f>IF('Inputs_BY INM'!L147=0,"",'Inputs_BY INM'!L147)</f>
        <v>0.25354368385015102</v>
      </c>
      <c r="R56" s="629">
        <f>IF('Inputs_BY INM'!M147=0,"",'Inputs_BY INM'!M147)</f>
        <v>0.18897521212611029</v>
      </c>
      <c r="S56" s="629">
        <f>IF('Inputs_BY INM'!N147=0,"",'Inputs_BY INM'!N147)</f>
        <v>0.15185781836448906</v>
      </c>
      <c r="T56" s="629">
        <f>IF('Inputs_BY INM'!O147=0,"",'Inputs_BY INM'!O147)</f>
        <v>0.38303614460525814</v>
      </c>
      <c r="U56" s="629">
        <f>IF('Inputs_BY INM'!P147=0,"",'Inputs_BY INM'!P147)</f>
        <v>0.18971228111651026</v>
      </c>
      <c r="V56" s="629">
        <f>IF('Inputs_BY INM'!Q147=0,"",'Inputs_BY INM'!Q147)</f>
        <v>0.16075399331919546</v>
      </c>
      <c r="W56" s="629">
        <f>IF('Inputs_BY INM'!R147=0,"",'Inputs_BY INM'!R147)</f>
        <v>0.13559023311212431</v>
      </c>
      <c r="X56" s="629">
        <f>IF('Inputs_BY INM'!S147=0,"",'Inputs_BY INM'!S147)</f>
        <v>0.17381050939899115</v>
      </c>
      <c r="Y56" s="629">
        <f>IF('Inputs_BY INM'!T147=0,"",'Inputs_BY INM'!T147)</f>
        <v>0.15046651533863947</v>
      </c>
      <c r="Z56" s="629">
        <f>IF('Inputs_BY INM'!U147=0,"",'Inputs_BY INM'!U147)</f>
        <v>0.18149833349618855</v>
      </c>
      <c r="AA56" s="629">
        <f>IF('Inputs_BY INM'!V147=0,"",'Inputs_BY INM'!V147)</f>
        <v>0.12288651538119499</v>
      </c>
      <c r="AB56" s="629">
        <f>IF('Inputs_BY INM'!W147=0,"",'Inputs_BY INM'!W147)</f>
        <v>0.14041773752519116</v>
      </c>
      <c r="AC56" s="629">
        <f>IF('Inputs_BY INM'!X147=0,"",'Inputs_BY INM'!X147)</f>
        <v>0.11568495922304038</v>
      </c>
      <c r="AD56" s="629">
        <f>IF('Inputs_BY INM'!Y147=0,"",'Inputs_BY INM'!Y147)</f>
        <v>0.15924670528752319</v>
      </c>
      <c r="AE56" s="629">
        <f>IF('Inputs_BY INM'!Z147=0,"",'Inputs_BY INM'!Z147)</f>
        <v>0.14229082339577739</v>
      </c>
      <c r="AF56" s="629">
        <f>IF('Inputs_BY INM'!AA147=0,"",'Inputs_BY INM'!AA147)</f>
        <v>0.12870914700790859</v>
      </c>
      <c r="AG56" s="629">
        <f>IF('Inputs_BY INM'!AB147=0,"",'Inputs_BY INM'!AB147)</f>
        <v>0.14032774401548889</v>
      </c>
      <c r="AH56" s="629">
        <f>IF('Inputs_BY INM'!AC147=0,"",'Inputs_BY INM'!AC147)</f>
        <v>0.16566793910469019</v>
      </c>
      <c r="AI56" s="629">
        <f>IF('Inputs_BY INM'!AD147=0,"",'Inputs_BY INM'!AD147)</f>
        <v>0.18518223839461048</v>
      </c>
      <c r="AJ56" s="629">
        <f>IF('Inputs_BY INM'!AE147=0,"",'Inputs_BY INM'!AE147)</f>
        <v>0.11758780518433266</v>
      </c>
      <c r="AK56" s="629">
        <f>IF('Inputs_BY INM'!AF147=0,"",'Inputs_BY INM'!AF147)</f>
        <v>0.16626267351893292</v>
      </c>
      <c r="AM56" s="320" t="str">
        <f t="shared" si="5"/>
        <v>INDELC</v>
      </c>
      <c r="AN56" s="348">
        <f t="shared" si="6"/>
        <v>3.5045872388529124E-2</v>
      </c>
      <c r="AO56" s="462"/>
    </row>
    <row r="57" spans="1:41" x14ac:dyDescent="0.25">
      <c r="C57" t="str">
        <f>'Inputs_BY INM'!C148</f>
        <v>INDGAS</v>
      </c>
      <c r="G57" s="9"/>
      <c r="H57" s="61" t="s">
        <v>470</v>
      </c>
      <c r="I57" t="s">
        <v>512</v>
      </c>
      <c r="J57" s="288">
        <f>IF('Inputs_BY INM'!E148=0,"",'Inputs_BY INM'!E148)</f>
        <v>0.18247140729516481</v>
      </c>
      <c r="K57" s="288">
        <f>IF('Inputs_BY INM'!F148=0,"",'Inputs_BY INM'!F148)</f>
        <v>1.1071436268241874</v>
      </c>
      <c r="L57" s="288" t="str">
        <f>IF('Inputs_BY INM'!G148=0,"",'Inputs_BY INM'!G148)</f>
        <v/>
      </c>
      <c r="M57" s="288">
        <f>IF('Inputs_BY INM'!H148=0,"",'Inputs_BY INM'!H148)</f>
        <v>1.22411004371822</v>
      </c>
      <c r="N57" s="288">
        <f>IF('Inputs_BY INM'!I148=0,"",'Inputs_BY INM'!I148)</f>
        <v>2.7934409201645645</v>
      </c>
      <c r="O57" s="288">
        <f>IF('Inputs_BY INM'!J148=0,"",'Inputs_BY INM'!J148)</f>
        <v>2.3196255330959827</v>
      </c>
      <c r="P57" s="288">
        <f>IF('Inputs_BY INM'!K148=0,"",'Inputs_BY INM'!K148)</f>
        <v>0.39194161323300136</v>
      </c>
      <c r="Q57" s="288" t="str">
        <f>IF('Inputs_BY INM'!L148=0,"",'Inputs_BY INM'!L148)</f>
        <v/>
      </c>
      <c r="R57" s="288">
        <f>IF('Inputs_BY INM'!M148=0,"",'Inputs_BY INM'!M148)</f>
        <v>1.2290147297212259</v>
      </c>
      <c r="S57" s="288">
        <f>IF('Inputs_BY INM'!N148=0,"",'Inputs_BY INM'!N148)</f>
        <v>2.2896988143891477</v>
      </c>
      <c r="T57" s="288">
        <f>IF('Inputs_BY INM'!O148=0,"",'Inputs_BY INM'!O148)</f>
        <v>0.17730324854412433</v>
      </c>
      <c r="U57" s="288" t="str">
        <f>IF('Inputs_BY INM'!P148=0,"",'Inputs_BY INM'!P148)</f>
        <v/>
      </c>
      <c r="V57" s="288">
        <f>IF('Inputs_BY INM'!Q148=0,"",'Inputs_BY INM'!Q148)</f>
        <v>1.3724495383026141</v>
      </c>
      <c r="W57" s="288">
        <f>IF('Inputs_BY INM'!R148=0,"",'Inputs_BY INM'!R148)</f>
        <v>2.3030266531111656</v>
      </c>
      <c r="X57" s="288">
        <f>IF('Inputs_BY INM'!S148=0,"",'Inputs_BY INM'!S148)</f>
        <v>1.9164762267329218</v>
      </c>
      <c r="Y57" s="288">
        <f>IF('Inputs_BY INM'!T148=0,"",'Inputs_BY INM'!T148)</f>
        <v>2.3611528578290795</v>
      </c>
      <c r="Z57" s="288">
        <f>IF('Inputs_BY INM'!U148=0,"",'Inputs_BY INM'!U148)</f>
        <v>2.0289203860443581</v>
      </c>
      <c r="AA57" s="288">
        <f>IF('Inputs_BY INM'!V148=0,"",'Inputs_BY INM'!V148)</f>
        <v>0.43107126716008537</v>
      </c>
      <c r="AB57" s="288" t="str">
        <f>IF('Inputs_BY INM'!W148=0,"",'Inputs_BY INM'!W148)</f>
        <v/>
      </c>
      <c r="AC57" s="288">
        <f>IF('Inputs_BY INM'!X148=0,"",'Inputs_BY INM'!X148)</f>
        <v>0.53590743091853998</v>
      </c>
      <c r="AD57" s="288">
        <f>IF('Inputs_BY INM'!Y148=0,"",'Inputs_BY INM'!Y148)</f>
        <v>1.426799321494608</v>
      </c>
      <c r="AE57" s="288">
        <f>IF('Inputs_BY INM'!Z148=0,"",'Inputs_BY INM'!Z148)</f>
        <v>1.0120580607227792</v>
      </c>
      <c r="AF57" s="288">
        <f>IF('Inputs_BY INM'!AA148=0,"",'Inputs_BY INM'!AA148)</f>
        <v>3.9910526883149942</v>
      </c>
      <c r="AG57" s="288">
        <f>IF('Inputs_BY INM'!AB148=0,"",'Inputs_BY INM'!AB148)</f>
        <v>1.2170910508582491</v>
      </c>
      <c r="AH57" s="288">
        <f>IF('Inputs_BY INM'!AC148=0,"",'Inputs_BY INM'!AC148)</f>
        <v>3.1848718526108599</v>
      </c>
      <c r="AI57" s="288">
        <f>IF('Inputs_BY INM'!AD148=0,"",'Inputs_BY INM'!AD148)</f>
        <v>3.2415702888838256</v>
      </c>
      <c r="AJ57" s="288">
        <f>IF('Inputs_BY INM'!AE148=0,"",'Inputs_BY INM'!AE148)</f>
        <v>0.77050714536362752</v>
      </c>
      <c r="AK57" s="288">
        <f>IF('Inputs_BY INM'!AF148=0,"",'Inputs_BY INM'!AF148)</f>
        <v>2.8040115374639605</v>
      </c>
      <c r="AM57" s="320" t="str">
        <f t="shared" si="5"/>
        <v>INDGAS</v>
      </c>
      <c r="AN57" s="348">
        <f t="shared" si="6"/>
        <v>0.29659633728097068</v>
      </c>
    </row>
    <row r="58" spans="1:41" x14ac:dyDescent="0.25">
      <c r="C58" t="str">
        <f>'Inputs_BY INM'!C149</f>
        <v>INDHET</v>
      </c>
      <c r="G58" s="9"/>
      <c r="H58" s="61" t="s">
        <v>470</v>
      </c>
      <c r="I58" t="s">
        <v>512</v>
      </c>
      <c r="J58" s="288" t="str">
        <f>IF('Inputs_BY INM'!E149=0,"",'Inputs_BY INM'!E149)</f>
        <v/>
      </c>
      <c r="K58" s="288" t="str">
        <f>IF('Inputs_BY INM'!F149=0,"",'Inputs_BY INM'!F149)</f>
        <v/>
      </c>
      <c r="L58" s="288" t="str">
        <f>IF('Inputs_BY INM'!G149=0,"",'Inputs_BY INM'!G149)</f>
        <v/>
      </c>
      <c r="M58" s="288" t="str">
        <f>IF('Inputs_BY INM'!H149=0,"",'Inputs_BY INM'!H149)</f>
        <v/>
      </c>
      <c r="N58" s="288" t="str">
        <f>IF('Inputs_BY INM'!I149=0,"",'Inputs_BY INM'!I149)</f>
        <v/>
      </c>
      <c r="O58" s="288">
        <f>IF('Inputs_BY INM'!J149=0,"",'Inputs_BY INM'!J149)</f>
        <v>8.0993182194333269E-2</v>
      </c>
      <c r="P58" s="288" t="str">
        <f>IF('Inputs_BY INM'!K149=0,"",'Inputs_BY INM'!K149)</f>
        <v/>
      </c>
      <c r="Q58" s="288" t="str">
        <f>IF('Inputs_BY INM'!L149=0,"",'Inputs_BY INM'!L149)</f>
        <v/>
      </c>
      <c r="R58" s="288" t="str">
        <f>IF('Inputs_BY INM'!M149=0,"",'Inputs_BY INM'!M149)</f>
        <v/>
      </c>
      <c r="S58" s="288" t="str">
        <f>IF('Inputs_BY INM'!N149=0,"",'Inputs_BY INM'!N149)</f>
        <v/>
      </c>
      <c r="T58" s="288" t="str">
        <f>IF('Inputs_BY INM'!O149=0,"",'Inputs_BY INM'!O149)</f>
        <v/>
      </c>
      <c r="U58" s="288" t="str">
        <f>IF('Inputs_BY INM'!P149=0,"",'Inputs_BY INM'!P149)</f>
        <v/>
      </c>
      <c r="V58" s="288">
        <f>IF('Inputs_BY INM'!Q149=0,"",'Inputs_BY INM'!Q149)</f>
        <v>0.21215613604524564</v>
      </c>
      <c r="W58" s="288">
        <f>IF('Inputs_BY INM'!R149=0,"",'Inputs_BY INM'!R149)</f>
        <v>1.6010226805445971E-3</v>
      </c>
      <c r="X58" s="288">
        <f>IF('Inputs_BY INM'!S149=0,"",'Inputs_BY INM'!S149)</f>
        <v>3.6854665388719364E-2</v>
      </c>
      <c r="Y58" s="288">
        <f>IF('Inputs_BY INM'!T149=0,"",'Inputs_BY INM'!T149)</f>
        <v>6.9720696411369576E-2</v>
      </c>
      <c r="Z58" s="288">
        <f>IF('Inputs_BY INM'!U149=0,"",'Inputs_BY INM'!U149)</f>
        <v>2.5266902918988692E-2</v>
      </c>
      <c r="AA58" s="288" t="str">
        <f>IF('Inputs_BY INM'!V149=0,"",'Inputs_BY INM'!V149)</f>
        <v/>
      </c>
      <c r="AB58" s="288" t="str">
        <f>IF('Inputs_BY INM'!W149=0,"",'Inputs_BY INM'!W149)</f>
        <v/>
      </c>
      <c r="AC58" s="288" t="str">
        <f>IF('Inputs_BY INM'!X149=0,"",'Inputs_BY INM'!X149)</f>
        <v/>
      </c>
      <c r="AD58" s="288" t="str">
        <f>IF('Inputs_BY INM'!Y149=0,"",'Inputs_BY INM'!Y149)</f>
        <v/>
      </c>
      <c r="AE58" s="288" t="str">
        <f>IF('Inputs_BY INM'!Z149=0,"",'Inputs_BY INM'!Z149)</f>
        <v/>
      </c>
      <c r="AF58" s="288" t="str">
        <f>IF('Inputs_BY INM'!AA149=0,"",'Inputs_BY INM'!AA149)</f>
        <v/>
      </c>
      <c r="AG58" s="288" t="str">
        <f>IF('Inputs_BY INM'!AB149=0,"",'Inputs_BY INM'!AB149)</f>
        <v/>
      </c>
      <c r="AH58" s="288" t="str">
        <f>IF('Inputs_BY INM'!AC149=0,"",'Inputs_BY INM'!AC149)</f>
        <v/>
      </c>
      <c r="AI58" s="288">
        <f>IF('Inputs_BY INM'!AD149=0,"",'Inputs_BY INM'!AD149)</f>
        <v>0.84613970973047314</v>
      </c>
      <c r="AJ58" s="288">
        <f>IF('Inputs_BY INM'!AE149=0,"",'Inputs_BY INM'!AE149)</f>
        <v>3.6821955061351616E-3</v>
      </c>
      <c r="AK58" s="288">
        <f>IF('Inputs_BY INM'!AF149=0,"",'Inputs_BY INM'!AF149)</f>
        <v>1.0474165899914012E-3</v>
      </c>
      <c r="AM58" s="320" t="str">
        <f t="shared" si="5"/>
        <v>INDHET</v>
      </c>
      <c r="AN58" s="348">
        <f t="shared" si="6"/>
        <v>9.3990175565880039E-3</v>
      </c>
    </row>
    <row r="59" spans="1:41" x14ac:dyDescent="0.25">
      <c r="C59" t="str">
        <f>'Inputs_BY INM'!C150</f>
        <v>INDLPG</v>
      </c>
      <c r="G59" s="9"/>
      <c r="H59" s="61" t="s">
        <v>470</v>
      </c>
      <c r="I59" t="s">
        <v>512</v>
      </c>
      <c r="J59" s="288" t="str">
        <f>IF('Inputs_BY INM'!E150=0,"",'Inputs_BY INM'!E150)</f>
        <v/>
      </c>
      <c r="K59" s="288">
        <f>IF('Inputs_BY INM'!F150=0,"",'Inputs_BY INM'!F150)</f>
        <v>6.9498345153712643E-2</v>
      </c>
      <c r="L59" s="288" t="str">
        <f>IF('Inputs_BY INM'!G150=0,"",'Inputs_BY INM'!G150)</f>
        <v/>
      </c>
      <c r="M59" s="288" t="str">
        <f>IF('Inputs_BY INM'!H150=0,"",'Inputs_BY INM'!H150)</f>
        <v/>
      </c>
      <c r="N59" s="288">
        <f>IF('Inputs_BY INM'!I150=0,"",'Inputs_BY INM'!I150)</f>
        <v>0.24280688389036967</v>
      </c>
      <c r="O59" s="288">
        <f>IF('Inputs_BY INM'!J150=0,"",'Inputs_BY INM'!J150)</f>
        <v>2.1642501033232692E-2</v>
      </c>
      <c r="P59" s="288">
        <f>IF('Inputs_BY INM'!K150=0,"",'Inputs_BY INM'!K150)</f>
        <v>3.2567149727780742E-2</v>
      </c>
      <c r="Q59" s="288" t="str">
        <f>IF('Inputs_BY INM'!L150=0,"",'Inputs_BY INM'!L150)</f>
        <v/>
      </c>
      <c r="R59" s="288">
        <f>IF('Inputs_BY INM'!M150=0,"",'Inputs_BY INM'!M150)</f>
        <v>0.17585628268899414</v>
      </c>
      <c r="S59" s="288" t="str">
        <f>IF('Inputs_BY INM'!N150=0,"",'Inputs_BY INM'!N150)</f>
        <v/>
      </c>
      <c r="T59" s="288">
        <f>IF('Inputs_BY INM'!O150=0,"",'Inputs_BY INM'!O150)</f>
        <v>2.7128365897461645E-2</v>
      </c>
      <c r="U59" s="288">
        <f>IF('Inputs_BY INM'!P150=0,"",'Inputs_BY INM'!P150)</f>
        <v>2.5563312882450728E-2</v>
      </c>
      <c r="V59" s="288">
        <f>IF('Inputs_BY INM'!Q150=0,"",'Inputs_BY INM'!Q150)</f>
        <v>3.9080368127342779E-2</v>
      </c>
      <c r="W59" s="288">
        <f>IF('Inputs_BY INM'!R150=0,"",'Inputs_BY INM'!R150)</f>
        <v>6.8577138149993569E-2</v>
      </c>
      <c r="X59" s="288">
        <f>IF('Inputs_BY INM'!S150=0,"",'Inputs_BY INM'!S150)</f>
        <v>1.704864539423423E-2</v>
      </c>
      <c r="Y59" s="288">
        <f>IF('Inputs_BY INM'!T150=0,"",'Inputs_BY INM'!T150)</f>
        <v>5.3302505620222873E-2</v>
      </c>
      <c r="Z59" s="288">
        <f>IF('Inputs_BY INM'!U150=0,"",'Inputs_BY INM'!U150)</f>
        <v>3.1381016691366614E-2</v>
      </c>
      <c r="AA59" s="288">
        <f>IF('Inputs_BY INM'!V150=0,"",'Inputs_BY INM'!V150)</f>
        <v>0.17676330172933111</v>
      </c>
      <c r="AB59" s="288" t="str">
        <f>IF('Inputs_BY INM'!W150=0,"",'Inputs_BY INM'!W150)</f>
        <v/>
      </c>
      <c r="AC59" s="288">
        <f>IF('Inputs_BY INM'!X150=0,"",'Inputs_BY INM'!X150)</f>
        <v>6.6439497355503058E-2</v>
      </c>
      <c r="AD59" s="288">
        <f>IF('Inputs_BY INM'!Y150=0,"",'Inputs_BY INM'!Y150)</f>
        <v>3.6844205999206715E-2</v>
      </c>
      <c r="AE59" s="288">
        <f>IF('Inputs_BY INM'!Z150=0,"",'Inputs_BY INM'!Z150)</f>
        <v>3.1469069695433346E-3</v>
      </c>
      <c r="AF59" s="288" t="str">
        <f>IF('Inputs_BY INM'!AA150=0,"",'Inputs_BY INM'!AA150)</f>
        <v/>
      </c>
      <c r="AG59" s="288">
        <f>IF('Inputs_BY INM'!AB150=0,"",'Inputs_BY INM'!AB150)</f>
        <v>2.2909011739460049E-3</v>
      </c>
      <c r="AH59" s="288" t="str">
        <f>IF('Inputs_BY INM'!AC150=0,"",'Inputs_BY INM'!AC150)</f>
        <v/>
      </c>
      <c r="AI59" s="288">
        <f>IF('Inputs_BY INM'!AD150=0,"",'Inputs_BY INM'!AD150)</f>
        <v>7.1608849177718032E-3</v>
      </c>
      <c r="AJ59" s="288">
        <f>IF('Inputs_BY INM'!AE150=0,"",'Inputs_BY INM'!AE150)</f>
        <v>1.9989061319019449E-2</v>
      </c>
      <c r="AK59" s="288">
        <f>IF('Inputs_BY INM'!AF150=0,"",'Inputs_BY INM'!AF150)</f>
        <v>5.0402529867371454E-3</v>
      </c>
      <c r="AM59" s="320" t="str">
        <f t="shared" si="5"/>
        <v>INDLPG</v>
      </c>
      <c r="AN59" s="348">
        <f t="shared" si="6"/>
        <v>8.2561335934159246E-3</v>
      </c>
    </row>
    <row r="60" spans="1:41" x14ac:dyDescent="0.25">
      <c r="C60" t="str">
        <f>'Inputs_BY INM'!C151</f>
        <v>INDOIL</v>
      </c>
      <c r="G60" s="9"/>
      <c r="H60" s="61" t="s">
        <v>470</v>
      </c>
      <c r="I60" t="s">
        <v>512</v>
      </c>
      <c r="J60" s="288">
        <f>IF('Inputs_BY INM'!E151=0,"",'Inputs_BY INM'!E151)</f>
        <v>1.6501014650435462</v>
      </c>
      <c r="K60" s="288">
        <f>IF('Inputs_BY INM'!F151=0,"",'Inputs_BY INM'!F151)</f>
        <v>1.6381619340869069</v>
      </c>
      <c r="L60" s="288">
        <f>IF('Inputs_BY INM'!G151=0,"",'Inputs_BY INM'!G151)</f>
        <v>3.0527184543453392</v>
      </c>
      <c r="M60" s="288">
        <f>IF('Inputs_BY INM'!H151=0,"",'Inputs_BY INM'!H151)</f>
        <v>0.1479103807351537</v>
      </c>
      <c r="N60" s="288">
        <f>IF('Inputs_BY INM'!I151=0,"",'Inputs_BY INM'!I151)</f>
        <v>0.17269494397274382</v>
      </c>
      <c r="O60" s="288">
        <f>IF('Inputs_BY INM'!J151=0,"",'Inputs_BY INM'!J151)</f>
        <v>0.13055672551617331</v>
      </c>
      <c r="P60" s="288">
        <f>IF('Inputs_BY INM'!K151=0,"",'Inputs_BY INM'!K151)</f>
        <v>0.14330395088821382</v>
      </c>
      <c r="Q60" s="288">
        <f>IF('Inputs_BY INM'!L151=0,"",'Inputs_BY INM'!L151)</f>
        <v>0.56964433815263726</v>
      </c>
      <c r="R60" s="288">
        <f>IF('Inputs_BY INM'!M151=0,"",'Inputs_BY INM'!M151)</f>
        <v>2.9573445265821929</v>
      </c>
      <c r="S60" s="288">
        <f>IF('Inputs_BY INM'!N151=0,"",'Inputs_BY INM'!N151)</f>
        <v>1.317342969884693</v>
      </c>
      <c r="T60" s="288">
        <f>IF('Inputs_BY INM'!O151=0,"",'Inputs_BY INM'!O151)</f>
        <v>4.4078750232322053</v>
      </c>
      <c r="U60" s="288">
        <f>IF('Inputs_BY INM'!P151=0,"",'Inputs_BY INM'!P151)</f>
        <v>0.29550650152582597</v>
      </c>
      <c r="V60" s="288">
        <f>IF('Inputs_BY INM'!Q151=0,"",'Inputs_BY INM'!Q151)</f>
        <v>0.67441883540994618</v>
      </c>
      <c r="W60" s="288">
        <f>IF('Inputs_BY INM'!R151=0,"",'Inputs_BY INM'!R151)</f>
        <v>0.3950078735721419</v>
      </c>
      <c r="X60" s="288">
        <f>IF('Inputs_BY INM'!S151=0,"",'Inputs_BY INM'!S151)</f>
        <v>0.56433706376476522</v>
      </c>
      <c r="Y60" s="288">
        <f>IF('Inputs_BY INM'!T151=0,"",'Inputs_BY INM'!T151)</f>
        <v>1.3800621648978892</v>
      </c>
      <c r="Z60" s="288">
        <f>IF('Inputs_BY INM'!U151=0,"",'Inputs_BY INM'!U151)</f>
        <v>0.51613608387251142</v>
      </c>
      <c r="AA60" s="288">
        <f>IF('Inputs_BY INM'!V151=0,"",'Inputs_BY INM'!V151)</f>
        <v>0.37995681104012557</v>
      </c>
      <c r="AB60" s="288">
        <f>IF('Inputs_BY INM'!W151=0,"",'Inputs_BY INM'!W151)</f>
        <v>0.46602657130996605</v>
      </c>
      <c r="AC60" s="288">
        <f>IF('Inputs_BY INM'!X151=0,"",'Inputs_BY INM'!X151)</f>
        <v>1.2405935598188405</v>
      </c>
      <c r="AD60" s="288">
        <f>IF('Inputs_BY INM'!Y151=0,"",'Inputs_BY INM'!Y151)</f>
        <v>1.5226745372172157</v>
      </c>
      <c r="AE60" s="288">
        <f>IF('Inputs_BY INM'!Z151=0,"",'Inputs_BY INM'!Z151)</f>
        <v>2.1244337649416605</v>
      </c>
      <c r="AF60" s="288" t="str">
        <f>IF('Inputs_BY INM'!AA151=0,"",'Inputs_BY INM'!AA151)</f>
        <v/>
      </c>
      <c r="AG60" s="288">
        <f>IF('Inputs_BY INM'!AB151=0,"",'Inputs_BY INM'!AB151)</f>
        <v>3.3346307685758614</v>
      </c>
      <c r="AH60" s="288">
        <f>IF('Inputs_BY INM'!AC151=0,"",'Inputs_BY INM'!AC151)</f>
        <v>1.3649450796903686</v>
      </c>
      <c r="AI60" s="288">
        <f>IF('Inputs_BY INM'!AD151=0,"",'Inputs_BY INM'!AD151)</f>
        <v>0.21813010244188616</v>
      </c>
      <c r="AJ60" s="288">
        <f>IF('Inputs_BY INM'!AE151=0,"",'Inputs_BY INM'!AE151)</f>
        <v>0.71245841620808481</v>
      </c>
      <c r="AK60" s="288">
        <f>IF('Inputs_BY INM'!AF151=0,"",'Inputs_BY INM'!AF151)</f>
        <v>0.34129612658169484</v>
      </c>
      <c r="AM60" s="320" t="str">
        <f t="shared" si="5"/>
        <v>INDOIL</v>
      </c>
      <c r="AN60" s="348">
        <f t="shared" si="6"/>
        <v>0.23336943398079391</v>
      </c>
    </row>
    <row r="61" spans="1:41" x14ac:dyDescent="0.25">
      <c r="C61" t="str">
        <f>'Inputs_BY INM'!C152</f>
        <v>INDGEO</v>
      </c>
      <c r="G61" s="9"/>
      <c r="H61" s="61" t="s">
        <v>470</v>
      </c>
      <c r="I61" t="s">
        <v>512</v>
      </c>
      <c r="J61" s="288" t="str">
        <f>IF('Inputs_BY INM'!E152=0,"",'Inputs_BY INM'!E152)</f>
        <v/>
      </c>
      <c r="K61" s="288" t="str">
        <f>IF('Inputs_BY INM'!F152=0,"",'Inputs_BY INM'!F152)</f>
        <v/>
      </c>
      <c r="L61" s="288" t="str">
        <f>IF('Inputs_BY INM'!G152=0,"",'Inputs_BY INM'!G152)</f>
        <v/>
      </c>
      <c r="M61" s="288" t="str">
        <f>IF('Inputs_BY INM'!H152=0,"",'Inputs_BY INM'!H152)</f>
        <v/>
      </c>
      <c r="N61" s="288" t="str">
        <f>IF('Inputs_BY INM'!I152=0,"",'Inputs_BY INM'!I152)</f>
        <v/>
      </c>
      <c r="O61" s="288" t="str">
        <f>IF('Inputs_BY INM'!J152=0,"",'Inputs_BY INM'!J152)</f>
        <v/>
      </c>
      <c r="P61" s="288" t="str">
        <f>IF('Inputs_BY INM'!K152=0,"",'Inputs_BY INM'!K152)</f>
        <v/>
      </c>
      <c r="Q61" s="288" t="str">
        <f>IF('Inputs_BY INM'!L152=0,"",'Inputs_BY INM'!L152)</f>
        <v/>
      </c>
      <c r="R61" s="288" t="str">
        <f>IF('Inputs_BY INM'!M152=0,"",'Inputs_BY INM'!M152)</f>
        <v/>
      </c>
      <c r="S61" s="288" t="str">
        <f>IF('Inputs_BY INM'!N152=0,"",'Inputs_BY INM'!N152)</f>
        <v/>
      </c>
      <c r="T61" s="288" t="str">
        <f>IF('Inputs_BY INM'!O152=0,"",'Inputs_BY INM'!O152)</f>
        <v/>
      </c>
      <c r="U61" s="288" t="str">
        <f>IF('Inputs_BY INM'!P152=0,"",'Inputs_BY INM'!P152)</f>
        <v/>
      </c>
      <c r="V61" s="288" t="str">
        <f>IF('Inputs_BY INM'!Q152=0,"",'Inputs_BY INM'!Q152)</f>
        <v/>
      </c>
      <c r="W61" s="288" t="str">
        <f>IF('Inputs_BY INM'!R152=0,"",'Inputs_BY INM'!R152)</f>
        <v/>
      </c>
      <c r="X61" s="288" t="str">
        <f>IF('Inputs_BY INM'!S152=0,"",'Inputs_BY INM'!S152)</f>
        <v/>
      </c>
      <c r="Y61" s="288" t="str">
        <f>IF('Inputs_BY INM'!T152=0,"",'Inputs_BY INM'!T152)</f>
        <v/>
      </c>
      <c r="Z61" s="288" t="str">
        <f>IF('Inputs_BY INM'!U152=0,"",'Inputs_BY INM'!U152)</f>
        <v/>
      </c>
      <c r="AA61" s="288" t="str">
        <f>IF('Inputs_BY INM'!V152=0,"",'Inputs_BY INM'!V152)</f>
        <v/>
      </c>
      <c r="AB61" s="288" t="str">
        <f>IF('Inputs_BY INM'!W152=0,"",'Inputs_BY INM'!W152)</f>
        <v/>
      </c>
      <c r="AC61" s="288" t="str">
        <f>IF('Inputs_BY INM'!X152=0,"",'Inputs_BY INM'!X152)</f>
        <v/>
      </c>
      <c r="AD61" s="288" t="str">
        <f>IF('Inputs_BY INM'!Y152=0,"",'Inputs_BY INM'!Y152)</f>
        <v/>
      </c>
      <c r="AE61" s="288" t="str">
        <f>IF('Inputs_BY INM'!Z152=0,"",'Inputs_BY INM'!Z152)</f>
        <v/>
      </c>
      <c r="AF61" s="288" t="str">
        <f>IF('Inputs_BY INM'!AA152=0,"",'Inputs_BY INM'!AA152)</f>
        <v/>
      </c>
      <c r="AG61" s="288" t="str">
        <f>IF('Inputs_BY INM'!AB152=0,"",'Inputs_BY INM'!AB152)</f>
        <v/>
      </c>
      <c r="AH61" s="288" t="str">
        <f>IF('Inputs_BY INM'!AC152=0,"",'Inputs_BY INM'!AC152)</f>
        <v/>
      </c>
      <c r="AI61" s="288" t="str">
        <f>IF('Inputs_BY INM'!AD152=0,"",'Inputs_BY INM'!AD152)</f>
        <v/>
      </c>
      <c r="AJ61" s="288" t="str">
        <f>IF('Inputs_BY INM'!AE152=0,"",'Inputs_BY INM'!AE152)</f>
        <v/>
      </c>
      <c r="AK61" s="288" t="str">
        <f>IF('Inputs_BY INM'!AF152=0,"",'Inputs_BY INM'!AF152)</f>
        <v/>
      </c>
      <c r="AM61" s="320" t="str">
        <f t="shared" si="5"/>
        <v>INDGEO</v>
      </c>
      <c r="AN61" s="348">
        <f t="shared" si="6"/>
        <v>0</v>
      </c>
    </row>
    <row r="62" spans="1:41" x14ac:dyDescent="0.25">
      <c r="C62" t="str">
        <f>'Inputs_BY INM'!C153</f>
        <v>INDCSP</v>
      </c>
      <c r="G62" s="9"/>
      <c r="H62" s="61" t="s">
        <v>470</v>
      </c>
      <c r="I62" t="s">
        <v>512</v>
      </c>
      <c r="J62" s="288" t="str">
        <f>IF('Inputs_BY INM'!E153=0,"",'Inputs_BY INM'!E153)</f>
        <v/>
      </c>
      <c r="K62" s="288" t="str">
        <f>IF('Inputs_BY INM'!F153=0,"",'Inputs_BY INM'!F153)</f>
        <v/>
      </c>
      <c r="L62" s="288" t="str">
        <f>IF('Inputs_BY INM'!G153=0,"",'Inputs_BY INM'!G153)</f>
        <v/>
      </c>
      <c r="M62" s="288" t="str">
        <f>IF('Inputs_BY INM'!H153=0,"",'Inputs_BY INM'!H153)</f>
        <v/>
      </c>
      <c r="N62" s="288" t="str">
        <f>IF('Inputs_BY INM'!I153=0,"",'Inputs_BY INM'!I153)</f>
        <v/>
      </c>
      <c r="O62" s="288" t="str">
        <f>IF('Inputs_BY INM'!J153=0,"",'Inputs_BY INM'!J153)</f>
        <v/>
      </c>
      <c r="P62" s="288" t="str">
        <f>IF('Inputs_BY INM'!K153=0,"",'Inputs_BY INM'!K153)</f>
        <v/>
      </c>
      <c r="Q62" s="288" t="str">
        <f>IF('Inputs_BY INM'!L153=0,"",'Inputs_BY INM'!L153)</f>
        <v/>
      </c>
      <c r="R62" s="288" t="str">
        <f>IF('Inputs_BY INM'!M153=0,"",'Inputs_BY INM'!M153)</f>
        <v/>
      </c>
      <c r="S62" s="288" t="str">
        <f>IF('Inputs_BY INM'!N153=0,"",'Inputs_BY INM'!N153)</f>
        <v/>
      </c>
      <c r="T62" s="288" t="str">
        <f>IF('Inputs_BY INM'!O153=0,"",'Inputs_BY INM'!O153)</f>
        <v/>
      </c>
      <c r="U62" s="288" t="str">
        <f>IF('Inputs_BY INM'!P153=0,"",'Inputs_BY INM'!P153)</f>
        <v/>
      </c>
      <c r="V62" s="288" t="str">
        <f>IF('Inputs_BY INM'!Q153=0,"",'Inputs_BY INM'!Q153)</f>
        <v/>
      </c>
      <c r="W62" s="288" t="str">
        <f>IF('Inputs_BY INM'!R153=0,"",'Inputs_BY INM'!R153)</f>
        <v/>
      </c>
      <c r="X62" s="288" t="str">
        <f>IF('Inputs_BY INM'!S153=0,"",'Inputs_BY INM'!S153)</f>
        <v/>
      </c>
      <c r="Y62" s="288" t="str">
        <f>IF('Inputs_BY INM'!T153=0,"",'Inputs_BY INM'!T153)</f>
        <v/>
      </c>
      <c r="Z62" s="288" t="str">
        <f>IF('Inputs_BY INM'!U153=0,"",'Inputs_BY INM'!U153)</f>
        <v/>
      </c>
      <c r="AA62" s="288" t="str">
        <f>IF('Inputs_BY INM'!V153=0,"",'Inputs_BY INM'!V153)</f>
        <v/>
      </c>
      <c r="AB62" s="288" t="str">
        <f>IF('Inputs_BY INM'!W153=0,"",'Inputs_BY INM'!W153)</f>
        <v/>
      </c>
      <c r="AC62" s="288" t="str">
        <f>IF('Inputs_BY INM'!X153=0,"",'Inputs_BY INM'!X153)</f>
        <v/>
      </c>
      <c r="AD62" s="288" t="str">
        <f>IF('Inputs_BY INM'!Y153=0,"",'Inputs_BY INM'!Y153)</f>
        <v/>
      </c>
      <c r="AE62" s="288" t="str">
        <f>IF('Inputs_BY INM'!Z153=0,"",'Inputs_BY INM'!Z153)</f>
        <v/>
      </c>
      <c r="AF62" s="288" t="str">
        <f>IF('Inputs_BY INM'!AA153=0,"",'Inputs_BY INM'!AA153)</f>
        <v/>
      </c>
      <c r="AG62" s="288" t="str">
        <f>IF('Inputs_BY INM'!AB153=0,"",'Inputs_BY INM'!AB153)</f>
        <v/>
      </c>
      <c r="AH62" s="288" t="str">
        <f>IF('Inputs_BY INM'!AC153=0,"",'Inputs_BY INM'!AC153)</f>
        <v/>
      </c>
      <c r="AI62" s="288" t="str">
        <f>IF('Inputs_BY INM'!AD153=0,"",'Inputs_BY INM'!AD153)</f>
        <v/>
      </c>
      <c r="AJ62" s="288" t="str">
        <f>IF('Inputs_BY INM'!AE153=0,"",'Inputs_BY INM'!AE153)</f>
        <v/>
      </c>
      <c r="AK62" s="288" t="str">
        <f>IF('Inputs_BY INM'!AF153=0,"",'Inputs_BY INM'!AF153)</f>
        <v/>
      </c>
      <c r="AM62" s="320" t="str">
        <f t="shared" si="5"/>
        <v>INDCSP</v>
      </c>
      <c r="AN62" s="348">
        <f t="shared" si="6"/>
        <v>0</v>
      </c>
    </row>
    <row r="63" spans="1:41" x14ac:dyDescent="0.25">
      <c r="C63" t="str">
        <f>'Inputs_BY INM'!C154</f>
        <v>INDWAS</v>
      </c>
      <c r="G63" s="9"/>
      <c r="H63" s="61" t="s">
        <v>470</v>
      </c>
      <c r="I63" t="s">
        <v>512</v>
      </c>
      <c r="J63" s="288" t="str">
        <f>IF('Inputs_BY INM'!E154=0,"",'Inputs_BY INM'!E154)</f>
        <v/>
      </c>
      <c r="K63" s="288">
        <f>IF('Inputs_BY INM'!F154=0,"",'Inputs_BY INM'!F154)</f>
        <v>3.4531681543922742E-2</v>
      </c>
      <c r="L63" s="288" t="str">
        <f>IF('Inputs_BY INM'!G154=0,"",'Inputs_BY INM'!G154)</f>
        <v/>
      </c>
      <c r="M63" s="288" t="str">
        <f>IF('Inputs_BY INM'!H154=0,"",'Inputs_BY INM'!H154)</f>
        <v/>
      </c>
      <c r="N63" s="288" t="str">
        <f>IF('Inputs_BY INM'!I154=0,"",'Inputs_BY INM'!I154)</f>
        <v/>
      </c>
      <c r="O63" s="288" t="str">
        <f>IF('Inputs_BY INM'!J154=0,"",'Inputs_BY INM'!J154)</f>
        <v/>
      </c>
      <c r="P63" s="288" t="str">
        <f>IF('Inputs_BY INM'!K154=0,"",'Inputs_BY INM'!K154)</f>
        <v/>
      </c>
      <c r="Q63" s="288" t="str">
        <f>IF('Inputs_BY INM'!L154=0,"",'Inputs_BY INM'!L154)</f>
        <v/>
      </c>
      <c r="R63" s="288" t="str">
        <f>IF('Inputs_BY INM'!M154=0,"",'Inputs_BY INM'!M154)</f>
        <v/>
      </c>
      <c r="S63" s="288">
        <f>IF('Inputs_BY INM'!N154=0,"",'Inputs_BY INM'!N154)</f>
        <v>0.34817681780126697</v>
      </c>
      <c r="T63" s="288" t="str">
        <f>IF('Inputs_BY INM'!O154=0,"",'Inputs_BY INM'!O154)</f>
        <v/>
      </c>
      <c r="U63" s="288" t="str">
        <f>IF('Inputs_BY INM'!P154=0,"",'Inputs_BY INM'!P154)</f>
        <v/>
      </c>
      <c r="V63" s="288">
        <f>IF('Inputs_BY INM'!Q154=0,"",'Inputs_BY INM'!Q154)</f>
        <v>6.6237912080241977E-4</v>
      </c>
      <c r="W63" s="288">
        <f>IF('Inputs_BY INM'!R154=0,"",'Inputs_BY INM'!R154)</f>
        <v>0.36525553542535488</v>
      </c>
      <c r="X63" s="288">
        <f>IF('Inputs_BY INM'!S154=0,"",'Inputs_BY INM'!S154)</f>
        <v>1.2136147158250645</v>
      </c>
      <c r="Y63" s="288">
        <f>IF('Inputs_BY INM'!T154=0,"",'Inputs_BY INM'!T154)</f>
        <v>0.27286278235539119</v>
      </c>
      <c r="Z63" s="288">
        <f>IF('Inputs_BY INM'!U154=0,"",'Inputs_BY INM'!U154)</f>
        <v>0.8927678759210782</v>
      </c>
      <c r="AA63" s="288" t="str">
        <f>IF('Inputs_BY INM'!V154=0,"",'Inputs_BY INM'!V154)</f>
        <v/>
      </c>
      <c r="AB63" s="288" t="str">
        <f>IF('Inputs_BY INM'!W154=0,"",'Inputs_BY INM'!W154)</f>
        <v/>
      </c>
      <c r="AC63" s="288">
        <f>IF('Inputs_BY INM'!X154=0,"",'Inputs_BY INM'!X154)</f>
        <v>0.39791899006760328</v>
      </c>
      <c r="AD63" s="288">
        <f>IF('Inputs_BY INM'!Y154=0,"",'Inputs_BY INM'!Y154)</f>
        <v>1.7106238499631689E-3</v>
      </c>
      <c r="AE63" s="288">
        <f>IF('Inputs_BY INM'!Z154=0,"",'Inputs_BY INM'!Z154)</f>
        <v>0.33774139115256208</v>
      </c>
      <c r="AF63" s="288" t="str">
        <f>IF('Inputs_BY INM'!AA154=0,"",'Inputs_BY INM'!AA154)</f>
        <v/>
      </c>
      <c r="AG63" s="288" t="str">
        <f>IF('Inputs_BY INM'!AB154=0,"",'Inputs_BY INM'!AB154)</f>
        <v/>
      </c>
      <c r="AH63" s="288" t="str">
        <f>IF('Inputs_BY INM'!AC154=0,"",'Inputs_BY INM'!AC154)</f>
        <v/>
      </c>
      <c r="AI63" s="288">
        <f>IF('Inputs_BY INM'!AD154=0,"",'Inputs_BY INM'!AD154)</f>
        <v>2.9054097073039457E-2</v>
      </c>
      <c r="AJ63" s="288">
        <f>IF('Inputs_BY INM'!AE154=0,"",'Inputs_BY INM'!AE154)</f>
        <v>0.92218884596089268</v>
      </c>
      <c r="AK63" s="288">
        <f>IF('Inputs_BY INM'!AF154=0,"",'Inputs_BY INM'!AF154)</f>
        <v>4.9207490804965163E-5</v>
      </c>
      <c r="AM63" s="320" t="str">
        <f t="shared" si="5"/>
        <v>INDWAS</v>
      </c>
      <c r="AN63" s="348">
        <f t="shared" si="6"/>
        <v>3.5438000556703701E-2</v>
      </c>
    </row>
    <row r="64" spans="1:41" x14ac:dyDescent="0.25">
      <c r="C64" s="1"/>
      <c r="D64" s="1" t="s">
        <v>159</v>
      </c>
      <c r="G64" s="9"/>
      <c r="H64" s="61" t="s">
        <v>472</v>
      </c>
      <c r="I64" t="s">
        <v>1628</v>
      </c>
      <c r="J64" s="361">
        <f>IF('Inputs_BY INM'!E32="",0.52,'Inputs_BY INM'!E32)*1000</f>
        <v>520</v>
      </c>
      <c r="K64" s="361">
        <f>IF('Inputs_BY INM'!F32="",0.52,'Inputs_BY INM'!F32)*1000</f>
        <v>520</v>
      </c>
      <c r="L64" s="361">
        <f>IF('Inputs_BY INM'!G32="",0.52,'Inputs_BY INM'!G32)*1000</f>
        <v>520</v>
      </c>
      <c r="M64" s="361">
        <f>IF('Inputs_BY INM'!H32="",0.52,'Inputs_BY INM'!H32)*1000</f>
        <v>520</v>
      </c>
      <c r="N64" s="361">
        <f>IF('Inputs_BY INM'!I32="",0.52,'Inputs_BY INM'!I32)*1000</f>
        <v>520</v>
      </c>
      <c r="O64" s="361">
        <f>IF('Inputs_BY INM'!J32="",0.52,'Inputs_BY INM'!J32)*1000</f>
        <v>520</v>
      </c>
      <c r="P64" s="361">
        <f>IF('Inputs_BY INM'!K32="",0.52,'Inputs_BY INM'!K32)*1000</f>
        <v>520</v>
      </c>
      <c r="Q64" s="361">
        <f>IF('Inputs_BY INM'!L32="",0.52,'Inputs_BY INM'!L32)*1000</f>
        <v>520</v>
      </c>
      <c r="R64" s="361">
        <f>IF('Inputs_BY INM'!M32="",0.52,'Inputs_BY INM'!M32)*1000</f>
        <v>545</v>
      </c>
      <c r="S64" s="361">
        <f>IF('Inputs_BY INM'!N32="",0.52,'Inputs_BY INM'!N32)*1000</f>
        <v>570</v>
      </c>
      <c r="T64" s="361">
        <f>IF('Inputs_BY INM'!O32="",0.52,'Inputs_BY INM'!O32)*1000</f>
        <v>520</v>
      </c>
      <c r="U64" s="361">
        <f>IF('Inputs_BY INM'!P32="",0.52,'Inputs_BY INM'!P32)*1000</f>
        <v>537</v>
      </c>
      <c r="V64" s="361">
        <f>IF('Inputs_BY INM'!Q32="",0.52,'Inputs_BY INM'!Q32)*1000</f>
        <v>520</v>
      </c>
      <c r="W64" s="361">
        <f>IF('Inputs_BY INM'!R32="",0.52,'Inputs_BY INM'!R32)*1000</f>
        <v>520</v>
      </c>
      <c r="X64" s="361">
        <f>IF('Inputs_BY INM'!S32="",0.52,'Inputs_BY INM'!S32)*1000</f>
        <v>520</v>
      </c>
      <c r="Y64" s="361">
        <f>IF('Inputs_BY INM'!T32="",0.52,'Inputs_BY INM'!T32)*1000</f>
        <v>520</v>
      </c>
      <c r="Z64" s="361">
        <f>IF('Inputs_BY INM'!U32="",0.52,'Inputs_BY INM'!U32)*1000</f>
        <v>520</v>
      </c>
      <c r="AA64" s="361">
        <f>IF('Inputs_BY INM'!V32="",0.52,'Inputs_BY INM'!V32)*1000</f>
        <v>550</v>
      </c>
      <c r="AB64" s="361">
        <f>IF('Inputs_BY INM'!W32="",0.52,'Inputs_BY INM'!W32)*1000</f>
        <v>537</v>
      </c>
      <c r="AC64" s="361">
        <f>IF('Inputs_BY INM'!X32="",0.52,'Inputs_BY INM'!X32)*1000</f>
        <v>520</v>
      </c>
      <c r="AD64" s="361">
        <f>IF('Inputs_BY INM'!Y32="",0.52,'Inputs_BY INM'!Y32)*1000</f>
        <v>520</v>
      </c>
      <c r="AE64" s="361">
        <f>IF('Inputs_BY INM'!Z32="",0.52,'Inputs_BY INM'!Z32)*1000</f>
        <v>570</v>
      </c>
      <c r="AF64" s="361">
        <f>IF('Inputs_BY INM'!AA32="",0.52,'Inputs_BY INM'!AA32)*1000</f>
        <v>520</v>
      </c>
      <c r="AG64" s="361">
        <f>IF('Inputs_BY INM'!AB32="",0.52,'Inputs_BY INM'!AB32)*1000</f>
        <v>520</v>
      </c>
      <c r="AH64" s="361">
        <f>IF('Inputs_BY INM'!AC32="",0.52,'Inputs_BY INM'!AC32)*1000</f>
        <v>520</v>
      </c>
      <c r="AI64" s="361">
        <f>IF('Inputs_BY INM'!AD32="",0.52,'Inputs_BY INM'!AD32)*1000</f>
        <v>520</v>
      </c>
      <c r="AJ64" s="361">
        <f>IF('Inputs_BY INM'!AE32="",0.52,'Inputs_BY INM'!AE32)*1000</f>
        <v>520</v>
      </c>
      <c r="AK64" s="361">
        <f>IF('Inputs_BY INM'!AF32="",0.52,'Inputs_BY INM'!AF32)*1000</f>
        <v>520</v>
      </c>
    </row>
    <row r="65" spans="1:39" x14ac:dyDescent="0.25">
      <c r="D65" s="9" t="s">
        <v>882</v>
      </c>
      <c r="G65" s="9"/>
      <c r="H65" s="61" t="s">
        <v>472</v>
      </c>
      <c r="I65" s="61" t="s">
        <v>454</v>
      </c>
      <c r="J65" s="289">
        <v>1</v>
      </c>
      <c r="K65" s="289">
        <v>1</v>
      </c>
      <c r="L65" s="289">
        <v>1</v>
      </c>
      <c r="M65" s="289">
        <v>1</v>
      </c>
      <c r="N65" s="289">
        <v>1</v>
      </c>
      <c r="O65" s="289">
        <v>1</v>
      </c>
      <c r="P65" s="289">
        <v>1</v>
      </c>
      <c r="Q65" s="289">
        <v>1</v>
      </c>
      <c r="R65" s="289">
        <v>1</v>
      </c>
      <c r="S65" s="289">
        <v>1</v>
      </c>
      <c r="T65" s="289">
        <v>1</v>
      </c>
      <c r="U65" s="289">
        <v>1</v>
      </c>
      <c r="V65" s="289">
        <v>1</v>
      </c>
      <c r="W65" s="289">
        <v>1</v>
      </c>
      <c r="X65" s="289">
        <v>1</v>
      </c>
      <c r="Y65" s="289">
        <v>1</v>
      </c>
      <c r="Z65" s="289">
        <v>1</v>
      </c>
      <c r="AA65" s="289">
        <v>1</v>
      </c>
      <c r="AB65" s="289">
        <v>1</v>
      </c>
      <c r="AC65" s="289">
        <v>1</v>
      </c>
      <c r="AD65" s="289">
        <v>1</v>
      </c>
      <c r="AE65" s="289">
        <v>1</v>
      </c>
      <c r="AF65" s="289">
        <v>1</v>
      </c>
      <c r="AG65" s="289">
        <v>1</v>
      </c>
      <c r="AH65" s="289">
        <v>1</v>
      </c>
      <c r="AI65" s="289">
        <v>1</v>
      </c>
      <c r="AJ65" s="289">
        <v>1</v>
      </c>
      <c r="AK65" s="289">
        <v>1</v>
      </c>
    </row>
    <row r="66" spans="1:39" x14ac:dyDescent="0.25">
      <c r="A66" s="70" t="str">
        <f>AO11</f>
        <v>I-CM-GRND</v>
      </c>
      <c r="B66" s="70" t="str">
        <f>AP11</f>
        <v>IND Cement technology: Grinding</v>
      </c>
      <c r="C66" s="70" t="s">
        <v>126</v>
      </c>
      <c r="D66" s="70"/>
      <c r="E66" s="70"/>
      <c r="F66" s="70"/>
      <c r="G66" s="70"/>
      <c r="H66" s="358" t="s">
        <v>470</v>
      </c>
      <c r="I66" s="215" t="s">
        <v>512</v>
      </c>
      <c r="J66" s="287">
        <f>'Inputs_BY INM'!E158</f>
        <v>0.2880442785146875</v>
      </c>
      <c r="K66" s="287">
        <f>'Inputs_BY INM'!F158</f>
        <v>0.26800055807927725</v>
      </c>
      <c r="L66" s="287">
        <f>'Inputs_BY INM'!G158</f>
        <v>0.2880442785146875</v>
      </c>
      <c r="M66" s="287">
        <f>'Inputs_BY INM'!H158</f>
        <v>0.28804427851468745</v>
      </c>
      <c r="N66" s="287">
        <f>'Inputs_BY INM'!I158</f>
        <v>0.2880442785146875</v>
      </c>
      <c r="O66" s="287">
        <f>'Inputs_BY INM'!J158</f>
        <v>0.2880442785146875</v>
      </c>
      <c r="P66" s="287">
        <f>'Inputs_BY INM'!K158</f>
        <v>0.2880442785146875</v>
      </c>
      <c r="Q66" s="287">
        <f>'Inputs_BY INM'!L158</f>
        <v>0.2880442785146875</v>
      </c>
      <c r="R66" s="287">
        <f>'Inputs_BY INM'!M158</f>
        <v>0.29598033855223754</v>
      </c>
      <c r="S66" s="287">
        <f>'Inputs_BY INM'!N158</f>
        <v>0.36140810409050506</v>
      </c>
      <c r="T66" s="287">
        <f>'Inputs_BY INM'!O158</f>
        <v>0.28719900555449795</v>
      </c>
      <c r="U66" s="287">
        <f>'Inputs_BY INM'!P158</f>
        <v>0.2880442785146875</v>
      </c>
      <c r="V66" s="287">
        <f>'Inputs_BY INM'!Q158</f>
        <v>0.31506871648490525</v>
      </c>
      <c r="W66" s="287">
        <f>'Inputs_BY INM'!R158</f>
        <v>0.31506871648490531</v>
      </c>
      <c r="X66" s="287">
        <f>'Inputs_BY INM'!S158</f>
        <v>0.31506871648490531</v>
      </c>
      <c r="Y66" s="287">
        <f>'Inputs_BY INM'!T158</f>
        <v>0.31506871648490531</v>
      </c>
      <c r="Z66" s="287">
        <f>'Inputs_BY INM'!U158</f>
        <v>0.31506871648490525</v>
      </c>
      <c r="AA66" s="287">
        <f>'Inputs_BY INM'!V158</f>
        <v>0.24728378181880764</v>
      </c>
      <c r="AB66" s="287">
        <f>'Inputs_BY INM'!W158</f>
        <v>0.25869033128823943</v>
      </c>
      <c r="AC66" s="287">
        <f>'Inputs_BY INM'!X158</f>
        <v>0.24888353634389523</v>
      </c>
      <c r="AD66" s="287">
        <f>'Inputs_BY INM'!Y158</f>
        <v>0.2871990055544979</v>
      </c>
      <c r="AE66" s="287">
        <f>'Inputs_BY INM'!Z158</f>
        <v>0.2880442785146875</v>
      </c>
      <c r="AF66" s="287">
        <f>'Inputs_BY INM'!AA158</f>
        <v>0.2880442785146875</v>
      </c>
      <c r="AG66" s="287">
        <f>'Inputs_BY INM'!AB158</f>
        <v>0.2880442785146875</v>
      </c>
      <c r="AH66" s="287">
        <f>'Inputs_BY INM'!AC158</f>
        <v>0.2880442785146875</v>
      </c>
      <c r="AI66" s="287">
        <f>'Inputs_BY INM'!AD158</f>
        <v>0.2880442785146875</v>
      </c>
      <c r="AJ66" s="479">
        <f>'Inputs_BY INM'!AE158</f>
        <v>0.24888353634389521</v>
      </c>
      <c r="AK66" s="479">
        <f>'Inputs_BY INM'!AF158</f>
        <v>0.34611321592931071</v>
      </c>
    </row>
    <row r="67" spans="1:39" x14ac:dyDescent="0.25">
      <c r="C67" s="9" t="s">
        <v>882</v>
      </c>
      <c r="G67" s="9"/>
      <c r="H67" s="61" t="s">
        <v>470</v>
      </c>
      <c r="I67" t="s">
        <v>579</v>
      </c>
      <c r="J67" s="294">
        <f>'Inputs_BY INM'!E38</f>
        <v>0.85022990521652275</v>
      </c>
      <c r="K67" s="294">
        <f>'Inputs_BY INM'!F38</f>
        <v>0.77997382684882699</v>
      </c>
      <c r="L67" s="294">
        <f>'Inputs_BY INM'!G38</f>
        <v>0.45318892578512143</v>
      </c>
      <c r="M67" s="294">
        <f>'Inputs_BY INM'!H38</f>
        <v>0.80083949507741348</v>
      </c>
      <c r="N67" s="294">
        <f>'Inputs_BY INM'!I38</f>
        <v>0.60883909668313352</v>
      </c>
      <c r="O67" s="294">
        <f>'Inputs_BY INM'!J38</f>
        <v>0.77369636095019312</v>
      </c>
      <c r="P67" s="294">
        <f>'Inputs_BY INM'!K38</f>
        <v>0.96128530970775805</v>
      </c>
      <c r="Q67" s="294">
        <f>'Inputs_BY INM'!L38</f>
        <v>0.48688867362133131</v>
      </c>
      <c r="R67" s="294">
        <f>'Inputs_BY INM'!M38</f>
        <v>0.67124526595444012</v>
      </c>
      <c r="S67" s="294">
        <f>'Inputs_BY INM'!N38</f>
        <v>1.0199618902439025</v>
      </c>
      <c r="T67" s="294">
        <f>'Inputs_BY INM'!O38</f>
        <v>0.32134118366722741</v>
      </c>
      <c r="U67" s="294">
        <f>'Inputs_BY INM'!P38</f>
        <v>0.65070931206109872</v>
      </c>
      <c r="V67" s="294">
        <f>'Inputs_BY INM'!Q38</f>
        <v>0.83997571154569051</v>
      </c>
      <c r="W67" s="294">
        <f>'Inputs_BY INM'!R38</f>
        <v>0.9958641328571346</v>
      </c>
      <c r="X67" s="294">
        <f>'Inputs_BY INM'!S38</f>
        <v>0.77687736138057806</v>
      </c>
      <c r="Y67" s="294">
        <f>'Inputs_BY INM'!T38</f>
        <v>0.8974053105317521</v>
      </c>
      <c r="Z67" s="294">
        <f>'Inputs_BY INM'!U38</f>
        <v>0.74397074243625483</v>
      </c>
      <c r="AA67" s="294">
        <f>'Inputs_BY INM'!V38</f>
        <v>0.86241165930928165</v>
      </c>
      <c r="AB67" s="294">
        <f>'Inputs_BY INM'!W38</f>
        <v>0.78955327718428214</v>
      </c>
      <c r="AC67" s="294">
        <f>'Inputs_BY INM'!X38</f>
        <v>0.92202455215602952</v>
      </c>
      <c r="AD67" s="294">
        <f>'Inputs_BY INM'!Y38</f>
        <v>0.77292203862272635</v>
      </c>
      <c r="AE67" s="294">
        <f>'Inputs_BY INM'!Z38</f>
        <v>0.86757209627988974</v>
      </c>
      <c r="AF67" s="294">
        <f>'Inputs_BY INM'!AA38</f>
        <v>0.95912023973930083</v>
      </c>
      <c r="AG67" s="294">
        <f>'Inputs_BY INM'!AB38</f>
        <v>0.87970877605814324</v>
      </c>
      <c r="AH67" s="294">
        <f>'Inputs_BY INM'!AC38</f>
        <v>0.74515050167224095</v>
      </c>
      <c r="AI67" s="294">
        <f>'Inputs_BY INM'!AD38</f>
        <v>0.66662736666897848</v>
      </c>
      <c r="AJ67" s="294">
        <f>'Inputs_BY INM'!AE38</f>
        <v>0.90710403643986226</v>
      </c>
      <c r="AK67" s="294">
        <f>'Inputs_BY INM'!AF38</f>
        <v>0.89216799091940979</v>
      </c>
    </row>
    <row r="68" spans="1:39" x14ac:dyDescent="0.25">
      <c r="A68" s="47"/>
      <c r="B68" s="47"/>
      <c r="C68" s="216"/>
      <c r="D68" s="216" t="s">
        <v>364</v>
      </c>
      <c r="E68" s="47"/>
      <c r="F68" s="47"/>
      <c r="G68" s="47"/>
      <c r="H68" s="63" t="s">
        <v>472</v>
      </c>
      <c r="I68" s="216" t="s">
        <v>454</v>
      </c>
      <c r="J68" s="362">
        <v>1</v>
      </c>
      <c r="K68" s="362">
        <v>1</v>
      </c>
      <c r="L68" s="362">
        <v>1</v>
      </c>
      <c r="M68" s="362">
        <v>1</v>
      </c>
      <c r="N68" s="362">
        <v>1</v>
      </c>
      <c r="O68" s="362">
        <v>1</v>
      </c>
      <c r="P68" s="362">
        <v>1</v>
      </c>
      <c r="Q68" s="362">
        <v>1</v>
      </c>
      <c r="R68" s="362">
        <v>1</v>
      </c>
      <c r="S68" s="362">
        <v>1</v>
      </c>
      <c r="T68" s="362">
        <v>1</v>
      </c>
      <c r="U68" s="362">
        <v>1</v>
      </c>
      <c r="V68" s="362">
        <v>1</v>
      </c>
      <c r="W68" s="362">
        <v>1</v>
      </c>
      <c r="X68" s="362">
        <v>1</v>
      </c>
      <c r="Y68" s="362">
        <v>1</v>
      </c>
      <c r="Z68" s="362">
        <v>1</v>
      </c>
      <c r="AA68" s="362">
        <v>1</v>
      </c>
      <c r="AB68" s="362">
        <v>1</v>
      </c>
      <c r="AC68" s="362">
        <v>1</v>
      </c>
      <c r="AD68" s="362">
        <v>1</v>
      </c>
      <c r="AE68" s="362">
        <v>1</v>
      </c>
      <c r="AF68" s="362">
        <v>1</v>
      </c>
      <c r="AG68" s="362">
        <v>1</v>
      </c>
      <c r="AH68" s="362">
        <v>1</v>
      </c>
      <c r="AI68" s="362">
        <v>1</v>
      </c>
      <c r="AJ68" s="362">
        <v>1</v>
      </c>
      <c r="AK68" s="362">
        <v>1</v>
      </c>
    </row>
    <row r="69" spans="1:39" x14ac:dyDescent="0.25">
      <c r="A69" s="9" t="str">
        <f>A12</f>
        <v>I-NM-LTH_ELC00</v>
      </c>
      <c r="B69" s="9" t="str">
        <f>B12</f>
        <v>IND Non-metallic minerals technology: Low temperature heat using Electricity - Existing</v>
      </c>
      <c r="C69" s="9" t="str">
        <f>'Inputs_BY INM'!C219</f>
        <v>INDELC</v>
      </c>
      <c r="G69" s="9"/>
      <c r="H69" s="61" t="s">
        <v>907</v>
      </c>
      <c r="I69" t="s">
        <v>460</v>
      </c>
      <c r="J69" s="376">
        <v>1</v>
      </c>
      <c r="K69" s="376">
        <v>1</v>
      </c>
      <c r="L69" s="376">
        <v>1</v>
      </c>
      <c r="M69" s="376">
        <v>1</v>
      </c>
      <c r="N69" s="376">
        <v>1</v>
      </c>
      <c r="O69" s="376">
        <v>1</v>
      </c>
      <c r="P69" s="376">
        <v>1</v>
      </c>
      <c r="Q69" s="376">
        <v>1</v>
      </c>
      <c r="R69" s="376">
        <v>1</v>
      </c>
      <c r="S69" s="376">
        <v>1</v>
      </c>
      <c r="T69" s="376">
        <v>1</v>
      </c>
      <c r="U69" s="376">
        <v>1</v>
      </c>
      <c r="V69" s="376">
        <v>1</v>
      </c>
      <c r="W69" s="376">
        <v>1</v>
      </c>
      <c r="X69" s="376">
        <v>1</v>
      </c>
      <c r="Y69" s="376">
        <v>1</v>
      </c>
      <c r="Z69" s="376">
        <v>1</v>
      </c>
      <c r="AA69" s="376">
        <v>1</v>
      </c>
      <c r="AB69" s="376">
        <v>1</v>
      </c>
      <c r="AC69" s="376">
        <v>1</v>
      </c>
      <c r="AD69" s="376">
        <v>1</v>
      </c>
      <c r="AE69" s="376">
        <v>1</v>
      </c>
      <c r="AF69" s="376">
        <v>1</v>
      </c>
      <c r="AG69" s="376">
        <v>1</v>
      </c>
      <c r="AH69" s="376">
        <v>1</v>
      </c>
      <c r="AI69" s="376">
        <v>1</v>
      </c>
      <c r="AJ69" s="376">
        <v>1</v>
      </c>
      <c r="AK69" s="376">
        <v>1</v>
      </c>
      <c r="AM69" s="294"/>
    </row>
    <row r="70" spans="1:39" x14ac:dyDescent="0.25">
      <c r="A70" s="9" t="str">
        <f t="shared" ref="A70:B72" si="7">A13</f>
        <v>I-NM-MDR_ELC00</v>
      </c>
      <c r="B70" s="9" t="str">
        <f t="shared" si="7"/>
        <v>IND Non-metallic minerals technology: Machine drive using Electricity - Existing</v>
      </c>
      <c r="C70" s="9" t="str">
        <f>'Inputs_BY INM'!C220</f>
        <v>INDELC</v>
      </c>
      <c r="G70" s="9"/>
      <c r="H70" s="61" t="s">
        <v>907</v>
      </c>
      <c r="I70" t="s">
        <v>460</v>
      </c>
      <c r="J70" s="376">
        <v>1</v>
      </c>
      <c r="K70" s="376">
        <v>1</v>
      </c>
      <c r="L70" s="376">
        <v>1</v>
      </c>
      <c r="M70" s="376">
        <v>1</v>
      </c>
      <c r="N70" s="376">
        <v>1</v>
      </c>
      <c r="O70" s="376">
        <v>1</v>
      </c>
      <c r="P70" s="376">
        <v>1</v>
      </c>
      <c r="Q70" s="376">
        <v>1</v>
      </c>
      <c r="R70" s="376">
        <v>1</v>
      </c>
      <c r="S70" s="376">
        <v>1</v>
      </c>
      <c r="T70" s="376">
        <v>1</v>
      </c>
      <c r="U70" s="376">
        <v>1</v>
      </c>
      <c r="V70" s="376">
        <v>1</v>
      </c>
      <c r="W70" s="376">
        <v>1</v>
      </c>
      <c r="X70" s="376">
        <v>1</v>
      </c>
      <c r="Y70" s="376">
        <v>1</v>
      </c>
      <c r="Z70" s="376">
        <v>1</v>
      </c>
      <c r="AA70" s="376">
        <v>1</v>
      </c>
      <c r="AB70" s="376">
        <v>1</v>
      </c>
      <c r="AC70" s="376">
        <v>1</v>
      </c>
      <c r="AD70" s="376">
        <v>1</v>
      </c>
      <c r="AE70" s="376">
        <v>1</v>
      </c>
      <c r="AF70" s="376">
        <v>1</v>
      </c>
      <c r="AG70" s="376">
        <v>1</v>
      </c>
      <c r="AH70" s="376">
        <v>1</v>
      </c>
      <c r="AI70" s="376">
        <v>1</v>
      </c>
      <c r="AJ70" s="376">
        <v>1</v>
      </c>
      <c r="AK70" s="376">
        <v>1</v>
      </c>
    </row>
    <row r="71" spans="1:39" x14ac:dyDescent="0.25">
      <c r="A71" s="9" t="str">
        <f t="shared" si="7"/>
        <v>I-NM-OTS_ELC00</v>
      </c>
      <c r="B71" s="9" t="str">
        <f t="shared" si="7"/>
        <v>IND Non-metallic minerals technology: Other services using Electricity - Existing</v>
      </c>
      <c r="C71" s="9" t="str">
        <f>'Inputs_BY INM'!C221</f>
        <v>INDELC</v>
      </c>
      <c r="G71" s="9"/>
      <c r="H71" s="61" t="s">
        <v>907</v>
      </c>
      <c r="I71" t="s">
        <v>460</v>
      </c>
      <c r="J71" s="376">
        <v>1</v>
      </c>
      <c r="K71" s="376">
        <v>1</v>
      </c>
      <c r="L71" s="376">
        <v>1</v>
      </c>
      <c r="M71" s="376">
        <v>1</v>
      </c>
      <c r="N71" s="376">
        <v>1</v>
      </c>
      <c r="O71" s="376">
        <v>1</v>
      </c>
      <c r="P71" s="376">
        <v>1</v>
      </c>
      <c r="Q71" s="376">
        <v>1</v>
      </c>
      <c r="R71" s="376">
        <v>1</v>
      </c>
      <c r="S71" s="376">
        <v>1</v>
      </c>
      <c r="T71" s="376">
        <v>1</v>
      </c>
      <c r="U71" s="376">
        <v>1</v>
      </c>
      <c r="V71" s="376">
        <v>1</v>
      </c>
      <c r="W71" s="376">
        <v>1</v>
      </c>
      <c r="X71" s="376">
        <v>1</v>
      </c>
      <c r="Y71" s="376">
        <v>1</v>
      </c>
      <c r="Z71" s="376">
        <v>1</v>
      </c>
      <c r="AA71" s="376">
        <v>1</v>
      </c>
      <c r="AB71" s="376">
        <v>1</v>
      </c>
      <c r="AC71" s="376">
        <v>1</v>
      </c>
      <c r="AD71" s="376">
        <v>1</v>
      </c>
      <c r="AE71" s="376">
        <v>1</v>
      </c>
      <c r="AF71" s="376">
        <v>1</v>
      </c>
      <c r="AG71" s="376">
        <v>1</v>
      </c>
      <c r="AH71" s="376">
        <v>1</v>
      </c>
      <c r="AI71" s="376">
        <v>1</v>
      </c>
      <c r="AJ71" s="376">
        <v>1</v>
      </c>
      <c r="AK71" s="376">
        <v>1</v>
      </c>
    </row>
    <row r="72" spans="1:39" x14ac:dyDescent="0.25">
      <c r="A72" s="9" t="str">
        <f t="shared" si="7"/>
        <v>I-NM-HTH_GAS00</v>
      </c>
      <c r="B72" s="9" t="str">
        <f t="shared" si="7"/>
        <v>IND Non-metallic minerals technology: High temperature heat using Gas - Existing</v>
      </c>
      <c r="C72" s="9" t="str">
        <f>'Inputs_BY INM'!C222</f>
        <v>INDGAS</v>
      </c>
      <c r="G72" s="9"/>
      <c r="H72" s="61" t="s">
        <v>907</v>
      </c>
      <c r="I72" t="s">
        <v>460</v>
      </c>
      <c r="J72" s="376" t="str">
        <f>IFERROR('Inputs_BY INM'!E222/SUM('Inputs_BY INM'!E$222:E$226),"")</f>
        <v/>
      </c>
      <c r="K72" s="376" t="str">
        <f>IFERROR('Inputs_BY INM'!F222/SUM('Inputs_BY INM'!F$222:F$226),"")</f>
        <v/>
      </c>
      <c r="L72" s="376" t="str">
        <f>IFERROR('Inputs_BY INM'!G222/SUM('Inputs_BY INM'!G$222:G$226),"")</f>
        <v/>
      </c>
      <c r="M72" s="376" t="str">
        <f>IFERROR('Inputs_BY INM'!H222/SUM('Inputs_BY INM'!H$222:H$226),"")</f>
        <v/>
      </c>
      <c r="N72" s="376">
        <f>IFERROR('Inputs_BY INM'!I222/SUM('Inputs_BY INM'!I$222:I$226),"")</f>
        <v>0.9185720016044927</v>
      </c>
      <c r="O72" s="376">
        <f>IFERROR('Inputs_BY INM'!J222/SUM('Inputs_BY INM'!J$222:J$226),"")</f>
        <v>0.9907560771694035</v>
      </c>
      <c r="P72" s="376">
        <f>IFERROR('Inputs_BY INM'!K222/SUM('Inputs_BY INM'!K$222:K$226),"")</f>
        <v>0.92328273861618859</v>
      </c>
      <c r="Q72" s="376" t="str">
        <f>IFERROR('Inputs_BY INM'!L222/SUM('Inputs_BY INM'!L$222:L$226),"")</f>
        <v/>
      </c>
      <c r="R72" s="376">
        <f>IFERROR('Inputs_BY INM'!M222/SUM('Inputs_BY INM'!M$222:M$226),"")</f>
        <v>0.87482389405466321</v>
      </c>
      <c r="S72" s="376">
        <f>IFERROR('Inputs_BY INM'!N222/SUM('Inputs_BY INM'!N$222:N$226),"")</f>
        <v>1</v>
      </c>
      <c r="T72" s="376">
        <f>IFERROR('Inputs_BY INM'!O222/SUM('Inputs_BY INM'!O$222:O$226),"")</f>
        <v>0.86729857819905209</v>
      </c>
      <c r="U72" s="376" t="str">
        <f>IFERROR('Inputs_BY INM'!P222/SUM('Inputs_BY INM'!P$222:P$226),"")</f>
        <v/>
      </c>
      <c r="V72" s="376">
        <f>IFERROR('Inputs_BY INM'!Q222/SUM('Inputs_BY INM'!Q$222:Q$226),"")</f>
        <v>0.97231346785546691</v>
      </c>
      <c r="W72" s="376">
        <f>IFERROR('Inputs_BY INM'!R222/SUM('Inputs_BY INM'!R$222:R$226),"")</f>
        <v>0.96785347163816471</v>
      </c>
      <c r="X72" s="376">
        <f>IFERROR('Inputs_BY INM'!S222/SUM('Inputs_BY INM'!S$222:S$226),"")</f>
        <v>0.96881560494666619</v>
      </c>
      <c r="Y72" s="376">
        <f>IFERROR('Inputs_BY INM'!T222/SUM('Inputs_BY INM'!T$222:T$226),"")</f>
        <v>0.97687373857643101</v>
      </c>
      <c r="Z72" s="376">
        <f>IFERROR('Inputs_BY INM'!U222/SUM('Inputs_BY INM'!U$222:U$226),"")</f>
        <v>0.9641164177582956</v>
      </c>
      <c r="AA72" s="376" t="str">
        <f>IFERROR('Inputs_BY INM'!V222/SUM('Inputs_BY INM'!V$222:V$226),"")</f>
        <v/>
      </c>
      <c r="AB72" s="376" t="str">
        <f>IFERROR('Inputs_BY INM'!W222/SUM('Inputs_BY INM'!W$222:W$226),"")</f>
        <v/>
      </c>
      <c r="AC72" s="376">
        <f>IFERROR('Inputs_BY INM'!X222/SUM('Inputs_BY INM'!X$222:X$226),"")</f>
        <v>0.75167455150124118</v>
      </c>
      <c r="AD72" s="376" t="str">
        <f>IFERROR('Inputs_BY INM'!Y222/SUM('Inputs_BY INM'!Y$222:Y$226),"")</f>
        <v/>
      </c>
      <c r="AE72" s="376">
        <f>IFERROR('Inputs_BY INM'!Z222/SUM('Inputs_BY INM'!Z$222:Z$226),"")</f>
        <v>0.99690022500904751</v>
      </c>
      <c r="AF72" s="376" t="str">
        <f>IFERROR('Inputs_BY INM'!AA222/SUM('Inputs_BY INM'!AA$222:AA$226),"")</f>
        <v/>
      </c>
      <c r="AG72" s="376">
        <f>IFERROR('Inputs_BY INM'!AB222/SUM('Inputs_BY INM'!AB$222:AB$226),"")</f>
        <v>0.99812126038922577</v>
      </c>
      <c r="AH72" s="376" t="str">
        <f>IFERROR('Inputs_BY INM'!AC222/SUM('Inputs_BY INM'!AC$222:AC$226),"")</f>
        <v/>
      </c>
      <c r="AI72" s="376">
        <f>IFERROR('Inputs_BY INM'!AD222/SUM('Inputs_BY INM'!AD$222:AD$226),"")</f>
        <v>0.99498562506777188</v>
      </c>
      <c r="AJ72" s="376" t="str">
        <f>IFERROR('Inputs_BY INM'!AE222/SUM('Inputs_BY INM'!AE$222:AE$226),"")</f>
        <v/>
      </c>
      <c r="AK72" s="376">
        <f>IFERROR('Inputs_BY INM'!AF222/SUM('Inputs_BY INM'!AF$222:AF$226),"")</f>
        <v>0.99820571019592041</v>
      </c>
    </row>
    <row r="73" spans="1:39" x14ac:dyDescent="0.25">
      <c r="C73" s="9" t="str">
        <f>'Inputs_BY INM'!C223</f>
        <v>INDBGS</v>
      </c>
      <c r="G73" s="9"/>
      <c r="H73" s="61" t="s">
        <v>907</v>
      </c>
      <c r="I73" t="s">
        <v>460</v>
      </c>
      <c r="J73" s="376" t="str">
        <f>IFERROR('Inputs_BY INM'!E223/SUM('Inputs_BY INM'!E$222:E$226),"")</f>
        <v/>
      </c>
      <c r="K73" s="376" t="str">
        <f>IFERROR('Inputs_BY INM'!F223/SUM('Inputs_BY INM'!F$222:F$226),"")</f>
        <v/>
      </c>
      <c r="L73" s="376" t="str">
        <f>IFERROR('Inputs_BY INM'!G223/SUM('Inputs_BY INM'!G$222:G$226),"")</f>
        <v/>
      </c>
      <c r="M73" s="376" t="str">
        <f>IFERROR('Inputs_BY INM'!H223/SUM('Inputs_BY INM'!H$222:H$226),"")</f>
        <v/>
      </c>
      <c r="N73" s="376">
        <f>IFERROR('Inputs_BY INM'!I223/SUM('Inputs_BY INM'!I$222:I$226),"")</f>
        <v>1.5853914770882281E-3</v>
      </c>
      <c r="O73" s="376">
        <f>IFERROR('Inputs_BY INM'!J223/SUM('Inputs_BY INM'!J$222:J$226),"")</f>
        <v>0</v>
      </c>
      <c r="P73" s="376">
        <f>IFERROR('Inputs_BY INM'!K223/SUM('Inputs_BY INM'!K$222:K$226),"")</f>
        <v>0</v>
      </c>
      <c r="Q73" s="376" t="str">
        <f>IFERROR('Inputs_BY INM'!L223/SUM('Inputs_BY INM'!L$222:L$226),"")</f>
        <v/>
      </c>
      <c r="R73" s="376">
        <f>IFERROR('Inputs_BY INM'!M223/SUM('Inputs_BY INM'!M$222:M$226),"")</f>
        <v>0</v>
      </c>
      <c r="S73" s="376">
        <f>IFERROR('Inputs_BY INM'!N223/SUM('Inputs_BY INM'!N$222:N$226),"")</f>
        <v>0</v>
      </c>
      <c r="T73" s="376">
        <f>IFERROR('Inputs_BY INM'!O223/SUM('Inputs_BY INM'!O$222:O$226),"")</f>
        <v>0</v>
      </c>
      <c r="U73" s="376" t="str">
        <f>IFERROR('Inputs_BY INM'!P223/SUM('Inputs_BY INM'!P$222:P$226),"")</f>
        <v/>
      </c>
      <c r="V73" s="376">
        <f>IFERROR('Inputs_BY INM'!Q223/SUM('Inputs_BY INM'!Q$222:Q$226),"")</f>
        <v>0</v>
      </c>
      <c r="W73" s="376">
        <f>IFERROR('Inputs_BY INM'!R223/SUM('Inputs_BY INM'!R$222:R$226),"")</f>
        <v>2.4296794692084856E-4</v>
      </c>
      <c r="X73" s="376">
        <f>IFERROR('Inputs_BY INM'!S223/SUM('Inputs_BY INM'!S$222:S$226),"")</f>
        <v>2.1248565721813779E-4</v>
      </c>
      <c r="Y73" s="376">
        <f>IFERROR('Inputs_BY INM'!T223/SUM('Inputs_BY INM'!T$222:T$226),"")</f>
        <v>1.07355197357891E-3</v>
      </c>
      <c r="Z73" s="376">
        <f>IFERROR('Inputs_BY INM'!U223/SUM('Inputs_BY INM'!U$222:U$226),"")</f>
        <v>6.1165197002905356E-4</v>
      </c>
      <c r="AA73" s="376" t="str">
        <f>IFERROR('Inputs_BY INM'!V223/SUM('Inputs_BY INM'!V$222:V$226),"")</f>
        <v/>
      </c>
      <c r="AB73" s="376" t="str">
        <f>IFERROR('Inputs_BY INM'!W223/SUM('Inputs_BY INM'!W$222:W$226),"")</f>
        <v/>
      </c>
      <c r="AC73" s="376">
        <f>IFERROR('Inputs_BY INM'!X223/SUM('Inputs_BY INM'!X$222:X$226),"")</f>
        <v>0</v>
      </c>
      <c r="AD73" s="376" t="str">
        <f>IFERROR('Inputs_BY INM'!Y223/SUM('Inputs_BY INM'!Y$222:Y$226),"")</f>
        <v/>
      </c>
      <c r="AE73" s="376">
        <f>IFERROR('Inputs_BY INM'!Z223/SUM('Inputs_BY INM'!Z$222:Z$226),"")</f>
        <v>0</v>
      </c>
      <c r="AF73" s="376" t="str">
        <f>IFERROR('Inputs_BY INM'!AA223/SUM('Inputs_BY INM'!AA$222:AA$226),"")</f>
        <v/>
      </c>
      <c r="AG73" s="376">
        <f>IFERROR('Inputs_BY INM'!AB223/SUM('Inputs_BY INM'!AB$222:AB$226),"")</f>
        <v>0</v>
      </c>
      <c r="AH73" s="376" t="str">
        <f>IFERROR('Inputs_BY INM'!AC223/SUM('Inputs_BY INM'!AC$222:AC$226),"")</f>
        <v/>
      </c>
      <c r="AI73" s="376">
        <f>IFERROR('Inputs_BY INM'!AD223/SUM('Inputs_BY INM'!AD$222:AD$226),"")</f>
        <v>0</v>
      </c>
      <c r="AJ73" s="376" t="str">
        <f>IFERROR('Inputs_BY INM'!AE223/SUM('Inputs_BY INM'!AE$222:AE$226),"")</f>
        <v/>
      </c>
      <c r="AK73" s="376">
        <f>IFERROR('Inputs_BY INM'!AF223/SUM('Inputs_BY INM'!AF$222:AF$226),"")</f>
        <v>0</v>
      </c>
    </row>
    <row r="74" spans="1:39" x14ac:dyDescent="0.25">
      <c r="C74" s="9" t="str">
        <f>'Inputs_BY INM'!C224</f>
        <v>INDBFG</v>
      </c>
      <c r="G74" s="9"/>
      <c r="H74" s="61" t="s">
        <v>907</v>
      </c>
      <c r="I74" t="s">
        <v>460</v>
      </c>
      <c r="J74" s="376" t="str">
        <f>IFERROR('Inputs_BY INM'!E224/SUM('Inputs_BY INM'!E$222:E$226),"")</f>
        <v/>
      </c>
      <c r="K74" s="376" t="str">
        <f>IFERROR('Inputs_BY INM'!F224/SUM('Inputs_BY INM'!F$222:F$226),"")</f>
        <v/>
      </c>
      <c r="L74" s="376" t="str">
        <f>IFERROR('Inputs_BY INM'!G224/SUM('Inputs_BY INM'!G$222:G$226),"")</f>
        <v/>
      </c>
      <c r="M74" s="376" t="str">
        <f>IFERROR('Inputs_BY INM'!H224/SUM('Inputs_BY INM'!H$222:H$226),"")</f>
        <v/>
      </c>
      <c r="N74" s="376">
        <f>IFERROR('Inputs_BY INM'!I224/SUM('Inputs_BY INM'!I$222:I$226),"")</f>
        <v>0</v>
      </c>
      <c r="O74" s="376">
        <f>IFERROR('Inputs_BY INM'!J224/SUM('Inputs_BY INM'!J$222:J$226),"")</f>
        <v>0</v>
      </c>
      <c r="P74" s="376">
        <f>IFERROR('Inputs_BY INM'!K224/SUM('Inputs_BY INM'!K$222:K$226),"")</f>
        <v>0</v>
      </c>
      <c r="Q74" s="376" t="str">
        <f>IFERROR('Inputs_BY INM'!L224/SUM('Inputs_BY INM'!L$222:L$226),"")</f>
        <v/>
      </c>
      <c r="R74" s="376">
        <f>IFERROR('Inputs_BY INM'!M224/SUM('Inputs_BY INM'!M$222:M$226),"")</f>
        <v>0</v>
      </c>
      <c r="S74" s="376">
        <f>IFERROR('Inputs_BY INM'!N224/SUM('Inputs_BY INM'!N$222:N$226),"")</f>
        <v>0</v>
      </c>
      <c r="T74" s="376">
        <f>IFERROR('Inputs_BY INM'!O224/SUM('Inputs_BY INM'!O$222:O$226),"")</f>
        <v>0</v>
      </c>
      <c r="U74" s="376" t="str">
        <f>IFERROR('Inputs_BY INM'!P224/SUM('Inputs_BY INM'!P$222:P$226),"")</f>
        <v/>
      </c>
      <c r="V74" s="376">
        <f>IFERROR('Inputs_BY INM'!Q224/SUM('Inputs_BY INM'!Q$222:Q$226),"")</f>
        <v>0</v>
      </c>
      <c r="W74" s="376">
        <f>IFERROR('Inputs_BY INM'!R224/SUM('Inputs_BY INM'!R$222:R$226),"")</f>
        <v>3.0838239416876934E-3</v>
      </c>
      <c r="X74" s="376">
        <f>IFERROR('Inputs_BY INM'!S224/SUM('Inputs_BY INM'!S$222:S$226),"")</f>
        <v>0</v>
      </c>
      <c r="Y74" s="376">
        <f>IFERROR('Inputs_BY INM'!T224/SUM('Inputs_BY INM'!T$222:T$226),"")</f>
        <v>0</v>
      </c>
      <c r="Z74" s="376">
        <f>IFERROR('Inputs_BY INM'!U224/SUM('Inputs_BY INM'!U$222:U$226),"")</f>
        <v>0</v>
      </c>
      <c r="AA74" s="376" t="str">
        <f>IFERROR('Inputs_BY INM'!V224/SUM('Inputs_BY INM'!V$222:V$226),"")</f>
        <v/>
      </c>
      <c r="AB74" s="376" t="str">
        <f>IFERROR('Inputs_BY INM'!W224/SUM('Inputs_BY INM'!W$222:W$226),"")</f>
        <v/>
      </c>
      <c r="AC74" s="376">
        <f>IFERROR('Inputs_BY INM'!X224/SUM('Inputs_BY INM'!X$222:X$226),"")</f>
        <v>5.5037706684153819E-3</v>
      </c>
      <c r="AD74" s="376" t="str">
        <f>IFERROR('Inputs_BY INM'!Y224/SUM('Inputs_BY INM'!Y$222:Y$226),"")</f>
        <v/>
      </c>
      <c r="AE74" s="376">
        <f>IFERROR('Inputs_BY INM'!Z224/SUM('Inputs_BY INM'!Z$222:Z$226),"")</f>
        <v>0</v>
      </c>
      <c r="AF74" s="376" t="str">
        <f>IFERROR('Inputs_BY INM'!AA224/SUM('Inputs_BY INM'!AA$222:AA$226),"")</f>
        <v/>
      </c>
      <c r="AG74" s="376">
        <f>IFERROR('Inputs_BY INM'!AB224/SUM('Inputs_BY INM'!AB$222:AB$226),"")</f>
        <v>0</v>
      </c>
      <c r="AH74" s="376" t="str">
        <f>IFERROR('Inputs_BY INM'!AC224/SUM('Inputs_BY INM'!AC$222:AC$226),"")</f>
        <v/>
      </c>
      <c r="AI74" s="376">
        <f>IFERROR('Inputs_BY INM'!AD224/SUM('Inputs_BY INM'!AD$222:AD$226),"")</f>
        <v>0</v>
      </c>
      <c r="AJ74" s="376" t="str">
        <f>IFERROR('Inputs_BY INM'!AE224/SUM('Inputs_BY INM'!AE$222:AE$226),"")</f>
        <v/>
      </c>
      <c r="AK74" s="376">
        <f>IFERROR('Inputs_BY INM'!AF224/SUM('Inputs_BY INM'!AF$222:AF$226),"")</f>
        <v>0</v>
      </c>
    </row>
    <row r="75" spans="1:39" x14ac:dyDescent="0.25">
      <c r="C75" s="9" t="str">
        <f>'Inputs_BY INM'!C225</f>
        <v>INDLPG</v>
      </c>
      <c r="G75" s="9"/>
      <c r="H75" s="61" t="s">
        <v>907</v>
      </c>
      <c r="I75" t="s">
        <v>460</v>
      </c>
      <c r="J75" s="376" t="str">
        <f>IFERROR('Inputs_BY INM'!E225/SUM('Inputs_BY INM'!E$222:E$226),"")</f>
        <v/>
      </c>
      <c r="K75" s="376" t="str">
        <f>IFERROR('Inputs_BY INM'!F225/SUM('Inputs_BY INM'!F$222:F$226),"")</f>
        <v/>
      </c>
      <c r="L75" s="376" t="str">
        <f>IFERROR('Inputs_BY INM'!G225/SUM('Inputs_BY INM'!G$222:G$226),"")</f>
        <v/>
      </c>
      <c r="M75" s="376" t="str">
        <f>IFERROR('Inputs_BY INM'!H225/SUM('Inputs_BY INM'!H$222:H$226),"")</f>
        <v/>
      </c>
      <c r="N75" s="376">
        <f>IFERROR('Inputs_BY INM'!I225/SUM('Inputs_BY INM'!I$222:I$226),"")</f>
        <v>7.9842606918419198E-2</v>
      </c>
      <c r="O75" s="376">
        <f>IFERROR('Inputs_BY INM'!J225/SUM('Inputs_BY INM'!J$222:J$226),"")</f>
        <v>9.2439228305964388E-3</v>
      </c>
      <c r="P75" s="376">
        <f>IFERROR('Inputs_BY INM'!K225/SUM('Inputs_BY INM'!K$222:K$226),"")</f>
        <v>7.6717261383811367E-2</v>
      </c>
      <c r="Q75" s="376" t="str">
        <f>IFERROR('Inputs_BY INM'!L225/SUM('Inputs_BY INM'!L$222:L$226),"")</f>
        <v/>
      </c>
      <c r="R75" s="376">
        <f>IFERROR('Inputs_BY INM'!M225/SUM('Inputs_BY INM'!M$222:M$226),"")</f>
        <v>0.12517610594533671</v>
      </c>
      <c r="S75" s="376">
        <f>IFERROR('Inputs_BY INM'!N225/SUM('Inputs_BY INM'!N$222:N$226),"")</f>
        <v>0</v>
      </c>
      <c r="T75" s="376">
        <f>IFERROR('Inputs_BY INM'!O225/SUM('Inputs_BY INM'!O$222:O$226),"")</f>
        <v>0.13270142180094785</v>
      </c>
      <c r="U75" s="376" t="str">
        <f>IFERROR('Inputs_BY INM'!P225/SUM('Inputs_BY INM'!P$222:P$226),"")</f>
        <v/>
      </c>
      <c r="V75" s="376">
        <f>IFERROR('Inputs_BY INM'!Q225/SUM('Inputs_BY INM'!Q$222:Q$226),"")</f>
        <v>2.768653214453308E-2</v>
      </c>
      <c r="W75" s="376">
        <f>IFERROR('Inputs_BY INM'!R225/SUM('Inputs_BY INM'!R$222:R$226),"")</f>
        <v>2.8819736473226804E-2</v>
      </c>
      <c r="X75" s="376">
        <f>IFERROR('Inputs_BY INM'!S225/SUM('Inputs_BY INM'!S$222:S$226),"")</f>
        <v>8.6184182567676688E-3</v>
      </c>
      <c r="Y75" s="376">
        <f>IFERROR('Inputs_BY INM'!T225/SUM('Inputs_BY INM'!T$222:T$226),"")</f>
        <v>2.2052709449990045E-2</v>
      </c>
      <c r="Z75" s="376">
        <f>IFERROR('Inputs_BY INM'!U225/SUM('Inputs_BY INM'!U$222:U$226),"")</f>
        <v>1.4911848491541648E-2</v>
      </c>
      <c r="AA75" s="376" t="str">
        <f>IFERROR('Inputs_BY INM'!V225/SUM('Inputs_BY INM'!V$222:V$226),"")</f>
        <v/>
      </c>
      <c r="AB75" s="376" t="str">
        <f>IFERROR('Inputs_BY INM'!W225/SUM('Inputs_BY INM'!W$222:W$226),"")</f>
        <v/>
      </c>
      <c r="AC75" s="376">
        <f>IFERROR('Inputs_BY INM'!X225/SUM('Inputs_BY INM'!X$222:X$226),"")</f>
        <v>9.3189376551594899E-2</v>
      </c>
      <c r="AD75" s="376" t="str">
        <f>IFERROR('Inputs_BY INM'!Y225/SUM('Inputs_BY INM'!Y$222:Y$226),"")</f>
        <v/>
      </c>
      <c r="AE75" s="376">
        <f>IFERROR('Inputs_BY INM'!Z225/SUM('Inputs_BY INM'!Z$222:Z$226),"")</f>
        <v>3.0997749909524338E-3</v>
      </c>
      <c r="AF75" s="376" t="str">
        <f>IFERROR('Inputs_BY INM'!AA225/SUM('Inputs_BY INM'!AA$222:AA$226),"")</f>
        <v/>
      </c>
      <c r="AG75" s="376">
        <f>IFERROR('Inputs_BY INM'!AB225/SUM('Inputs_BY INM'!AB$222:AB$226),"")</f>
        <v>1.8787396107741642E-3</v>
      </c>
      <c r="AH75" s="376" t="str">
        <f>IFERROR('Inputs_BY INM'!AC225/SUM('Inputs_BY INM'!AC$222:AC$226),"")</f>
        <v/>
      </c>
      <c r="AI75" s="376">
        <f>IFERROR('Inputs_BY INM'!AD225/SUM('Inputs_BY INM'!AD$222:AD$226),"")</f>
        <v>2.1980018697669245E-3</v>
      </c>
      <c r="AJ75" s="376" t="str">
        <f>IFERROR('Inputs_BY INM'!AE225/SUM('Inputs_BY INM'!AE$222:AE$226),"")</f>
        <v/>
      </c>
      <c r="AK75" s="376">
        <f>IFERROR('Inputs_BY INM'!AF225/SUM('Inputs_BY INM'!AF$222:AF$226),"")</f>
        <v>1.7942898040795695E-3</v>
      </c>
    </row>
    <row r="76" spans="1:39" x14ac:dyDescent="0.25">
      <c r="C76" s="9" t="str">
        <f>'Inputs_BY INM'!C226</f>
        <v>INDCOG</v>
      </c>
      <c r="G76" s="9"/>
      <c r="H76" s="61" t="s">
        <v>907</v>
      </c>
      <c r="I76" t="s">
        <v>460</v>
      </c>
      <c r="J76" s="376" t="str">
        <f>IFERROR('Inputs_BY INM'!E226/SUM('Inputs_BY INM'!E$222:E$226),"")</f>
        <v/>
      </c>
      <c r="K76" s="376" t="str">
        <f>IFERROR('Inputs_BY INM'!F226/SUM('Inputs_BY INM'!F$222:F$226),"")</f>
        <v/>
      </c>
      <c r="L76" s="376" t="str">
        <f>IFERROR('Inputs_BY INM'!G226/SUM('Inputs_BY INM'!G$222:G$226),"")</f>
        <v/>
      </c>
      <c r="M76" s="376" t="str">
        <f>IFERROR('Inputs_BY INM'!H226/SUM('Inputs_BY INM'!H$222:H$226),"")</f>
        <v/>
      </c>
      <c r="N76" s="376">
        <f>IFERROR('Inputs_BY INM'!I226/SUM('Inputs_BY INM'!I$222:I$226),"")</f>
        <v>0</v>
      </c>
      <c r="O76" s="376">
        <f>IFERROR('Inputs_BY INM'!J226/SUM('Inputs_BY INM'!J$222:J$226),"")</f>
        <v>0</v>
      </c>
      <c r="P76" s="376">
        <f>IFERROR('Inputs_BY INM'!K226/SUM('Inputs_BY INM'!K$222:K$226),"")</f>
        <v>0</v>
      </c>
      <c r="Q76" s="376" t="str">
        <f>IFERROR('Inputs_BY INM'!L226/SUM('Inputs_BY INM'!L$222:L$226),"")</f>
        <v/>
      </c>
      <c r="R76" s="376">
        <f>IFERROR('Inputs_BY INM'!M226/SUM('Inputs_BY INM'!M$222:M$226),"")</f>
        <v>0</v>
      </c>
      <c r="S76" s="376">
        <f>IFERROR('Inputs_BY INM'!N226/SUM('Inputs_BY INM'!N$222:N$226),"")</f>
        <v>0</v>
      </c>
      <c r="T76" s="376">
        <f>IFERROR('Inputs_BY INM'!O226/SUM('Inputs_BY INM'!O$222:O$226),"")</f>
        <v>0</v>
      </c>
      <c r="U76" s="376" t="str">
        <f>IFERROR('Inputs_BY INM'!P226/SUM('Inputs_BY INM'!P$222:P$226),"")</f>
        <v/>
      </c>
      <c r="V76" s="376">
        <f>IFERROR('Inputs_BY INM'!Q226/SUM('Inputs_BY INM'!Q$222:Q$226),"")</f>
        <v>0</v>
      </c>
      <c r="W76" s="376">
        <f>IFERROR('Inputs_BY INM'!R226/SUM('Inputs_BY INM'!R$222:R$226),"")</f>
        <v>0</v>
      </c>
      <c r="X76" s="376">
        <f>IFERROR('Inputs_BY INM'!S226/SUM('Inputs_BY INM'!S$222:S$226),"")</f>
        <v>2.2353491139348095E-2</v>
      </c>
      <c r="Y76" s="376">
        <f>IFERROR('Inputs_BY INM'!T226/SUM('Inputs_BY INM'!T$222:T$226),"")</f>
        <v>0</v>
      </c>
      <c r="Z76" s="376">
        <f>IFERROR('Inputs_BY INM'!U226/SUM('Inputs_BY INM'!U$222:U$226),"")</f>
        <v>2.0360081780133772E-2</v>
      </c>
      <c r="AA76" s="376" t="str">
        <f>IFERROR('Inputs_BY INM'!V226/SUM('Inputs_BY INM'!V$222:V$226),"")</f>
        <v/>
      </c>
      <c r="AB76" s="376" t="str">
        <f>IFERROR('Inputs_BY INM'!W226/SUM('Inputs_BY INM'!W$222:W$226),"")</f>
        <v/>
      </c>
      <c r="AC76" s="376">
        <f>IFERROR('Inputs_BY INM'!X226/SUM('Inputs_BY INM'!X$222:X$226),"")</f>
        <v>0.14963230127874841</v>
      </c>
      <c r="AD76" s="376" t="str">
        <f>IFERROR('Inputs_BY INM'!Y226/SUM('Inputs_BY INM'!Y$222:Y$226),"")</f>
        <v/>
      </c>
      <c r="AE76" s="376">
        <f>IFERROR('Inputs_BY INM'!Z226/SUM('Inputs_BY INM'!Z$222:Z$226),"")</f>
        <v>0</v>
      </c>
      <c r="AF76" s="376" t="str">
        <f>IFERROR('Inputs_BY INM'!AA226/SUM('Inputs_BY INM'!AA$222:AA$226),"")</f>
        <v/>
      </c>
      <c r="AG76" s="376">
        <f>IFERROR('Inputs_BY INM'!AB226/SUM('Inputs_BY INM'!AB$222:AB$226),"")</f>
        <v>0</v>
      </c>
      <c r="AH76" s="376" t="str">
        <f>IFERROR('Inputs_BY INM'!AC226/SUM('Inputs_BY INM'!AC$222:AC$226),"")</f>
        <v/>
      </c>
      <c r="AI76" s="376">
        <f>IFERROR('Inputs_BY INM'!AD226/SUM('Inputs_BY INM'!AD$222:AD$226),"")</f>
        <v>2.8163730624613521E-3</v>
      </c>
      <c r="AJ76" s="376" t="str">
        <f>IFERROR('Inputs_BY INM'!AE226/SUM('Inputs_BY INM'!AE$222:AE$226),"")</f>
        <v/>
      </c>
      <c r="AK76" s="376">
        <f>IFERROR('Inputs_BY INM'!AF226/SUM('Inputs_BY INM'!AF$222:AF$226),"")</f>
        <v>0</v>
      </c>
    </row>
    <row r="77" spans="1:39" x14ac:dyDescent="0.25">
      <c r="A77" s="9" t="str">
        <f>A16</f>
        <v>I-NM-LTH_GAS00</v>
      </c>
      <c r="B77" s="9" t="str">
        <f>B16</f>
        <v>IND Non-metallic minerals technology: Low temperature heat using Gas - Existing</v>
      </c>
      <c r="C77" s="9" t="str">
        <f>'Inputs_BY INM'!C227</f>
        <v>INDGAS</v>
      </c>
      <c r="G77" s="9"/>
      <c r="H77" s="61" t="s">
        <v>907</v>
      </c>
      <c r="I77" t="s">
        <v>460</v>
      </c>
      <c r="J77" s="376" t="str">
        <f>IFERROR('Inputs_BY INM'!E227/SUM('Inputs_BY INM'!E$227:E$231),"")</f>
        <v/>
      </c>
      <c r="K77" s="376" t="str">
        <f>IFERROR('Inputs_BY INM'!F227/SUM('Inputs_BY INM'!F$227:F$231),"")</f>
        <v/>
      </c>
      <c r="L77" s="376" t="str">
        <f>IFERROR('Inputs_BY INM'!G227/SUM('Inputs_BY INM'!G$227:G$231),"")</f>
        <v/>
      </c>
      <c r="M77" s="376" t="str">
        <f>IFERROR('Inputs_BY INM'!H227/SUM('Inputs_BY INM'!H$227:H$231),"")</f>
        <v/>
      </c>
      <c r="N77" s="376">
        <f>IFERROR('Inputs_BY INM'!I227/SUM('Inputs_BY INM'!I$227:I$231),"")</f>
        <v>0.91857200160449259</v>
      </c>
      <c r="O77" s="376">
        <f>IFERROR('Inputs_BY INM'!J227/SUM('Inputs_BY INM'!J$227:J$231),"")</f>
        <v>0.99075607716940362</v>
      </c>
      <c r="P77" s="376">
        <f>IFERROR('Inputs_BY INM'!K227/SUM('Inputs_BY INM'!K$227:K$231),"")</f>
        <v>0.92328273861618859</v>
      </c>
      <c r="Q77" s="376" t="str">
        <f>IFERROR('Inputs_BY INM'!L227/SUM('Inputs_BY INM'!L$227:L$231),"")</f>
        <v/>
      </c>
      <c r="R77" s="376">
        <f>IFERROR('Inputs_BY INM'!M227/SUM('Inputs_BY INM'!M$227:M$231),"")</f>
        <v>0.87482389405466321</v>
      </c>
      <c r="S77" s="376">
        <f>IFERROR('Inputs_BY INM'!N227/SUM('Inputs_BY INM'!N$227:N$231),"")</f>
        <v>1</v>
      </c>
      <c r="T77" s="376">
        <f>IFERROR('Inputs_BY INM'!O227/SUM('Inputs_BY INM'!O$227:O$231),"")</f>
        <v>0.86729857819905209</v>
      </c>
      <c r="U77" s="376" t="str">
        <f>IFERROR('Inputs_BY INM'!P227/SUM('Inputs_BY INM'!P$227:P$231),"")</f>
        <v/>
      </c>
      <c r="V77" s="376">
        <f>IFERROR('Inputs_BY INM'!Q227/SUM('Inputs_BY INM'!Q$227:Q$231),"")</f>
        <v>0.97231346785546691</v>
      </c>
      <c r="W77" s="376">
        <f>IFERROR('Inputs_BY INM'!R227/SUM('Inputs_BY INM'!R$227:R$231),"")</f>
        <v>0.96785347163816449</v>
      </c>
      <c r="X77" s="376">
        <f>IFERROR('Inputs_BY INM'!S227/SUM('Inputs_BY INM'!S$227:S$231),"")</f>
        <v>0.96881560494666608</v>
      </c>
      <c r="Y77" s="376">
        <f>IFERROR('Inputs_BY INM'!T227/SUM('Inputs_BY INM'!T$227:T$231),"")</f>
        <v>0.97687373857643101</v>
      </c>
      <c r="Z77" s="376">
        <f>IFERROR('Inputs_BY INM'!U227/SUM('Inputs_BY INM'!U$227:U$231),"")</f>
        <v>0.9641164177582956</v>
      </c>
      <c r="AA77" s="376" t="str">
        <f>IFERROR('Inputs_BY INM'!V227/SUM('Inputs_BY INM'!V$227:V$231),"")</f>
        <v/>
      </c>
      <c r="AB77" s="376" t="str">
        <f>IFERROR('Inputs_BY INM'!W227/SUM('Inputs_BY INM'!W$227:W$231),"")</f>
        <v/>
      </c>
      <c r="AC77" s="376">
        <f>IFERROR('Inputs_BY INM'!X227/SUM('Inputs_BY INM'!X$227:X$231),"")</f>
        <v>0.75167455150124118</v>
      </c>
      <c r="AD77" s="376" t="str">
        <f>IFERROR('Inputs_BY INM'!Y227/SUM('Inputs_BY INM'!Y$227:Y$231),"")</f>
        <v/>
      </c>
      <c r="AE77" s="376">
        <f>IFERROR('Inputs_BY INM'!Z227/SUM('Inputs_BY INM'!Z$227:Z$231),"")</f>
        <v>0.99690022500904751</v>
      </c>
      <c r="AF77" s="376" t="str">
        <f>IFERROR('Inputs_BY INM'!AA227/SUM('Inputs_BY INM'!AA$227:AA$231),"")</f>
        <v/>
      </c>
      <c r="AG77" s="376">
        <f>IFERROR('Inputs_BY INM'!AB227/SUM('Inputs_BY INM'!AB$227:AB$231),"")</f>
        <v>0.99812126038922577</v>
      </c>
      <c r="AH77" s="376" t="str">
        <f>IFERROR('Inputs_BY INM'!AC227/SUM('Inputs_BY INM'!AC$227:AC$231),"")</f>
        <v/>
      </c>
      <c r="AI77" s="376">
        <f>IFERROR('Inputs_BY INM'!AD227/SUM('Inputs_BY INM'!AD$227:AD$231),"")</f>
        <v>0.99498562506777177</v>
      </c>
      <c r="AJ77" s="376" t="str">
        <f>IFERROR('Inputs_BY INM'!AE227/SUM('Inputs_BY INM'!AE$227:AE$231),"")</f>
        <v/>
      </c>
      <c r="AK77" s="376">
        <f>IFERROR('Inputs_BY INM'!AF227/SUM('Inputs_BY INM'!AF$227:AF$231),"")</f>
        <v>0.99820571019592053</v>
      </c>
    </row>
    <row r="78" spans="1:39" x14ac:dyDescent="0.25">
      <c r="C78" s="9" t="str">
        <f>'Inputs_BY INM'!C228</f>
        <v>INDBGS</v>
      </c>
      <c r="G78" s="9"/>
      <c r="H78" s="61" t="s">
        <v>907</v>
      </c>
      <c r="I78" t="s">
        <v>460</v>
      </c>
      <c r="J78" s="376" t="str">
        <f>IFERROR('Inputs_BY INM'!E228/SUM('Inputs_BY INM'!E$227:E$231),"")</f>
        <v/>
      </c>
      <c r="K78" s="376" t="str">
        <f>IFERROR('Inputs_BY INM'!F228/SUM('Inputs_BY INM'!F$227:F$231),"")</f>
        <v/>
      </c>
      <c r="L78" s="376" t="str">
        <f>IFERROR('Inputs_BY INM'!G228/SUM('Inputs_BY INM'!G$227:G$231),"")</f>
        <v/>
      </c>
      <c r="M78" s="376" t="str">
        <f>IFERROR('Inputs_BY INM'!H228/SUM('Inputs_BY INM'!H$227:H$231),"")</f>
        <v/>
      </c>
      <c r="N78" s="376">
        <f>IFERROR('Inputs_BY INM'!I228/SUM('Inputs_BY INM'!I$227:I$231),"")</f>
        <v>1.5853914770882279E-3</v>
      </c>
      <c r="O78" s="376">
        <f>IFERROR('Inputs_BY INM'!J228/SUM('Inputs_BY INM'!J$227:J$231),"")</f>
        <v>0</v>
      </c>
      <c r="P78" s="376">
        <f>IFERROR('Inputs_BY INM'!K228/SUM('Inputs_BY INM'!K$227:K$231),"")</f>
        <v>0</v>
      </c>
      <c r="Q78" s="376" t="str">
        <f>IFERROR('Inputs_BY INM'!L228/SUM('Inputs_BY INM'!L$227:L$231),"")</f>
        <v/>
      </c>
      <c r="R78" s="376">
        <f>IFERROR('Inputs_BY INM'!M228/SUM('Inputs_BY INM'!M$227:M$231),"")</f>
        <v>0</v>
      </c>
      <c r="S78" s="376">
        <f>IFERROR('Inputs_BY INM'!N228/SUM('Inputs_BY INM'!N$227:N$231),"")</f>
        <v>0</v>
      </c>
      <c r="T78" s="376">
        <f>IFERROR('Inputs_BY INM'!O228/SUM('Inputs_BY INM'!O$227:O$231),"")</f>
        <v>0</v>
      </c>
      <c r="U78" s="376" t="str">
        <f>IFERROR('Inputs_BY INM'!P228/SUM('Inputs_BY INM'!P$227:P$231),"")</f>
        <v/>
      </c>
      <c r="V78" s="376">
        <f>IFERROR('Inputs_BY INM'!Q228/SUM('Inputs_BY INM'!Q$227:Q$231),"")</f>
        <v>0</v>
      </c>
      <c r="W78" s="376">
        <f>IFERROR('Inputs_BY INM'!R228/SUM('Inputs_BY INM'!R$227:R$231),"")</f>
        <v>2.429679469208485E-4</v>
      </c>
      <c r="X78" s="376">
        <f>IFERROR('Inputs_BY INM'!S228/SUM('Inputs_BY INM'!S$227:S$231),"")</f>
        <v>2.1248565721813776E-4</v>
      </c>
      <c r="Y78" s="376">
        <f>IFERROR('Inputs_BY INM'!T228/SUM('Inputs_BY INM'!T$227:T$231),"")</f>
        <v>1.0735519735789103E-3</v>
      </c>
      <c r="Z78" s="376">
        <f>IFERROR('Inputs_BY INM'!U228/SUM('Inputs_BY INM'!U$227:U$231),"")</f>
        <v>6.1165197002905356E-4</v>
      </c>
      <c r="AA78" s="376" t="str">
        <f>IFERROR('Inputs_BY INM'!V228/SUM('Inputs_BY INM'!V$227:V$231),"")</f>
        <v/>
      </c>
      <c r="AB78" s="376" t="str">
        <f>IFERROR('Inputs_BY INM'!W228/SUM('Inputs_BY INM'!W$227:W$231),"")</f>
        <v/>
      </c>
      <c r="AC78" s="376">
        <f>IFERROR('Inputs_BY INM'!X228/SUM('Inputs_BY INM'!X$227:X$231),"")</f>
        <v>0</v>
      </c>
      <c r="AD78" s="376" t="str">
        <f>IFERROR('Inputs_BY INM'!Y228/SUM('Inputs_BY INM'!Y$227:Y$231),"")</f>
        <v/>
      </c>
      <c r="AE78" s="376">
        <f>IFERROR('Inputs_BY INM'!Z228/SUM('Inputs_BY INM'!Z$227:Z$231),"")</f>
        <v>0</v>
      </c>
      <c r="AF78" s="376" t="str">
        <f>IFERROR('Inputs_BY INM'!AA228/SUM('Inputs_BY INM'!AA$227:AA$231),"")</f>
        <v/>
      </c>
      <c r="AG78" s="376">
        <f>IFERROR('Inputs_BY INM'!AB228/SUM('Inputs_BY INM'!AB$227:AB$231),"")</f>
        <v>0</v>
      </c>
      <c r="AH78" s="376" t="str">
        <f>IFERROR('Inputs_BY INM'!AC228/SUM('Inputs_BY INM'!AC$227:AC$231),"")</f>
        <v/>
      </c>
      <c r="AI78" s="376">
        <f>IFERROR('Inputs_BY INM'!AD228/SUM('Inputs_BY INM'!AD$227:AD$231),"")</f>
        <v>0</v>
      </c>
      <c r="AJ78" s="376" t="str">
        <f>IFERROR('Inputs_BY INM'!AE228/SUM('Inputs_BY INM'!AE$227:AE$231),"")</f>
        <v/>
      </c>
      <c r="AK78" s="376">
        <f>IFERROR('Inputs_BY INM'!AF228/SUM('Inputs_BY INM'!AF$227:AF$231),"")</f>
        <v>0</v>
      </c>
    </row>
    <row r="79" spans="1:39" x14ac:dyDescent="0.25">
      <c r="C79" s="9" t="str">
        <f>'Inputs_BY INM'!C229</f>
        <v>INDBFG</v>
      </c>
      <c r="G79" s="9"/>
      <c r="H79" s="61" t="s">
        <v>907</v>
      </c>
      <c r="I79" t="s">
        <v>460</v>
      </c>
      <c r="J79" s="376" t="str">
        <f>IFERROR('Inputs_BY INM'!E229/SUM('Inputs_BY INM'!E$227:E$231),"")</f>
        <v/>
      </c>
      <c r="K79" s="376" t="str">
        <f>IFERROR('Inputs_BY INM'!F229/SUM('Inputs_BY INM'!F$227:F$231),"")</f>
        <v/>
      </c>
      <c r="L79" s="376" t="str">
        <f>IFERROR('Inputs_BY INM'!G229/SUM('Inputs_BY INM'!G$227:G$231),"")</f>
        <v/>
      </c>
      <c r="M79" s="376" t="str">
        <f>IFERROR('Inputs_BY INM'!H229/SUM('Inputs_BY INM'!H$227:H$231),"")</f>
        <v/>
      </c>
      <c r="N79" s="376">
        <f>IFERROR('Inputs_BY INM'!I229/SUM('Inputs_BY INM'!I$227:I$231),"")</f>
        <v>0</v>
      </c>
      <c r="O79" s="376">
        <f>IFERROR('Inputs_BY INM'!J229/SUM('Inputs_BY INM'!J$227:J$231),"")</f>
        <v>0</v>
      </c>
      <c r="P79" s="376">
        <f>IFERROR('Inputs_BY INM'!K229/SUM('Inputs_BY INM'!K$227:K$231),"")</f>
        <v>0</v>
      </c>
      <c r="Q79" s="376" t="str">
        <f>IFERROR('Inputs_BY INM'!L229/SUM('Inputs_BY INM'!L$227:L$231),"")</f>
        <v/>
      </c>
      <c r="R79" s="376">
        <f>IFERROR('Inputs_BY INM'!M229/SUM('Inputs_BY INM'!M$227:M$231),"")</f>
        <v>0</v>
      </c>
      <c r="S79" s="376">
        <f>IFERROR('Inputs_BY INM'!N229/SUM('Inputs_BY INM'!N$227:N$231),"")</f>
        <v>0</v>
      </c>
      <c r="T79" s="376">
        <f>IFERROR('Inputs_BY INM'!O229/SUM('Inputs_BY INM'!O$227:O$231),"")</f>
        <v>0</v>
      </c>
      <c r="U79" s="376" t="str">
        <f>IFERROR('Inputs_BY INM'!P229/SUM('Inputs_BY INM'!P$227:P$231),"")</f>
        <v/>
      </c>
      <c r="V79" s="376">
        <f>IFERROR('Inputs_BY INM'!Q229/SUM('Inputs_BY INM'!Q$227:Q$231),"")</f>
        <v>0</v>
      </c>
      <c r="W79" s="376">
        <f>IFERROR('Inputs_BY INM'!R229/SUM('Inputs_BY INM'!R$227:R$231),"")</f>
        <v>3.083823941687693E-3</v>
      </c>
      <c r="X79" s="376">
        <f>IFERROR('Inputs_BY INM'!S229/SUM('Inputs_BY INM'!S$227:S$231),"")</f>
        <v>0</v>
      </c>
      <c r="Y79" s="376">
        <f>IFERROR('Inputs_BY INM'!T229/SUM('Inputs_BY INM'!T$227:T$231),"")</f>
        <v>0</v>
      </c>
      <c r="Z79" s="376">
        <f>IFERROR('Inputs_BY INM'!U229/SUM('Inputs_BY INM'!U$227:U$231),"")</f>
        <v>0</v>
      </c>
      <c r="AA79" s="376" t="str">
        <f>IFERROR('Inputs_BY INM'!V229/SUM('Inputs_BY INM'!V$227:V$231),"")</f>
        <v/>
      </c>
      <c r="AB79" s="376" t="str">
        <f>IFERROR('Inputs_BY INM'!W229/SUM('Inputs_BY INM'!W$227:W$231),"")</f>
        <v/>
      </c>
      <c r="AC79" s="376">
        <f>IFERROR('Inputs_BY INM'!X229/SUM('Inputs_BY INM'!X$227:X$231),"")</f>
        <v>5.5037706684153819E-3</v>
      </c>
      <c r="AD79" s="376" t="str">
        <f>IFERROR('Inputs_BY INM'!Y229/SUM('Inputs_BY INM'!Y$227:Y$231),"")</f>
        <v/>
      </c>
      <c r="AE79" s="376">
        <f>IFERROR('Inputs_BY INM'!Z229/SUM('Inputs_BY INM'!Z$227:Z$231),"")</f>
        <v>0</v>
      </c>
      <c r="AF79" s="376" t="str">
        <f>IFERROR('Inputs_BY INM'!AA229/SUM('Inputs_BY INM'!AA$227:AA$231),"")</f>
        <v/>
      </c>
      <c r="AG79" s="376">
        <f>IFERROR('Inputs_BY INM'!AB229/SUM('Inputs_BY INM'!AB$227:AB$231),"")</f>
        <v>0</v>
      </c>
      <c r="AH79" s="376" t="str">
        <f>IFERROR('Inputs_BY INM'!AC229/SUM('Inputs_BY INM'!AC$227:AC$231),"")</f>
        <v/>
      </c>
      <c r="AI79" s="376">
        <f>IFERROR('Inputs_BY INM'!AD229/SUM('Inputs_BY INM'!AD$227:AD$231),"")</f>
        <v>0</v>
      </c>
      <c r="AJ79" s="376" t="str">
        <f>IFERROR('Inputs_BY INM'!AE229/SUM('Inputs_BY INM'!AE$227:AE$231),"")</f>
        <v/>
      </c>
      <c r="AK79" s="376">
        <f>IFERROR('Inputs_BY INM'!AF229/SUM('Inputs_BY INM'!AF$227:AF$231),"")</f>
        <v>0</v>
      </c>
    </row>
    <row r="80" spans="1:39" x14ac:dyDescent="0.25">
      <c r="C80" s="9" t="str">
        <f>'Inputs_BY INM'!C230</f>
        <v>INDLPG</v>
      </c>
      <c r="G80" s="9"/>
      <c r="H80" s="61" t="s">
        <v>907</v>
      </c>
      <c r="I80" t="s">
        <v>460</v>
      </c>
      <c r="J80" s="376" t="str">
        <f>IFERROR('Inputs_BY INM'!E230/SUM('Inputs_BY INM'!E$227:E$231),"")</f>
        <v/>
      </c>
      <c r="K80" s="376" t="str">
        <f>IFERROR('Inputs_BY INM'!F230/SUM('Inputs_BY INM'!F$227:F$231),"")</f>
        <v/>
      </c>
      <c r="L80" s="376" t="str">
        <f>IFERROR('Inputs_BY INM'!G230/SUM('Inputs_BY INM'!G$227:G$231),"")</f>
        <v/>
      </c>
      <c r="M80" s="376" t="str">
        <f>IFERROR('Inputs_BY INM'!H230/SUM('Inputs_BY INM'!H$227:H$231),"")</f>
        <v/>
      </c>
      <c r="N80" s="376">
        <f>IFERROR('Inputs_BY INM'!I230/SUM('Inputs_BY INM'!I$227:I$231),"")</f>
        <v>7.9842606918419198E-2</v>
      </c>
      <c r="O80" s="376">
        <f>IFERROR('Inputs_BY INM'!J230/SUM('Inputs_BY INM'!J$227:J$231),"")</f>
        <v>9.2439228305964405E-3</v>
      </c>
      <c r="P80" s="376">
        <f>IFERROR('Inputs_BY INM'!K230/SUM('Inputs_BY INM'!K$227:K$231),"")</f>
        <v>7.6717261383811367E-2</v>
      </c>
      <c r="Q80" s="376" t="str">
        <f>IFERROR('Inputs_BY INM'!L230/SUM('Inputs_BY INM'!L$227:L$231),"")</f>
        <v/>
      </c>
      <c r="R80" s="376">
        <f>IFERROR('Inputs_BY INM'!M230/SUM('Inputs_BY INM'!M$227:M$231),"")</f>
        <v>0.12517610594533671</v>
      </c>
      <c r="S80" s="376">
        <f>IFERROR('Inputs_BY INM'!N230/SUM('Inputs_BY INM'!N$227:N$231),"")</f>
        <v>0</v>
      </c>
      <c r="T80" s="376">
        <f>IFERROR('Inputs_BY INM'!O230/SUM('Inputs_BY INM'!O$227:O$231),"")</f>
        <v>0.13270142180094785</v>
      </c>
      <c r="U80" s="376" t="str">
        <f>IFERROR('Inputs_BY INM'!P230/SUM('Inputs_BY INM'!P$227:P$231),"")</f>
        <v/>
      </c>
      <c r="V80" s="376">
        <f>IFERROR('Inputs_BY INM'!Q230/SUM('Inputs_BY INM'!Q$227:Q$231),"")</f>
        <v>2.7686532144533083E-2</v>
      </c>
      <c r="W80" s="376">
        <f>IFERROR('Inputs_BY INM'!R230/SUM('Inputs_BY INM'!R$227:R$231),"")</f>
        <v>2.88197364732268E-2</v>
      </c>
      <c r="X80" s="376">
        <f>IFERROR('Inputs_BY INM'!S230/SUM('Inputs_BY INM'!S$227:S$231),"")</f>
        <v>8.6184182567676671E-3</v>
      </c>
      <c r="Y80" s="376">
        <f>IFERROR('Inputs_BY INM'!T230/SUM('Inputs_BY INM'!T$227:T$231),"")</f>
        <v>2.2052709449990045E-2</v>
      </c>
      <c r="Z80" s="376">
        <f>IFERROR('Inputs_BY INM'!U230/SUM('Inputs_BY INM'!U$227:U$231),"")</f>
        <v>1.4911848491541648E-2</v>
      </c>
      <c r="AA80" s="376" t="str">
        <f>IFERROR('Inputs_BY INM'!V230/SUM('Inputs_BY INM'!V$227:V$231),"")</f>
        <v/>
      </c>
      <c r="AB80" s="376" t="str">
        <f>IFERROR('Inputs_BY INM'!W230/SUM('Inputs_BY INM'!W$227:W$231),"")</f>
        <v/>
      </c>
      <c r="AC80" s="376">
        <f>IFERROR('Inputs_BY INM'!X230/SUM('Inputs_BY INM'!X$227:X$231),"")</f>
        <v>9.3189376551594927E-2</v>
      </c>
      <c r="AD80" s="376" t="str">
        <f>IFERROR('Inputs_BY INM'!Y230/SUM('Inputs_BY INM'!Y$227:Y$231),"")</f>
        <v/>
      </c>
      <c r="AE80" s="376">
        <f>IFERROR('Inputs_BY INM'!Z230/SUM('Inputs_BY INM'!Z$227:Z$231),"")</f>
        <v>3.0997749909524334E-3</v>
      </c>
      <c r="AF80" s="376" t="str">
        <f>IFERROR('Inputs_BY INM'!AA230/SUM('Inputs_BY INM'!AA$227:AA$231),"")</f>
        <v/>
      </c>
      <c r="AG80" s="376">
        <f>IFERROR('Inputs_BY INM'!AB230/SUM('Inputs_BY INM'!AB$227:AB$231),"")</f>
        <v>1.8787396107741642E-3</v>
      </c>
      <c r="AH80" s="376" t="str">
        <f>IFERROR('Inputs_BY INM'!AC230/SUM('Inputs_BY INM'!AC$227:AC$231),"")</f>
        <v/>
      </c>
      <c r="AI80" s="376">
        <f>IFERROR('Inputs_BY INM'!AD230/SUM('Inputs_BY INM'!AD$227:AD$231),"")</f>
        <v>2.1980018697669241E-3</v>
      </c>
      <c r="AJ80" s="376" t="str">
        <f>IFERROR('Inputs_BY INM'!AE230/SUM('Inputs_BY INM'!AE$227:AE$231),"")</f>
        <v/>
      </c>
      <c r="AK80" s="376">
        <f>IFERROR('Inputs_BY INM'!AF230/SUM('Inputs_BY INM'!AF$227:AF$231),"")</f>
        <v>1.7942898040795693E-3</v>
      </c>
    </row>
    <row r="81" spans="1:37" x14ac:dyDescent="0.25">
      <c r="C81" s="9" t="str">
        <f>'Inputs_BY INM'!C231</f>
        <v>INDCOG</v>
      </c>
      <c r="G81" s="9"/>
      <c r="H81" s="61" t="s">
        <v>907</v>
      </c>
      <c r="I81" t="s">
        <v>460</v>
      </c>
      <c r="J81" s="376" t="str">
        <f>IFERROR('Inputs_BY INM'!E231/SUM('Inputs_BY INM'!E$227:E$231),"")</f>
        <v/>
      </c>
      <c r="K81" s="376" t="str">
        <f>IFERROR('Inputs_BY INM'!F231/SUM('Inputs_BY INM'!F$227:F$231),"")</f>
        <v/>
      </c>
      <c r="L81" s="376" t="str">
        <f>IFERROR('Inputs_BY INM'!G231/SUM('Inputs_BY INM'!G$227:G$231),"")</f>
        <v/>
      </c>
      <c r="M81" s="376" t="str">
        <f>IFERROR('Inputs_BY INM'!H231/SUM('Inputs_BY INM'!H$227:H$231),"")</f>
        <v/>
      </c>
      <c r="N81" s="376">
        <f>IFERROR('Inputs_BY INM'!I231/SUM('Inputs_BY INM'!I$227:I$231),"")</f>
        <v>0</v>
      </c>
      <c r="O81" s="376">
        <f>IFERROR('Inputs_BY INM'!J231/SUM('Inputs_BY INM'!J$227:J$231),"")</f>
        <v>0</v>
      </c>
      <c r="P81" s="376">
        <f>IFERROR('Inputs_BY INM'!K231/SUM('Inputs_BY INM'!K$227:K$231),"")</f>
        <v>0</v>
      </c>
      <c r="Q81" s="376" t="str">
        <f>IFERROR('Inputs_BY INM'!L231/SUM('Inputs_BY INM'!L$227:L$231),"")</f>
        <v/>
      </c>
      <c r="R81" s="376">
        <f>IFERROR('Inputs_BY INM'!M231/SUM('Inputs_BY INM'!M$227:M$231),"")</f>
        <v>0</v>
      </c>
      <c r="S81" s="376">
        <f>IFERROR('Inputs_BY INM'!N231/SUM('Inputs_BY INM'!N$227:N$231),"")</f>
        <v>0</v>
      </c>
      <c r="T81" s="376">
        <f>IFERROR('Inputs_BY INM'!O231/SUM('Inputs_BY INM'!O$227:O$231),"")</f>
        <v>0</v>
      </c>
      <c r="U81" s="376" t="str">
        <f>IFERROR('Inputs_BY INM'!P231/SUM('Inputs_BY INM'!P$227:P$231),"")</f>
        <v/>
      </c>
      <c r="V81" s="376">
        <f>IFERROR('Inputs_BY INM'!Q231/SUM('Inputs_BY INM'!Q$227:Q$231),"")</f>
        <v>0</v>
      </c>
      <c r="W81" s="376">
        <f>IFERROR('Inputs_BY INM'!R231/SUM('Inputs_BY INM'!R$227:R$231),"")</f>
        <v>0</v>
      </c>
      <c r="X81" s="376">
        <f>IFERROR('Inputs_BY INM'!S231/SUM('Inputs_BY INM'!S$227:S$231),"")</f>
        <v>2.2353491139348092E-2</v>
      </c>
      <c r="Y81" s="376">
        <f>IFERROR('Inputs_BY INM'!T231/SUM('Inputs_BY INM'!T$227:T$231),"")</f>
        <v>0</v>
      </c>
      <c r="Z81" s="376">
        <f>IFERROR('Inputs_BY INM'!U231/SUM('Inputs_BY INM'!U$227:U$231),"")</f>
        <v>2.0360081780133772E-2</v>
      </c>
      <c r="AA81" s="376" t="str">
        <f>IFERROR('Inputs_BY INM'!V231/SUM('Inputs_BY INM'!V$227:V$231),"")</f>
        <v/>
      </c>
      <c r="AB81" s="376" t="str">
        <f>IFERROR('Inputs_BY INM'!W231/SUM('Inputs_BY INM'!W$227:W$231),"")</f>
        <v/>
      </c>
      <c r="AC81" s="376">
        <f>IFERROR('Inputs_BY INM'!X231/SUM('Inputs_BY INM'!X$227:X$231),"")</f>
        <v>0.14963230127874841</v>
      </c>
      <c r="AD81" s="376" t="str">
        <f>IFERROR('Inputs_BY INM'!Y231/SUM('Inputs_BY INM'!Y$227:Y$231),"")</f>
        <v/>
      </c>
      <c r="AE81" s="376">
        <f>IFERROR('Inputs_BY INM'!Z231/SUM('Inputs_BY INM'!Z$227:Z$231),"")</f>
        <v>0</v>
      </c>
      <c r="AF81" s="376" t="str">
        <f>IFERROR('Inputs_BY INM'!AA231/SUM('Inputs_BY INM'!AA$227:AA$231),"")</f>
        <v/>
      </c>
      <c r="AG81" s="376">
        <f>IFERROR('Inputs_BY INM'!AB231/SUM('Inputs_BY INM'!AB$227:AB$231),"")</f>
        <v>0</v>
      </c>
      <c r="AH81" s="376" t="str">
        <f>IFERROR('Inputs_BY INM'!AC231/SUM('Inputs_BY INM'!AC$227:AC$231),"")</f>
        <v/>
      </c>
      <c r="AI81" s="376">
        <f>IFERROR('Inputs_BY INM'!AD231/SUM('Inputs_BY INM'!AD$227:AD$231),"")</f>
        <v>2.8163730624613525E-3</v>
      </c>
      <c r="AJ81" s="376" t="str">
        <f>IFERROR('Inputs_BY INM'!AE231/SUM('Inputs_BY INM'!AE$227:AE$231),"")</f>
        <v/>
      </c>
      <c r="AK81" s="376">
        <f>IFERROR('Inputs_BY INM'!AF231/SUM('Inputs_BY INM'!AF$227:AF$231),"")</f>
        <v>0</v>
      </c>
    </row>
    <row r="82" spans="1:37" x14ac:dyDescent="0.25">
      <c r="A82" s="9" t="str">
        <f>A17</f>
        <v>I-NM-OTS_GAS00</v>
      </c>
      <c r="B82" s="9" t="str">
        <f>B17</f>
        <v>IND Non-metallic minerals technology: Other services using Gas - Existing</v>
      </c>
      <c r="C82" s="9" t="str">
        <f>'Inputs_BY INM'!C232</f>
        <v>INDGAS</v>
      </c>
      <c r="G82" s="9"/>
      <c r="H82" s="61" t="s">
        <v>907</v>
      </c>
      <c r="I82" t="s">
        <v>460</v>
      </c>
      <c r="J82" s="376" t="str">
        <f>IFERROR('Inputs_BY INM'!E232/SUM('Inputs_BY INM'!E$232:E$236),"")</f>
        <v/>
      </c>
      <c r="K82" s="376" t="str">
        <f>IFERROR('Inputs_BY INM'!F232/SUM('Inputs_BY INM'!F$232:F$236),"")</f>
        <v/>
      </c>
      <c r="L82" s="376" t="str">
        <f>IFERROR('Inputs_BY INM'!G232/SUM('Inputs_BY INM'!G$232:G$236),"")</f>
        <v/>
      </c>
      <c r="M82" s="376" t="str">
        <f>IFERROR('Inputs_BY INM'!H232/SUM('Inputs_BY INM'!H$232:H$236),"")</f>
        <v/>
      </c>
      <c r="N82" s="376">
        <f>IFERROR('Inputs_BY INM'!I232/SUM('Inputs_BY INM'!I$232:I$236),"")</f>
        <v>0.91857200160449259</v>
      </c>
      <c r="O82" s="376">
        <f>IFERROR('Inputs_BY INM'!J232/SUM('Inputs_BY INM'!J$232:J$236),"")</f>
        <v>0.9907560771694035</v>
      </c>
      <c r="P82" s="376">
        <f>IFERROR('Inputs_BY INM'!K232/SUM('Inputs_BY INM'!K$232:K$236),"")</f>
        <v>0.92328273861618859</v>
      </c>
      <c r="Q82" s="376" t="str">
        <f>IFERROR('Inputs_BY INM'!L232/SUM('Inputs_BY INM'!L$232:L$236),"")</f>
        <v/>
      </c>
      <c r="R82" s="376">
        <f>IFERROR('Inputs_BY INM'!M232/SUM('Inputs_BY INM'!M$232:M$236),"")</f>
        <v>0.87482389405466332</v>
      </c>
      <c r="S82" s="376">
        <f>IFERROR('Inputs_BY INM'!N232/SUM('Inputs_BY INM'!N$232:N$236),"")</f>
        <v>1</v>
      </c>
      <c r="T82" s="376">
        <f>IFERROR('Inputs_BY INM'!O232/SUM('Inputs_BY INM'!O$232:O$236),"")</f>
        <v>0.86729857819905221</v>
      </c>
      <c r="U82" s="376" t="str">
        <f>IFERROR('Inputs_BY INM'!P232/SUM('Inputs_BY INM'!P$232:P$236),"")</f>
        <v/>
      </c>
      <c r="V82" s="376">
        <f>IFERROR('Inputs_BY INM'!Q232/SUM('Inputs_BY INM'!Q$232:Q$236),"")</f>
        <v>0.97231346785546691</v>
      </c>
      <c r="W82" s="376">
        <f>IFERROR('Inputs_BY INM'!R232/SUM('Inputs_BY INM'!R$232:R$236),"")</f>
        <v>0.96785347163816471</v>
      </c>
      <c r="X82" s="376">
        <f>IFERROR('Inputs_BY INM'!S232/SUM('Inputs_BY INM'!S$232:S$236),"")</f>
        <v>0.96881560494666619</v>
      </c>
      <c r="Y82" s="376">
        <f>IFERROR('Inputs_BY INM'!T232/SUM('Inputs_BY INM'!T$232:T$236),"")</f>
        <v>0.97687373857643089</v>
      </c>
      <c r="Z82" s="376">
        <f>IFERROR('Inputs_BY INM'!U232/SUM('Inputs_BY INM'!U$232:U$236),"")</f>
        <v>0.9641164177582956</v>
      </c>
      <c r="AA82" s="376" t="str">
        <f>IFERROR('Inputs_BY INM'!V232/SUM('Inputs_BY INM'!V$232:V$236),"")</f>
        <v/>
      </c>
      <c r="AB82" s="376" t="str">
        <f>IFERROR('Inputs_BY INM'!W232/SUM('Inputs_BY INM'!W$232:W$236),"")</f>
        <v/>
      </c>
      <c r="AC82" s="376">
        <f>IFERROR('Inputs_BY INM'!X232/SUM('Inputs_BY INM'!X$232:X$236),"")</f>
        <v>0.75167455150124118</v>
      </c>
      <c r="AD82" s="376" t="str">
        <f>IFERROR('Inputs_BY INM'!Y232/SUM('Inputs_BY INM'!Y$232:Y$236),"")</f>
        <v/>
      </c>
      <c r="AE82" s="376">
        <f>IFERROR('Inputs_BY INM'!Z232/SUM('Inputs_BY INM'!Z$232:Z$236),"")</f>
        <v>0.99690022500904751</v>
      </c>
      <c r="AF82" s="376" t="str">
        <f>IFERROR('Inputs_BY INM'!AA232/SUM('Inputs_BY INM'!AA$232:AA$236),"")</f>
        <v/>
      </c>
      <c r="AG82" s="376">
        <f>IFERROR('Inputs_BY INM'!AB232/SUM('Inputs_BY INM'!AB$232:AB$236),"")</f>
        <v>0.99812126038922577</v>
      </c>
      <c r="AH82" s="376" t="str">
        <f>IFERROR('Inputs_BY INM'!AC232/SUM('Inputs_BY INM'!AC$232:AC$236),"")</f>
        <v/>
      </c>
      <c r="AI82" s="376">
        <f>IFERROR('Inputs_BY INM'!AD232/SUM('Inputs_BY INM'!AD$232:AD$236),"")</f>
        <v>0.99498562506777177</v>
      </c>
      <c r="AJ82" s="376" t="str">
        <f>IFERROR('Inputs_BY INM'!AE232/SUM('Inputs_BY INM'!AE$232:AE$236),"")</f>
        <v/>
      </c>
      <c r="AK82" s="376">
        <f>IFERROR('Inputs_BY INM'!AF232/SUM('Inputs_BY INM'!AF$232:AF$236),"")</f>
        <v>0.99820571019592041</v>
      </c>
    </row>
    <row r="83" spans="1:37" x14ac:dyDescent="0.25">
      <c r="C83" s="9" t="str">
        <f>'Inputs_BY INM'!C233</f>
        <v>INDBGS</v>
      </c>
      <c r="G83" s="9"/>
      <c r="H83" s="61" t="s">
        <v>907</v>
      </c>
      <c r="I83" t="s">
        <v>460</v>
      </c>
      <c r="J83" s="376" t="str">
        <f>IFERROR('Inputs_BY INM'!E233/SUM('Inputs_BY INM'!E$232:E$236),"")</f>
        <v/>
      </c>
      <c r="K83" s="376" t="str">
        <f>IFERROR('Inputs_BY INM'!F233/SUM('Inputs_BY INM'!F$232:F$236),"")</f>
        <v/>
      </c>
      <c r="L83" s="376" t="str">
        <f>IFERROR('Inputs_BY INM'!G233/SUM('Inputs_BY INM'!G$232:G$236),"")</f>
        <v/>
      </c>
      <c r="M83" s="376" t="str">
        <f>IFERROR('Inputs_BY INM'!H233/SUM('Inputs_BY INM'!H$232:H$236),"")</f>
        <v/>
      </c>
      <c r="N83" s="376">
        <f>IFERROR('Inputs_BY INM'!I233/SUM('Inputs_BY INM'!I$232:I$236),"")</f>
        <v>1.5853914770882279E-3</v>
      </c>
      <c r="O83" s="376">
        <f>IFERROR('Inputs_BY INM'!J233/SUM('Inputs_BY INM'!J$232:J$236),"")</f>
        <v>0</v>
      </c>
      <c r="P83" s="376">
        <f>IFERROR('Inputs_BY INM'!K233/SUM('Inputs_BY INM'!K$232:K$236),"")</f>
        <v>0</v>
      </c>
      <c r="Q83" s="376" t="str">
        <f>IFERROR('Inputs_BY INM'!L233/SUM('Inputs_BY INM'!L$232:L$236),"")</f>
        <v/>
      </c>
      <c r="R83" s="376">
        <f>IFERROR('Inputs_BY INM'!M233/SUM('Inputs_BY INM'!M$232:M$236),"")</f>
        <v>0</v>
      </c>
      <c r="S83" s="376">
        <f>IFERROR('Inputs_BY INM'!N233/SUM('Inputs_BY INM'!N$232:N$236),"")</f>
        <v>0</v>
      </c>
      <c r="T83" s="376">
        <f>IFERROR('Inputs_BY INM'!O233/SUM('Inputs_BY INM'!O$232:O$236),"")</f>
        <v>0</v>
      </c>
      <c r="U83" s="376" t="str">
        <f>IFERROR('Inputs_BY INM'!P233/SUM('Inputs_BY INM'!P$232:P$236),"")</f>
        <v/>
      </c>
      <c r="V83" s="376">
        <f>IFERROR('Inputs_BY INM'!Q233/SUM('Inputs_BY INM'!Q$232:Q$236),"")</f>
        <v>0</v>
      </c>
      <c r="W83" s="376">
        <f>IFERROR('Inputs_BY INM'!R233/SUM('Inputs_BY INM'!R$232:R$236),"")</f>
        <v>2.4296794692084856E-4</v>
      </c>
      <c r="X83" s="376">
        <f>IFERROR('Inputs_BY INM'!S233/SUM('Inputs_BY INM'!S$232:S$236),"")</f>
        <v>2.1248565721813776E-4</v>
      </c>
      <c r="Y83" s="376">
        <f>IFERROR('Inputs_BY INM'!T233/SUM('Inputs_BY INM'!T$232:T$236),"")</f>
        <v>1.0735519735789098E-3</v>
      </c>
      <c r="Z83" s="376">
        <f>IFERROR('Inputs_BY INM'!U233/SUM('Inputs_BY INM'!U$232:U$236),"")</f>
        <v>6.1165197002905356E-4</v>
      </c>
      <c r="AA83" s="376" t="str">
        <f>IFERROR('Inputs_BY INM'!V233/SUM('Inputs_BY INM'!V$232:V$236),"")</f>
        <v/>
      </c>
      <c r="AB83" s="376" t="str">
        <f>IFERROR('Inputs_BY INM'!W233/SUM('Inputs_BY INM'!W$232:W$236),"")</f>
        <v/>
      </c>
      <c r="AC83" s="376">
        <f>IFERROR('Inputs_BY INM'!X233/SUM('Inputs_BY INM'!X$232:X$236),"")</f>
        <v>0</v>
      </c>
      <c r="AD83" s="376" t="str">
        <f>IFERROR('Inputs_BY INM'!Y233/SUM('Inputs_BY INM'!Y$232:Y$236),"")</f>
        <v/>
      </c>
      <c r="AE83" s="376">
        <f>IFERROR('Inputs_BY INM'!Z233/SUM('Inputs_BY INM'!Z$232:Z$236),"")</f>
        <v>0</v>
      </c>
      <c r="AF83" s="376" t="str">
        <f>IFERROR('Inputs_BY INM'!AA233/SUM('Inputs_BY INM'!AA$232:AA$236),"")</f>
        <v/>
      </c>
      <c r="AG83" s="376">
        <f>IFERROR('Inputs_BY INM'!AB233/SUM('Inputs_BY INM'!AB$232:AB$236),"")</f>
        <v>0</v>
      </c>
      <c r="AH83" s="376" t="str">
        <f>IFERROR('Inputs_BY INM'!AC233/SUM('Inputs_BY INM'!AC$232:AC$236),"")</f>
        <v/>
      </c>
      <c r="AI83" s="376">
        <f>IFERROR('Inputs_BY INM'!AD233/SUM('Inputs_BY INM'!AD$232:AD$236),"")</f>
        <v>0</v>
      </c>
      <c r="AJ83" s="376" t="str">
        <f>IFERROR('Inputs_BY INM'!AE233/SUM('Inputs_BY INM'!AE$232:AE$236),"")</f>
        <v/>
      </c>
      <c r="AK83" s="376">
        <f>IFERROR('Inputs_BY INM'!AF233/SUM('Inputs_BY INM'!AF$232:AF$236),"")</f>
        <v>0</v>
      </c>
    </row>
    <row r="84" spans="1:37" x14ac:dyDescent="0.25">
      <c r="C84" s="9" t="str">
        <f>'Inputs_BY INM'!C234</f>
        <v>INDBFG</v>
      </c>
      <c r="G84" s="9"/>
      <c r="H84" s="61" t="s">
        <v>907</v>
      </c>
      <c r="I84" t="s">
        <v>460</v>
      </c>
      <c r="J84" s="376" t="str">
        <f>IFERROR('Inputs_BY INM'!E234/SUM('Inputs_BY INM'!E$232:E$236),"")</f>
        <v/>
      </c>
      <c r="K84" s="376" t="str">
        <f>IFERROR('Inputs_BY INM'!F234/SUM('Inputs_BY INM'!F$232:F$236),"")</f>
        <v/>
      </c>
      <c r="L84" s="376" t="str">
        <f>IFERROR('Inputs_BY INM'!G234/SUM('Inputs_BY INM'!G$232:G$236),"")</f>
        <v/>
      </c>
      <c r="M84" s="376" t="str">
        <f>IFERROR('Inputs_BY INM'!H234/SUM('Inputs_BY INM'!H$232:H$236),"")</f>
        <v/>
      </c>
      <c r="N84" s="376">
        <f>IFERROR('Inputs_BY INM'!I234/SUM('Inputs_BY INM'!I$232:I$236),"")</f>
        <v>0</v>
      </c>
      <c r="O84" s="376">
        <f>IFERROR('Inputs_BY INM'!J234/SUM('Inputs_BY INM'!J$232:J$236),"")</f>
        <v>0</v>
      </c>
      <c r="P84" s="376">
        <f>IFERROR('Inputs_BY INM'!K234/SUM('Inputs_BY INM'!K$232:K$236),"")</f>
        <v>0</v>
      </c>
      <c r="Q84" s="376" t="str">
        <f>IFERROR('Inputs_BY INM'!L234/SUM('Inputs_BY INM'!L$232:L$236),"")</f>
        <v/>
      </c>
      <c r="R84" s="376">
        <f>IFERROR('Inputs_BY INM'!M234/SUM('Inputs_BY INM'!M$232:M$236),"")</f>
        <v>0</v>
      </c>
      <c r="S84" s="376">
        <f>IFERROR('Inputs_BY INM'!N234/SUM('Inputs_BY INM'!N$232:N$236),"")</f>
        <v>0</v>
      </c>
      <c r="T84" s="376">
        <f>IFERROR('Inputs_BY INM'!O234/SUM('Inputs_BY INM'!O$232:O$236),"")</f>
        <v>0</v>
      </c>
      <c r="U84" s="376" t="str">
        <f>IFERROR('Inputs_BY INM'!P234/SUM('Inputs_BY INM'!P$232:P$236),"")</f>
        <v/>
      </c>
      <c r="V84" s="376">
        <f>IFERROR('Inputs_BY INM'!Q234/SUM('Inputs_BY INM'!Q$232:Q$236),"")</f>
        <v>0</v>
      </c>
      <c r="W84" s="376">
        <f>IFERROR('Inputs_BY INM'!R234/SUM('Inputs_BY INM'!R$232:R$236),"")</f>
        <v>3.0838239416876934E-3</v>
      </c>
      <c r="X84" s="376">
        <f>IFERROR('Inputs_BY INM'!S234/SUM('Inputs_BY INM'!S$232:S$236),"")</f>
        <v>0</v>
      </c>
      <c r="Y84" s="376">
        <f>IFERROR('Inputs_BY INM'!T234/SUM('Inputs_BY INM'!T$232:T$236),"")</f>
        <v>0</v>
      </c>
      <c r="Z84" s="376">
        <f>IFERROR('Inputs_BY INM'!U234/SUM('Inputs_BY INM'!U$232:U$236),"")</f>
        <v>0</v>
      </c>
      <c r="AA84" s="376" t="str">
        <f>IFERROR('Inputs_BY INM'!V234/SUM('Inputs_BY INM'!V$232:V$236),"")</f>
        <v/>
      </c>
      <c r="AB84" s="376" t="str">
        <f>IFERROR('Inputs_BY INM'!W234/SUM('Inputs_BY INM'!W$232:W$236),"")</f>
        <v/>
      </c>
      <c r="AC84" s="376">
        <f>IFERROR('Inputs_BY INM'!X234/SUM('Inputs_BY INM'!X$232:X$236),"")</f>
        <v>5.5037706684153819E-3</v>
      </c>
      <c r="AD84" s="376" t="str">
        <f>IFERROR('Inputs_BY INM'!Y234/SUM('Inputs_BY INM'!Y$232:Y$236),"")</f>
        <v/>
      </c>
      <c r="AE84" s="376">
        <f>IFERROR('Inputs_BY INM'!Z234/SUM('Inputs_BY INM'!Z$232:Z$236),"")</f>
        <v>0</v>
      </c>
      <c r="AF84" s="376" t="str">
        <f>IFERROR('Inputs_BY INM'!AA234/SUM('Inputs_BY INM'!AA$232:AA$236),"")</f>
        <v/>
      </c>
      <c r="AG84" s="376">
        <f>IFERROR('Inputs_BY INM'!AB234/SUM('Inputs_BY INM'!AB$232:AB$236),"")</f>
        <v>0</v>
      </c>
      <c r="AH84" s="376" t="str">
        <f>IFERROR('Inputs_BY INM'!AC234/SUM('Inputs_BY INM'!AC$232:AC$236),"")</f>
        <v/>
      </c>
      <c r="AI84" s="376">
        <f>IFERROR('Inputs_BY INM'!AD234/SUM('Inputs_BY INM'!AD$232:AD$236),"")</f>
        <v>0</v>
      </c>
      <c r="AJ84" s="376" t="str">
        <f>IFERROR('Inputs_BY INM'!AE234/SUM('Inputs_BY INM'!AE$232:AE$236),"")</f>
        <v/>
      </c>
      <c r="AK84" s="376">
        <f>IFERROR('Inputs_BY INM'!AF234/SUM('Inputs_BY INM'!AF$232:AF$236),"")</f>
        <v>0</v>
      </c>
    </row>
    <row r="85" spans="1:37" x14ac:dyDescent="0.25">
      <c r="C85" s="9" t="str">
        <f>'Inputs_BY INM'!C235</f>
        <v>INDLPG</v>
      </c>
      <c r="G85" s="9"/>
      <c r="H85" s="61" t="s">
        <v>907</v>
      </c>
      <c r="I85" t="s">
        <v>460</v>
      </c>
      <c r="J85" s="376" t="str">
        <f>IFERROR('Inputs_BY INM'!E235/SUM('Inputs_BY INM'!E$232:E$236),"")</f>
        <v/>
      </c>
      <c r="K85" s="376" t="str">
        <f>IFERROR('Inputs_BY INM'!F235/SUM('Inputs_BY INM'!F$232:F$236),"")</f>
        <v/>
      </c>
      <c r="L85" s="376" t="str">
        <f>IFERROR('Inputs_BY INM'!G235/SUM('Inputs_BY INM'!G$232:G$236),"")</f>
        <v/>
      </c>
      <c r="M85" s="376" t="str">
        <f>IFERROR('Inputs_BY INM'!H235/SUM('Inputs_BY INM'!H$232:H$236),"")</f>
        <v/>
      </c>
      <c r="N85" s="376">
        <f>IFERROR('Inputs_BY INM'!I235/SUM('Inputs_BY INM'!I$232:I$236),"")</f>
        <v>7.9842606918419198E-2</v>
      </c>
      <c r="O85" s="376">
        <f>IFERROR('Inputs_BY INM'!J235/SUM('Inputs_BY INM'!J$232:J$236),"")</f>
        <v>9.2439228305964388E-3</v>
      </c>
      <c r="P85" s="376">
        <f>IFERROR('Inputs_BY INM'!K235/SUM('Inputs_BY INM'!K$232:K$236),"")</f>
        <v>7.6717261383811367E-2</v>
      </c>
      <c r="Q85" s="376" t="str">
        <f>IFERROR('Inputs_BY INM'!L235/SUM('Inputs_BY INM'!L$232:L$236),"")</f>
        <v/>
      </c>
      <c r="R85" s="376">
        <f>IFERROR('Inputs_BY INM'!M235/SUM('Inputs_BY INM'!M$232:M$236),"")</f>
        <v>0.12517610594533671</v>
      </c>
      <c r="S85" s="376">
        <f>IFERROR('Inputs_BY INM'!N235/SUM('Inputs_BY INM'!N$232:N$236),"")</f>
        <v>0</v>
      </c>
      <c r="T85" s="376">
        <f>IFERROR('Inputs_BY INM'!O235/SUM('Inputs_BY INM'!O$232:O$236),"")</f>
        <v>0.13270142180094785</v>
      </c>
      <c r="U85" s="376" t="str">
        <f>IFERROR('Inputs_BY INM'!P235/SUM('Inputs_BY INM'!P$232:P$236),"")</f>
        <v/>
      </c>
      <c r="V85" s="376">
        <f>IFERROR('Inputs_BY INM'!Q235/SUM('Inputs_BY INM'!Q$232:Q$236),"")</f>
        <v>2.768653214453308E-2</v>
      </c>
      <c r="W85" s="376">
        <f>IFERROR('Inputs_BY INM'!R235/SUM('Inputs_BY INM'!R$232:R$236),"")</f>
        <v>2.8819736473226804E-2</v>
      </c>
      <c r="X85" s="376">
        <f>IFERROR('Inputs_BY INM'!S235/SUM('Inputs_BY INM'!S$232:S$236),"")</f>
        <v>8.6184182567676671E-3</v>
      </c>
      <c r="Y85" s="376">
        <f>IFERROR('Inputs_BY INM'!T235/SUM('Inputs_BY INM'!T$232:T$236),"")</f>
        <v>2.2052709449990042E-2</v>
      </c>
      <c r="Z85" s="376">
        <f>IFERROR('Inputs_BY INM'!U235/SUM('Inputs_BY INM'!U$232:U$236),"")</f>
        <v>1.4911848491541648E-2</v>
      </c>
      <c r="AA85" s="376" t="str">
        <f>IFERROR('Inputs_BY INM'!V235/SUM('Inputs_BY INM'!V$232:V$236),"")</f>
        <v/>
      </c>
      <c r="AB85" s="376" t="str">
        <f>IFERROR('Inputs_BY INM'!W235/SUM('Inputs_BY INM'!W$232:W$236),"")</f>
        <v/>
      </c>
      <c r="AC85" s="376">
        <f>IFERROR('Inputs_BY INM'!X235/SUM('Inputs_BY INM'!X$232:X$236),"")</f>
        <v>9.3189376551594913E-2</v>
      </c>
      <c r="AD85" s="376" t="str">
        <f>IFERROR('Inputs_BY INM'!Y235/SUM('Inputs_BY INM'!Y$232:Y$236),"")</f>
        <v/>
      </c>
      <c r="AE85" s="376">
        <f>IFERROR('Inputs_BY INM'!Z235/SUM('Inputs_BY INM'!Z$232:Z$236),"")</f>
        <v>3.0997749909524338E-3</v>
      </c>
      <c r="AF85" s="376" t="str">
        <f>IFERROR('Inputs_BY INM'!AA235/SUM('Inputs_BY INM'!AA$232:AA$236),"")</f>
        <v/>
      </c>
      <c r="AG85" s="376">
        <f>IFERROR('Inputs_BY INM'!AB235/SUM('Inputs_BY INM'!AB$232:AB$236),"")</f>
        <v>1.8787396107741642E-3</v>
      </c>
      <c r="AH85" s="376" t="str">
        <f>IFERROR('Inputs_BY INM'!AC235/SUM('Inputs_BY INM'!AC$232:AC$236),"")</f>
        <v/>
      </c>
      <c r="AI85" s="376">
        <f>IFERROR('Inputs_BY INM'!AD235/SUM('Inputs_BY INM'!AD$232:AD$236),"")</f>
        <v>2.1980018697669245E-3</v>
      </c>
      <c r="AJ85" s="376" t="str">
        <f>IFERROR('Inputs_BY INM'!AE235/SUM('Inputs_BY INM'!AE$232:AE$236),"")</f>
        <v/>
      </c>
      <c r="AK85" s="376">
        <f>IFERROR('Inputs_BY INM'!AF235/SUM('Inputs_BY INM'!AF$232:AF$236),"")</f>
        <v>1.7942898040795693E-3</v>
      </c>
    </row>
    <row r="86" spans="1:37" x14ac:dyDescent="0.25">
      <c r="C86" s="9" t="str">
        <f>'Inputs_BY INM'!C236</f>
        <v>INDCOG</v>
      </c>
      <c r="G86" s="9"/>
      <c r="H86" s="61" t="s">
        <v>907</v>
      </c>
      <c r="I86" t="s">
        <v>460</v>
      </c>
      <c r="J86" s="376" t="str">
        <f>IFERROR('Inputs_BY INM'!E236/SUM('Inputs_BY INM'!E$232:E$236),"")</f>
        <v/>
      </c>
      <c r="K86" s="376" t="str">
        <f>IFERROR('Inputs_BY INM'!F236/SUM('Inputs_BY INM'!F$232:F$236),"")</f>
        <v/>
      </c>
      <c r="L86" s="376" t="str">
        <f>IFERROR('Inputs_BY INM'!G236/SUM('Inputs_BY INM'!G$232:G$236),"")</f>
        <v/>
      </c>
      <c r="M86" s="376" t="str">
        <f>IFERROR('Inputs_BY INM'!H236/SUM('Inputs_BY INM'!H$232:H$236),"")</f>
        <v/>
      </c>
      <c r="N86" s="376">
        <f>IFERROR('Inputs_BY INM'!I236/SUM('Inputs_BY INM'!I$232:I$236),"")</f>
        <v>0</v>
      </c>
      <c r="O86" s="376">
        <f>IFERROR('Inputs_BY INM'!J236/SUM('Inputs_BY INM'!J$232:J$236),"")</f>
        <v>0</v>
      </c>
      <c r="P86" s="376">
        <f>IFERROR('Inputs_BY INM'!K236/SUM('Inputs_BY INM'!K$232:K$236),"")</f>
        <v>0</v>
      </c>
      <c r="Q86" s="376" t="str">
        <f>IFERROR('Inputs_BY INM'!L236/SUM('Inputs_BY INM'!L$232:L$236),"")</f>
        <v/>
      </c>
      <c r="R86" s="376">
        <f>IFERROR('Inputs_BY INM'!M236/SUM('Inputs_BY INM'!M$232:M$236),"")</f>
        <v>0</v>
      </c>
      <c r="S86" s="376">
        <f>IFERROR('Inputs_BY INM'!N236/SUM('Inputs_BY INM'!N$232:N$236),"")</f>
        <v>0</v>
      </c>
      <c r="T86" s="376">
        <f>IFERROR('Inputs_BY INM'!O236/SUM('Inputs_BY INM'!O$232:O$236),"")</f>
        <v>0</v>
      </c>
      <c r="U86" s="376" t="str">
        <f>IFERROR('Inputs_BY INM'!P236/SUM('Inputs_BY INM'!P$232:P$236),"")</f>
        <v/>
      </c>
      <c r="V86" s="376">
        <f>IFERROR('Inputs_BY INM'!Q236/SUM('Inputs_BY INM'!Q$232:Q$236),"")</f>
        <v>0</v>
      </c>
      <c r="W86" s="376">
        <f>IFERROR('Inputs_BY INM'!R236/SUM('Inputs_BY INM'!R$232:R$236),"")</f>
        <v>0</v>
      </c>
      <c r="X86" s="376">
        <f>IFERROR('Inputs_BY INM'!S236/SUM('Inputs_BY INM'!S$232:S$236),"")</f>
        <v>2.2353491139348092E-2</v>
      </c>
      <c r="Y86" s="376">
        <f>IFERROR('Inputs_BY INM'!T236/SUM('Inputs_BY INM'!T$232:T$236),"")</f>
        <v>0</v>
      </c>
      <c r="Z86" s="376">
        <f>IFERROR('Inputs_BY INM'!U236/SUM('Inputs_BY INM'!U$232:U$236),"")</f>
        <v>2.0360081780133772E-2</v>
      </c>
      <c r="AA86" s="376" t="str">
        <f>IFERROR('Inputs_BY INM'!V236/SUM('Inputs_BY INM'!V$232:V$236),"")</f>
        <v/>
      </c>
      <c r="AB86" s="376" t="str">
        <f>IFERROR('Inputs_BY INM'!W236/SUM('Inputs_BY INM'!W$232:W$236),"")</f>
        <v/>
      </c>
      <c r="AC86" s="376">
        <f>IFERROR('Inputs_BY INM'!X236/SUM('Inputs_BY INM'!X$232:X$236),"")</f>
        <v>0.14963230127874841</v>
      </c>
      <c r="AD86" s="376" t="str">
        <f>IFERROR('Inputs_BY INM'!Y236/SUM('Inputs_BY INM'!Y$232:Y$236),"")</f>
        <v/>
      </c>
      <c r="AE86" s="376">
        <f>IFERROR('Inputs_BY INM'!Z236/SUM('Inputs_BY INM'!Z$232:Z$236),"")</f>
        <v>0</v>
      </c>
      <c r="AF86" s="376" t="str">
        <f>IFERROR('Inputs_BY INM'!AA236/SUM('Inputs_BY INM'!AA$232:AA$236),"")</f>
        <v/>
      </c>
      <c r="AG86" s="376">
        <f>IFERROR('Inputs_BY INM'!AB236/SUM('Inputs_BY INM'!AB$232:AB$236),"")</f>
        <v>0</v>
      </c>
      <c r="AH86" s="376" t="str">
        <f>IFERROR('Inputs_BY INM'!AC236/SUM('Inputs_BY INM'!AC$232:AC$236),"")</f>
        <v/>
      </c>
      <c r="AI86" s="376">
        <f>IFERROR('Inputs_BY INM'!AD236/SUM('Inputs_BY INM'!AD$232:AD$236),"")</f>
        <v>2.8163730624613525E-3</v>
      </c>
      <c r="AJ86" s="376" t="str">
        <f>IFERROR('Inputs_BY INM'!AE236/SUM('Inputs_BY INM'!AE$232:AE$236),"")</f>
        <v/>
      </c>
      <c r="AK86" s="376">
        <f>IFERROR('Inputs_BY INM'!AF236/SUM('Inputs_BY INM'!AF$232:AF$236),"")</f>
        <v>0</v>
      </c>
    </row>
    <row r="87" spans="1:37" x14ac:dyDescent="0.25">
      <c r="A87" s="9" t="str">
        <f t="shared" ref="A87:B92" si="8">A18</f>
        <v>I-NM-HTH_HET00</v>
      </c>
      <c r="B87" s="9" t="str">
        <f t="shared" si="8"/>
        <v>IND Non-metallic minerals technology: High temperature heat using Heat - Existing</v>
      </c>
      <c r="C87" s="9" t="str">
        <f>'Inputs_BY INM'!C237</f>
        <v>INDHET</v>
      </c>
      <c r="G87" s="9"/>
      <c r="H87" s="61" t="s">
        <v>907</v>
      </c>
      <c r="I87" t="s">
        <v>460</v>
      </c>
      <c r="J87" s="376">
        <v>1</v>
      </c>
      <c r="K87" s="376">
        <v>1</v>
      </c>
      <c r="L87" s="376">
        <v>1</v>
      </c>
      <c r="M87" s="376">
        <v>1</v>
      </c>
      <c r="N87" s="376">
        <v>1</v>
      </c>
      <c r="O87" s="376">
        <v>1</v>
      </c>
      <c r="P87" s="376">
        <v>1</v>
      </c>
      <c r="Q87" s="376">
        <v>1</v>
      </c>
      <c r="R87" s="376">
        <v>1</v>
      </c>
      <c r="S87" s="376">
        <v>1</v>
      </c>
      <c r="T87" s="376">
        <v>1</v>
      </c>
      <c r="U87" s="376">
        <v>1</v>
      </c>
      <c r="V87" s="376">
        <v>1</v>
      </c>
      <c r="W87" s="376">
        <v>1</v>
      </c>
      <c r="X87" s="376">
        <v>1</v>
      </c>
      <c r="Y87" s="376">
        <v>1</v>
      </c>
      <c r="Z87" s="376">
        <v>1</v>
      </c>
      <c r="AA87" s="376">
        <v>1</v>
      </c>
      <c r="AB87" s="376">
        <v>1</v>
      </c>
      <c r="AC87" s="376">
        <v>1</v>
      </c>
      <c r="AD87" s="376">
        <v>1</v>
      </c>
      <c r="AE87" s="376">
        <v>1</v>
      </c>
      <c r="AF87" s="376">
        <v>1</v>
      </c>
      <c r="AG87" s="376">
        <v>1</v>
      </c>
      <c r="AH87" s="376">
        <v>1</v>
      </c>
      <c r="AI87" s="376">
        <v>1</v>
      </c>
      <c r="AJ87" s="376">
        <v>1</v>
      </c>
      <c r="AK87" s="376">
        <v>1</v>
      </c>
    </row>
    <row r="88" spans="1:37" x14ac:dyDescent="0.25">
      <c r="A88" s="9" t="str">
        <f t="shared" si="8"/>
        <v>I-NM-HTH_OIL00</v>
      </c>
      <c r="B88" s="9" t="str">
        <f t="shared" si="8"/>
        <v>IND Non-metallic minerals technology: High temperature heat using Liquid - Existing</v>
      </c>
      <c r="C88" s="9" t="str">
        <f>'Inputs_BY INM'!C238</f>
        <v>INDOIL</v>
      </c>
      <c r="G88" s="9"/>
      <c r="H88" s="61" t="s">
        <v>907</v>
      </c>
      <c r="I88" t="s">
        <v>460</v>
      </c>
      <c r="J88" s="376">
        <v>1</v>
      </c>
      <c r="K88" s="376">
        <v>1</v>
      </c>
      <c r="L88" s="376">
        <v>1</v>
      </c>
      <c r="M88" s="376">
        <v>1</v>
      </c>
      <c r="N88" s="376">
        <v>1</v>
      </c>
      <c r="O88" s="376">
        <v>1</v>
      </c>
      <c r="P88" s="376">
        <v>1</v>
      </c>
      <c r="Q88" s="376">
        <v>1</v>
      </c>
      <c r="R88" s="376">
        <v>1</v>
      </c>
      <c r="S88" s="376">
        <v>1</v>
      </c>
      <c r="T88" s="376">
        <v>1</v>
      </c>
      <c r="U88" s="376">
        <v>1</v>
      </c>
      <c r="V88" s="376">
        <v>1</v>
      </c>
      <c r="W88" s="376">
        <v>1</v>
      </c>
      <c r="X88" s="376">
        <v>1</v>
      </c>
      <c r="Y88" s="376">
        <v>1</v>
      </c>
      <c r="Z88" s="376">
        <v>1</v>
      </c>
      <c r="AA88" s="376">
        <v>1</v>
      </c>
      <c r="AB88" s="376">
        <v>1</v>
      </c>
      <c r="AC88" s="376">
        <v>1</v>
      </c>
      <c r="AD88" s="376">
        <v>1</v>
      </c>
      <c r="AE88" s="376">
        <v>1</v>
      </c>
      <c r="AF88" s="376">
        <v>1</v>
      </c>
      <c r="AG88" s="376">
        <v>1</v>
      </c>
      <c r="AH88" s="376">
        <v>1</v>
      </c>
      <c r="AI88" s="376">
        <v>1</v>
      </c>
      <c r="AJ88" s="376">
        <v>1</v>
      </c>
      <c r="AK88" s="376">
        <v>1</v>
      </c>
    </row>
    <row r="89" spans="1:37" x14ac:dyDescent="0.25">
      <c r="A89" s="9" t="str">
        <f t="shared" si="8"/>
        <v>I-NM-LTH_OIL00</v>
      </c>
      <c r="B89" s="9" t="str">
        <f t="shared" si="8"/>
        <v>IND Non-metallic minerals technology: Low temperature heat using Liquid - Existing</v>
      </c>
      <c r="C89" s="9" t="str">
        <f>'Inputs_BY INM'!C239</f>
        <v>INDOIL</v>
      </c>
      <c r="G89" s="9"/>
      <c r="H89" s="61" t="s">
        <v>907</v>
      </c>
      <c r="I89" t="s">
        <v>460</v>
      </c>
      <c r="J89" s="376">
        <v>1</v>
      </c>
      <c r="K89" s="376">
        <v>1</v>
      </c>
      <c r="L89" s="376">
        <v>1</v>
      </c>
      <c r="M89" s="376">
        <v>1</v>
      </c>
      <c r="N89" s="376">
        <v>1</v>
      </c>
      <c r="O89" s="376">
        <v>1</v>
      </c>
      <c r="P89" s="376">
        <v>1</v>
      </c>
      <c r="Q89" s="376">
        <v>1</v>
      </c>
      <c r="R89" s="376">
        <v>1</v>
      </c>
      <c r="S89" s="376">
        <v>1</v>
      </c>
      <c r="T89" s="376">
        <v>1</v>
      </c>
      <c r="U89" s="376">
        <v>1</v>
      </c>
      <c r="V89" s="376">
        <v>1</v>
      </c>
      <c r="W89" s="376">
        <v>1</v>
      </c>
      <c r="X89" s="376">
        <v>1</v>
      </c>
      <c r="Y89" s="376">
        <v>1</v>
      </c>
      <c r="Z89" s="376">
        <v>1</v>
      </c>
      <c r="AA89" s="376">
        <v>1</v>
      </c>
      <c r="AB89" s="376">
        <v>1</v>
      </c>
      <c r="AC89" s="376">
        <v>1</v>
      </c>
      <c r="AD89" s="376">
        <v>1</v>
      </c>
      <c r="AE89" s="376">
        <v>1</v>
      </c>
      <c r="AF89" s="376">
        <v>1</v>
      </c>
      <c r="AG89" s="376">
        <v>1</v>
      </c>
      <c r="AH89" s="376">
        <v>1</v>
      </c>
      <c r="AI89" s="376">
        <v>1</v>
      </c>
      <c r="AJ89" s="376">
        <v>1</v>
      </c>
      <c r="AK89" s="376">
        <v>1</v>
      </c>
    </row>
    <row r="90" spans="1:37" x14ac:dyDescent="0.25">
      <c r="A90" s="9" t="str">
        <f t="shared" si="8"/>
        <v>I-NM-MDR_OIL00</v>
      </c>
      <c r="B90" s="9" t="str">
        <f t="shared" si="8"/>
        <v>IND Non-metallic minerals technology: Machine drive using Liquid - Existing</v>
      </c>
      <c r="C90" s="9" t="str">
        <f>'Inputs_BY INM'!C240</f>
        <v>INDOIL</v>
      </c>
      <c r="G90" s="9"/>
      <c r="H90" s="61" t="s">
        <v>907</v>
      </c>
      <c r="I90" t="s">
        <v>460</v>
      </c>
      <c r="J90" s="376">
        <v>1</v>
      </c>
      <c r="K90" s="376">
        <v>1</v>
      </c>
      <c r="L90" s="376">
        <v>1</v>
      </c>
      <c r="M90" s="376">
        <v>1</v>
      </c>
      <c r="N90" s="376">
        <v>1</v>
      </c>
      <c r="O90" s="376">
        <v>1</v>
      </c>
      <c r="P90" s="376">
        <v>1</v>
      </c>
      <c r="Q90" s="376">
        <v>1</v>
      </c>
      <c r="R90" s="376">
        <v>1</v>
      </c>
      <c r="S90" s="376">
        <v>1</v>
      </c>
      <c r="T90" s="376">
        <v>1</v>
      </c>
      <c r="U90" s="376">
        <v>1</v>
      </c>
      <c r="V90" s="376">
        <v>1</v>
      </c>
      <c r="W90" s="376">
        <v>1</v>
      </c>
      <c r="X90" s="376">
        <v>1</v>
      </c>
      <c r="Y90" s="376">
        <v>1</v>
      </c>
      <c r="Z90" s="376">
        <v>1</v>
      </c>
      <c r="AA90" s="376">
        <v>1</v>
      </c>
      <c r="AB90" s="376">
        <v>1</v>
      </c>
      <c r="AC90" s="376">
        <v>1</v>
      </c>
      <c r="AD90" s="376">
        <v>1</v>
      </c>
      <c r="AE90" s="376">
        <v>1</v>
      </c>
      <c r="AF90" s="376">
        <v>1</v>
      </c>
      <c r="AG90" s="376">
        <v>1</v>
      </c>
      <c r="AH90" s="376">
        <v>1</v>
      </c>
      <c r="AI90" s="376">
        <v>1</v>
      </c>
      <c r="AJ90" s="376">
        <v>1</v>
      </c>
      <c r="AK90" s="376">
        <v>1</v>
      </c>
    </row>
    <row r="91" spans="1:37" x14ac:dyDescent="0.25">
      <c r="A91" s="9" t="str">
        <f t="shared" si="8"/>
        <v>I-NM-OTS_OIL00</v>
      </c>
      <c r="B91" s="9" t="str">
        <f t="shared" si="8"/>
        <v>IND Non-metallic minerals technology: Other services using Liquid - Existing</v>
      </c>
      <c r="C91" s="9" t="str">
        <f>'Inputs_BY INM'!C241</f>
        <v>INDOIL</v>
      </c>
      <c r="G91" s="9"/>
      <c r="H91" s="61" t="s">
        <v>907</v>
      </c>
      <c r="I91" t="s">
        <v>460</v>
      </c>
      <c r="J91" s="376">
        <v>1</v>
      </c>
      <c r="K91" s="376">
        <v>1</v>
      </c>
      <c r="L91" s="376">
        <v>1</v>
      </c>
      <c r="M91" s="376">
        <v>1</v>
      </c>
      <c r="N91" s="376">
        <v>1</v>
      </c>
      <c r="O91" s="376">
        <v>1</v>
      </c>
      <c r="P91" s="376">
        <v>1</v>
      </c>
      <c r="Q91" s="376">
        <v>1</v>
      </c>
      <c r="R91" s="376">
        <v>1</v>
      </c>
      <c r="S91" s="376">
        <v>1</v>
      </c>
      <c r="T91" s="376">
        <v>1</v>
      </c>
      <c r="U91" s="376">
        <v>1</v>
      </c>
      <c r="V91" s="376">
        <v>1</v>
      </c>
      <c r="W91" s="376">
        <v>1</v>
      </c>
      <c r="X91" s="376">
        <v>1</v>
      </c>
      <c r="Y91" s="376">
        <v>1</v>
      </c>
      <c r="Z91" s="376">
        <v>1</v>
      </c>
      <c r="AA91" s="376">
        <v>1</v>
      </c>
      <c r="AB91" s="376">
        <v>1</v>
      </c>
      <c r="AC91" s="376">
        <v>1</v>
      </c>
      <c r="AD91" s="376">
        <v>1</v>
      </c>
      <c r="AE91" s="376">
        <v>1</v>
      </c>
      <c r="AF91" s="376">
        <v>1</v>
      </c>
      <c r="AG91" s="376">
        <v>1</v>
      </c>
      <c r="AH91" s="376">
        <v>1</v>
      </c>
      <c r="AI91" s="376">
        <v>1</v>
      </c>
      <c r="AJ91" s="376">
        <v>1</v>
      </c>
      <c r="AK91" s="376">
        <v>1</v>
      </c>
    </row>
    <row r="92" spans="1:37" x14ac:dyDescent="0.25">
      <c r="A92" s="9" t="str">
        <f t="shared" si="8"/>
        <v>I-NM-LTH_COA00</v>
      </c>
      <c r="B92" s="9" t="str">
        <f t="shared" si="8"/>
        <v>IND Non-metallic minerals technology: Low temperature heat using Solid - Existing</v>
      </c>
      <c r="C92" s="9" t="str">
        <f>'Inputs_BY INM'!C242</f>
        <v>INDCOA</v>
      </c>
      <c r="G92" s="9"/>
      <c r="H92" s="61" t="s">
        <v>907</v>
      </c>
      <c r="I92" t="s">
        <v>460</v>
      </c>
      <c r="J92" s="376" t="str">
        <f>IFERROR('Inputs_BY INM'!E242/SUM('Inputs_BY INM'!E$242:E$243),"")</f>
        <v/>
      </c>
      <c r="K92" s="376" t="str">
        <f>IFERROR('Inputs_BY INM'!F242/SUM('Inputs_BY INM'!F$242:F$243),"")</f>
        <v/>
      </c>
      <c r="L92" s="376" t="str">
        <f>IFERROR('Inputs_BY INM'!G242/SUM('Inputs_BY INM'!G$242:G$243),"")</f>
        <v/>
      </c>
      <c r="M92" s="376" t="str">
        <f>IFERROR('Inputs_BY INM'!H242/SUM('Inputs_BY INM'!H$242:H$243),"")</f>
        <v/>
      </c>
      <c r="N92" s="376">
        <f>IFERROR('Inputs_BY INM'!I242/SUM('Inputs_BY INM'!I$242:I$243),"")</f>
        <v>0.99506150258356585</v>
      </c>
      <c r="O92" s="376">
        <f>IFERROR('Inputs_BY INM'!J242/SUM('Inputs_BY INM'!J$242:J$243),"")</f>
        <v>0.99556614850773739</v>
      </c>
      <c r="P92" s="376">
        <f>IFERROR('Inputs_BY INM'!K242/SUM('Inputs_BY INM'!K$242:K$243),"")</f>
        <v>1</v>
      </c>
      <c r="Q92" s="376">
        <f>IFERROR('Inputs_BY INM'!L242/SUM('Inputs_BY INM'!L$242:L$243),"")</f>
        <v>1</v>
      </c>
      <c r="R92" s="376">
        <f>IFERROR('Inputs_BY INM'!M242/SUM('Inputs_BY INM'!M$242:M$243),"")</f>
        <v>0.622588424437299</v>
      </c>
      <c r="S92" s="376">
        <f>IFERROR('Inputs_BY INM'!N242/SUM('Inputs_BY INM'!N$242:N$243),"")</f>
        <v>0.93313363610010625</v>
      </c>
      <c r="T92" s="376">
        <f>IFERROR('Inputs_BY INM'!O242/SUM('Inputs_BY INM'!O$242:O$243),"")</f>
        <v>1</v>
      </c>
      <c r="U92" s="376" t="str">
        <f>IFERROR('Inputs_BY INM'!P242/SUM('Inputs_BY INM'!P$242:P$243),"")</f>
        <v/>
      </c>
      <c r="V92" s="376">
        <f>IFERROR('Inputs_BY INM'!Q242/SUM('Inputs_BY INM'!Q$242:Q$243),"")</f>
        <v>0.98923429102249361</v>
      </c>
      <c r="W92" s="376">
        <f>IFERROR('Inputs_BY INM'!R242/SUM('Inputs_BY INM'!R$242:R$243),"")</f>
        <v>0.96967924782941195</v>
      </c>
      <c r="X92" s="376">
        <f>IFERROR('Inputs_BY INM'!S242/SUM('Inputs_BY INM'!S$242:S$243),"")</f>
        <v>0.84336763804653325</v>
      </c>
      <c r="Y92" s="376">
        <f>IFERROR('Inputs_BY INM'!T242/SUM('Inputs_BY INM'!T$242:T$243),"")</f>
        <v>0.91655353425649377</v>
      </c>
      <c r="Z92" s="376">
        <f>IFERROR('Inputs_BY INM'!U242/SUM('Inputs_BY INM'!U$242:U$243),"")</f>
        <v>0.64603443011813333</v>
      </c>
      <c r="AA92" s="376" t="str">
        <f>IFERROR('Inputs_BY INM'!V242/SUM('Inputs_BY INM'!V$242:V$243),"")</f>
        <v/>
      </c>
      <c r="AB92" s="376" t="str">
        <f>IFERROR('Inputs_BY INM'!W242/SUM('Inputs_BY INM'!W$242:W$243),"")</f>
        <v/>
      </c>
      <c r="AC92" s="376">
        <f>IFERROR('Inputs_BY INM'!X242/SUM('Inputs_BY INM'!X$242:X$243),"")</f>
        <v>0.95830213367823136</v>
      </c>
      <c r="AD92" s="376" t="str">
        <f>IFERROR('Inputs_BY INM'!Y242/SUM('Inputs_BY INM'!Y$242:Y$243),"")</f>
        <v/>
      </c>
      <c r="AE92" s="376">
        <f>IFERROR('Inputs_BY INM'!Z242/SUM('Inputs_BY INM'!Z$242:Z$243),"")</f>
        <v>0.9694935854152601</v>
      </c>
      <c r="AF92" s="376" t="str">
        <f>IFERROR('Inputs_BY INM'!AA242/SUM('Inputs_BY INM'!AA$242:AA$243),"")</f>
        <v/>
      </c>
      <c r="AG92" s="376">
        <f>IFERROR('Inputs_BY INM'!AB242/SUM('Inputs_BY INM'!AB$242:AB$243),"")</f>
        <v>1</v>
      </c>
      <c r="AH92" s="376" t="str">
        <f>IFERROR('Inputs_BY INM'!AC242/SUM('Inputs_BY INM'!AC$242:AC$243),"")</f>
        <v/>
      </c>
      <c r="AI92" s="376">
        <f>IFERROR('Inputs_BY INM'!AD242/SUM('Inputs_BY INM'!AD$242:AD$243),"")</f>
        <v>0.92504564726271155</v>
      </c>
      <c r="AJ92" s="376" t="str">
        <f>IFERROR('Inputs_BY INM'!AE242/SUM('Inputs_BY INM'!AE$242:AE$243),"")</f>
        <v/>
      </c>
      <c r="AK92" s="376">
        <f>IFERROR('Inputs_BY INM'!AF242/SUM('Inputs_BY INM'!AF$242:AF$243),"")</f>
        <v>1</v>
      </c>
    </row>
    <row r="93" spans="1:37" x14ac:dyDescent="0.25">
      <c r="C93" s="9" t="str">
        <f>'Inputs_BY INM'!C243</f>
        <v>INDCOK</v>
      </c>
      <c r="G93" s="9"/>
      <c r="H93" s="61" t="s">
        <v>907</v>
      </c>
      <c r="I93" t="s">
        <v>460</v>
      </c>
      <c r="J93" s="376" t="str">
        <f>IFERROR('Inputs_BY INM'!E243/SUM('Inputs_BY INM'!E$242:E$243),"")</f>
        <v/>
      </c>
      <c r="K93" s="376" t="str">
        <f>IFERROR('Inputs_BY INM'!F243/SUM('Inputs_BY INM'!F$242:F$243),"")</f>
        <v/>
      </c>
      <c r="L93" s="376" t="str">
        <f>IFERROR('Inputs_BY INM'!G243/SUM('Inputs_BY INM'!G$242:G$243),"")</f>
        <v/>
      </c>
      <c r="M93" s="376" t="str">
        <f>IFERROR('Inputs_BY INM'!H243/SUM('Inputs_BY INM'!H$242:H$243),"")</f>
        <v/>
      </c>
      <c r="N93" s="376">
        <f>IFERROR('Inputs_BY INM'!I243/SUM('Inputs_BY INM'!I$242:I$243),"")</f>
        <v>4.9384974164342222E-3</v>
      </c>
      <c r="O93" s="376">
        <f>IFERROR('Inputs_BY INM'!J243/SUM('Inputs_BY INM'!J$242:J$243),"")</f>
        <v>4.4338514922626672E-3</v>
      </c>
      <c r="P93" s="376">
        <f>IFERROR('Inputs_BY INM'!K243/SUM('Inputs_BY INM'!K$242:K$243),"")</f>
        <v>0</v>
      </c>
      <c r="Q93" s="376">
        <f>IFERROR('Inputs_BY INM'!L243/SUM('Inputs_BY INM'!L$242:L$243),"")</f>
        <v>0</v>
      </c>
      <c r="R93" s="376">
        <f>IFERROR('Inputs_BY INM'!M243/SUM('Inputs_BY INM'!M$242:M$243),"")</f>
        <v>0.37741157556270094</v>
      </c>
      <c r="S93" s="376">
        <f>IFERROR('Inputs_BY INM'!N243/SUM('Inputs_BY INM'!N$242:N$243),"")</f>
        <v>6.6866363899893713E-2</v>
      </c>
      <c r="T93" s="376">
        <f>IFERROR('Inputs_BY INM'!O243/SUM('Inputs_BY INM'!O$242:O$243),"")</f>
        <v>0</v>
      </c>
      <c r="U93" s="376" t="str">
        <f>IFERROR('Inputs_BY INM'!P243/SUM('Inputs_BY INM'!P$242:P$243),"")</f>
        <v/>
      </c>
      <c r="V93" s="376">
        <f>IFERROR('Inputs_BY INM'!Q243/SUM('Inputs_BY INM'!Q$242:Q$243),"")</f>
        <v>1.076570897750647E-2</v>
      </c>
      <c r="W93" s="376">
        <f>IFERROR('Inputs_BY INM'!R243/SUM('Inputs_BY INM'!R$242:R$243),"")</f>
        <v>3.032075217058797E-2</v>
      </c>
      <c r="X93" s="376">
        <f>IFERROR('Inputs_BY INM'!S243/SUM('Inputs_BY INM'!S$242:S$243),"")</f>
        <v>0.15663236195346675</v>
      </c>
      <c r="Y93" s="376">
        <f>IFERROR('Inputs_BY INM'!T243/SUM('Inputs_BY INM'!T$242:T$243),"")</f>
        <v>8.3446465743506198E-2</v>
      </c>
      <c r="Z93" s="376">
        <f>IFERROR('Inputs_BY INM'!U243/SUM('Inputs_BY INM'!U$242:U$243),"")</f>
        <v>0.35396556988186662</v>
      </c>
      <c r="AA93" s="376" t="str">
        <f>IFERROR('Inputs_BY INM'!V243/SUM('Inputs_BY INM'!V$242:V$243),"")</f>
        <v/>
      </c>
      <c r="AB93" s="376" t="str">
        <f>IFERROR('Inputs_BY INM'!W243/SUM('Inputs_BY INM'!W$242:W$243),"")</f>
        <v/>
      </c>
      <c r="AC93" s="376">
        <f>IFERROR('Inputs_BY INM'!X243/SUM('Inputs_BY INM'!X$242:X$243),"")</f>
        <v>4.1697866321768653E-2</v>
      </c>
      <c r="AD93" s="376" t="str">
        <f>IFERROR('Inputs_BY INM'!Y243/SUM('Inputs_BY INM'!Y$242:Y$243),"")</f>
        <v/>
      </c>
      <c r="AE93" s="376">
        <f>IFERROR('Inputs_BY INM'!Z243/SUM('Inputs_BY INM'!Z$242:Z$243),"")</f>
        <v>3.050641458474004E-2</v>
      </c>
      <c r="AF93" s="376" t="str">
        <f>IFERROR('Inputs_BY INM'!AA243/SUM('Inputs_BY INM'!AA$242:AA$243),"")</f>
        <v/>
      </c>
      <c r="AG93" s="376">
        <f>IFERROR('Inputs_BY INM'!AB243/SUM('Inputs_BY INM'!AB$242:AB$243),"")</f>
        <v>0</v>
      </c>
      <c r="AH93" s="376" t="str">
        <f>IFERROR('Inputs_BY INM'!AC243/SUM('Inputs_BY INM'!AC$242:AC$243),"")</f>
        <v/>
      </c>
      <c r="AI93" s="376">
        <f>IFERROR('Inputs_BY INM'!AD243/SUM('Inputs_BY INM'!AD$242:AD$243),"")</f>
        <v>7.4954352737288399E-2</v>
      </c>
      <c r="AJ93" s="376" t="str">
        <f>IFERROR('Inputs_BY INM'!AE243/SUM('Inputs_BY INM'!AE$242:AE$243),"")</f>
        <v/>
      </c>
      <c r="AK93" s="376">
        <f>IFERROR('Inputs_BY INM'!AF243/SUM('Inputs_BY INM'!AF$242:AF$243),"")</f>
        <v>0</v>
      </c>
    </row>
    <row r="94" spans="1:37" x14ac:dyDescent="0.25">
      <c r="A94" s="9" t="str">
        <f>A24</f>
        <v>I-NM-HTH_BIO00</v>
      </c>
      <c r="B94" s="9" t="str">
        <f>B24</f>
        <v>IND Non-metallic minerals technology: High temperature heat using Biomass - Existing</v>
      </c>
      <c r="C94" s="9" t="str">
        <f>'Inputs_BY INM'!C244</f>
        <v>INDBIO</v>
      </c>
      <c r="G94" s="9"/>
      <c r="H94" s="61" t="s">
        <v>907</v>
      </c>
      <c r="I94" t="s">
        <v>460</v>
      </c>
      <c r="J94" s="376" t="str">
        <f>IFERROR('Inputs_BY INM'!E244/SUM('Inputs_BY INM'!E$244:E$245),"")</f>
        <v/>
      </c>
      <c r="K94" s="376" t="str">
        <f>IFERROR('Inputs_BY INM'!F244/SUM('Inputs_BY INM'!F$244:F$245),"")</f>
        <v/>
      </c>
      <c r="L94" s="376" t="str">
        <f>IFERROR('Inputs_BY INM'!G244/SUM('Inputs_BY INM'!G$244:G$245),"")</f>
        <v/>
      </c>
      <c r="M94" s="376" t="str">
        <f>IFERROR('Inputs_BY INM'!H244/SUM('Inputs_BY INM'!H$244:H$245),"")</f>
        <v/>
      </c>
      <c r="N94" s="376">
        <f>IFERROR('Inputs_BY INM'!I244/SUM('Inputs_BY INM'!I$244:I$245),"")</f>
        <v>1</v>
      </c>
      <c r="O94" s="376">
        <f>IFERROR('Inputs_BY INM'!J244/SUM('Inputs_BY INM'!J$244:J$245),"")</f>
        <v>1</v>
      </c>
      <c r="P94" s="376">
        <f>IFERROR('Inputs_BY INM'!K244/SUM('Inputs_BY INM'!K$244:K$245),"")</f>
        <v>1</v>
      </c>
      <c r="Q94" s="376" t="str">
        <f>IFERROR('Inputs_BY INM'!L244/SUM('Inputs_BY INM'!L$244:L$245),"")</f>
        <v/>
      </c>
      <c r="R94" s="376">
        <f>IFERROR('Inputs_BY INM'!M244/SUM('Inputs_BY INM'!M$244:M$245),"")</f>
        <v>1</v>
      </c>
      <c r="S94" s="376">
        <f>IFERROR('Inputs_BY INM'!N244/SUM('Inputs_BY INM'!N$244:N$245),"")</f>
        <v>0.14235094746572174</v>
      </c>
      <c r="T94" s="376" t="str">
        <f>IFERROR('Inputs_BY INM'!O244/SUM('Inputs_BY INM'!O$244:O$245),"")</f>
        <v/>
      </c>
      <c r="U94" s="376" t="str">
        <f>IFERROR('Inputs_BY INM'!P244/SUM('Inputs_BY INM'!P$244:P$245),"")</f>
        <v/>
      </c>
      <c r="V94" s="376">
        <f>IFERROR('Inputs_BY INM'!Q244/SUM('Inputs_BY INM'!Q$244:Q$245),"")</f>
        <v>0.95014662756598234</v>
      </c>
      <c r="W94" s="376">
        <f>IFERROR('Inputs_BY INM'!R244/SUM('Inputs_BY INM'!R$244:R$245),"")</f>
        <v>0.59214381486815315</v>
      </c>
      <c r="X94" s="376">
        <f>IFERROR('Inputs_BY INM'!S244/SUM('Inputs_BY INM'!S$244:S$245),"")</f>
        <v>5.5740878824745231E-2</v>
      </c>
      <c r="Y94" s="376">
        <f>IFERROR('Inputs_BY INM'!T244/SUM('Inputs_BY INM'!T$244:T$245),"")</f>
        <v>0.53290260054918426</v>
      </c>
      <c r="Z94" s="376">
        <f>IFERROR('Inputs_BY INM'!U244/SUM('Inputs_BY INM'!U$244:U$245),"")</f>
        <v>0.10206063221490991</v>
      </c>
      <c r="AA94" s="376" t="str">
        <f>IFERROR('Inputs_BY INM'!V244/SUM('Inputs_BY INM'!V$244:V$245),"")</f>
        <v/>
      </c>
      <c r="AB94" s="376" t="str">
        <f>IFERROR('Inputs_BY INM'!W244/SUM('Inputs_BY INM'!W$244:W$245),"")</f>
        <v/>
      </c>
      <c r="AC94" s="376">
        <f>IFERROR('Inputs_BY INM'!X244/SUM('Inputs_BY INM'!X$244:X$245),"")</f>
        <v>0.20270993643358984</v>
      </c>
      <c r="AD94" s="376" t="str">
        <f>IFERROR('Inputs_BY INM'!Y244/SUM('Inputs_BY INM'!Y$244:Y$245),"")</f>
        <v/>
      </c>
      <c r="AE94" s="376">
        <f>IFERROR('Inputs_BY INM'!Z244/SUM('Inputs_BY INM'!Z$244:Z$245),"")</f>
        <v>0</v>
      </c>
      <c r="AF94" s="376" t="str">
        <f>IFERROR('Inputs_BY INM'!AA244/SUM('Inputs_BY INM'!AA$244:AA$245),"")</f>
        <v/>
      </c>
      <c r="AG94" s="376" t="str">
        <f>IFERROR('Inputs_BY INM'!AB244/SUM('Inputs_BY INM'!AB$244:AB$245),"")</f>
        <v/>
      </c>
      <c r="AH94" s="376" t="str">
        <f>IFERROR('Inputs_BY INM'!AC244/SUM('Inputs_BY INM'!AC$244:AC$245),"")</f>
        <v/>
      </c>
      <c r="AI94" s="376">
        <f>IFERROR('Inputs_BY INM'!AD244/SUM('Inputs_BY INM'!AD$244:AD$245),"")</f>
        <v>1.7436228608330644E-2</v>
      </c>
      <c r="AJ94" s="376" t="str">
        <f>IFERROR('Inputs_BY INM'!AE244/SUM('Inputs_BY INM'!AE$244:AE$245),"")</f>
        <v/>
      </c>
      <c r="AK94" s="376">
        <f>IFERROR('Inputs_BY INM'!AF244/SUM('Inputs_BY INM'!AF$244:AF$245),"")</f>
        <v>0.99966760055083337</v>
      </c>
    </row>
    <row r="95" spans="1:37" x14ac:dyDescent="0.25">
      <c r="C95" s="9" t="str">
        <f>'Inputs_BY INM'!C245</f>
        <v>INDWAS</v>
      </c>
      <c r="G95" s="9"/>
      <c r="H95" s="61" t="s">
        <v>907</v>
      </c>
      <c r="I95" t="s">
        <v>460</v>
      </c>
      <c r="J95" s="376" t="str">
        <f>IFERROR('Inputs_BY INM'!E245/SUM('Inputs_BY INM'!E$244:E$245),"")</f>
        <v/>
      </c>
      <c r="K95" s="376" t="str">
        <f>IFERROR('Inputs_BY INM'!F245/SUM('Inputs_BY INM'!F$244:F$245),"")</f>
        <v/>
      </c>
      <c r="L95" s="376" t="str">
        <f>IFERROR('Inputs_BY INM'!G245/SUM('Inputs_BY INM'!G$244:G$245),"")</f>
        <v/>
      </c>
      <c r="M95" s="376" t="str">
        <f>IFERROR('Inputs_BY INM'!H245/SUM('Inputs_BY INM'!H$244:H$245),"")</f>
        <v/>
      </c>
      <c r="N95" s="376">
        <f>IFERROR('Inputs_BY INM'!I245/SUM('Inputs_BY INM'!I$244:I$245),"")</f>
        <v>0</v>
      </c>
      <c r="O95" s="376">
        <f>IFERROR('Inputs_BY INM'!J245/SUM('Inputs_BY INM'!J$244:J$245),"")</f>
        <v>0</v>
      </c>
      <c r="P95" s="376">
        <f>IFERROR('Inputs_BY INM'!K245/SUM('Inputs_BY INM'!K$244:K$245),"")</f>
        <v>0</v>
      </c>
      <c r="Q95" s="376" t="str">
        <f>IFERROR('Inputs_BY INM'!L245/SUM('Inputs_BY INM'!L$244:L$245),"")</f>
        <v/>
      </c>
      <c r="R95" s="376">
        <f>IFERROR('Inputs_BY INM'!M245/SUM('Inputs_BY INM'!M$244:M$245),"")</f>
        <v>0</v>
      </c>
      <c r="S95" s="376">
        <f>IFERROR('Inputs_BY INM'!N245/SUM('Inputs_BY INM'!N$244:N$245),"")</f>
        <v>0.85764905253427826</v>
      </c>
      <c r="T95" s="376" t="str">
        <f>IFERROR('Inputs_BY INM'!O245/SUM('Inputs_BY INM'!O$244:O$245),"")</f>
        <v/>
      </c>
      <c r="U95" s="376" t="str">
        <f>IFERROR('Inputs_BY INM'!P245/SUM('Inputs_BY INM'!P$244:P$245),"")</f>
        <v/>
      </c>
      <c r="V95" s="376">
        <f>IFERROR('Inputs_BY INM'!Q245/SUM('Inputs_BY INM'!Q$244:Q$245),"")</f>
        <v>4.98533724340176E-2</v>
      </c>
      <c r="W95" s="376">
        <f>IFERROR('Inputs_BY INM'!R245/SUM('Inputs_BY INM'!R$244:R$245),"")</f>
        <v>0.40785618513184685</v>
      </c>
      <c r="X95" s="376">
        <f>IFERROR('Inputs_BY INM'!S245/SUM('Inputs_BY INM'!S$244:S$245),"")</f>
        <v>0.94425912117525468</v>
      </c>
      <c r="Y95" s="376">
        <f>IFERROR('Inputs_BY INM'!T245/SUM('Inputs_BY INM'!T$244:T$245),"")</f>
        <v>0.46709739945081569</v>
      </c>
      <c r="Z95" s="376">
        <f>IFERROR('Inputs_BY INM'!U245/SUM('Inputs_BY INM'!U$244:U$245),"")</f>
        <v>0.8979393677850902</v>
      </c>
      <c r="AA95" s="376" t="str">
        <f>IFERROR('Inputs_BY INM'!V245/SUM('Inputs_BY INM'!V$244:V$245),"")</f>
        <v/>
      </c>
      <c r="AB95" s="376" t="str">
        <f>IFERROR('Inputs_BY INM'!W245/SUM('Inputs_BY INM'!W$244:W$245),"")</f>
        <v/>
      </c>
      <c r="AC95" s="376">
        <f>IFERROR('Inputs_BY INM'!X245/SUM('Inputs_BY INM'!X$244:X$245),"")</f>
        <v>0.79729006356641019</v>
      </c>
      <c r="AD95" s="376" t="str">
        <f>IFERROR('Inputs_BY INM'!Y245/SUM('Inputs_BY INM'!Y$244:Y$245),"")</f>
        <v/>
      </c>
      <c r="AE95" s="376">
        <f>IFERROR('Inputs_BY INM'!Z245/SUM('Inputs_BY INM'!Z$244:Z$245),"")</f>
        <v>1</v>
      </c>
      <c r="AF95" s="376" t="str">
        <f>IFERROR('Inputs_BY INM'!AA245/SUM('Inputs_BY INM'!AA$244:AA$245),"")</f>
        <v/>
      </c>
      <c r="AG95" s="376" t="str">
        <f>IFERROR('Inputs_BY INM'!AB245/SUM('Inputs_BY INM'!AB$244:AB$245),"")</f>
        <v/>
      </c>
      <c r="AH95" s="376" t="str">
        <f>IFERROR('Inputs_BY INM'!AC245/SUM('Inputs_BY INM'!AC$244:AC$245),"")</f>
        <v/>
      </c>
      <c r="AI95" s="376">
        <f>IFERROR('Inputs_BY INM'!AD245/SUM('Inputs_BY INM'!AD$244:AD$245),"")</f>
        <v>0.98256377139166939</v>
      </c>
      <c r="AJ95" s="376" t="str">
        <f>IFERROR('Inputs_BY INM'!AE245/SUM('Inputs_BY INM'!AE$244:AE$245),"")</f>
        <v/>
      </c>
      <c r="AK95" s="376">
        <f>IFERROR('Inputs_BY INM'!AF245/SUM('Inputs_BY INM'!AF$244:AF$245),"")</f>
        <v>3.3239944916662706E-4</v>
      </c>
    </row>
    <row r="98" spans="1:46" ht="21" x14ac:dyDescent="0.25">
      <c r="A98" s="14" t="s">
        <v>908</v>
      </c>
      <c r="G98" s="9"/>
      <c r="AM98" s="14" t="s">
        <v>544</v>
      </c>
    </row>
    <row r="99" spans="1:46" x14ac:dyDescent="0.25">
      <c r="A99" s="52" t="s">
        <v>300</v>
      </c>
      <c r="G99" s="9"/>
      <c r="AM99" s="42" t="s">
        <v>301</v>
      </c>
      <c r="AN99" s="57"/>
      <c r="AO99" s="57"/>
      <c r="AP99" s="57"/>
      <c r="AQ99" s="57"/>
      <c r="AR99" s="57"/>
      <c r="AS99" s="57"/>
      <c r="AT99" s="57"/>
    </row>
    <row r="100" spans="1:46" ht="30.75" thickBot="1" x14ac:dyDescent="0.3">
      <c r="A100" s="54" t="s">
        <v>306</v>
      </c>
      <c r="B100" s="55" t="s">
        <v>545</v>
      </c>
      <c r="C100" s="54" t="s">
        <v>325</v>
      </c>
      <c r="D100" s="54" t="s">
        <v>302</v>
      </c>
      <c r="E100" s="54" t="s">
        <v>303</v>
      </c>
      <c r="F100" s="54" t="s">
        <v>304</v>
      </c>
      <c r="G100" s="54" t="s">
        <v>575</v>
      </c>
      <c r="H100" s="54" t="s">
        <v>326</v>
      </c>
      <c r="I100" s="54" t="s">
        <v>549</v>
      </c>
      <c r="J100" s="54" t="s">
        <v>162</v>
      </c>
      <c r="K100" s="54" t="s">
        <v>164</v>
      </c>
      <c r="L100" s="54" t="s">
        <v>166</v>
      </c>
      <c r="M100" s="54" t="s">
        <v>168</v>
      </c>
      <c r="N100" s="54" t="s">
        <v>170</v>
      </c>
      <c r="O100" s="54" t="s">
        <v>173</v>
      </c>
      <c r="P100" s="54" t="s">
        <v>175</v>
      </c>
      <c r="Q100" s="54" t="s">
        <v>177</v>
      </c>
      <c r="R100" s="54" t="s">
        <v>179</v>
      </c>
      <c r="S100" s="54" t="s">
        <v>181</v>
      </c>
      <c r="T100" s="54" t="s">
        <v>183</v>
      </c>
      <c r="U100" s="54" t="s">
        <v>185</v>
      </c>
      <c r="V100" s="54" t="s">
        <v>188</v>
      </c>
      <c r="W100" s="54" t="s">
        <v>190</v>
      </c>
      <c r="X100" s="54" t="s">
        <v>192</v>
      </c>
      <c r="Y100" s="54" t="s">
        <v>194</v>
      </c>
      <c r="Z100" s="54" t="s">
        <v>196</v>
      </c>
      <c r="AA100" s="54" t="s">
        <v>198</v>
      </c>
      <c r="AB100" s="54" t="s">
        <v>9</v>
      </c>
      <c r="AC100" s="54" t="s">
        <v>201</v>
      </c>
      <c r="AD100" s="54" t="s">
        <v>203</v>
      </c>
      <c r="AE100" s="54" t="s">
        <v>205</v>
      </c>
      <c r="AF100" s="54" t="s">
        <v>207</v>
      </c>
      <c r="AG100" s="54" t="s">
        <v>210</v>
      </c>
      <c r="AH100" s="54" t="s">
        <v>212</v>
      </c>
      <c r="AI100" s="54" t="s">
        <v>214</v>
      </c>
      <c r="AJ100" s="54" t="s">
        <v>217</v>
      </c>
      <c r="AK100" s="54" t="s">
        <v>219</v>
      </c>
      <c r="AL100" s="351"/>
      <c r="AM100" s="44" t="s">
        <v>305</v>
      </c>
      <c r="AN100" s="44" t="s">
        <v>306</v>
      </c>
      <c r="AO100" s="44" t="s">
        <v>307</v>
      </c>
      <c r="AP100" s="44" t="s">
        <v>308</v>
      </c>
      <c r="AQ100" s="44" t="s">
        <v>309</v>
      </c>
      <c r="AR100" s="44" t="s">
        <v>310</v>
      </c>
      <c r="AS100" s="44" t="s">
        <v>311</v>
      </c>
      <c r="AT100" s="44" t="s">
        <v>312</v>
      </c>
    </row>
    <row r="101" spans="1:46" ht="51" x14ac:dyDescent="0.25">
      <c r="A101" s="50" t="s">
        <v>551</v>
      </c>
      <c r="B101" s="50" t="s">
        <v>26</v>
      </c>
      <c r="C101" s="50" t="s">
        <v>328</v>
      </c>
      <c r="D101" s="50" t="s">
        <v>313</v>
      </c>
      <c r="E101" s="50" t="s">
        <v>552</v>
      </c>
      <c r="F101" s="50" t="s">
        <v>315</v>
      </c>
      <c r="G101" s="50"/>
      <c r="H101" s="50" t="s">
        <v>555</v>
      </c>
      <c r="I101" s="50" t="s">
        <v>556</v>
      </c>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75"/>
      <c r="AM101" s="51" t="s">
        <v>557</v>
      </c>
      <c r="AN101" s="51" t="s">
        <v>316</v>
      </c>
      <c r="AO101" s="51" t="s">
        <v>26</v>
      </c>
      <c r="AP101" s="51" t="s">
        <v>317</v>
      </c>
      <c r="AQ101" s="51" t="s">
        <v>318</v>
      </c>
      <c r="AR101" s="51" t="s">
        <v>319</v>
      </c>
      <c r="AS101" s="51" t="s">
        <v>320</v>
      </c>
      <c r="AT101" s="51" t="s">
        <v>321</v>
      </c>
    </row>
    <row r="102" spans="1:46" x14ac:dyDescent="0.25">
      <c r="A102" s="9" t="s">
        <v>909</v>
      </c>
      <c r="B102" s="9" t="s">
        <v>910</v>
      </c>
      <c r="C102" s="9" t="s">
        <v>896</v>
      </c>
      <c r="D102" s="9" t="s">
        <v>367</v>
      </c>
      <c r="E102" s="11">
        <v>1</v>
      </c>
      <c r="F102" s="11">
        <v>1</v>
      </c>
      <c r="G102" s="9"/>
      <c r="H102" s="9" t="s">
        <v>907</v>
      </c>
      <c r="I102" s="9" t="s">
        <v>460</v>
      </c>
      <c r="J102" s="348" t="str">
        <f>'Inputs_BY INM'!E300</f>
        <v/>
      </c>
      <c r="K102" s="348" t="str">
        <f>'Inputs_BY INM'!F300</f>
        <v/>
      </c>
      <c r="L102" s="348" t="str">
        <f>'Inputs_BY INM'!G300</f>
        <v/>
      </c>
      <c r="M102" s="348" t="str">
        <f>'Inputs_BY INM'!H300</f>
        <v/>
      </c>
      <c r="N102" s="348">
        <f>'Inputs_BY INM'!I300</f>
        <v>6.1964807908565296E-2</v>
      </c>
      <c r="O102" s="348">
        <f>'Inputs_BY INM'!J300</f>
        <v>7.1199951603596226E-2</v>
      </c>
      <c r="P102" s="348">
        <f>'Inputs_BY INM'!K300</f>
        <v>5.9963563480695183E-2</v>
      </c>
      <c r="Q102" s="348">
        <f>'Inputs_BY INM'!L300</f>
        <v>4.278200656949524E-2</v>
      </c>
      <c r="R102" s="348">
        <f>'Inputs_BY INM'!M300</f>
        <v>0.24448780532861644</v>
      </c>
      <c r="S102" s="348">
        <f>'Inputs_BY INM'!N300</f>
        <v>0.16947623293179284</v>
      </c>
      <c r="T102" s="348">
        <f>'Inputs_BY INM'!O300</f>
        <v>0.2946764593768571</v>
      </c>
      <c r="U102" s="348" t="str">
        <f>'Inputs_BY INM'!P300</f>
        <v/>
      </c>
      <c r="V102" s="348">
        <f>'Inputs_BY INM'!Q300</f>
        <v>0.12165539473250517</v>
      </c>
      <c r="W102" s="348">
        <f>'Inputs_BY INM'!R300</f>
        <v>0.12152544193297189</v>
      </c>
      <c r="X102" s="348">
        <f>'Inputs_BY INM'!S300</f>
        <v>0.21355260441506776</v>
      </c>
      <c r="Y102" s="348">
        <f>'Inputs_BY INM'!T300</f>
        <v>0.17334632199096642</v>
      </c>
      <c r="Z102" s="348">
        <f>'Inputs_BY INM'!U300</f>
        <v>0.17910784340942362</v>
      </c>
      <c r="AA102" s="348" t="str">
        <f>'Inputs_BY INM'!V300</f>
        <v/>
      </c>
      <c r="AB102" s="348" t="str">
        <f>'Inputs_BY INM'!W300</f>
        <v/>
      </c>
      <c r="AC102" s="348">
        <f>'Inputs_BY INM'!X300</f>
        <v>0.11808933010197704</v>
      </c>
      <c r="AD102" s="348" t="str">
        <f>'Inputs_BY INM'!Y300</f>
        <v/>
      </c>
      <c r="AE102" s="348">
        <f>'Inputs_BY INM'!Z300</f>
        <v>0.15948567037986211</v>
      </c>
      <c r="AF102" s="348" t="str">
        <f>'Inputs_BY INM'!AA300</f>
        <v/>
      </c>
      <c r="AG102" s="348">
        <f>'Inputs_BY INM'!AB300</f>
        <v>0.1455222145401604</v>
      </c>
      <c r="AH102" s="348" t="str">
        <f>'Inputs_BY INM'!AC300</f>
        <v/>
      </c>
      <c r="AI102" s="348">
        <f>'Inputs_BY INM'!AD300</f>
        <v>0.28880443694155178</v>
      </c>
      <c r="AJ102" s="348">
        <f>'Inputs_BY INM'!AE300</f>
        <v>0</v>
      </c>
      <c r="AK102" s="348">
        <f>'Inputs_BY INM'!AF300</f>
        <v>6.0464647361877233E-2</v>
      </c>
      <c r="AL102" s="350"/>
      <c r="AM102" s="59" t="s">
        <v>560</v>
      </c>
      <c r="AN102" s="59" t="s">
        <v>909</v>
      </c>
      <c r="AO102" s="59" t="s">
        <v>910</v>
      </c>
      <c r="AP102" s="59" t="s">
        <v>323</v>
      </c>
      <c r="AQ102" s="59" t="s">
        <v>73</v>
      </c>
      <c r="AR102" s="59"/>
      <c r="AS102" s="59"/>
      <c r="AT102" s="59"/>
    </row>
    <row r="103" spans="1:46" x14ac:dyDescent="0.25">
      <c r="C103" s="9" t="s">
        <v>889</v>
      </c>
      <c r="G103" s="9"/>
      <c r="H103" s="9" t="s">
        <v>907</v>
      </c>
      <c r="I103" s="9" t="s">
        <v>460</v>
      </c>
      <c r="J103" s="348" t="str">
        <f>'Inputs_BY INM'!E301</f>
        <v/>
      </c>
      <c r="K103" s="348" t="str">
        <f>'Inputs_BY INM'!F301</f>
        <v/>
      </c>
      <c r="L103" s="348" t="str">
        <f>'Inputs_BY INM'!G301</f>
        <v/>
      </c>
      <c r="M103" s="348" t="str">
        <f>'Inputs_BY INM'!H301</f>
        <v/>
      </c>
      <c r="N103" s="348">
        <f>'Inputs_BY INM'!I301</f>
        <v>0.76280879043001193</v>
      </c>
      <c r="O103" s="348">
        <f>'Inputs_BY INM'!J301</f>
        <v>0.89535208383746245</v>
      </c>
      <c r="P103" s="348">
        <f>'Inputs_BY INM'!K301</f>
        <v>0.92820829271215144</v>
      </c>
      <c r="Q103" s="348">
        <f>'Inputs_BY INM'!L301</f>
        <v>0.9352158186233358</v>
      </c>
      <c r="R103" s="348">
        <f>'Inputs_BY INM'!M301</f>
        <v>0.63647539128707931</v>
      </c>
      <c r="S103" s="348">
        <f>'Inputs_BY INM'!N301</f>
        <v>0.72151135214807005</v>
      </c>
      <c r="T103" s="348">
        <f>'Inputs_BY INM'!O301</f>
        <v>0.47293785181029085</v>
      </c>
      <c r="U103" s="348" t="str">
        <f>'Inputs_BY INM'!P301</f>
        <v/>
      </c>
      <c r="V103" s="348">
        <f>'Inputs_BY INM'!Q301</f>
        <v>0.6718142961871465</v>
      </c>
      <c r="W103" s="348">
        <f>'Inputs_BY INM'!R301</f>
        <v>0.52134240810202215</v>
      </c>
      <c r="X103" s="348">
        <f>'Inputs_BY INM'!S301</f>
        <v>0.52101686687983695</v>
      </c>
      <c r="Y103" s="348">
        <f>'Inputs_BY INM'!T301</f>
        <v>0.55645138694268137</v>
      </c>
      <c r="Z103" s="348">
        <f>'Inputs_BY INM'!U301</f>
        <v>0.57845159359700882</v>
      </c>
      <c r="AA103" s="348" t="str">
        <f>'Inputs_BY INM'!V301</f>
        <v/>
      </c>
      <c r="AB103" s="348" t="str">
        <f>'Inputs_BY INM'!W301</f>
        <v/>
      </c>
      <c r="AC103" s="348">
        <f>'Inputs_BY INM'!X301</f>
        <v>0.52908178510516202</v>
      </c>
      <c r="AD103" s="348" t="str">
        <f>'Inputs_BY INM'!Y301</f>
        <v/>
      </c>
      <c r="AE103" s="348">
        <f>'Inputs_BY INM'!Z301</f>
        <v>0.54700596448790284</v>
      </c>
      <c r="AF103" s="348" t="str">
        <f>'Inputs_BY INM'!AA301</f>
        <v/>
      </c>
      <c r="AG103" s="348">
        <f>'Inputs_BY INM'!AB301</f>
        <v>0.46197118209524995</v>
      </c>
      <c r="AH103" s="348" t="str">
        <f>'Inputs_BY INM'!AC301</f>
        <v/>
      </c>
      <c r="AI103" s="348">
        <f>'Inputs_BY INM'!AD301</f>
        <v>0.5862500431047406</v>
      </c>
      <c r="AJ103" s="348">
        <f>'Inputs_BY INM'!AE301</f>
        <v>0.2</v>
      </c>
      <c r="AK103" s="348">
        <f>'Inputs_BY INM'!AF301</f>
        <v>0.71545285005382075</v>
      </c>
      <c r="AL103" s="350"/>
    </row>
    <row r="104" spans="1:46" x14ac:dyDescent="0.25">
      <c r="C104" s="9" t="s">
        <v>892</v>
      </c>
      <c r="G104" s="9"/>
      <c r="H104" s="9" t="s">
        <v>907</v>
      </c>
      <c r="I104" s="9" t="s">
        <v>460</v>
      </c>
      <c r="J104" s="348" t="str">
        <f>'Inputs_BY INM'!E302</f>
        <v/>
      </c>
      <c r="K104" s="348" t="str">
        <f>'Inputs_BY INM'!F302</f>
        <v/>
      </c>
      <c r="L104" s="348" t="str">
        <f>'Inputs_BY INM'!G302</f>
        <v/>
      </c>
      <c r="M104" s="348" t="str">
        <f>'Inputs_BY INM'!H302</f>
        <v/>
      </c>
      <c r="N104" s="348">
        <f>'Inputs_BY INM'!I302</f>
        <v>0.12492725056960663</v>
      </c>
      <c r="O104" s="348">
        <f>'Inputs_BY INM'!J302</f>
        <v>1.754679870198364E-3</v>
      </c>
      <c r="P104" s="348">
        <f>'Inputs_BY INM'!K302</f>
        <v>2.35285147080449E-3</v>
      </c>
      <c r="Q104" s="348">
        <f>'Inputs_BY INM'!L302</f>
        <v>9.7787443587417696E-3</v>
      </c>
      <c r="R104" s="348">
        <f>'Inputs_BY INM'!M302</f>
        <v>4.416369169949521E-2</v>
      </c>
      <c r="S104" s="348">
        <f>'Inputs_BY INM'!N302</f>
        <v>5.4213593983622195E-2</v>
      </c>
      <c r="T104" s="348">
        <f>'Inputs_BY INM'!O302</f>
        <v>0.13619248758383365</v>
      </c>
      <c r="U104" s="348" t="str">
        <f>'Inputs_BY INM'!P302</f>
        <v/>
      </c>
      <c r="V104" s="348">
        <f>'Inputs_BY INM'!Q302</f>
        <v>0.1608088794553712</v>
      </c>
      <c r="W104" s="348">
        <f>'Inputs_BY INM'!R302</f>
        <v>0.2938293023419542</v>
      </c>
      <c r="X104" s="348">
        <f>'Inputs_BY INM'!S302</f>
        <v>0.21074454226856576</v>
      </c>
      <c r="Y104" s="348">
        <f>'Inputs_BY INM'!T302</f>
        <v>0.20407022071519723</v>
      </c>
      <c r="Z104" s="348">
        <f>'Inputs_BY INM'!U302</f>
        <v>0.1892827741254989</v>
      </c>
      <c r="AA104" s="348" t="str">
        <f>'Inputs_BY INM'!V302</f>
        <v/>
      </c>
      <c r="AB104" s="348" t="str">
        <f>'Inputs_BY INM'!W302</f>
        <v/>
      </c>
      <c r="AC104" s="348">
        <f>'Inputs_BY INM'!X302</f>
        <v>0.2916200317361165</v>
      </c>
      <c r="AD104" s="348" t="str">
        <f>'Inputs_BY INM'!Y302</f>
        <v/>
      </c>
      <c r="AE104" s="348">
        <f>'Inputs_BY INM'!Z302</f>
        <v>0.22495303745222314</v>
      </c>
      <c r="AF104" s="348" t="str">
        <f>'Inputs_BY INM'!AA302</f>
        <v/>
      </c>
      <c r="AG104" s="348">
        <f>'Inputs_BY INM'!AB302</f>
        <v>0.30430944477573796</v>
      </c>
      <c r="AH104" s="348" t="str">
        <f>'Inputs_BY INM'!AC302</f>
        <v/>
      </c>
      <c r="AI104" s="348">
        <f>'Inputs_BY INM'!AD302</f>
        <v>8.2304096247778208E-2</v>
      </c>
      <c r="AJ104" s="348">
        <f>'Inputs_BY INM'!AE302</f>
        <v>0.7</v>
      </c>
      <c r="AK104" s="348">
        <f>'Inputs_BY INM'!AF302</f>
        <v>0.16956236466896082</v>
      </c>
      <c r="AL104" s="350"/>
    </row>
    <row r="105" spans="1:46" x14ac:dyDescent="0.25">
      <c r="A105" s="47"/>
      <c r="B105" s="47"/>
      <c r="C105" s="47" t="s">
        <v>894</v>
      </c>
      <c r="D105" s="47"/>
      <c r="E105" s="47"/>
      <c r="F105" s="47"/>
      <c r="G105" s="47"/>
      <c r="H105" s="47" t="s">
        <v>907</v>
      </c>
      <c r="I105" s="47" t="s">
        <v>460</v>
      </c>
      <c r="J105" s="349" t="str">
        <f>'Inputs_BY INM'!E303</f>
        <v/>
      </c>
      <c r="K105" s="349" t="str">
        <f>'Inputs_BY INM'!F303</f>
        <v/>
      </c>
      <c r="L105" s="349" t="str">
        <f>'Inputs_BY INM'!G303</f>
        <v/>
      </c>
      <c r="M105" s="349" t="str">
        <f>'Inputs_BY INM'!H303</f>
        <v/>
      </c>
      <c r="N105" s="349">
        <f>'Inputs_BY INM'!I303</f>
        <v>5.0299151091816152E-2</v>
      </c>
      <c r="O105" s="349">
        <f>'Inputs_BY INM'!J303</f>
        <v>3.1693284688742829E-2</v>
      </c>
      <c r="P105" s="349">
        <f>'Inputs_BY INM'!K303</f>
        <v>9.4752923363488253E-3</v>
      </c>
      <c r="Q105" s="349">
        <f>'Inputs_BY INM'!L303</f>
        <v>1.2223430448427221E-2</v>
      </c>
      <c r="R105" s="349">
        <f>'Inputs_BY INM'!M303</f>
        <v>7.4873111684808979E-2</v>
      </c>
      <c r="S105" s="349">
        <f>'Inputs_BY INM'!N303</f>
        <v>5.4798820936515003E-2</v>
      </c>
      <c r="T105" s="349">
        <f>'Inputs_BY INM'!O303</f>
        <v>9.6193201229018394E-2</v>
      </c>
      <c r="U105" s="349" t="str">
        <f>'Inputs_BY INM'!P303</f>
        <v/>
      </c>
      <c r="V105" s="349">
        <f>'Inputs_BY INM'!Q303</f>
        <v>4.5721429624977272E-2</v>
      </c>
      <c r="W105" s="349">
        <f>'Inputs_BY INM'!R303</f>
        <v>6.3302847623051661E-2</v>
      </c>
      <c r="X105" s="349">
        <f>'Inputs_BY INM'!S303</f>
        <v>5.4685986436529527E-2</v>
      </c>
      <c r="Y105" s="349">
        <f>'Inputs_BY INM'!T303</f>
        <v>6.6132070351154967E-2</v>
      </c>
      <c r="Z105" s="349">
        <f>'Inputs_BY INM'!U303</f>
        <v>5.3157788868068476E-2</v>
      </c>
      <c r="AA105" s="349" t="str">
        <f>'Inputs_BY INM'!V303</f>
        <v/>
      </c>
      <c r="AB105" s="349" t="str">
        <f>'Inputs_BY INM'!W303</f>
        <v/>
      </c>
      <c r="AC105" s="349">
        <f>'Inputs_BY INM'!X303</f>
        <v>6.120885305674445E-2</v>
      </c>
      <c r="AD105" s="349" t="str">
        <f>'Inputs_BY INM'!Y303</f>
        <v/>
      </c>
      <c r="AE105" s="349">
        <f>'Inputs_BY INM'!Z303</f>
        <v>6.8555327680011935E-2</v>
      </c>
      <c r="AF105" s="349" t="str">
        <f>'Inputs_BY INM'!AA303</f>
        <v/>
      </c>
      <c r="AG105" s="349">
        <f>'Inputs_BY INM'!AB303</f>
        <v>8.8197158588851618E-2</v>
      </c>
      <c r="AH105" s="349" t="str">
        <f>'Inputs_BY INM'!AC303</f>
        <v/>
      </c>
      <c r="AI105" s="349">
        <f>'Inputs_BY INM'!AD303</f>
        <v>4.2641423705929445E-2</v>
      </c>
      <c r="AJ105" s="349">
        <f>'Inputs_BY INM'!AE303</f>
        <v>0.10000000000000009</v>
      </c>
      <c r="AK105" s="349">
        <f>'Inputs_BY INM'!AF303</f>
        <v>5.4520137915341174E-2</v>
      </c>
      <c r="AL105" s="350"/>
    </row>
    <row r="106" spans="1:46" x14ac:dyDescent="0.25">
      <c r="G106" s="9"/>
    </row>
    <row r="107" spans="1:46" x14ac:dyDescent="0.25">
      <c r="G107" s="9"/>
    </row>
    <row r="108" spans="1:46" x14ac:dyDescent="0.25">
      <c r="G108" s="9"/>
    </row>
    <row r="109" spans="1:46" ht="21" x14ac:dyDescent="0.25">
      <c r="A109" s="14" t="s">
        <v>589</v>
      </c>
      <c r="G109" s="9"/>
      <c r="AM109" s="14" t="s">
        <v>590</v>
      </c>
    </row>
    <row r="110" spans="1:46" x14ac:dyDescent="0.25">
      <c r="A110" s="52" t="s">
        <v>300</v>
      </c>
      <c r="G110" s="9"/>
      <c r="AM110" s="42" t="s">
        <v>338</v>
      </c>
      <c r="AN110" s="42"/>
      <c r="AO110" s="43"/>
      <c r="AP110" s="43"/>
      <c r="AQ110" s="43"/>
      <c r="AR110" s="43"/>
      <c r="AS110" s="43"/>
      <c r="AT110" s="43"/>
    </row>
    <row r="111" spans="1:46" ht="15.75" thickBot="1" x14ac:dyDescent="0.3">
      <c r="A111" s="54" t="s">
        <v>340</v>
      </c>
      <c r="B111" s="54" t="s">
        <v>591</v>
      </c>
      <c r="C111" s="54" t="s">
        <v>582</v>
      </c>
      <c r="D111" s="54" t="s">
        <v>575</v>
      </c>
      <c r="E111" s="54" t="s">
        <v>575</v>
      </c>
      <c r="F111" s="54" t="s">
        <v>575</v>
      </c>
      <c r="G111" s="54" t="s">
        <v>575</v>
      </c>
      <c r="H111" s="54" t="s">
        <v>326</v>
      </c>
      <c r="I111" s="54" t="s">
        <v>549</v>
      </c>
      <c r="J111" s="54" t="s">
        <v>162</v>
      </c>
      <c r="K111" s="54" t="s">
        <v>164</v>
      </c>
      <c r="L111" s="54" t="s">
        <v>166</v>
      </c>
      <c r="M111" s="54" t="s">
        <v>168</v>
      </c>
      <c r="N111" s="54" t="s">
        <v>170</v>
      </c>
      <c r="O111" s="54" t="s">
        <v>173</v>
      </c>
      <c r="P111" s="54" t="s">
        <v>175</v>
      </c>
      <c r="Q111" s="54" t="s">
        <v>177</v>
      </c>
      <c r="R111" s="54" t="s">
        <v>179</v>
      </c>
      <c r="S111" s="54" t="s">
        <v>181</v>
      </c>
      <c r="T111" s="54" t="s">
        <v>183</v>
      </c>
      <c r="U111" s="54" t="s">
        <v>185</v>
      </c>
      <c r="V111" s="54" t="s">
        <v>188</v>
      </c>
      <c r="W111" s="54" t="s">
        <v>190</v>
      </c>
      <c r="X111" s="54" t="s">
        <v>192</v>
      </c>
      <c r="Y111" s="54" t="s">
        <v>194</v>
      </c>
      <c r="Z111" s="54" t="s">
        <v>196</v>
      </c>
      <c r="AA111" s="54" t="s">
        <v>198</v>
      </c>
      <c r="AB111" s="54" t="s">
        <v>9</v>
      </c>
      <c r="AC111" s="54" t="s">
        <v>201</v>
      </c>
      <c r="AD111" s="54" t="s">
        <v>203</v>
      </c>
      <c r="AE111" s="54" t="s">
        <v>205</v>
      </c>
      <c r="AF111" s="54" t="s">
        <v>207</v>
      </c>
      <c r="AG111" s="54" t="s">
        <v>210</v>
      </c>
      <c r="AH111" s="54" t="s">
        <v>212</v>
      </c>
      <c r="AI111" s="54" t="s">
        <v>214</v>
      </c>
      <c r="AJ111" s="54" t="s">
        <v>217</v>
      </c>
      <c r="AK111" s="54" t="s">
        <v>219</v>
      </c>
      <c r="AL111" s="351"/>
      <c r="AM111" s="44" t="s">
        <v>339</v>
      </c>
      <c r="AN111" s="44" t="s">
        <v>340</v>
      </c>
      <c r="AO111" s="44" t="s">
        <v>341</v>
      </c>
      <c r="AP111" s="44" t="s">
        <v>342</v>
      </c>
      <c r="AQ111" s="44" t="s">
        <v>327</v>
      </c>
      <c r="AR111" s="44" t="s">
        <v>343</v>
      </c>
      <c r="AS111" s="44" t="s">
        <v>344</v>
      </c>
      <c r="AT111" s="44" t="s">
        <v>345</v>
      </c>
    </row>
    <row r="112" spans="1:46" ht="25.5" x14ac:dyDescent="0.25">
      <c r="A112" s="50" t="s">
        <v>592</v>
      </c>
      <c r="B112" s="50" t="s">
        <v>26</v>
      </c>
      <c r="C112" s="56" t="s">
        <v>911</v>
      </c>
      <c r="D112" s="56"/>
      <c r="E112" s="56"/>
      <c r="F112" s="56"/>
      <c r="G112" s="56"/>
      <c r="H112" s="56" t="s">
        <v>329</v>
      </c>
      <c r="I112" s="56" t="s">
        <v>342</v>
      </c>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75"/>
      <c r="AM112" s="45" t="s">
        <v>346</v>
      </c>
      <c r="AN112" s="46" t="s">
        <v>347</v>
      </c>
      <c r="AO112" s="46" t="s">
        <v>26</v>
      </c>
      <c r="AP112" s="46" t="s">
        <v>348</v>
      </c>
      <c r="AQ112" s="46"/>
      <c r="AR112" s="46"/>
      <c r="AS112" s="46"/>
      <c r="AT112" s="46"/>
    </row>
    <row r="113" spans="1:46" x14ac:dyDescent="0.25">
      <c r="A113" s="70" t="str">
        <f>AN113</f>
        <v>INM</v>
      </c>
      <c r="B113" s="70" t="str">
        <f>AO113</f>
        <v>Demand for industry (IND): Non-metallic minerals</v>
      </c>
      <c r="C113" s="70">
        <v>2019</v>
      </c>
      <c r="D113" s="70"/>
      <c r="E113" s="70"/>
      <c r="F113" s="70"/>
      <c r="G113" s="70"/>
      <c r="H113" s="70" t="s">
        <v>594</v>
      </c>
      <c r="I113" s="215" t="s">
        <v>323</v>
      </c>
      <c r="J113" s="377">
        <f>SUM('Inputs_BY INM'!E295:E298)/1000</f>
        <v>0</v>
      </c>
      <c r="K113" s="377">
        <f>SUM('Inputs_BY INM'!F295:F298)/1000</f>
        <v>0</v>
      </c>
      <c r="L113" s="377">
        <f>SUM('Inputs_BY INM'!G295:G298)/1000</f>
        <v>0</v>
      </c>
      <c r="M113" s="377">
        <f>SUM('Inputs_BY INM'!H295:H298)/1000</f>
        <v>0</v>
      </c>
      <c r="N113" s="377">
        <f>SUM('Inputs_BY INM'!I295:I298)/1000</f>
        <v>36.82408354479022</v>
      </c>
      <c r="O113" s="377">
        <f>SUM('Inputs_BY INM'!J295:J298)/1000</f>
        <v>12.692815009045683</v>
      </c>
      <c r="P113" s="377">
        <f>SUM('Inputs_BY INM'!K295:K298)/1000</f>
        <v>64.9542590828367</v>
      </c>
      <c r="Q113" s="377">
        <f>SUM('Inputs_BY INM'!L295:L298)/1000</f>
        <v>11.071282448623798</v>
      </c>
      <c r="R113" s="377">
        <f>SUM('Inputs_BY INM'!M295:M298)/1000</f>
        <v>23.630123027817771</v>
      </c>
      <c r="S113" s="377">
        <f>SUM('Inputs_BY INM'!N295:N298)/1000</f>
        <v>14.676086677137762</v>
      </c>
      <c r="T113" s="377">
        <f>SUM('Inputs_BY INM'!O295:O298)/1000</f>
        <v>1.7345329070335971</v>
      </c>
      <c r="U113" s="377">
        <f>SUM('Inputs_BY INM'!P295:P298)/1000</f>
        <v>0</v>
      </c>
      <c r="V113" s="377">
        <f>SUM('Inputs_BY INM'!Q295:Q298)/1000</f>
        <v>34.714777113420666</v>
      </c>
      <c r="W113" s="377">
        <f>SUM('Inputs_BY INM'!R295:R298)/1000</f>
        <v>48.244507402834024</v>
      </c>
      <c r="X113" s="377">
        <f>SUM('Inputs_BY INM'!S295:S298)/1000</f>
        <v>95.168541963466112</v>
      </c>
      <c r="Y113" s="377">
        <f>SUM('Inputs_BY INM'!T295:T298)/1000</f>
        <v>198.3808893934202</v>
      </c>
      <c r="Z113" s="377">
        <f>SUM('Inputs_BY INM'!U295:U298)/1000</f>
        <v>154.31129872380015</v>
      </c>
      <c r="AA113" s="377">
        <f>SUM('Inputs_BY INM'!V295:V298)/1000</f>
        <v>0</v>
      </c>
      <c r="AB113" s="377">
        <f>SUM('Inputs_BY INM'!W295:W298)/1000</f>
        <v>0</v>
      </c>
      <c r="AC113" s="377">
        <f>SUM('Inputs_BY INM'!X295:X298)/1000</f>
        <v>84.250996595291298</v>
      </c>
      <c r="AD113" s="377">
        <f>SUM('Inputs_BY INM'!Y295:Y298)/1000</f>
        <v>0</v>
      </c>
      <c r="AE113" s="377">
        <f>SUM('Inputs_BY INM'!Z295:Z298)/1000</f>
        <v>48.92756983322905</v>
      </c>
      <c r="AF113" s="377">
        <f>SUM('Inputs_BY INM'!AA295:AA298)/1000</f>
        <v>0</v>
      </c>
      <c r="AG113" s="377">
        <f>SUM('Inputs_BY INM'!AB295:AB298)/1000</f>
        <v>42.809239076891942</v>
      </c>
      <c r="AH113" s="377">
        <f>SUM('Inputs_BY INM'!AC295:AC298)/1000</f>
        <v>0</v>
      </c>
      <c r="AI113" s="377">
        <f>SUM('Inputs_BY INM'!AD295:AD298)/1000</f>
        <v>259.93156226169481</v>
      </c>
      <c r="AJ113" s="377">
        <f>SUM('Inputs_BY INM'!AE295:AE298)/1000</f>
        <v>21.459712556306112</v>
      </c>
      <c r="AK113" s="377">
        <f>SUM('Inputs_BY INM'!AF295:AF298)/1000</f>
        <v>254.89998373729415</v>
      </c>
      <c r="AL113" s="352"/>
      <c r="AM113" s="60" t="s">
        <v>595</v>
      </c>
      <c r="AN113" s="60" t="s">
        <v>367</v>
      </c>
      <c r="AO113" s="60" t="s">
        <v>912</v>
      </c>
      <c r="AP113" s="60" t="s">
        <v>323</v>
      </c>
      <c r="AQ113" s="60"/>
      <c r="AR113" s="60"/>
      <c r="AS113" s="60"/>
      <c r="AT113" s="60"/>
    </row>
    <row r="114" spans="1:46" x14ac:dyDescent="0.25">
      <c r="A114" s="9" t="str">
        <f>AN118</f>
        <v>ICM</v>
      </c>
      <c r="B114" s="9" t="str">
        <f>AO118</f>
        <v>Demand for industry (IND): Cement</v>
      </c>
      <c r="C114" s="9">
        <v>2019</v>
      </c>
      <c r="G114" s="9"/>
      <c r="H114" s="9" t="s">
        <v>594</v>
      </c>
      <c r="I114" t="s">
        <v>454</v>
      </c>
      <c r="J114" s="318">
        <f>'Inputs_BY INM'!E27/1000</f>
        <v>26.228200000000001</v>
      </c>
      <c r="K114" s="318">
        <f>'Inputs_BY INM'!F27/1000</f>
        <v>99.456000000000003</v>
      </c>
      <c r="L114" s="318">
        <f>'Inputs_BY INM'!G27/1000</f>
        <v>34.539000000000001</v>
      </c>
      <c r="M114" s="318">
        <f>'Inputs_BY INM'!H27/1000</f>
        <v>22.596</v>
      </c>
      <c r="N114" s="318">
        <f>'Inputs_BY INM'!I27/1000</f>
        <v>10.9</v>
      </c>
      <c r="O114" s="318">
        <f>'Inputs_BY INM'!J27/1000</f>
        <v>37.758800000000001</v>
      </c>
      <c r="P114" s="318">
        <f>'Inputs_BY INM'!K27/1000</f>
        <v>85.081199999999995</v>
      </c>
      <c r="Q114" s="318">
        <f>'Inputs_BY INM'!L27/1000</f>
        <v>88.698999999999998</v>
      </c>
      <c r="R114" s="318">
        <f>'Inputs_BY INM'!M27/1000</f>
        <v>56.611199999999997</v>
      </c>
      <c r="S114" s="318">
        <f>'Inputs_BY INM'!N27/1000</f>
        <v>13.12</v>
      </c>
      <c r="T114" s="318">
        <f>'Inputs_BY INM'!O27/1000</f>
        <v>5.03</v>
      </c>
      <c r="U114" s="318">
        <f>'Inputs_BY INM'!P27/1000</f>
        <v>2357.1769629999999</v>
      </c>
      <c r="V114" s="318">
        <f>'Inputs_BY INM'!Q27/1000</f>
        <v>20.750599999999999</v>
      </c>
      <c r="W114" s="318">
        <f>'Inputs_BY INM'!R27/1000</f>
        <v>13.289</v>
      </c>
      <c r="X114" s="318">
        <f>'Inputs_BY INM'!S27/1000</f>
        <v>48.965000000000003</v>
      </c>
      <c r="Y114" s="318">
        <f>'Inputs_BY INM'!T27/1000</f>
        <v>64.381500000000003</v>
      </c>
      <c r="Z114" s="318">
        <f>'Inputs_BY INM'!U27/1000</f>
        <v>58.651499999999999</v>
      </c>
      <c r="AA114" s="318">
        <f>'Inputs_BY INM'!V27/1000</f>
        <v>205.13300000000001</v>
      </c>
      <c r="AB114" s="318">
        <f>'Inputs_BY INM'!W27/1000</f>
        <v>338.923</v>
      </c>
      <c r="AC114" s="318">
        <f>'Inputs_BY INM'!X27/1000</f>
        <v>53.4617</v>
      </c>
      <c r="AD114" s="318">
        <f>'Inputs_BY INM'!Y27/1000</f>
        <v>66.143600000000006</v>
      </c>
      <c r="AE114" s="318">
        <f>'Inputs_BY INM'!Z27/1000</f>
        <v>70.839300000000009</v>
      </c>
      <c r="AF114" s="318">
        <f>'Inputs_BY INM'!AA27/1000</f>
        <v>161.8322</v>
      </c>
      <c r="AG114" s="318">
        <f>'Inputs_BY INM'!AB27/1000</f>
        <v>42.430999999999997</v>
      </c>
      <c r="AH114" s="318">
        <f>'Inputs_BY INM'!AC27/1000</f>
        <v>23</v>
      </c>
      <c r="AI114" s="318">
        <f>'Inputs_BY INM'!AD27/1000</f>
        <v>57.676000000000002</v>
      </c>
      <c r="AJ114" s="318">
        <f>'Inputs_BY INM'!AE27/1000</f>
        <v>50.635537000000006</v>
      </c>
      <c r="AK114" s="318">
        <f>'Inputs_BY INM'!AF27/1000</f>
        <v>88.1</v>
      </c>
      <c r="AM114" s="9" t="s">
        <v>349</v>
      </c>
      <c r="AN114" s="9" t="s">
        <v>896</v>
      </c>
      <c r="AO114" s="9" t="s">
        <v>913</v>
      </c>
      <c r="AP114" s="9" t="s">
        <v>323</v>
      </c>
      <c r="AR114" s="1"/>
    </row>
    <row r="115" spans="1:46" x14ac:dyDescent="0.25">
      <c r="AM115" s="9" t="s">
        <v>349</v>
      </c>
      <c r="AN115" s="9" t="s">
        <v>889</v>
      </c>
      <c r="AO115" s="9" t="s">
        <v>914</v>
      </c>
      <c r="AP115" s="9" t="s">
        <v>323</v>
      </c>
    </row>
    <row r="116" spans="1:46" x14ac:dyDescent="0.25">
      <c r="AM116" s="9" t="s">
        <v>349</v>
      </c>
      <c r="AN116" s="9" t="s">
        <v>892</v>
      </c>
      <c r="AO116" s="9" t="s">
        <v>915</v>
      </c>
      <c r="AP116" s="9" t="s">
        <v>323</v>
      </c>
    </row>
    <row r="117" spans="1:46" x14ac:dyDescent="0.25">
      <c r="AM117" s="47" t="s">
        <v>349</v>
      </c>
      <c r="AN117" s="47" t="s">
        <v>894</v>
      </c>
      <c r="AO117" s="47" t="s">
        <v>916</v>
      </c>
      <c r="AP117" s="47" t="s">
        <v>323</v>
      </c>
      <c r="AQ117" s="47"/>
      <c r="AR117" s="47"/>
      <c r="AS117" s="47"/>
      <c r="AT117" s="47"/>
    </row>
    <row r="118" spans="1:46" x14ac:dyDescent="0.25">
      <c r="AM118" s="9" t="s">
        <v>595</v>
      </c>
      <c r="AN118" s="9" t="s">
        <v>364</v>
      </c>
      <c r="AO118" s="215" t="s">
        <v>917</v>
      </c>
      <c r="AP118" s="9" t="s">
        <v>454</v>
      </c>
    </row>
    <row r="119" spans="1:46" x14ac:dyDescent="0.25">
      <c r="AM119" s="9" t="s">
        <v>571</v>
      </c>
      <c r="AN119" s="9" t="s">
        <v>882</v>
      </c>
      <c r="AO119" s="9" t="s">
        <v>918</v>
      </c>
      <c r="AP119" s="9" t="s">
        <v>454</v>
      </c>
    </row>
    <row r="120" spans="1:46" x14ac:dyDescent="0.25">
      <c r="AM120" s="47"/>
      <c r="AN120" s="47"/>
      <c r="AO120" s="47"/>
      <c r="AP120" s="47"/>
      <c r="AQ120" s="47"/>
      <c r="AR120" s="47"/>
      <c r="AS120" s="47"/>
      <c r="AT120" s="47"/>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FA81-08C1-41AD-BF85-63FD4AB76C6F}">
  <sheetPr>
    <tabColor theme="9" tint="0.59999389629810485"/>
  </sheetPr>
  <dimension ref="A1:AT622"/>
  <sheetViews>
    <sheetView showGridLines="0" topLeftCell="A2" zoomScale="70" zoomScaleNormal="70" workbookViewId="0">
      <selection activeCell="C22" sqref="C22"/>
    </sheetView>
  </sheetViews>
  <sheetFormatPr defaultColWidth="9.28515625" defaultRowHeight="15" x14ac:dyDescent="0.25"/>
  <cols>
    <col min="1" max="1" width="20.28515625" style="9" customWidth="1"/>
    <col min="2" max="2" width="87.7109375" style="9" bestFit="1" customWidth="1"/>
    <col min="3" max="3" width="22.7109375" style="9" bestFit="1" customWidth="1"/>
    <col min="4" max="4" width="10.42578125" style="9" customWidth="1"/>
    <col min="5" max="5" width="13.28515625" style="9" bestFit="1" customWidth="1"/>
    <col min="6" max="6" width="13.5703125" style="9" customWidth="1"/>
    <col min="7" max="7" width="9.28515625" customWidth="1"/>
    <col min="8" max="8" width="10.7109375" style="9" bestFit="1" customWidth="1"/>
    <col min="9" max="9" width="10.42578125" style="9" bestFit="1" customWidth="1"/>
    <col min="10" max="10" width="11.5703125" style="9" bestFit="1" customWidth="1"/>
    <col min="11" max="20" width="10.42578125" style="9" bestFit="1" customWidth="1"/>
    <col min="21" max="21" width="6.28515625" style="9" customWidth="1"/>
    <col min="22" max="23" width="10.42578125" style="9" bestFit="1" customWidth="1"/>
    <col min="24" max="30" width="8.7109375" style="9" customWidth="1"/>
    <col min="31" max="35" width="10.42578125" style="9" bestFit="1" customWidth="1"/>
    <col min="36" max="36" width="8.28515625" style="9" customWidth="1"/>
    <col min="37" max="37" width="13.42578125" style="9" customWidth="1"/>
    <col min="38" max="38" width="36.7109375" style="9" customWidth="1"/>
    <col min="39" max="39" width="59.42578125" style="9" customWidth="1"/>
    <col min="40" max="41" width="9.28515625" style="9"/>
    <col min="42" max="42" width="12.42578125" style="9" customWidth="1"/>
    <col min="43" max="43" width="16.5703125" style="9" customWidth="1"/>
    <col min="44" max="44" width="13.42578125" style="9" customWidth="1"/>
    <col min="45" max="16384" width="9.28515625" style="9"/>
  </cols>
  <sheetData>
    <row r="1" spans="1:45" ht="23.25" x14ac:dyDescent="0.25">
      <c r="A1" s="8" t="s">
        <v>597</v>
      </c>
    </row>
    <row r="2" spans="1:45" customFormat="1" x14ac:dyDescent="0.25">
      <c r="A2" s="5" t="s">
        <v>7</v>
      </c>
      <c r="B2" t="s">
        <v>90</v>
      </c>
    </row>
    <row r="3" spans="1:45" x14ac:dyDescent="0.25">
      <c r="A3" s="12" t="s">
        <v>541</v>
      </c>
      <c r="B3" s="9" t="s">
        <v>91</v>
      </c>
    </row>
    <row r="5" spans="1:45" ht="15.75" x14ac:dyDescent="0.25">
      <c r="L5" s="76"/>
      <c r="AK5" s="451" t="s">
        <v>919</v>
      </c>
      <c r="AL5" s="450"/>
      <c r="AM5" s="450"/>
      <c r="AN5" s="450"/>
      <c r="AO5" s="450"/>
      <c r="AP5" s="450"/>
      <c r="AQ5" s="450"/>
      <c r="AR5" s="450"/>
      <c r="AS5" s="450"/>
    </row>
    <row r="6" spans="1:45" customFormat="1" x14ac:dyDescent="0.25">
      <c r="AI6" s="9"/>
    </row>
    <row r="7" spans="1:45" ht="21" x14ac:dyDescent="0.25">
      <c r="A7" s="14" t="s">
        <v>920</v>
      </c>
      <c r="F7"/>
      <c r="G7" s="9"/>
      <c r="U7" s="14"/>
      <c r="AK7" s="14" t="s">
        <v>544</v>
      </c>
    </row>
    <row r="8" spans="1:45" x14ac:dyDescent="0.25">
      <c r="A8" s="52" t="s">
        <v>300</v>
      </c>
      <c r="F8"/>
      <c r="G8" s="9"/>
      <c r="T8" s="53"/>
      <c r="U8" s="53"/>
      <c r="V8" s="53"/>
      <c r="W8" s="53"/>
      <c r="X8" s="53"/>
      <c r="Y8" s="53"/>
      <c r="Z8" s="53"/>
      <c r="AA8" s="53"/>
      <c r="AB8" s="53"/>
      <c r="AC8" s="53"/>
      <c r="AD8" s="53"/>
      <c r="AE8" s="53"/>
      <c r="AF8" s="53"/>
      <c r="AG8" s="53"/>
      <c r="AH8" s="53"/>
      <c r="AI8" s="53"/>
      <c r="AJ8" s="53"/>
      <c r="AK8" s="42" t="s">
        <v>301</v>
      </c>
      <c r="AL8" s="57"/>
      <c r="AM8" s="57"/>
      <c r="AN8" s="57"/>
      <c r="AO8" s="57"/>
      <c r="AP8" s="57"/>
      <c r="AQ8" s="57"/>
      <c r="AR8" s="57"/>
    </row>
    <row r="9" spans="1:45" ht="37.5" customHeight="1" thickBot="1" x14ac:dyDescent="0.3">
      <c r="A9" s="54" t="s">
        <v>306</v>
      </c>
      <c r="B9" s="55" t="s">
        <v>545</v>
      </c>
      <c r="C9" s="55" t="s">
        <v>325</v>
      </c>
      <c r="D9" s="54" t="s">
        <v>302</v>
      </c>
      <c r="E9" s="54" t="s">
        <v>921</v>
      </c>
      <c r="F9" s="54" t="s">
        <v>303</v>
      </c>
      <c r="G9" s="54" t="s">
        <v>599</v>
      </c>
      <c r="H9" s="54" t="s">
        <v>569</v>
      </c>
      <c r="I9" s="74"/>
      <c r="T9" s="74"/>
      <c r="U9" s="74"/>
      <c r="V9" s="74"/>
      <c r="W9" s="74"/>
      <c r="X9" s="74"/>
      <c r="Y9" s="74"/>
      <c r="Z9" s="74"/>
      <c r="AA9" s="74"/>
      <c r="AB9" s="74"/>
      <c r="AC9" s="74"/>
      <c r="AD9" s="74"/>
      <c r="AE9" s="74"/>
      <c r="AF9" s="74"/>
      <c r="AG9" s="74"/>
      <c r="AH9" s="74"/>
      <c r="AI9" s="74"/>
      <c r="AJ9" s="74"/>
      <c r="AK9" s="44" t="s">
        <v>305</v>
      </c>
      <c r="AL9" s="44" t="s">
        <v>306</v>
      </c>
      <c r="AM9" s="44" t="s">
        <v>307</v>
      </c>
      <c r="AN9" s="44" t="s">
        <v>308</v>
      </c>
      <c r="AO9" s="44" t="s">
        <v>309</v>
      </c>
      <c r="AP9" s="44" t="s">
        <v>550</v>
      </c>
      <c r="AQ9" s="44" t="s">
        <v>310</v>
      </c>
      <c r="AR9" s="44" t="s">
        <v>311</v>
      </c>
      <c r="AS9" s="44" t="s">
        <v>312</v>
      </c>
    </row>
    <row r="10" spans="1:45" ht="38.25" x14ac:dyDescent="0.25">
      <c r="A10" s="50" t="s">
        <v>551</v>
      </c>
      <c r="B10" s="50" t="s">
        <v>26</v>
      </c>
      <c r="C10" s="50" t="s">
        <v>328</v>
      </c>
      <c r="D10" s="50" t="s">
        <v>313</v>
      </c>
      <c r="E10" s="50" t="s">
        <v>314</v>
      </c>
      <c r="F10" s="50" t="s">
        <v>552</v>
      </c>
      <c r="G10" s="50" t="s">
        <v>600</v>
      </c>
      <c r="H10" s="50" t="s">
        <v>554</v>
      </c>
      <c r="I10" s="75"/>
      <c r="T10" s="75"/>
      <c r="U10" s="75"/>
      <c r="V10" s="75"/>
      <c r="W10" s="75"/>
      <c r="X10" s="75"/>
      <c r="Y10" s="75"/>
      <c r="Z10" s="75"/>
      <c r="AA10" s="75"/>
      <c r="AB10" s="75"/>
      <c r="AC10" s="75"/>
      <c r="AD10" s="75"/>
      <c r="AE10" s="75"/>
      <c r="AF10" s="75"/>
      <c r="AG10" s="75"/>
      <c r="AH10" s="75"/>
      <c r="AI10" s="75"/>
      <c r="AJ10" s="75"/>
      <c r="AK10" s="51" t="s">
        <v>557</v>
      </c>
      <c r="AL10" s="51" t="s">
        <v>316</v>
      </c>
      <c r="AM10" s="51" t="s">
        <v>26</v>
      </c>
      <c r="AN10" s="51" t="s">
        <v>317</v>
      </c>
      <c r="AO10" s="51" t="s">
        <v>318</v>
      </c>
      <c r="AP10" s="51" t="s">
        <v>328</v>
      </c>
      <c r="AQ10" s="51" t="s">
        <v>319</v>
      </c>
      <c r="AR10" s="51" t="s">
        <v>320</v>
      </c>
      <c r="AS10" s="51" t="s">
        <v>321</v>
      </c>
    </row>
    <row r="11" spans="1:45" x14ac:dyDescent="0.25">
      <c r="A11" s="9" t="str">
        <f t="shared" ref="A11:B16" si="0">AL11</f>
        <v>I-CM-DRYKILN01</v>
      </c>
      <c r="B11" s="9" t="str">
        <f t="shared" si="0"/>
        <v>IND Cement technology: Dry kiln</v>
      </c>
      <c r="D11" s="9" t="s">
        <v>882</v>
      </c>
      <c r="E11" s="9">
        <v>1</v>
      </c>
      <c r="F11" s="207">
        <v>0.95</v>
      </c>
      <c r="G11" s="9">
        <v>2020</v>
      </c>
      <c r="H11" s="9">
        <v>30</v>
      </c>
      <c r="I11" s="62"/>
      <c r="T11" s="68"/>
      <c r="U11" s="68"/>
      <c r="V11" s="68"/>
      <c r="W11" s="68"/>
      <c r="X11" s="68"/>
      <c r="Y11" s="68"/>
      <c r="Z11" s="68"/>
      <c r="AA11" s="68"/>
      <c r="AB11" s="68"/>
      <c r="AC11" s="68"/>
      <c r="AD11" s="68"/>
      <c r="AE11" s="68"/>
      <c r="AF11" s="68"/>
      <c r="AG11" s="68"/>
      <c r="AH11" s="68"/>
      <c r="AI11" s="68"/>
      <c r="AJ11" s="68"/>
      <c r="AK11" s="9" t="s">
        <v>560</v>
      </c>
      <c r="AL11" s="9" t="s">
        <v>922</v>
      </c>
      <c r="AM11" s="9" t="s">
        <v>923</v>
      </c>
      <c r="AN11" s="9" t="s">
        <v>454</v>
      </c>
      <c r="AO11" s="9" t="s">
        <v>602</v>
      </c>
      <c r="AP11" s="9" t="s">
        <v>558</v>
      </c>
      <c r="AQ11" s="9" t="s">
        <v>558</v>
      </c>
    </row>
    <row r="12" spans="1:45" x14ac:dyDescent="0.25">
      <c r="A12" s="9" t="str">
        <f t="shared" si="0"/>
        <v>I-CM-DRYKILN-PH-PC01</v>
      </c>
      <c r="B12" s="9" t="str">
        <f t="shared" si="0"/>
        <v>IND Cement technology: Dry kiln - Pre-heater &amp; pre-calciner</v>
      </c>
      <c r="D12" s="9" t="s">
        <v>882</v>
      </c>
      <c r="E12" s="9">
        <v>1</v>
      </c>
      <c r="F12" s="207">
        <v>0.95</v>
      </c>
      <c r="G12" s="9">
        <v>2020</v>
      </c>
      <c r="H12" s="9">
        <v>30</v>
      </c>
      <c r="I12" s="62"/>
      <c r="T12" s="68"/>
      <c r="U12" s="68"/>
      <c r="V12" s="68"/>
      <c r="W12" s="68"/>
      <c r="X12" s="68"/>
      <c r="Y12" s="68"/>
      <c r="Z12" s="68"/>
      <c r="AA12" s="68"/>
      <c r="AB12" s="68"/>
      <c r="AC12" s="68"/>
      <c r="AD12" s="68"/>
      <c r="AE12" s="68"/>
      <c r="AF12" s="68"/>
      <c r="AG12" s="68"/>
      <c r="AH12" s="68"/>
      <c r="AI12" s="68"/>
      <c r="AJ12" s="68"/>
      <c r="AK12" s="9" t="s">
        <v>560</v>
      </c>
      <c r="AL12" s="9" t="s">
        <v>924</v>
      </c>
      <c r="AM12" s="9" t="s">
        <v>925</v>
      </c>
      <c r="AN12" s="9" t="s">
        <v>454</v>
      </c>
      <c r="AO12" s="9" t="s">
        <v>602</v>
      </c>
      <c r="AP12" s="9" t="s">
        <v>558</v>
      </c>
      <c r="AQ12" s="9" t="s">
        <v>558</v>
      </c>
    </row>
    <row r="13" spans="1:45" x14ac:dyDescent="0.25">
      <c r="A13" s="9" t="str">
        <f t="shared" si="0"/>
        <v>I-CM-DRYKILN-AFBIO01</v>
      </c>
      <c r="B13" s="9" t="str">
        <f t="shared" si="0"/>
        <v>IND Cement technology: Dry kiln - Alt. fuel bioenergy</v>
      </c>
      <c r="D13" s="9" t="s">
        <v>882</v>
      </c>
      <c r="E13" s="9">
        <v>1</v>
      </c>
      <c r="F13" s="207">
        <v>0.95</v>
      </c>
      <c r="G13" s="9">
        <v>2020</v>
      </c>
      <c r="H13" s="9">
        <v>30</v>
      </c>
      <c r="I13" s="62"/>
      <c r="T13" s="68"/>
      <c r="U13" s="68"/>
      <c r="V13" s="68"/>
      <c r="W13" s="68"/>
      <c r="X13" s="68"/>
      <c r="Y13" s="68"/>
      <c r="Z13" s="68"/>
      <c r="AA13" s="68"/>
      <c r="AB13" s="68"/>
      <c r="AC13" s="68"/>
      <c r="AD13" s="68"/>
      <c r="AE13" s="68"/>
      <c r="AF13" s="68"/>
      <c r="AG13" s="68"/>
      <c r="AH13" s="68"/>
      <c r="AI13" s="68"/>
      <c r="AJ13" s="68"/>
      <c r="AK13" s="9" t="s">
        <v>560</v>
      </c>
      <c r="AL13" s="9" t="s">
        <v>926</v>
      </c>
      <c r="AM13" s="9" t="s">
        <v>927</v>
      </c>
      <c r="AN13" s="9" t="s">
        <v>454</v>
      </c>
      <c r="AO13" s="9" t="s">
        <v>602</v>
      </c>
      <c r="AP13" s="9" t="s">
        <v>558</v>
      </c>
      <c r="AQ13" s="9" t="s">
        <v>558</v>
      </c>
    </row>
    <row r="14" spans="1:45" x14ac:dyDescent="0.25">
      <c r="A14" s="9" t="str">
        <f t="shared" si="0"/>
        <v>I-CM-DRYKILN-AFGAS01</v>
      </c>
      <c r="B14" s="9" t="str">
        <f t="shared" si="0"/>
        <v>IND Cement technology: Dry kiln - Alt. fuel gas</v>
      </c>
      <c r="D14" s="9" t="s">
        <v>882</v>
      </c>
      <c r="E14" s="9">
        <v>1</v>
      </c>
      <c r="F14" s="207">
        <v>0.95</v>
      </c>
      <c r="G14" s="9">
        <v>2020</v>
      </c>
      <c r="H14" s="9">
        <v>30</v>
      </c>
      <c r="I14" s="62"/>
      <c r="T14" s="68"/>
      <c r="U14" s="68"/>
      <c r="V14" s="68"/>
      <c r="W14" s="68"/>
      <c r="X14" s="68"/>
      <c r="Y14" s="68"/>
      <c r="Z14" s="68"/>
      <c r="AA14" s="68"/>
      <c r="AB14" s="68"/>
      <c r="AC14" s="68"/>
      <c r="AD14" s="68"/>
      <c r="AE14" s="68"/>
      <c r="AF14" s="68"/>
      <c r="AG14" s="68"/>
      <c r="AH14" s="68"/>
      <c r="AI14" s="68"/>
      <c r="AJ14" s="68"/>
      <c r="AK14" s="9" t="s">
        <v>560</v>
      </c>
      <c r="AL14" s="9" t="s">
        <v>928</v>
      </c>
      <c r="AM14" s="9" t="s">
        <v>929</v>
      </c>
      <c r="AN14" s="9" t="s">
        <v>454</v>
      </c>
      <c r="AO14" s="9" t="s">
        <v>602</v>
      </c>
      <c r="AP14" s="9" t="s">
        <v>558</v>
      </c>
      <c r="AQ14" s="9" t="s">
        <v>558</v>
      </c>
    </row>
    <row r="15" spans="1:45" x14ac:dyDescent="0.25">
      <c r="A15" s="9" t="str">
        <f t="shared" si="0"/>
        <v>I-CM-DRYKILN-PSTCCS01</v>
      </c>
      <c r="B15" s="9" t="str">
        <f t="shared" si="0"/>
        <v>IND Cement technology: Dry kiln - Post-combustion CCS</v>
      </c>
      <c r="D15" s="9" t="s">
        <v>882</v>
      </c>
      <c r="E15" s="9">
        <v>1</v>
      </c>
      <c r="F15" s="207">
        <v>0.95</v>
      </c>
      <c r="G15" s="9">
        <v>2035</v>
      </c>
      <c r="H15" s="9">
        <v>30</v>
      </c>
      <c r="I15" s="62"/>
      <c r="T15" s="68"/>
      <c r="U15" s="68"/>
      <c r="V15" s="68"/>
      <c r="W15" s="68"/>
      <c r="X15" s="68"/>
      <c r="Y15" s="68"/>
      <c r="Z15" s="68"/>
      <c r="AA15" s="68"/>
      <c r="AB15" s="68"/>
      <c r="AC15" s="68"/>
      <c r="AD15" s="68"/>
      <c r="AE15" s="68"/>
      <c r="AF15" s="68"/>
      <c r="AG15" s="68"/>
      <c r="AH15" s="68"/>
      <c r="AI15" s="68"/>
      <c r="AJ15" s="68"/>
      <c r="AK15" s="9" t="s">
        <v>560</v>
      </c>
      <c r="AL15" s="9" t="s">
        <v>930</v>
      </c>
      <c r="AM15" s="9" t="s">
        <v>931</v>
      </c>
      <c r="AN15" s="9" t="s">
        <v>454</v>
      </c>
      <c r="AO15" s="9" t="s">
        <v>602</v>
      </c>
    </row>
    <row r="16" spans="1:45" x14ac:dyDescent="0.25">
      <c r="A16" s="9" t="str">
        <f t="shared" si="0"/>
        <v>I-CM-DRYKILN-OXYCCS01</v>
      </c>
      <c r="B16" s="9" t="str">
        <f t="shared" si="0"/>
        <v>IND Cement technology: Dry kiln - Oxy fuel CCS</v>
      </c>
      <c r="D16" s="9" t="s">
        <v>882</v>
      </c>
      <c r="E16" s="9">
        <v>1</v>
      </c>
      <c r="F16" s="207">
        <v>0.95</v>
      </c>
      <c r="G16" s="9">
        <v>2035</v>
      </c>
      <c r="H16" s="9">
        <v>30</v>
      </c>
      <c r="I16" s="62"/>
      <c r="T16" s="68"/>
      <c r="U16" s="68"/>
      <c r="V16" s="68"/>
      <c r="W16" s="68"/>
      <c r="X16" s="68"/>
      <c r="Y16" s="68"/>
      <c r="Z16" s="68"/>
      <c r="AA16" s="68"/>
      <c r="AB16" s="68"/>
      <c r="AC16" s="68"/>
      <c r="AD16" s="68"/>
      <c r="AE16" s="68"/>
      <c r="AF16" s="68"/>
      <c r="AG16" s="68"/>
      <c r="AH16" s="68"/>
      <c r="AI16" s="68"/>
      <c r="AJ16" s="68"/>
      <c r="AK16" s="9" t="s">
        <v>560</v>
      </c>
      <c r="AL16" s="9" t="s">
        <v>932</v>
      </c>
      <c r="AM16" s="9" t="s">
        <v>933</v>
      </c>
      <c r="AN16" s="9" t="s">
        <v>454</v>
      </c>
      <c r="AO16" s="9" t="s">
        <v>602</v>
      </c>
      <c r="AP16" s="9" t="s">
        <v>558</v>
      </c>
      <c r="AQ16" s="9" t="s">
        <v>558</v>
      </c>
    </row>
    <row r="17" spans="1:45" x14ac:dyDescent="0.25">
      <c r="A17" s="9" t="str">
        <f t="shared" ref="A17" si="1">AL17</f>
        <v>I-CM-GRND01</v>
      </c>
      <c r="B17" s="9" t="str">
        <f>AM17</f>
        <v>IND Cement technology: Grinding</v>
      </c>
      <c r="D17" s="9" t="s">
        <v>364</v>
      </c>
      <c r="E17" s="9">
        <v>1</v>
      </c>
      <c r="F17" s="207">
        <v>0.95</v>
      </c>
      <c r="G17" s="9">
        <v>2020</v>
      </c>
      <c r="H17" s="9">
        <v>30</v>
      </c>
      <c r="I17" s="62"/>
      <c r="J17" s="146"/>
      <c r="T17" s="68"/>
      <c r="U17" s="68"/>
      <c r="V17" s="68"/>
      <c r="W17" s="68"/>
      <c r="X17" s="68"/>
      <c r="Y17" s="68"/>
      <c r="Z17" s="68"/>
      <c r="AA17" s="68"/>
      <c r="AB17" s="68"/>
      <c r="AC17" s="68"/>
      <c r="AD17" s="68"/>
      <c r="AE17" s="68"/>
      <c r="AF17" s="68"/>
      <c r="AG17" s="68"/>
      <c r="AH17" s="68"/>
      <c r="AI17" s="68"/>
      <c r="AJ17" s="68"/>
      <c r="AK17" s="9" t="s">
        <v>560</v>
      </c>
      <c r="AL17" s="9" t="s">
        <v>934</v>
      </c>
      <c r="AM17" s="9" t="s">
        <v>888</v>
      </c>
      <c r="AN17" s="9" t="s">
        <v>454</v>
      </c>
      <c r="AO17" s="9" t="s">
        <v>602</v>
      </c>
    </row>
    <row r="18" spans="1:45" x14ac:dyDescent="0.25">
      <c r="A18" s="9" t="str">
        <f t="shared" ref="A18" si="2">AL18</f>
        <v>I-CM-GRND-LOWCNK01</v>
      </c>
      <c r="B18" s="9" t="str">
        <f>AM18</f>
        <v>IND Cement technology: Grinding - Low clinker blend</v>
      </c>
      <c r="D18" s="9" t="s">
        <v>364</v>
      </c>
      <c r="E18" s="9">
        <v>1</v>
      </c>
      <c r="F18" s="207">
        <v>0.95</v>
      </c>
      <c r="G18" s="9">
        <v>2035</v>
      </c>
      <c r="H18" s="9">
        <v>30</v>
      </c>
      <c r="I18" s="62"/>
      <c r="J18" s="146"/>
      <c r="R18" s="68"/>
      <c r="S18" s="68"/>
      <c r="T18" s="68"/>
      <c r="U18" s="68"/>
      <c r="V18" s="68"/>
      <c r="W18" s="68"/>
      <c r="X18" s="68"/>
      <c r="Y18" s="68"/>
      <c r="Z18" s="68"/>
      <c r="AA18" s="68"/>
      <c r="AB18" s="68"/>
      <c r="AC18" s="68"/>
      <c r="AD18" s="68"/>
      <c r="AE18" s="68"/>
      <c r="AF18" s="68"/>
      <c r="AG18" s="68"/>
      <c r="AH18" s="68"/>
      <c r="AI18" s="68"/>
      <c r="AJ18" s="68"/>
      <c r="AK18" s="9" t="s">
        <v>560</v>
      </c>
      <c r="AL18" s="9" t="s">
        <v>935</v>
      </c>
      <c r="AM18" s="9" t="s">
        <v>936</v>
      </c>
      <c r="AN18" s="9" t="s">
        <v>454</v>
      </c>
      <c r="AO18" s="9" t="s">
        <v>602</v>
      </c>
    </row>
    <row r="19" spans="1:45" x14ac:dyDescent="0.25">
      <c r="A19" s="9" t="s">
        <v>575</v>
      </c>
      <c r="F19" s="207"/>
      <c r="G19" s="9"/>
      <c r="I19" s="62"/>
      <c r="J19" s="146"/>
      <c r="K19"/>
      <c r="L19"/>
      <c r="R19" s="68"/>
      <c r="S19" s="68"/>
      <c r="T19" s="68"/>
      <c r="U19" s="68"/>
      <c r="V19" s="68"/>
      <c r="W19" s="68"/>
      <c r="X19" s="68"/>
      <c r="Y19" s="68"/>
      <c r="Z19" s="68"/>
      <c r="AA19" s="68"/>
      <c r="AB19" s="68"/>
      <c r="AC19" s="68"/>
      <c r="AD19" s="68"/>
      <c r="AE19" s="68"/>
      <c r="AF19" s="68"/>
      <c r="AG19" s="68"/>
      <c r="AH19" s="68"/>
      <c r="AI19" s="68"/>
      <c r="AJ19" s="68"/>
      <c r="AK19" s="9" t="s">
        <v>560</v>
      </c>
      <c r="AN19" s="9" t="s">
        <v>454</v>
      </c>
      <c r="AO19" s="9" t="s">
        <v>602</v>
      </c>
    </row>
    <row r="20" spans="1:45" x14ac:dyDescent="0.25">
      <c r="A20" s="9" t="s">
        <v>575</v>
      </c>
      <c r="F20" s="207"/>
      <c r="G20" s="9"/>
      <c r="I20" s="62"/>
      <c r="J20" s="146"/>
      <c r="K20"/>
      <c r="L20"/>
      <c r="R20" s="68"/>
      <c r="S20" s="68"/>
      <c r="T20" s="68"/>
      <c r="U20" s="68"/>
      <c r="V20" s="68"/>
      <c r="W20" s="68"/>
      <c r="X20" s="68"/>
      <c r="Y20" s="68"/>
      <c r="Z20" s="68"/>
      <c r="AA20" s="68"/>
      <c r="AB20" s="68"/>
      <c r="AC20" s="68"/>
      <c r="AD20" s="68"/>
      <c r="AE20" s="68"/>
      <c r="AF20" s="68"/>
      <c r="AG20" s="68"/>
      <c r="AH20" s="68"/>
      <c r="AI20" s="68"/>
      <c r="AJ20" s="68"/>
      <c r="AK20" s="9" t="s">
        <v>560</v>
      </c>
      <c r="AN20" s="9" t="s">
        <v>454</v>
      </c>
      <c r="AO20" s="9" t="s">
        <v>602</v>
      </c>
    </row>
    <row r="21" spans="1:45" x14ac:dyDescent="0.25">
      <c r="A21" s="9" t="str">
        <f t="shared" ref="A21:A25" si="3">AL21</f>
        <v>I-NM-HTH_GAS01</v>
      </c>
      <c r="B21" s="9" t="str">
        <f t="shared" ref="B21:B25" si="4">AM21</f>
        <v>IND Non-metallic minerals technology: High temperature heat using Gas - Ordinary</v>
      </c>
      <c r="C21" s="9" t="s">
        <v>937</v>
      </c>
      <c r="D21" s="9" t="s">
        <v>896</v>
      </c>
      <c r="E21" s="9">
        <v>31.536000000000001</v>
      </c>
      <c r="F21" s="9">
        <v>0.9</v>
      </c>
      <c r="G21" s="9">
        <v>2020</v>
      </c>
      <c r="H21" s="9">
        <v>25</v>
      </c>
      <c r="I21" s="62"/>
      <c r="K21"/>
      <c r="L21"/>
      <c r="R21" s="68"/>
      <c r="S21" s="68"/>
      <c r="T21" s="68"/>
      <c r="U21" s="68"/>
      <c r="V21" s="68"/>
      <c r="W21" s="68"/>
      <c r="X21" s="68"/>
      <c r="Y21" s="68"/>
      <c r="Z21" s="68"/>
      <c r="AA21" s="68"/>
      <c r="AB21" s="68"/>
      <c r="AC21" s="68"/>
      <c r="AD21" s="68"/>
      <c r="AE21" s="68"/>
      <c r="AF21" s="68"/>
      <c r="AG21" s="68"/>
      <c r="AH21" s="68"/>
      <c r="AI21" s="68"/>
      <c r="AJ21" s="68"/>
      <c r="AK21" s="146" t="s">
        <v>322</v>
      </c>
      <c r="AL21" s="9" t="s">
        <v>814</v>
      </c>
      <c r="AM21" s="9" t="s">
        <v>938</v>
      </c>
      <c r="AN21" s="9" t="s">
        <v>323</v>
      </c>
      <c r="AO21" s="146" t="s">
        <v>72</v>
      </c>
      <c r="AQ21" s="9" t="s">
        <v>558</v>
      </c>
      <c r="AS21" s="9" t="s">
        <v>939</v>
      </c>
    </row>
    <row r="22" spans="1:45" x14ac:dyDescent="0.25">
      <c r="A22" s="9" t="str">
        <f t="shared" si="3"/>
        <v>I-NM-HTH_HET01</v>
      </c>
      <c r="B22" s="9" t="str">
        <f t="shared" si="4"/>
        <v>IND Non-metallic minerals technology: High temperature heat using Heat - Ordinary</v>
      </c>
      <c r="C22" s="9" t="s">
        <v>1702</v>
      </c>
      <c r="D22" s="9" t="s">
        <v>896</v>
      </c>
      <c r="E22" s="9">
        <v>31.536000000000001</v>
      </c>
      <c r="F22" s="9">
        <v>0.9</v>
      </c>
      <c r="G22" s="9">
        <v>2020</v>
      </c>
      <c r="H22" s="9">
        <v>25</v>
      </c>
      <c r="I22" s="62"/>
      <c r="K22"/>
      <c r="L22"/>
      <c r="R22" s="68"/>
      <c r="S22" s="68"/>
      <c r="T22" s="68"/>
      <c r="U22" s="68"/>
      <c r="V22" s="68"/>
      <c r="W22" s="68"/>
      <c r="X22" s="68"/>
      <c r="Y22" s="68"/>
      <c r="Z22" s="68"/>
      <c r="AA22" s="68"/>
      <c r="AB22" s="68"/>
      <c r="AC22" s="68"/>
      <c r="AD22" s="68"/>
      <c r="AE22" s="68"/>
      <c r="AF22" s="68"/>
      <c r="AG22" s="68"/>
      <c r="AH22" s="68"/>
      <c r="AI22" s="68"/>
      <c r="AJ22" s="68"/>
      <c r="AK22" s="146" t="s">
        <v>322</v>
      </c>
      <c r="AL22" s="9" t="s">
        <v>815</v>
      </c>
      <c r="AM22" s="9" t="s">
        <v>940</v>
      </c>
      <c r="AN22" s="9" t="s">
        <v>323</v>
      </c>
      <c r="AO22" s="146" t="s">
        <v>72</v>
      </c>
      <c r="AQ22" s="9" t="s">
        <v>558</v>
      </c>
      <c r="AS22" s="9" t="s">
        <v>939</v>
      </c>
    </row>
    <row r="23" spans="1:45" x14ac:dyDescent="0.25">
      <c r="A23" s="9" t="str">
        <f t="shared" si="3"/>
        <v>I-NM-HTH_OIL01</v>
      </c>
      <c r="B23" s="9" t="str">
        <f t="shared" si="4"/>
        <v>IND Non-metallic minerals technology: High temperature heat using Liquid - Ordinary</v>
      </c>
      <c r="C23" s="9" t="s">
        <v>941</v>
      </c>
      <c r="D23" s="9" t="s">
        <v>896</v>
      </c>
      <c r="E23" s="9">
        <v>31.536000000000001</v>
      </c>
      <c r="F23" s="9">
        <v>0.9</v>
      </c>
      <c r="G23" s="9">
        <v>2020</v>
      </c>
      <c r="H23" s="9">
        <v>25</v>
      </c>
      <c r="I23" s="62"/>
      <c r="K23"/>
      <c r="L23"/>
      <c r="R23" s="68"/>
      <c r="S23" s="68"/>
      <c r="T23" s="68"/>
      <c r="U23" s="68"/>
      <c r="V23" s="68"/>
      <c r="W23" s="68"/>
      <c r="X23" s="68"/>
      <c r="Y23" s="68"/>
      <c r="Z23" s="68"/>
      <c r="AA23" s="68"/>
      <c r="AB23" s="68"/>
      <c r="AC23" s="68"/>
      <c r="AD23" s="68"/>
      <c r="AE23" s="68"/>
      <c r="AF23" s="68"/>
      <c r="AG23" s="68"/>
      <c r="AH23" s="68"/>
      <c r="AI23" s="68"/>
      <c r="AJ23" s="68"/>
      <c r="AK23" s="146" t="s">
        <v>322</v>
      </c>
      <c r="AL23" s="9" t="s">
        <v>816</v>
      </c>
      <c r="AM23" s="9" t="s">
        <v>942</v>
      </c>
      <c r="AN23" s="9" t="s">
        <v>323</v>
      </c>
      <c r="AO23" s="146" t="s">
        <v>72</v>
      </c>
      <c r="AQ23" s="9" t="s">
        <v>558</v>
      </c>
      <c r="AS23" s="9" t="s">
        <v>939</v>
      </c>
    </row>
    <row r="24" spans="1:45" x14ac:dyDescent="0.25">
      <c r="A24" s="9" t="str">
        <f t="shared" si="3"/>
        <v>I-NM-HTH_COA01</v>
      </c>
      <c r="B24" s="9" t="str">
        <f t="shared" si="4"/>
        <v>IND Non-metallic minerals technology: High temperature heat using Solid - Ordinary</v>
      </c>
      <c r="C24" s="9" t="s">
        <v>120</v>
      </c>
      <c r="D24" s="9" t="s">
        <v>896</v>
      </c>
      <c r="E24" s="9">
        <v>31.536000000000001</v>
      </c>
      <c r="F24" s="9">
        <v>0.9</v>
      </c>
      <c r="G24" s="9">
        <v>2020</v>
      </c>
      <c r="H24" s="9">
        <v>25</v>
      </c>
      <c r="I24" s="62"/>
      <c r="K24"/>
      <c r="L24"/>
      <c r="R24" s="68"/>
      <c r="S24" s="68"/>
      <c r="T24" s="68"/>
      <c r="U24" s="68"/>
      <c r="V24" s="68"/>
      <c r="W24" s="68"/>
      <c r="X24" s="68"/>
      <c r="Y24" s="68"/>
      <c r="Z24" s="68"/>
      <c r="AA24" s="68"/>
      <c r="AB24" s="68"/>
      <c r="AC24" s="68"/>
      <c r="AD24" s="68"/>
      <c r="AE24" s="68"/>
      <c r="AF24" s="68"/>
      <c r="AG24" s="68"/>
      <c r="AH24" s="68"/>
      <c r="AI24" s="68"/>
      <c r="AJ24" s="68"/>
      <c r="AK24" s="146" t="s">
        <v>322</v>
      </c>
      <c r="AL24" s="9" t="s">
        <v>817</v>
      </c>
      <c r="AM24" s="9" t="s">
        <v>943</v>
      </c>
      <c r="AN24" s="9" t="s">
        <v>323</v>
      </c>
      <c r="AO24" s="146" t="s">
        <v>72</v>
      </c>
      <c r="AQ24" s="9" t="s">
        <v>558</v>
      </c>
      <c r="AS24" s="9" t="s">
        <v>939</v>
      </c>
    </row>
    <row r="25" spans="1:45" x14ac:dyDescent="0.25">
      <c r="A25" s="9" t="str">
        <f t="shared" si="3"/>
        <v>I-NM-HTH_GAS02</v>
      </c>
      <c r="B25" s="9" t="str">
        <f t="shared" si="4"/>
        <v>IND Non-metallic minerals technology: High temperature heat using Gas - Improved</v>
      </c>
      <c r="C25" s="9" t="s">
        <v>937</v>
      </c>
      <c r="D25" s="9" t="s">
        <v>896</v>
      </c>
      <c r="E25" s="9">
        <v>31.536000000000001</v>
      </c>
      <c r="F25" s="9">
        <v>0.9</v>
      </c>
      <c r="G25" s="9">
        <v>2025</v>
      </c>
      <c r="H25" s="9">
        <v>25</v>
      </c>
      <c r="I25" s="62"/>
      <c r="K25"/>
      <c r="L25"/>
      <c r="R25" s="68"/>
      <c r="S25" s="68"/>
      <c r="T25" s="68"/>
      <c r="U25" s="68"/>
      <c r="V25" s="68"/>
      <c r="W25" s="68"/>
      <c r="X25" s="68"/>
      <c r="Y25" s="68"/>
      <c r="Z25" s="68"/>
      <c r="AA25" s="68"/>
      <c r="AB25" s="68"/>
      <c r="AC25" s="68"/>
      <c r="AD25" s="68"/>
      <c r="AE25" s="68"/>
      <c r="AF25" s="68"/>
      <c r="AG25" s="68"/>
      <c r="AH25" s="68"/>
      <c r="AI25" s="68"/>
      <c r="AJ25" s="68"/>
      <c r="AK25" s="146" t="s">
        <v>322</v>
      </c>
      <c r="AL25" s="9" t="s">
        <v>820</v>
      </c>
      <c r="AM25" s="9" t="s">
        <v>944</v>
      </c>
      <c r="AN25" s="9" t="s">
        <v>323</v>
      </c>
      <c r="AO25" s="146" t="s">
        <v>72</v>
      </c>
      <c r="AQ25" s="9" t="s">
        <v>558</v>
      </c>
      <c r="AS25" s="9" t="s">
        <v>939</v>
      </c>
    </row>
    <row r="26" spans="1:45" x14ac:dyDescent="0.25">
      <c r="A26" s="9" t="str">
        <f t="shared" ref="A26:A53" si="5">AL26</f>
        <v>I-NM-HTH_HET02</v>
      </c>
      <c r="B26" s="9" t="str">
        <f t="shared" ref="B26:B53" si="6">AM26</f>
        <v>IND Non-metallic minerals technology: High temperature heat using Heat - Improved</v>
      </c>
      <c r="C26" s="9" t="s">
        <v>1702</v>
      </c>
      <c r="D26" s="9" t="s">
        <v>896</v>
      </c>
      <c r="E26" s="9">
        <v>31.536000000000001</v>
      </c>
      <c r="F26" s="9">
        <v>0.9</v>
      </c>
      <c r="G26" s="9">
        <v>2025</v>
      </c>
      <c r="H26" s="9">
        <v>25</v>
      </c>
      <c r="I26" s="62"/>
      <c r="K26"/>
      <c r="L26"/>
      <c r="R26" s="68"/>
      <c r="S26" s="68"/>
      <c r="T26" s="68"/>
      <c r="U26" s="68"/>
      <c r="V26" s="68"/>
      <c r="W26" s="68"/>
      <c r="X26" s="68"/>
      <c r="Y26" s="68"/>
      <c r="Z26" s="68"/>
      <c r="AA26" s="68"/>
      <c r="AB26" s="68"/>
      <c r="AC26" s="68"/>
      <c r="AD26" s="68"/>
      <c r="AE26" s="68"/>
      <c r="AF26" s="68"/>
      <c r="AG26" s="68"/>
      <c r="AH26" s="68"/>
      <c r="AI26" s="68"/>
      <c r="AJ26" s="68"/>
      <c r="AK26" s="146" t="s">
        <v>322</v>
      </c>
      <c r="AL26" s="9" t="s">
        <v>821</v>
      </c>
      <c r="AM26" s="9" t="s">
        <v>945</v>
      </c>
      <c r="AN26" s="9" t="s">
        <v>323</v>
      </c>
      <c r="AO26" s="146" t="s">
        <v>72</v>
      </c>
      <c r="AQ26" s="9" t="s">
        <v>558</v>
      </c>
      <c r="AS26" s="9" t="s">
        <v>939</v>
      </c>
    </row>
    <row r="27" spans="1:45" x14ac:dyDescent="0.25">
      <c r="A27" s="9" t="str">
        <f t="shared" si="5"/>
        <v>I-NM-HTH_OIL02</v>
      </c>
      <c r="B27" s="9" t="str">
        <f t="shared" si="6"/>
        <v>IND Non-metallic minerals technology: High temperature heat using Liquid - Improved</v>
      </c>
      <c r="C27" s="9" t="s">
        <v>941</v>
      </c>
      <c r="D27" s="9" t="s">
        <v>896</v>
      </c>
      <c r="E27" s="9">
        <v>31.536000000000001</v>
      </c>
      <c r="F27" s="9">
        <v>0.9</v>
      </c>
      <c r="G27" s="9">
        <v>2025</v>
      </c>
      <c r="H27" s="9">
        <v>25</v>
      </c>
      <c r="I27" s="62"/>
      <c r="K27"/>
      <c r="L27"/>
      <c r="R27" s="68"/>
      <c r="S27" s="68"/>
      <c r="T27" s="68"/>
      <c r="U27" s="68"/>
      <c r="V27" s="68"/>
      <c r="W27" s="68"/>
      <c r="X27" s="68"/>
      <c r="Y27" s="68"/>
      <c r="Z27" s="68"/>
      <c r="AA27" s="68"/>
      <c r="AB27" s="68"/>
      <c r="AC27" s="68"/>
      <c r="AD27" s="68"/>
      <c r="AE27" s="68"/>
      <c r="AF27" s="68"/>
      <c r="AG27" s="68"/>
      <c r="AH27" s="68"/>
      <c r="AI27" s="68"/>
      <c r="AJ27" s="68"/>
      <c r="AK27" s="146" t="s">
        <v>322</v>
      </c>
      <c r="AL27" s="9" t="s">
        <v>822</v>
      </c>
      <c r="AM27" s="9" t="s">
        <v>946</v>
      </c>
      <c r="AN27" s="9" t="s">
        <v>323</v>
      </c>
      <c r="AO27" s="146" t="s">
        <v>72</v>
      </c>
      <c r="AQ27" s="9" t="s">
        <v>558</v>
      </c>
      <c r="AS27" s="9" t="s">
        <v>939</v>
      </c>
    </row>
    <row r="28" spans="1:45" x14ac:dyDescent="0.25">
      <c r="A28" s="9" t="str">
        <f t="shared" si="5"/>
        <v>I-NM-HTH_COA02</v>
      </c>
      <c r="B28" s="9" t="str">
        <f t="shared" si="6"/>
        <v>IND Non-metallic minerals technology: High temperature heat using Solid - Improved</v>
      </c>
      <c r="C28" s="9" t="s">
        <v>120</v>
      </c>
      <c r="D28" s="9" t="s">
        <v>896</v>
      </c>
      <c r="E28" s="9">
        <v>31.536000000000001</v>
      </c>
      <c r="F28" s="9">
        <v>0.9</v>
      </c>
      <c r="G28" s="9">
        <v>2025</v>
      </c>
      <c r="H28" s="9">
        <v>25</v>
      </c>
      <c r="I28" s="62"/>
      <c r="K28"/>
      <c r="L28"/>
      <c r="R28" s="68"/>
      <c r="S28" s="68"/>
      <c r="T28" s="68"/>
      <c r="U28" s="68"/>
      <c r="V28" s="68"/>
      <c r="W28" s="68"/>
      <c r="X28" s="68"/>
      <c r="Y28" s="68"/>
      <c r="Z28" s="68"/>
      <c r="AA28" s="68"/>
      <c r="AB28" s="68"/>
      <c r="AC28" s="68"/>
      <c r="AD28" s="68"/>
      <c r="AE28" s="68"/>
      <c r="AF28" s="68"/>
      <c r="AG28" s="68"/>
      <c r="AH28" s="68"/>
      <c r="AI28" s="68"/>
      <c r="AJ28" s="68"/>
      <c r="AK28" s="146" t="s">
        <v>322</v>
      </c>
      <c r="AL28" s="9" t="s">
        <v>823</v>
      </c>
      <c r="AM28" s="9" t="s">
        <v>947</v>
      </c>
      <c r="AN28" s="9" t="s">
        <v>323</v>
      </c>
      <c r="AO28" s="146" t="s">
        <v>72</v>
      </c>
      <c r="AQ28" s="9" t="s">
        <v>558</v>
      </c>
      <c r="AS28" s="9" t="s">
        <v>939</v>
      </c>
    </row>
    <row r="29" spans="1:45" x14ac:dyDescent="0.25">
      <c r="A29" s="9" t="str">
        <f t="shared" si="5"/>
        <v>I-NM-HTH_ELC03</v>
      </c>
      <c r="B29" s="9" t="str">
        <f t="shared" si="6"/>
        <v>IND Non-metallic minerals technology: High temperature heat using Electricity - Advanced</v>
      </c>
      <c r="C29" s="9" t="s">
        <v>948</v>
      </c>
      <c r="D29" s="9" t="s">
        <v>896</v>
      </c>
      <c r="E29" s="9">
        <v>31.536000000000001</v>
      </c>
      <c r="F29" s="9">
        <v>0.9</v>
      </c>
      <c r="G29" s="9">
        <v>2030</v>
      </c>
      <c r="H29" s="9">
        <v>25</v>
      </c>
      <c r="I29" s="62"/>
      <c r="K29"/>
      <c r="L29"/>
      <c r="R29" s="68"/>
      <c r="S29" s="68"/>
      <c r="T29" s="68"/>
      <c r="U29" s="68"/>
      <c r="V29" s="68"/>
      <c r="W29" s="68"/>
      <c r="X29" s="68"/>
      <c r="Y29" s="68"/>
      <c r="Z29" s="68"/>
      <c r="AA29" s="68"/>
      <c r="AB29" s="68"/>
      <c r="AC29" s="68"/>
      <c r="AD29" s="68"/>
      <c r="AE29" s="68"/>
      <c r="AF29" s="68"/>
      <c r="AG29" s="68"/>
      <c r="AH29" s="68"/>
      <c r="AI29" s="68"/>
      <c r="AJ29" s="68"/>
      <c r="AK29" s="146" t="s">
        <v>322</v>
      </c>
      <c r="AL29" s="9" t="s">
        <v>825</v>
      </c>
      <c r="AM29" s="9" t="s">
        <v>949</v>
      </c>
      <c r="AN29" s="9" t="s">
        <v>323</v>
      </c>
      <c r="AO29" s="146" t="s">
        <v>72</v>
      </c>
      <c r="AQ29" s="9" t="s">
        <v>324</v>
      </c>
      <c r="AS29" s="9" t="s">
        <v>939</v>
      </c>
    </row>
    <row r="30" spans="1:45" x14ac:dyDescent="0.25">
      <c r="A30" s="9" t="str">
        <f t="shared" si="5"/>
        <v>I-NM-HTH_GAS03</v>
      </c>
      <c r="B30" s="9" t="str">
        <f t="shared" si="6"/>
        <v>IND Non-metallic minerals technology: High temperature heat using Gas - Advanced</v>
      </c>
      <c r="C30" s="9" t="s">
        <v>937</v>
      </c>
      <c r="D30" s="9" t="s">
        <v>896</v>
      </c>
      <c r="E30" s="9">
        <v>31.536000000000001</v>
      </c>
      <c r="F30" s="9">
        <v>0.9</v>
      </c>
      <c r="G30" s="9">
        <v>2030</v>
      </c>
      <c r="H30" s="9">
        <v>25</v>
      </c>
      <c r="I30" s="62"/>
      <c r="K30"/>
      <c r="L30"/>
      <c r="R30" s="68"/>
      <c r="S30" s="68"/>
      <c r="T30" s="68"/>
      <c r="U30" s="68"/>
      <c r="V30" s="68"/>
      <c r="W30" s="68"/>
      <c r="X30" s="68"/>
      <c r="Y30" s="68"/>
      <c r="Z30" s="68"/>
      <c r="AA30" s="68"/>
      <c r="AB30" s="68"/>
      <c r="AC30" s="68"/>
      <c r="AD30" s="68"/>
      <c r="AE30" s="68"/>
      <c r="AF30" s="68"/>
      <c r="AG30" s="68"/>
      <c r="AH30" s="68"/>
      <c r="AI30" s="68"/>
      <c r="AJ30" s="68"/>
      <c r="AK30" s="146" t="s">
        <v>322</v>
      </c>
      <c r="AL30" s="9" t="s">
        <v>826</v>
      </c>
      <c r="AM30" s="9" t="s">
        <v>950</v>
      </c>
      <c r="AN30" s="9" t="s">
        <v>323</v>
      </c>
      <c r="AO30" s="146" t="s">
        <v>72</v>
      </c>
      <c r="AQ30" s="9" t="s">
        <v>558</v>
      </c>
      <c r="AS30" s="9" t="s">
        <v>939</v>
      </c>
    </row>
    <row r="31" spans="1:45" x14ac:dyDescent="0.25">
      <c r="A31" s="9" t="str">
        <f t="shared" si="5"/>
        <v>I-NM-HTH_HET03</v>
      </c>
      <c r="B31" s="9" t="str">
        <f t="shared" si="6"/>
        <v>IND Non-metallic minerals technology: High temperature heat using Heat - Advanced</v>
      </c>
      <c r="C31" s="9" t="s">
        <v>1702</v>
      </c>
      <c r="D31" s="9" t="s">
        <v>896</v>
      </c>
      <c r="E31" s="9">
        <v>31.536000000000001</v>
      </c>
      <c r="F31" s="9">
        <v>0.9</v>
      </c>
      <c r="G31" s="9">
        <v>2030</v>
      </c>
      <c r="H31" s="9">
        <v>25</v>
      </c>
      <c r="I31" s="62"/>
      <c r="K31"/>
      <c r="L31"/>
      <c r="R31" s="68"/>
      <c r="S31" s="68"/>
      <c r="T31" s="68"/>
      <c r="U31" s="68"/>
      <c r="V31" s="68"/>
      <c r="W31" s="68"/>
      <c r="X31" s="68"/>
      <c r="Y31" s="68"/>
      <c r="Z31" s="68"/>
      <c r="AA31" s="68"/>
      <c r="AB31" s="68"/>
      <c r="AC31" s="68"/>
      <c r="AD31" s="68"/>
      <c r="AE31" s="68"/>
      <c r="AF31" s="68"/>
      <c r="AG31" s="68"/>
      <c r="AH31" s="68"/>
      <c r="AI31" s="68"/>
      <c r="AJ31" s="68"/>
      <c r="AK31" s="146" t="s">
        <v>322</v>
      </c>
      <c r="AL31" s="9" t="s">
        <v>827</v>
      </c>
      <c r="AM31" s="9" t="s">
        <v>951</v>
      </c>
      <c r="AN31" s="9" t="s">
        <v>323</v>
      </c>
      <c r="AO31" s="146" t="s">
        <v>72</v>
      </c>
      <c r="AQ31" s="9" t="s">
        <v>558</v>
      </c>
      <c r="AS31" s="9" t="s">
        <v>939</v>
      </c>
    </row>
    <row r="32" spans="1:45" x14ac:dyDescent="0.25">
      <c r="A32" s="9" t="str">
        <f t="shared" si="5"/>
        <v>I-NM-HTH_OIL03</v>
      </c>
      <c r="B32" s="9" t="str">
        <f t="shared" si="6"/>
        <v>IND Non-metallic minerals technology: High temperature heat using Liquid - Advanced</v>
      </c>
      <c r="C32" s="9" t="s">
        <v>941</v>
      </c>
      <c r="D32" s="9" t="s">
        <v>896</v>
      </c>
      <c r="E32" s="9">
        <v>31.536000000000001</v>
      </c>
      <c r="F32" s="9">
        <v>0.9</v>
      </c>
      <c r="G32" s="9">
        <v>2030</v>
      </c>
      <c r="H32" s="9">
        <v>25</v>
      </c>
      <c r="I32" s="62"/>
      <c r="K32"/>
      <c r="L32"/>
      <c r="R32" s="68"/>
      <c r="S32" s="68"/>
      <c r="T32" s="68"/>
      <c r="U32" s="68"/>
      <c r="V32" s="68"/>
      <c r="W32" s="68"/>
      <c r="X32" s="68"/>
      <c r="Y32" s="68"/>
      <c r="Z32" s="68"/>
      <c r="AA32" s="68"/>
      <c r="AB32" s="68"/>
      <c r="AC32" s="68"/>
      <c r="AD32" s="68"/>
      <c r="AE32" s="68"/>
      <c r="AF32" s="68"/>
      <c r="AG32" s="68"/>
      <c r="AH32" s="68"/>
      <c r="AI32" s="68"/>
      <c r="AJ32" s="68"/>
      <c r="AK32" s="146" t="s">
        <v>322</v>
      </c>
      <c r="AL32" s="9" t="s">
        <v>828</v>
      </c>
      <c r="AM32" s="9" t="s">
        <v>952</v>
      </c>
      <c r="AN32" s="9" t="s">
        <v>323</v>
      </c>
      <c r="AO32" s="146" t="s">
        <v>72</v>
      </c>
      <c r="AQ32" s="9" t="s">
        <v>558</v>
      </c>
      <c r="AS32" s="9" t="s">
        <v>939</v>
      </c>
    </row>
    <row r="33" spans="1:45" x14ac:dyDescent="0.25">
      <c r="A33" s="9" t="str">
        <f t="shared" si="5"/>
        <v>I-NM-HTH_COA03</v>
      </c>
      <c r="B33" s="9" t="str">
        <f t="shared" si="6"/>
        <v>IND Non-metallic minerals technology: High temperature heat using Solid - Advanced</v>
      </c>
      <c r="C33" s="9" t="s">
        <v>120</v>
      </c>
      <c r="D33" s="9" t="s">
        <v>896</v>
      </c>
      <c r="E33" s="9">
        <v>31.536000000000001</v>
      </c>
      <c r="F33" s="9">
        <v>0.9</v>
      </c>
      <c r="G33" s="9">
        <v>2030</v>
      </c>
      <c r="H33" s="9">
        <v>25</v>
      </c>
      <c r="I33" s="62"/>
      <c r="K33"/>
      <c r="L33"/>
      <c r="R33" s="68"/>
      <c r="S33" s="68"/>
      <c r="T33" s="68"/>
      <c r="U33" s="68"/>
      <c r="V33" s="68"/>
      <c r="W33" s="68"/>
      <c r="X33" s="68"/>
      <c r="Y33" s="68"/>
      <c r="Z33" s="68"/>
      <c r="AA33" s="68"/>
      <c r="AB33" s="68"/>
      <c r="AC33" s="68"/>
      <c r="AD33" s="68"/>
      <c r="AE33" s="68"/>
      <c r="AF33" s="68"/>
      <c r="AG33" s="68"/>
      <c r="AH33" s="68"/>
      <c r="AI33" s="68"/>
      <c r="AJ33" s="68"/>
      <c r="AK33" s="146" t="s">
        <v>322</v>
      </c>
      <c r="AL33" s="9" t="s">
        <v>829</v>
      </c>
      <c r="AM33" s="9" t="s">
        <v>953</v>
      </c>
      <c r="AN33" s="9" t="s">
        <v>323</v>
      </c>
      <c r="AO33" s="146" t="s">
        <v>72</v>
      </c>
      <c r="AQ33" s="9" t="s">
        <v>558</v>
      </c>
      <c r="AS33" s="9" t="s">
        <v>939</v>
      </c>
    </row>
    <row r="34" spans="1:45" x14ac:dyDescent="0.25">
      <c r="A34" s="9" t="str">
        <f t="shared" si="5"/>
        <v>I-NM-HTH_BIO03</v>
      </c>
      <c r="B34" s="9" t="str">
        <f t="shared" si="6"/>
        <v>IND Non-metallic minerals technology: High temperature heat using Biomass - Advanced</v>
      </c>
      <c r="C34" s="9" t="s">
        <v>954</v>
      </c>
      <c r="D34" s="9" t="s">
        <v>896</v>
      </c>
      <c r="E34" s="9">
        <v>31.536000000000001</v>
      </c>
      <c r="F34" s="9">
        <v>0.9</v>
      </c>
      <c r="G34" s="9">
        <v>2030</v>
      </c>
      <c r="H34" s="9">
        <v>25</v>
      </c>
      <c r="I34" s="62"/>
      <c r="K34"/>
      <c r="L34"/>
      <c r="R34" s="68"/>
      <c r="S34" s="68"/>
      <c r="T34" s="68"/>
      <c r="U34" s="68"/>
      <c r="V34" s="68"/>
      <c r="W34" s="68"/>
      <c r="X34" s="68"/>
      <c r="Y34" s="68"/>
      <c r="Z34" s="68"/>
      <c r="AA34" s="68"/>
      <c r="AB34" s="68"/>
      <c r="AC34" s="68"/>
      <c r="AD34" s="68"/>
      <c r="AE34" s="68"/>
      <c r="AF34" s="68"/>
      <c r="AG34" s="68"/>
      <c r="AH34" s="68"/>
      <c r="AI34" s="68"/>
      <c r="AJ34" s="68"/>
      <c r="AK34" s="146" t="s">
        <v>322</v>
      </c>
      <c r="AL34" s="9" t="s">
        <v>830</v>
      </c>
      <c r="AM34" s="9" t="s">
        <v>955</v>
      </c>
      <c r="AN34" s="9" t="s">
        <v>323</v>
      </c>
      <c r="AO34" s="146" t="s">
        <v>72</v>
      </c>
      <c r="AQ34" s="9" t="s">
        <v>558</v>
      </c>
      <c r="AS34" s="9" t="s">
        <v>939</v>
      </c>
    </row>
    <row r="35" spans="1:45" x14ac:dyDescent="0.25">
      <c r="A35" s="9" t="str">
        <f t="shared" si="5"/>
        <v>I-NM-HTH_H2G03</v>
      </c>
      <c r="B35" s="9" t="str">
        <f t="shared" si="6"/>
        <v>IND Non-metallic minerals technology: High temperature heat using Hydrogen - Advanced</v>
      </c>
      <c r="C35" s="9" t="s">
        <v>141</v>
      </c>
      <c r="D35" s="9" t="s">
        <v>896</v>
      </c>
      <c r="E35" s="9">
        <v>31.536000000000001</v>
      </c>
      <c r="F35" s="9">
        <v>0.9</v>
      </c>
      <c r="G35" s="9">
        <v>2030</v>
      </c>
      <c r="H35" s="9">
        <v>25</v>
      </c>
      <c r="I35" s="62"/>
      <c r="K35"/>
      <c r="L35"/>
      <c r="R35" s="68"/>
      <c r="S35" s="68"/>
      <c r="T35" s="68"/>
      <c r="U35" s="68"/>
      <c r="V35" s="68"/>
      <c r="W35" s="68"/>
      <c r="X35" s="68"/>
      <c r="Y35" s="68"/>
      <c r="Z35" s="68"/>
      <c r="AA35" s="68"/>
      <c r="AB35" s="68"/>
      <c r="AC35" s="68"/>
      <c r="AD35" s="68"/>
      <c r="AE35" s="68"/>
      <c r="AF35" s="68"/>
      <c r="AG35" s="68"/>
      <c r="AH35" s="68"/>
      <c r="AI35" s="68"/>
      <c r="AJ35" s="68"/>
      <c r="AK35" s="146" t="s">
        <v>322</v>
      </c>
      <c r="AL35" s="9" t="s">
        <v>832</v>
      </c>
      <c r="AM35" s="9" t="s">
        <v>956</v>
      </c>
      <c r="AN35" s="9" t="s">
        <v>323</v>
      </c>
      <c r="AO35" s="146" t="s">
        <v>72</v>
      </c>
      <c r="AQ35" s="9" t="s">
        <v>558</v>
      </c>
      <c r="AS35" s="9" t="s">
        <v>939</v>
      </c>
    </row>
    <row r="36" spans="1:45" x14ac:dyDescent="0.25">
      <c r="A36" s="9" t="str">
        <f t="shared" si="5"/>
        <v>I-NM-LTH_ELC01</v>
      </c>
      <c r="B36" s="9" t="str">
        <f t="shared" si="6"/>
        <v>IND Non-metallic minerals technology: Low temperature heat using Electricity - Ordinary</v>
      </c>
      <c r="C36" s="9" t="s">
        <v>948</v>
      </c>
      <c r="D36" s="9" t="s">
        <v>889</v>
      </c>
      <c r="E36" s="9">
        <v>31.536000000000001</v>
      </c>
      <c r="F36" s="9">
        <v>0.9</v>
      </c>
      <c r="G36" s="9">
        <v>2020</v>
      </c>
      <c r="H36" s="9">
        <v>25</v>
      </c>
      <c r="I36" s="62"/>
      <c r="K36"/>
      <c r="L36"/>
      <c r="R36" s="68"/>
      <c r="S36" s="68"/>
      <c r="T36" s="68"/>
      <c r="U36" s="68"/>
      <c r="V36" s="68"/>
      <c r="W36" s="68"/>
      <c r="X36" s="68"/>
      <c r="Y36" s="68"/>
      <c r="Z36" s="68"/>
      <c r="AA36" s="68"/>
      <c r="AB36" s="68"/>
      <c r="AC36" s="68"/>
      <c r="AD36" s="68"/>
      <c r="AE36" s="68"/>
      <c r="AF36" s="68"/>
      <c r="AG36" s="68"/>
      <c r="AH36" s="68"/>
      <c r="AI36" s="68"/>
      <c r="AJ36" s="68"/>
      <c r="AK36" s="146" t="s">
        <v>322</v>
      </c>
      <c r="AL36" s="9" t="s">
        <v>833</v>
      </c>
      <c r="AM36" s="9" t="s">
        <v>957</v>
      </c>
      <c r="AN36" s="9" t="s">
        <v>323</v>
      </c>
      <c r="AO36" s="146" t="s">
        <v>72</v>
      </c>
      <c r="AQ36" s="9" t="s">
        <v>324</v>
      </c>
      <c r="AS36" s="9" t="s">
        <v>939</v>
      </c>
    </row>
    <row r="37" spans="1:45" x14ac:dyDescent="0.25">
      <c r="A37" s="9" t="str">
        <f t="shared" si="5"/>
        <v>I-NM-LTH_GAS01</v>
      </c>
      <c r="B37" s="9" t="str">
        <f t="shared" si="6"/>
        <v>IND Non-metallic minerals technology: Low temperature heat using Gas - Ordinary</v>
      </c>
      <c r="C37" s="9" t="s">
        <v>937</v>
      </c>
      <c r="D37" s="9" t="s">
        <v>889</v>
      </c>
      <c r="E37" s="9">
        <v>31.536000000000001</v>
      </c>
      <c r="F37" s="9">
        <v>0.9</v>
      </c>
      <c r="G37" s="9">
        <v>2020</v>
      </c>
      <c r="H37" s="9">
        <v>25</v>
      </c>
      <c r="I37" s="62"/>
      <c r="K37"/>
      <c r="L37"/>
      <c r="R37" s="68"/>
      <c r="S37" s="68"/>
      <c r="T37" s="68"/>
      <c r="U37" s="68"/>
      <c r="V37" s="68"/>
      <c r="W37" s="68"/>
      <c r="X37" s="68"/>
      <c r="Y37" s="68"/>
      <c r="Z37" s="68"/>
      <c r="AA37" s="68"/>
      <c r="AB37" s="68"/>
      <c r="AC37" s="68"/>
      <c r="AD37" s="68"/>
      <c r="AE37" s="68"/>
      <c r="AF37" s="68"/>
      <c r="AG37" s="68"/>
      <c r="AH37" s="68"/>
      <c r="AI37" s="68"/>
      <c r="AJ37" s="68"/>
      <c r="AK37" s="146" t="s">
        <v>322</v>
      </c>
      <c r="AL37" s="9" t="s">
        <v>834</v>
      </c>
      <c r="AM37" s="9" t="s">
        <v>958</v>
      </c>
      <c r="AN37" s="9" t="s">
        <v>323</v>
      </c>
      <c r="AO37" s="146" t="s">
        <v>72</v>
      </c>
      <c r="AQ37" s="9" t="s">
        <v>558</v>
      </c>
      <c r="AS37" s="9" t="s">
        <v>939</v>
      </c>
    </row>
    <row r="38" spans="1:45" x14ac:dyDescent="0.25">
      <c r="A38" s="9" t="str">
        <f t="shared" si="5"/>
        <v>I-NM-LTH_HET01</v>
      </c>
      <c r="B38" s="9" t="str">
        <f t="shared" si="6"/>
        <v>IND Non-metallic minerals technology: Low temperature heat using Heat - Ordinary</v>
      </c>
      <c r="C38" s="9" t="s">
        <v>1702</v>
      </c>
      <c r="D38" s="9" t="s">
        <v>889</v>
      </c>
      <c r="E38" s="9">
        <v>31.536000000000001</v>
      </c>
      <c r="F38" s="9">
        <v>0.9</v>
      </c>
      <c r="G38" s="9">
        <v>2020</v>
      </c>
      <c r="H38" s="9">
        <v>25</v>
      </c>
      <c r="I38" s="62"/>
      <c r="K38"/>
      <c r="L38"/>
      <c r="R38" s="68"/>
      <c r="S38" s="68"/>
      <c r="T38" s="68"/>
      <c r="U38" s="68"/>
      <c r="V38" s="68"/>
      <c r="W38" s="68"/>
      <c r="X38" s="68"/>
      <c r="Y38" s="68"/>
      <c r="Z38" s="68"/>
      <c r="AA38" s="68"/>
      <c r="AB38" s="68"/>
      <c r="AC38" s="68"/>
      <c r="AD38" s="68"/>
      <c r="AE38" s="68"/>
      <c r="AF38" s="68"/>
      <c r="AG38" s="68"/>
      <c r="AH38" s="68"/>
      <c r="AI38" s="68"/>
      <c r="AJ38" s="68"/>
      <c r="AK38" s="146" t="s">
        <v>322</v>
      </c>
      <c r="AL38" s="9" t="s">
        <v>835</v>
      </c>
      <c r="AM38" s="9" t="s">
        <v>959</v>
      </c>
      <c r="AN38" s="9" t="s">
        <v>323</v>
      </c>
      <c r="AO38" s="146" t="s">
        <v>72</v>
      </c>
      <c r="AQ38" s="9" t="s">
        <v>558</v>
      </c>
      <c r="AS38" s="9" t="s">
        <v>939</v>
      </c>
    </row>
    <row r="39" spans="1:45" x14ac:dyDescent="0.25">
      <c r="A39" s="9" t="str">
        <f t="shared" si="5"/>
        <v>I-NM-LTH_OIL01</v>
      </c>
      <c r="B39" s="9" t="str">
        <f t="shared" si="6"/>
        <v>IND Non-metallic minerals technology: Low temperature heat using Liquid - Ordinary</v>
      </c>
      <c r="C39" s="9" t="s">
        <v>941</v>
      </c>
      <c r="D39" s="9" t="s">
        <v>889</v>
      </c>
      <c r="E39" s="9">
        <v>31.536000000000001</v>
      </c>
      <c r="F39" s="9">
        <v>0.9</v>
      </c>
      <c r="G39" s="9">
        <v>2020</v>
      </c>
      <c r="H39" s="9">
        <v>25</v>
      </c>
      <c r="I39" s="62"/>
      <c r="K39"/>
      <c r="L39"/>
      <c r="R39" s="68"/>
      <c r="S39" s="68"/>
      <c r="T39" s="68"/>
      <c r="U39" s="68"/>
      <c r="V39" s="68"/>
      <c r="W39" s="68"/>
      <c r="X39" s="68"/>
      <c r="Y39" s="68"/>
      <c r="Z39" s="68"/>
      <c r="AA39" s="68"/>
      <c r="AB39" s="68"/>
      <c r="AC39" s="68"/>
      <c r="AD39" s="68"/>
      <c r="AE39" s="68"/>
      <c r="AF39" s="68"/>
      <c r="AG39" s="68"/>
      <c r="AH39" s="68"/>
      <c r="AI39" s="68"/>
      <c r="AJ39" s="68"/>
      <c r="AK39" s="146" t="s">
        <v>322</v>
      </c>
      <c r="AL39" s="9" t="s">
        <v>836</v>
      </c>
      <c r="AM39" s="9" t="s">
        <v>960</v>
      </c>
      <c r="AN39" s="9" t="s">
        <v>323</v>
      </c>
      <c r="AO39" s="146" t="s">
        <v>72</v>
      </c>
      <c r="AQ39" s="9" t="s">
        <v>558</v>
      </c>
      <c r="AS39" s="9" t="s">
        <v>939</v>
      </c>
    </row>
    <row r="40" spans="1:45" x14ac:dyDescent="0.25">
      <c r="A40" s="9" t="str">
        <f t="shared" si="5"/>
        <v>I-NM-LTH_COA01</v>
      </c>
      <c r="B40" s="9" t="str">
        <f t="shared" si="6"/>
        <v>IND Non-metallic minerals technology: Low temperature heat using Solid - Ordinary</v>
      </c>
      <c r="C40" s="9" t="s">
        <v>120</v>
      </c>
      <c r="D40" s="9" t="s">
        <v>889</v>
      </c>
      <c r="E40" s="9">
        <v>31.536000000000001</v>
      </c>
      <c r="F40" s="9">
        <v>0.9</v>
      </c>
      <c r="G40" s="9">
        <v>2020</v>
      </c>
      <c r="H40" s="9">
        <v>25</v>
      </c>
      <c r="I40" s="62"/>
      <c r="K40"/>
      <c r="L40"/>
      <c r="R40" s="68"/>
      <c r="S40" s="68"/>
      <c r="T40" s="68"/>
      <c r="U40" s="68"/>
      <c r="V40" s="68"/>
      <c r="W40" s="68"/>
      <c r="X40" s="68"/>
      <c r="Y40" s="68"/>
      <c r="Z40" s="68"/>
      <c r="AA40" s="68"/>
      <c r="AB40" s="68"/>
      <c r="AC40" s="68"/>
      <c r="AD40" s="68"/>
      <c r="AE40" s="68"/>
      <c r="AF40" s="68"/>
      <c r="AG40" s="68"/>
      <c r="AH40" s="68"/>
      <c r="AI40" s="68"/>
      <c r="AJ40" s="68"/>
      <c r="AK40" s="146" t="s">
        <v>322</v>
      </c>
      <c r="AL40" s="9" t="s">
        <v>837</v>
      </c>
      <c r="AM40" s="9" t="s">
        <v>961</v>
      </c>
      <c r="AN40" s="9" t="s">
        <v>323</v>
      </c>
      <c r="AO40" s="146" t="s">
        <v>72</v>
      </c>
      <c r="AQ40" s="9" t="s">
        <v>558</v>
      </c>
      <c r="AS40" s="9" t="s">
        <v>939</v>
      </c>
    </row>
    <row r="41" spans="1:45" x14ac:dyDescent="0.25">
      <c r="A41" s="9" t="str">
        <f t="shared" si="5"/>
        <v>I-NM-LTH_BIO01</v>
      </c>
      <c r="B41" s="9" t="str">
        <f t="shared" si="6"/>
        <v>IND Non-metallic minerals technology: Low temperature heat using Biomass - Ordinary</v>
      </c>
      <c r="C41" s="9" t="s">
        <v>954</v>
      </c>
      <c r="D41" s="9" t="s">
        <v>889</v>
      </c>
      <c r="E41" s="9">
        <v>31.536000000000001</v>
      </c>
      <c r="F41" s="9">
        <v>0.9</v>
      </c>
      <c r="G41" s="9">
        <v>2020</v>
      </c>
      <c r="H41" s="9">
        <v>25</v>
      </c>
      <c r="I41" s="62"/>
      <c r="K41"/>
      <c r="L41"/>
      <c r="R41" s="68"/>
      <c r="S41" s="68"/>
      <c r="T41" s="68"/>
      <c r="U41" s="68"/>
      <c r="V41" s="68"/>
      <c r="W41" s="68"/>
      <c r="X41" s="68"/>
      <c r="Y41" s="68"/>
      <c r="Z41" s="68"/>
      <c r="AA41" s="68"/>
      <c r="AB41" s="68"/>
      <c r="AC41" s="68"/>
      <c r="AD41" s="68"/>
      <c r="AE41" s="68"/>
      <c r="AF41" s="68"/>
      <c r="AG41" s="68"/>
      <c r="AH41" s="68"/>
      <c r="AI41" s="68"/>
      <c r="AJ41" s="68"/>
      <c r="AK41" s="146" t="s">
        <v>322</v>
      </c>
      <c r="AL41" s="9" t="s">
        <v>838</v>
      </c>
      <c r="AM41" s="9" t="s">
        <v>962</v>
      </c>
      <c r="AN41" s="9" t="s">
        <v>323</v>
      </c>
      <c r="AO41" s="146" t="s">
        <v>72</v>
      </c>
      <c r="AQ41" s="9" t="s">
        <v>558</v>
      </c>
      <c r="AS41" s="9" t="s">
        <v>939</v>
      </c>
    </row>
    <row r="42" spans="1:45" x14ac:dyDescent="0.25">
      <c r="A42" s="9" t="str">
        <f t="shared" si="5"/>
        <v>I-NM-LTH_ELC02</v>
      </c>
      <c r="B42" s="9" t="str">
        <f t="shared" si="6"/>
        <v>IND Non-metallic minerals technology: Low temperature heat using Electricity - Improved</v>
      </c>
      <c r="C42" s="9" t="s">
        <v>948</v>
      </c>
      <c r="D42" s="9" t="s">
        <v>889</v>
      </c>
      <c r="E42" s="9">
        <v>31.536000000000001</v>
      </c>
      <c r="F42" s="9">
        <v>0.9</v>
      </c>
      <c r="G42" s="9">
        <v>2025</v>
      </c>
      <c r="H42" s="9">
        <v>25</v>
      </c>
      <c r="I42" s="62"/>
      <c r="K42"/>
      <c r="L42"/>
      <c r="R42" s="68"/>
      <c r="S42" s="68"/>
      <c r="T42" s="68"/>
      <c r="U42" s="68"/>
      <c r="V42" s="68"/>
      <c r="W42" s="68"/>
      <c r="X42" s="68"/>
      <c r="Y42" s="68"/>
      <c r="Z42" s="68"/>
      <c r="AA42" s="68"/>
      <c r="AB42" s="68"/>
      <c r="AC42" s="68"/>
      <c r="AD42" s="68"/>
      <c r="AE42" s="68"/>
      <c r="AF42" s="68"/>
      <c r="AG42" s="68"/>
      <c r="AH42" s="68"/>
      <c r="AI42" s="68"/>
      <c r="AJ42" s="68"/>
      <c r="AK42" s="146" t="s">
        <v>322</v>
      </c>
      <c r="AL42" s="9" t="s">
        <v>839</v>
      </c>
      <c r="AM42" s="9" t="s">
        <v>963</v>
      </c>
      <c r="AN42" s="9" t="s">
        <v>323</v>
      </c>
      <c r="AO42" s="146" t="s">
        <v>72</v>
      </c>
      <c r="AQ42" s="9" t="s">
        <v>324</v>
      </c>
      <c r="AS42" s="9" t="s">
        <v>939</v>
      </c>
    </row>
    <row r="43" spans="1:45" x14ac:dyDescent="0.25">
      <c r="A43" s="9" t="str">
        <f t="shared" si="5"/>
        <v>I-NM-LTH_GAS02</v>
      </c>
      <c r="B43" s="9" t="str">
        <f t="shared" si="6"/>
        <v>IND Non-metallic minerals technology: Low temperature heat using Gas - Improved</v>
      </c>
      <c r="C43" s="9" t="s">
        <v>937</v>
      </c>
      <c r="D43" s="9" t="s">
        <v>889</v>
      </c>
      <c r="E43" s="9">
        <v>31.536000000000001</v>
      </c>
      <c r="F43" s="9">
        <v>0.9</v>
      </c>
      <c r="G43" s="9">
        <v>2025</v>
      </c>
      <c r="H43" s="9">
        <v>25</v>
      </c>
      <c r="I43" s="62"/>
      <c r="K43"/>
      <c r="L43"/>
      <c r="R43" s="68"/>
      <c r="S43" s="68"/>
      <c r="T43" s="68"/>
      <c r="U43" s="68"/>
      <c r="V43" s="68"/>
      <c r="W43" s="68"/>
      <c r="X43" s="68"/>
      <c r="Y43" s="68"/>
      <c r="Z43" s="68"/>
      <c r="AA43" s="68"/>
      <c r="AB43" s="68"/>
      <c r="AC43" s="68"/>
      <c r="AD43" s="68"/>
      <c r="AE43" s="68"/>
      <c r="AF43" s="68"/>
      <c r="AG43" s="68"/>
      <c r="AH43" s="68"/>
      <c r="AI43" s="68"/>
      <c r="AJ43" s="68"/>
      <c r="AK43" s="146" t="s">
        <v>322</v>
      </c>
      <c r="AL43" s="9" t="s">
        <v>840</v>
      </c>
      <c r="AM43" s="9" t="s">
        <v>964</v>
      </c>
      <c r="AN43" s="9" t="s">
        <v>323</v>
      </c>
      <c r="AO43" s="146" t="s">
        <v>72</v>
      </c>
      <c r="AQ43" s="9" t="s">
        <v>558</v>
      </c>
      <c r="AS43" s="9" t="s">
        <v>939</v>
      </c>
    </row>
    <row r="44" spans="1:45" x14ac:dyDescent="0.25">
      <c r="A44" s="9" t="str">
        <f t="shared" si="5"/>
        <v>I-NM-LTH_HET02</v>
      </c>
      <c r="B44" s="9" t="str">
        <f t="shared" si="6"/>
        <v>IND Non-metallic minerals technology: Low temperature heat using Heat - Improved</v>
      </c>
      <c r="C44" s="9" t="s">
        <v>1702</v>
      </c>
      <c r="D44" s="9" t="s">
        <v>889</v>
      </c>
      <c r="E44" s="9">
        <v>31.536000000000001</v>
      </c>
      <c r="F44" s="9">
        <v>0.9</v>
      </c>
      <c r="G44" s="9">
        <v>2025</v>
      </c>
      <c r="H44" s="9">
        <v>25</v>
      </c>
      <c r="I44" s="62"/>
      <c r="K44"/>
      <c r="L44"/>
      <c r="R44" s="68"/>
      <c r="S44" s="68"/>
      <c r="T44" s="68"/>
      <c r="U44" s="68"/>
      <c r="V44" s="68"/>
      <c r="W44" s="68"/>
      <c r="X44" s="68"/>
      <c r="Y44" s="68"/>
      <c r="Z44" s="68"/>
      <c r="AA44" s="68"/>
      <c r="AB44" s="68"/>
      <c r="AC44" s="68"/>
      <c r="AD44" s="68"/>
      <c r="AE44" s="68"/>
      <c r="AF44" s="68"/>
      <c r="AG44" s="68"/>
      <c r="AH44" s="68"/>
      <c r="AI44" s="68"/>
      <c r="AJ44" s="68"/>
      <c r="AK44" s="146" t="s">
        <v>322</v>
      </c>
      <c r="AL44" s="9" t="s">
        <v>841</v>
      </c>
      <c r="AM44" s="9" t="s">
        <v>965</v>
      </c>
      <c r="AN44" s="9" t="s">
        <v>323</v>
      </c>
      <c r="AO44" s="146" t="s">
        <v>72</v>
      </c>
      <c r="AQ44" s="9" t="s">
        <v>558</v>
      </c>
      <c r="AS44" s="9" t="s">
        <v>939</v>
      </c>
    </row>
    <row r="45" spans="1:45" x14ac:dyDescent="0.25">
      <c r="A45" s="9" t="str">
        <f t="shared" si="5"/>
        <v>I-NM-LTH_OIL02</v>
      </c>
      <c r="B45" s="9" t="str">
        <f t="shared" si="6"/>
        <v>IND Non-metallic minerals technology: Low temperature heat using Liquid - Improved</v>
      </c>
      <c r="C45" s="9" t="s">
        <v>941</v>
      </c>
      <c r="D45" s="9" t="s">
        <v>889</v>
      </c>
      <c r="E45" s="9">
        <v>31.536000000000001</v>
      </c>
      <c r="F45" s="9">
        <v>0.9</v>
      </c>
      <c r="G45" s="9">
        <v>2025</v>
      </c>
      <c r="H45" s="9">
        <v>25</v>
      </c>
      <c r="I45" s="62"/>
      <c r="K45"/>
      <c r="L45"/>
      <c r="R45" s="68"/>
      <c r="S45" s="68"/>
      <c r="T45" s="68"/>
      <c r="U45" s="68"/>
      <c r="V45" s="68"/>
      <c r="W45" s="68"/>
      <c r="X45" s="68"/>
      <c r="Y45" s="68"/>
      <c r="Z45" s="68"/>
      <c r="AA45" s="68"/>
      <c r="AB45" s="68"/>
      <c r="AC45" s="68"/>
      <c r="AD45" s="68"/>
      <c r="AE45" s="68"/>
      <c r="AF45" s="68"/>
      <c r="AG45" s="68"/>
      <c r="AH45" s="68"/>
      <c r="AI45" s="68"/>
      <c r="AJ45" s="68"/>
      <c r="AK45" s="146" t="s">
        <v>322</v>
      </c>
      <c r="AL45" s="9" t="s">
        <v>842</v>
      </c>
      <c r="AM45" s="9" t="s">
        <v>966</v>
      </c>
      <c r="AN45" s="9" t="s">
        <v>323</v>
      </c>
      <c r="AO45" s="146" t="s">
        <v>72</v>
      </c>
      <c r="AQ45" s="9" t="s">
        <v>558</v>
      </c>
      <c r="AS45" s="9" t="s">
        <v>939</v>
      </c>
    </row>
    <row r="46" spans="1:45" x14ac:dyDescent="0.25">
      <c r="A46" s="9" t="str">
        <f t="shared" si="5"/>
        <v>I-NM-LTH_COA02</v>
      </c>
      <c r="B46" s="9" t="str">
        <f t="shared" si="6"/>
        <v>IND Non-metallic minerals technology: Low temperature heat using Solid - Improved</v>
      </c>
      <c r="C46" s="9" t="s">
        <v>120</v>
      </c>
      <c r="D46" s="9" t="s">
        <v>889</v>
      </c>
      <c r="E46" s="9">
        <v>31.536000000000001</v>
      </c>
      <c r="F46" s="9">
        <v>0.9</v>
      </c>
      <c r="G46" s="9">
        <v>2025</v>
      </c>
      <c r="H46" s="9">
        <v>25</v>
      </c>
      <c r="I46" s="62"/>
      <c r="K46"/>
      <c r="L46"/>
      <c r="R46" s="68"/>
      <c r="S46" s="68"/>
      <c r="T46" s="68"/>
      <c r="U46" s="68"/>
      <c r="V46" s="68"/>
      <c r="W46" s="68"/>
      <c r="X46" s="68"/>
      <c r="Y46" s="68"/>
      <c r="Z46" s="68"/>
      <c r="AA46" s="68"/>
      <c r="AB46" s="68"/>
      <c r="AC46" s="68"/>
      <c r="AD46" s="68"/>
      <c r="AE46" s="68"/>
      <c r="AF46" s="68"/>
      <c r="AG46" s="68"/>
      <c r="AH46" s="68"/>
      <c r="AI46" s="68"/>
      <c r="AJ46" s="68"/>
      <c r="AK46" s="146" t="s">
        <v>322</v>
      </c>
      <c r="AL46" s="9" t="s">
        <v>843</v>
      </c>
      <c r="AM46" s="9" t="s">
        <v>967</v>
      </c>
      <c r="AN46" s="9" t="s">
        <v>323</v>
      </c>
      <c r="AO46" s="146" t="s">
        <v>72</v>
      </c>
      <c r="AQ46" s="9" t="s">
        <v>558</v>
      </c>
      <c r="AS46" s="9" t="s">
        <v>939</v>
      </c>
    </row>
    <row r="47" spans="1:45" x14ac:dyDescent="0.25">
      <c r="A47" s="9" t="str">
        <f t="shared" si="5"/>
        <v>I-NM-LTH_BIO02</v>
      </c>
      <c r="B47" s="9" t="str">
        <f t="shared" si="6"/>
        <v>IND Non-metallic minerals technology: Low temperature heat using Biomass - Improved</v>
      </c>
      <c r="C47" s="9" t="s">
        <v>954</v>
      </c>
      <c r="D47" s="9" t="s">
        <v>889</v>
      </c>
      <c r="E47" s="9">
        <v>31.536000000000001</v>
      </c>
      <c r="F47" s="9">
        <v>0.9</v>
      </c>
      <c r="G47" s="9">
        <v>2025</v>
      </c>
      <c r="H47" s="9">
        <v>25</v>
      </c>
      <c r="I47" s="62"/>
      <c r="K47"/>
      <c r="L47"/>
      <c r="R47" s="68"/>
      <c r="S47" s="68"/>
      <c r="T47" s="68"/>
      <c r="U47" s="68"/>
      <c r="V47" s="68"/>
      <c r="W47" s="68"/>
      <c r="X47" s="68"/>
      <c r="Y47" s="68"/>
      <c r="Z47" s="68"/>
      <c r="AA47" s="68"/>
      <c r="AB47" s="68"/>
      <c r="AC47" s="68"/>
      <c r="AD47" s="68"/>
      <c r="AE47" s="68"/>
      <c r="AF47" s="68"/>
      <c r="AG47" s="68"/>
      <c r="AH47" s="68"/>
      <c r="AI47" s="68"/>
      <c r="AJ47" s="68"/>
      <c r="AK47" s="146" t="s">
        <v>322</v>
      </c>
      <c r="AL47" s="9" t="s">
        <v>844</v>
      </c>
      <c r="AM47" s="9" t="s">
        <v>968</v>
      </c>
      <c r="AN47" s="9" t="s">
        <v>323</v>
      </c>
      <c r="AO47" s="146" t="s">
        <v>72</v>
      </c>
      <c r="AQ47" s="9" t="s">
        <v>558</v>
      </c>
      <c r="AS47" s="9" t="s">
        <v>939</v>
      </c>
    </row>
    <row r="48" spans="1:45" x14ac:dyDescent="0.25">
      <c r="A48" s="9" t="str">
        <f t="shared" si="5"/>
        <v>I-NM-LTH_ELC03</v>
      </c>
      <c r="B48" s="9" t="str">
        <f t="shared" si="6"/>
        <v>IND Non-metallic minerals technology: Low temperature heat using Electricity - Advanced</v>
      </c>
      <c r="C48" s="9" t="s">
        <v>948</v>
      </c>
      <c r="D48" s="9" t="s">
        <v>889</v>
      </c>
      <c r="E48" s="9">
        <v>31.536000000000001</v>
      </c>
      <c r="F48" s="9">
        <v>0.9</v>
      </c>
      <c r="G48" s="9">
        <v>2030</v>
      </c>
      <c r="H48" s="9">
        <v>25</v>
      </c>
      <c r="I48" s="62"/>
      <c r="K48"/>
      <c r="L48"/>
      <c r="R48" s="68"/>
      <c r="S48" s="68"/>
      <c r="T48" s="68"/>
      <c r="U48" s="68"/>
      <c r="V48" s="68"/>
      <c r="W48" s="68"/>
      <c r="X48" s="68"/>
      <c r="Y48" s="68"/>
      <c r="Z48" s="68"/>
      <c r="AA48" s="68"/>
      <c r="AB48" s="68"/>
      <c r="AC48" s="68"/>
      <c r="AD48" s="68"/>
      <c r="AE48" s="68"/>
      <c r="AF48" s="68"/>
      <c r="AG48" s="68"/>
      <c r="AH48" s="68"/>
      <c r="AI48" s="68"/>
      <c r="AJ48" s="68"/>
      <c r="AK48" s="146" t="s">
        <v>322</v>
      </c>
      <c r="AL48" s="9" t="s">
        <v>845</v>
      </c>
      <c r="AM48" s="9" t="s">
        <v>969</v>
      </c>
      <c r="AN48" s="9" t="s">
        <v>323</v>
      </c>
      <c r="AO48" s="146" t="s">
        <v>72</v>
      </c>
      <c r="AQ48" s="9" t="s">
        <v>324</v>
      </c>
      <c r="AS48" s="9" t="s">
        <v>939</v>
      </c>
    </row>
    <row r="49" spans="1:45" x14ac:dyDescent="0.25">
      <c r="A49" s="9" t="str">
        <f t="shared" si="5"/>
        <v>I-NM-LTH_GAS03</v>
      </c>
      <c r="B49" s="9" t="str">
        <f t="shared" si="6"/>
        <v>IND Non-metallic minerals technology: Low temperature heat using Gas - Advanced</v>
      </c>
      <c r="C49" s="9" t="s">
        <v>937</v>
      </c>
      <c r="D49" s="9" t="s">
        <v>889</v>
      </c>
      <c r="E49" s="9">
        <v>31.536000000000001</v>
      </c>
      <c r="F49" s="9">
        <v>0.9</v>
      </c>
      <c r="G49" s="9">
        <v>2030</v>
      </c>
      <c r="H49" s="9">
        <v>25</v>
      </c>
      <c r="I49" s="62"/>
      <c r="K49"/>
      <c r="L49"/>
      <c r="R49" s="68"/>
      <c r="S49" s="68"/>
      <c r="T49" s="68"/>
      <c r="U49" s="68"/>
      <c r="V49" s="68"/>
      <c r="W49" s="68"/>
      <c r="X49" s="68"/>
      <c r="Y49" s="68"/>
      <c r="Z49" s="68"/>
      <c r="AA49" s="68"/>
      <c r="AB49" s="68"/>
      <c r="AC49" s="68"/>
      <c r="AD49" s="68"/>
      <c r="AE49" s="68"/>
      <c r="AF49" s="68"/>
      <c r="AG49" s="68"/>
      <c r="AH49" s="68"/>
      <c r="AI49" s="68"/>
      <c r="AJ49" s="68"/>
      <c r="AK49" s="146" t="s">
        <v>322</v>
      </c>
      <c r="AL49" s="9" t="s">
        <v>846</v>
      </c>
      <c r="AM49" s="9" t="s">
        <v>970</v>
      </c>
      <c r="AN49" s="9" t="s">
        <v>323</v>
      </c>
      <c r="AO49" s="146" t="s">
        <v>72</v>
      </c>
      <c r="AQ49" s="9" t="s">
        <v>558</v>
      </c>
      <c r="AS49" s="9" t="s">
        <v>939</v>
      </c>
    </row>
    <row r="50" spans="1:45" x14ac:dyDescent="0.25">
      <c r="A50" s="9" t="str">
        <f t="shared" si="5"/>
        <v>I-NM-LTH_HET03</v>
      </c>
      <c r="B50" s="9" t="str">
        <f t="shared" si="6"/>
        <v>IND Non-metallic minerals technology: Low temperature heat using Heat - Advanced</v>
      </c>
      <c r="C50" s="9" t="s">
        <v>1702</v>
      </c>
      <c r="D50" s="9" t="s">
        <v>889</v>
      </c>
      <c r="E50" s="9">
        <v>31.536000000000001</v>
      </c>
      <c r="F50" s="9">
        <v>0.9</v>
      </c>
      <c r="G50" s="9">
        <v>2030</v>
      </c>
      <c r="H50" s="9">
        <v>25</v>
      </c>
      <c r="I50" s="62"/>
      <c r="K50"/>
      <c r="L50"/>
      <c r="R50" s="68"/>
      <c r="S50" s="68"/>
      <c r="T50" s="68"/>
      <c r="U50" s="68"/>
      <c r="V50" s="68"/>
      <c r="W50" s="68"/>
      <c r="X50" s="68"/>
      <c r="Y50" s="68"/>
      <c r="Z50" s="68"/>
      <c r="AA50" s="68"/>
      <c r="AB50" s="68"/>
      <c r="AC50" s="68"/>
      <c r="AD50" s="68"/>
      <c r="AE50" s="68"/>
      <c r="AF50" s="68"/>
      <c r="AG50" s="68"/>
      <c r="AH50" s="68"/>
      <c r="AI50" s="68"/>
      <c r="AJ50" s="68"/>
      <c r="AK50" s="146" t="s">
        <v>322</v>
      </c>
      <c r="AL50" s="9" t="s">
        <v>847</v>
      </c>
      <c r="AM50" s="9" t="s">
        <v>971</v>
      </c>
      <c r="AN50" s="9" t="s">
        <v>323</v>
      </c>
      <c r="AO50" s="146" t="s">
        <v>72</v>
      </c>
      <c r="AQ50" s="9" t="s">
        <v>558</v>
      </c>
      <c r="AS50" s="9" t="s">
        <v>939</v>
      </c>
    </row>
    <row r="51" spans="1:45" x14ac:dyDescent="0.25">
      <c r="A51" s="9" t="str">
        <f t="shared" si="5"/>
        <v>I-NM-LTH_OIL03</v>
      </c>
      <c r="B51" s="9" t="str">
        <f t="shared" si="6"/>
        <v>IND Non-metallic minerals technology: Low temperature heat using Liquid - Advanced</v>
      </c>
      <c r="C51" s="9" t="s">
        <v>941</v>
      </c>
      <c r="D51" s="9" t="s">
        <v>889</v>
      </c>
      <c r="E51" s="9">
        <v>31.536000000000001</v>
      </c>
      <c r="F51" s="9">
        <v>0.9</v>
      </c>
      <c r="G51" s="9">
        <v>2030</v>
      </c>
      <c r="H51" s="9">
        <v>25</v>
      </c>
      <c r="I51" s="62"/>
      <c r="K51"/>
      <c r="L51"/>
      <c r="R51" s="68"/>
      <c r="S51" s="68"/>
      <c r="T51" s="68"/>
      <c r="U51" s="68"/>
      <c r="V51" s="68"/>
      <c r="W51" s="68"/>
      <c r="X51" s="68"/>
      <c r="Y51" s="68"/>
      <c r="Z51" s="68"/>
      <c r="AA51" s="68"/>
      <c r="AB51" s="68"/>
      <c r="AC51" s="68"/>
      <c r="AD51" s="68"/>
      <c r="AE51" s="68"/>
      <c r="AF51" s="68"/>
      <c r="AG51" s="68"/>
      <c r="AH51" s="68"/>
      <c r="AI51" s="68"/>
      <c r="AJ51" s="68"/>
      <c r="AK51" s="146" t="s">
        <v>322</v>
      </c>
      <c r="AL51" s="9" t="s">
        <v>848</v>
      </c>
      <c r="AM51" s="9" t="s">
        <v>972</v>
      </c>
      <c r="AN51" s="9" t="s">
        <v>323</v>
      </c>
      <c r="AO51" s="146" t="s">
        <v>72</v>
      </c>
      <c r="AQ51" s="9" t="s">
        <v>558</v>
      </c>
      <c r="AS51" s="9" t="s">
        <v>939</v>
      </c>
    </row>
    <row r="52" spans="1:45" x14ac:dyDescent="0.25">
      <c r="A52" s="9" t="str">
        <f t="shared" si="5"/>
        <v>I-NM-LTH_COA03</v>
      </c>
      <c r="B52" s="9" t="str">
        <f t="shared" si="6"/>
        <v>IND Non-metallic minerals technology: Low temperature heat using Solid - Advanced</v>
      </c>
      <c r="C52" s="9" t="s">
        <v>120</v>
      </c>
      <c r="D52" s="9" t="s">
        <v>889</v>
      </c>
      <c r="E52" s="9">
        <v>31.536000000000001</v>
      </c>
      <c r="F52" s="9">
        <v>0.9</v>
      </c>
      <c r="G52" s="9">
        <v>2030</v>
      </c>
      <c r="H52" s="9">
        <v>25</v>
      </c>
      <c r="I52" s="62"/>
      <c r="K52"/>
      <c r="L52"/>
      <c r="R52" s="68"/>
      <c r="S52" s="68"/>
      <c r="T52" s="68"/>
      <c r="U52" s="68"/>
      <c r="V52" s="68"/>
      <c r="W52" s="68"/>
      <c r="X52" s="68"/>
      <c r="Y52" s="68"/>
      <c r="Z52" s="68"/>
      <c r="AA52" s="68"/>
      <c r="AB52" s="68"/>
      <c r="AC52" s="68"/>
      <c r="AD52" s="68"/>
      <c r="AE52" s="68"/>
      <c r="AF52" s="68"/>
      <c r="AG52" s="68"/>
      <c r="AH52" s="68"/>
      <c r="AI52" s="68"/>
      <c r="AJ52" s="68"/>
      <c r="AK52" s="146" t="s">
        <v>322</v>
      </c>
      <c r="AL52" s="9" t="s">
        <v>849</v>
      </c>
      <c r="AM52" s="9" t="s">
        <v>973</v>
      </c>
      <c r="AN52" s="9" t="s">
        <v>323</v>
      </c>
      <c r="AO52" s="146" t="s">
        <v>72</v>
      </c>
      <c r="AQ52" s="9" t="s">
        <v>558</v>
      </c>
      <c r="AS52" s="9" t="s">
        <v>939</v>
      </c>
    </row>
    <row r="53" spans="1:45" x14ac:dyDescent="0.25">
      <c r="A53" s="9" t="str">
        <f t="shared" si="5"/>
        <v>I-NM-LTH_BIO03</v>
      </c>
      <c r="B53" s="9" t="str">
        <f t="shared" si="6"/>
        <v>IND Non-metallic minerals technology: Low temperature heat using Biomass - Advanced</v>
      </c>
      <c r="C53" s="9" t="s">
        <v>954</v>
      </c>
      <c r="D53" s="9" t="s">
        <v>889</v>
      </c>
      <c r="E53" s="9">
        <v>31.536000000000001</v>
      </c>
      <c r="F53" s="9">
        <v>0.9</v>
      </c>
      <c r="G53" s="9">
        <v>2030</v>
      </c>
      <c r="H53" s="9">
        <v>25</v>
      </c>
      <c r="I53" s="62"/>
      <c r="K53"/>
      <c r="L53"/>
      <c r="R53" s="68"/>
      <c r="S53" s="68"/>
      <c r="T53" s="68"/>
      <c r="U53" s="68"/>
      <c r="V53" s="68"/>
      <c r="W53" s="68"/>
      <c r="X53" s="68"/>
      <c r="Y53" s="68"/>
      <c r="Z53" s="68"/>
      <c r="AA53" s="68"/>
      <c r="AB53" s="68"/>
      <c r="AC53" s="68"/>
      <c r="AD53" s="68"/>
      <c r="AE53" s="68"/>
      <c r="AF53" s="68"/>
      <c r="AG53" s="68"/>
      <c r="AH53" s="68"/>
      <c r="AI53" s="68"/>
      <c r="AJ53" s="68"/>
      <c r="AK53" s="146" t="s">
        <v>322</v>
      </c>
      <c r="AL53" s="9" t="s">
        <v>850</v>
      </c>
      <c r="AM53" s="9" t="s">
        <v>974</v>
      </c>
      <c r="AN53" s="9" t="s">
        <v>323</v>
      </c>
      <c r="AO53" s="146" t="s">
        <v>72</v>
      </c>
      <c r="AQ53" s="9" t="s">
        <v>558</v>
      </c>
      <c r="AS53" s="9" t="s">
        <v>939</v>
      </c>
    </row>
    <row r="54" spans="1:45" x14ac:dyDescent="0.25">
      <c r="A54" s="9" t="str">
        <f t="shared" ref="A54:A58" si="7">AL54</f>
        <v>I-NM-LTH_H2G03</v>
      </c>
      <c r="B54" s="9" t="str">
        <f t="shared" ref="B54:B58" si="8">AM54</f>
        <v>IND Non-metallic minerals technology: Low temperature heat using Hydrogen - Advanced</v>
      </c>
      <c r="C54" s="9" t="s">
        <v>141</v>
      </c>
      <c r="D54" s="9" t="s">
        <v>889</v>
      </c>
      <c r="E54" s="9">
        <v>31.536000000000001</v>
      </c>
      <c r="F54" s="9">
        <v>0.9</v>
      </c>
      <c r="G54" s="9">
        <v>2030</v>
      </c>
      <c r="H54" s="9">
        <v>25</v>
      </c>
      <c r="I54" s="62"/>
      <c r="K54"/>
      <c r="L54"/>
      <c r="R54" s="68"/>
      <c r="S54" s="68"/>
      <c r="T54" s="68"/>
      <c r="U54" s="68"/>
      <c r="V54" s="68"/>
      <c r="W54" s="68"/>
      <c r="X54" s="68"/>
      <c r="Y54" s="68"/>
      <c r="Z54" s="68"/>
      <c r="AA54" s="68"/>
      <c r="AB54" s="68"/>
      <c r="AC54" s="68"/>
      <c r="AD54" s="68"/>
      <c r="AE54" s="68"/>
      <c r="AF54" s="68"/>
      <c r="AG54" s="68"/>
      <c r="AH54" s="68"/>
      <c r="AI54" s="68"/>
      <c r="AJ54" s="68"/>
      <c r="AK54" s="146" t="s">
        <v>322</v>
      </c>
      <c r="AL54" s="9" t="s">
        <v>831</v>
      </c>
      <c r="AM54" s="9" t="s">
        <v>975</v>
      </c>
      <c r="AN54" s="9" t="s">
        <v>323</v>
      </c>
      <c r="AO54" s="146" t="s">
        <v>72</v>
      </c>
      <c r="AQ54" s="9" t="s">
        <v>558</v>
      </c>
      <c r="AS54" s="9" t="s">
        <v>939</v>
      </c>
    </row>
    <row r="55" spans="1:45" x14ac:dyDescent="0.25">
      <c r="A55" s="9" t="str">
        <f t="shared" si="7"/>
        <v>I-NM-MDR_ELC01</v>
      </c>
      <c r="B55" s="9" t="str">
        <f t="shared" si="8"/>
        <v>IND Non-metallic minerals technology: Machine drive using Electricity - Ordinary</v>
      </c>
      <c r="C55" s="9" t="s">
        <v>948</v>
      </c>
      <c r="D55" s="9" t="s">
        <v>892</v>
      </c>
      <c r="E55" s="9">
        <v>31.536000000000001</v>
      </c>
      <c r="F55" s="9">
        <v>0.9</v>
      </c>
      <c r="G55" s="9">
        <v>2020</v>
      </c>
      <c r="H55" s="9">
        <v>15</v>
      </c>
      <c r="I55" s="62"/>
      <c r="K55"/>
      <c r="L55"/>
      <c r="R55" s="68"/>
      <c r="S55" s="68"/>
      <c r="T55" s="68"/>
      <c r="U55" s="68"/>
      <c r="V55" s="68"/>
      <c r="W55" s="68"/>
      <c r="X55" s="68"/>
      <c r="Y55" s="68"/>
      <c r="Z55" s="68"/>
      <c r="AA55" s="68"/>
      <c r="AB55" s="68"/>
      <c r="AC55" s="68"/>
      <c r="AD55" s="68"/>
      <c r="AE55" s="68"/>
      <c r="AF55" s="68"/>
      <c r="AG55" s="68"/>
      <c r="AH55" s="68"/>
      <c r="AI55" s="68"/>
      <c r="AJ55" s="68"/>
      <c r="AK55" s="146" t="s">
        <v>322</v>
      </c>
      <c r="AL55" s="9" t="s">
        <v>851</v>
      </c>
      <c r="AM55" s="9" t="s">
        <v>976</v>
      </c>
      <c r="AN55" s="9" t="s">
        <v>323</v>
      </c>
      <c r="AO55" s="146" t="s">
        <v>72</v>
      </c>
      <c r="AQ55" s="9" t="s">
        <v>324</v>
      </c>
      <c r="AS55" s="9" t="s">
        <v>939</v>
      </c>
    </row>
    <row r="56" spans="1:45" x14ac:dyDescent="0.25">
      <c r="A56" s="9" t="str">
        <f t="shared" si="7"/>
        <v>I-NM-MDR_ELC02</v>
      </c>
      <c r="B56" s="9" t="str">
        <f t="shared" si="8"/>
        <v>IND Non-metallic minerals technology: Machine drive using Electricity - Improved</v>
      </c>
      <c r="C56" s="9" t="s">
        <v>948</v>
      </c>
      <c r="D56" s="9" t="s">
        <v>892</v>
      </c>
      <c r="E56" s="9">
        <v>31.536000000000001</v>
      </c>
      <c r="F56" s="9">
        <v>0.9</v>
      </c>
      <c r="G56" s="9">
        <v>2025</v>
      </c>
      <c r="H56" s="9">
        <v>15</v>
      </c>
      <c r="I56" s="62"/>
      <c r="K56"/>
      <c r="L56"/>
      <c r="R56" s="68"/>
      <c r="S56" s="68"/>
      <c r="T56" s="68"/>
      <c r="U56" s="68"/>
      <c r="V56" s="68"/>
      <c r="W56" s="68"/>
      <c r="X56" s="68"/>
      <c r="Y56" s="68"/>
      <c r="Z56" s="68"/>
      <c r="AA56" s="68"/>
      <c r="AB56" s="68"/>
      <c r="AC56" s="68"/>
      <c r="AD56" s="68"/>
      <c r="AE56" s="68"/>
      <c r="AF56" s="68"/>
      <c r="AG56" s="68"/>
      <c r="AH56" s="68"/>
      <c r="AI56" s="68"/>
      <c r="AJ56" s="68"/>
      <c r="AK56" s="146" t="s">
        <v>322</v>
      </c>
      <c r="AL56" s="9" t="s">
        <v>852</v>
      </c>
      <c r="AM56" s="9" t="s">
        <v>977</v>
      </c>
      <c r="AN56" s="9" t="s">
        <v>323</v>
      </c>
      <c r="AO56" s="146" t="s">
        <v>72</v>
      </c>
      <c r="AQ56" s="9" t="s">
        <v>324</v>
      </c>
      <c r="AS56" s="9" t="s">
        <v>939</v>
      </c>
    </row>
    <row r="57" spans="1:45" x14ac:dyDescent="0.25">
      <c r="A57" s="9" t="str">
        <f t="shared" si="7"/>
        <v>I-NM-MDR_ELC03</v>
      </c>
      <c r="B57" s="9" t="str">
        <f t="shared" si="8"/>
        <v>IND Non-metallic minerals technology: Machine drive using Electricity - Advanced</v>
      </c>
      <c r="C57" s="9" t="s">
        <v>948</v>
      </c>
      <c r="D57" s="9" t="s">
        <v>892</v>
      </c>
      <c r="E57" s="9">
        <v>31.536000000000001</v>
      </c>
      <c r="F57" s="9">
        <v>0.9</v>
      </c>
      <c r="G57" s="9">
        <v>2030</v>
      </c>
      <c r="H57" s="9">
        <v>15</v>
      </c>
      <c r="I57" s="62"/>
      <c r="K57"/>
      <c r="L57"/>
      <c r="R57" s="68"/>
      <c r="S57" s="68"/>
      <c r="T57" s="68"/>
      <c r="U57" s="68"/>
      <c r="V57" s="68"/>
      <c r="W57" s="68"/>
      <c r="X57" s="68"/>
      <c r="Y57" s="68"/>
      <c r="Z57" s="68"/>
      <c r="AA57" s="68"/>
      <c r="AB57" s="68"/>
      <c r="AC57" s="68"/>
      <c r="AD57" s="68"/>
      <c r="AE57" s="68"/>
      <c r="AF57" s="68"/>
      <c r="AG57" s="68"/>
      <c r="AH57" s="68"/>
      <c r="AI57" s="68"/>
      <c r="AJ57" s="68"/>
      <c r="AK57" s="146" t="s">
        <v>322</v>
      </c>
      <c r="AL57" s="9" t="s">
        <v>853</v>
      </c>
      <c r="AM57" s="9" t="s">
        <v>978</v>
      </c>
      <c r="AN57" s="9" t="s">
        <v>323</v>
      </c>
      <c r="AO57" s="146" t="s">
        <v>72</v>
      </c>
      <c r="AQ57" s="9" t="s">
        <v>324</v>
      </c>
      <c r="AS57" s="9" t="s">
        <v>939</v>
      </c>
    </row>
    <row r="58" spans="1:45" x14ac:dyDescent="0.25">
      <c r="A58" s="9" t="str">
        <f t="shared" si="7"/>
        <v>I-NM-OTS_ELC01</v>
      </c>
      <c r="B58" s="9" t="str">
        <f t="shared" si="8"/>
        <v>IND Non-metallic minerals technology: Other services using Electricity - Ordinary</v>
      </c>
      <c r="C58" s="9" t="s">
        <v>948</v>
      </c>
      <c r="D58" s="9" t="s">
        <v>894</v>
      </c>
      <c r="E58" s="9">
        <v>31.536000000000001</v>
      </c>
      <c r="F58" s="9">
        <v>0.9</v>
      </c>
      <c r="G58" s="9">
        <v>2020</v>
      </c>
      <c r="H58" s="9">
        <v>20</v>
      </c>
      <c r="I58" s="62"/>
      <c r="K58"/>
      <c r="L58"/>
      <c r="R58" s="68"/>
      <c r="S58" s="68"/>
      <c r="T58" s="68"/>
      <c r="U58" s="68"/>
      <c r="V58" s="68"/>
      <c r="W58" s="68"/>
      <c r="X58" s="68"/>
      <c r="Y58" s="68"/>
      <c r="Z58" s="68"/>
      <c r="AA58" s="68"/>
      <c r="AB58" s="68"/>
      <c r="AC58" s="68"/>
      <c r="AD58" s="68"/>
      <c r="AE58" s="68"/>
      <c r="AF58" s="68"/>
      <c r="AG58" s="68"/>
      <c r="AH58" s="68"/>
      <c r="AI58" s="68"/>
      <c r="AJ58" s="68"/>
      <c r="AK58" s="146" t="s">
        <v>322</v>
      </c>
      <c r="AL58" s="9" t="s">
        <v>854</v>
      </c>
      <c r="AM58" s="9" t="s">
        <v>979</v>
      </c>
      <c r="AN58" s="9" t="s">
        <v>323</v>
      </c>
      <c r="AO58" s="146" t="s">
        <v>72</v>
      </c>
      <c r="AQ58" s="9" t="s">
        <v>324</v>
      </c>
      <c r="AS58" s="9" t="s">
        <v>939</v>
      </c>
    </row>
    <row r="59" spans="1:45" x14ac:dyDescent="0.25">
      <c r="A59" s="9" t="str">
        <f t="shared" ref="A59:A60" si="9">AL59</f>
        <v>I-NM-OTS_ELC02</v>
      </c>
      <c r="B59" s="9" t="str">
        <f t="shared" ref="B59:B60" si="10">AM59</f>
        <v>IND Non-metallic minerals technology: Other services using Electricity - Improved</v>
      </c>
      <c r="C59" s="9" t="s">
        <v>948</v>
      </c>
      <c r="D59" s="9" t="s">
        <v>894</v>
      </c>
      <c r="E59" s="9">
        <v>31.536000000000001</v>
      </c>
      <c r="F59" s="9">
        <v>0.9</v>
      </c>
      <c r="G59" s="9">
        <v>2025</v>
      </c>
      <c r="H59" s="9">
        <v>20</v>
      </c>
      <c r="I59" s="62"/>
      <c r="K59"/>
      <c r="L59"/>
      <c r="R59" s="68"/>
      <c r="S59" s="68"/>
      <c r="T59" s="68"/>
      <c r="U59" s="68"/>
      <c r="V59" s="68"/>
      <c r="W59" s="68"/>
      <c r="X59" s="68"/>
      <c r="Y59" s="68"/>
      <c r="Z59" s="68"/>
      <c r="AA59" s="68"/>
      <c r="AB59" s="68"/>
      <c r="AC59" s="68"/>
      <c r="AD59" s="68"/>
      <c r="AE59" s="68"/>
      <c r="AF59" s="68"/>
      <c r="AG59" s="68"/>
      <c r="AH59" s="68"/>
      <c r="AI59" s="68"/>
      <c r="AJ59" s="68"/>
      <c r="AK59" s="453" t="s">
        <v>322</v>
      </c>
      <c r="AL59" s="452" t="s">
        <v>860</v>
      </c>
      <c r="AM59" s="452" t="s">
        <v>980</v>
      </c>
      <c r="AN59" s="452" t="s">
        <v>323</v>
      </c>
      <c r="AO59" s="453" t="s">
        <v>72</v>
      </c>
      <c r="AQ59" s="452" t="s">
        <v>324</v>
      </c>
      <c r="AR59" s="452"/>
      <c r="AS59" s="452" t="s">
        <v>939</v>
      </c>
    </row>
    <row r="60" spans="1:45" x14ac:dyDescent="0.25">
      <c r="A60" s="9" t="str">
        <f t="shared" si="9"/>
        <v>I-NM-OTS_ELC03</v>
      </c>
      <c r="B60" s="9" t="str">
        <f t="shared" si="10"/>
        <v>IND Non-metallic minerals technology: Other services using Electricity - Advanced</v>
      </c>
      <c r="C60" s="9" t="s">
        <v>948</v>
      </c>
      <c r="D60" s="9" t="s">
        <v>894</v>
      </c>
      <c r="E60" s="9">
        <v>31.536000000000001</v>
      </c>
      <c r="F60" s="9">
        <v>0.9</v>
      </c>
      <c r="G60" s="9">
        <v>2030</v>
      </c>
      <c r="H60" s="9">
        <v>20</v>
      </c>
      <c r="I60" s="62"/>
      <c r="K60"/>
      <c r="L60"/>
      <c r="R60" s="68"/>
      <c r="S60" s="68"/>
      <c r="T60" s="68"/>
      <c r="U60" s="68"/>
      <c r="V60" s="68"/>
      <c r="W60" s="68"/>
      <c r="X60" s="68"/>
      <c r="Y60" s="68"/>
      <c r="Z60" s="68"/>
      <c r="AA60" s="68"/>
      <c r="AB60" s="68"/>
      <c r="AC60" s="68"/>
      <c r="AD60" s="68"/>
      <c r="AE60" s="68"/>
      <c r="AF60" s="68"/>
      <c r="AG60" s="68"/>
      <c r="AH60" s="68"/>
      <c r="AI60" s="68"/>
      <c r="AJ60" s="68"/>
      <c r="AK60" s="453" t="s">
        <v>322</v>
      </c>
      <c r="AL60" s="452" t="s">
        <v>866</v>
      </c>
      <c r="AM60" s="452" t="s">
        <v>981</v>
      </c>
      <c r="AN60" s="452" t="s">
        <v>323</v>
      </c>
      <c r="AO60" s="453" t="s">
        <v>72</v>
      </c>
      <c r="AQ60" s="452" t="s">
        <v>324</v>
      </c>
      <c r="AR60" s="452"/>
      <c r="AS60" s="452" t="s">
        <v>939</v>
      </c>
    </row>
    <row r="61" spans="1:45" x14ac:dyDescent="0.25">
      <c r="G61" s="146"/>
      <c r="I61" s="62"/>
      <c r="K61"/>
      <c r="L61"/>
      <c r="R61" s="68"/>
      <c r="S61" s="68"/>
      <c r="T61" s="68"/>
      <c r="U61" s="68"/>
      <c r="V61" s="68"/>
      <c r="W61" s="68"/>
      <c r="X61" s="68"/>
      <c r="Y61" s="68"/>
      <c r="Z61" s="68"/>
      <c r="AA61" s="68"/>
      <c r="AB61" s="68"/>
      <c r="AC61" s="68"/>
      <c r="AD61" s="68"/>
      <c r="AE61" s="68"/>
      <c r="AF61" s="68"/>
      <c r="AG61" s="68"/>
      <c r="AH61" s="68"/>
      <c r="AI61" s="68"/>
      <c r="AJ61" s="68"/>
      <c r="AK61" s="452"/>
      <c r="AL61" s="452" t="s">
        <v>558</v>
      </c>
      <c r="AM61" s="452" t="s">
        <v>558</v>
      </c>
      <c r="AN61" s="452" t="s">
        <v>558</v>
      </c>
      <c r="AO61" s="452" t="s">
        <v>558</v>
      </c>
      <c r="AP61" s="452" t="s">
        <v>558</v>
      </c>
      <c r="AQ61" s="452"/>
      <c r="AR61" s="452" t="s">
        <v>558</v>
      </c>
    </row>
    <row r="62" spans="1:45" x14ac:dyDescent="0.25">
      <c r="G62" s="146"/>
      <c r="I62" s="62"/>
      <c r="K62"/>
      <c r="L62"/>
      <c r="R62" s="68"/>
      <c r="S62" s="68"/>
      <c r="T62" s="68"/>
      <c r="U62" s="68"/>
      <c r="V62" s="68"/>
      <c r="W62" s="68"/>
      <c r="X62" s="68"/>
      <c r="Y62" s="68"/>
      <c r="Z62" s="68"/>
      <c r="AA62" s="68"/>
      <c r="AB62" s="68"/>
      <c r="AC62" s="68"/>
      <c r="AD62" s="68"/>
      <c r="AE62" s="68"/>
      <c r="AF62" s="68"/>
      <c r="AG62" s="68"/>
      <c r="AH62" s="68"/>
      <c r="AI62" s="68"/>
      <c r="AJ62" s="68"/>
      <c r="AK62" s="452"/>
      <c r="AL62" s="452"/>
      <c r="AM62" s="452"/>
      <c r="AN62" s="452"/>
      <c r="AO62" s="452"/>
      <c r="AP62" s="452"/>
      <c r="AQ62" s="452"/>
      <c r="AR62" s="452"/>
    </row>
    <row r="63" spans="1:45" x14ac:dyDescent="0.25">
      <c r="G63" s="146"/>
      <c r="I63" s="62"/>
      <c r="K63"/>
      <c r="L63"/>
      <c r="R63" s="68"/>
      <c r="S63" s="68"/>
      <c r="T63" s="68"/>
      <c r="U63" s="68"/>
      <c r="V63" s="68"/>
      <c r="W63" s="68"/>
      <c r="X63" s="68"/>
      <c r="Y63" s="68"/>
      <c r="Z63" s="68"/>
      <c r="AA63" s="68"/>
      <c r="AB63" s="68"/>
      <c r="AC63" s="68"/>
      <c r="AD63" s="68"/>
      <c r="AE63" s="68"/>
      <c r="AF63" s="68"/>
      <c r="AG63" s="68"/>
      <c r="AH63" s="68"/>
      <c r="AI63" s="68"/>
      <c r="AJ63" s="68"/>
      <c r="AK63" s="452"/>
      <c r="AL63" s="452"/>
      <c r="AM63" s="452"/>
      <c r="AN63" s="452"/>
      <c r="AO63" s="452"/>
      <c r="AP63" s="452"/>
      <c r="AQ63" s="452"/>
      <c r="AR63" s="452"/>
    </row>
    <row r="64" spans="1:45" ht="15.75" x14ac:dyDescent="0.25">
      <c r="A64" s="463" t="s">
        <v>982</v>
      </c>
      <c r="G64" s="146"/>
      <c r="I64" s="62"/>
      <c r="K64"/>
      <c r="L64"/>
      <c r="R64" s="68"/>
      <c r="S64" s="68"/>
      <c r="T64" s="68"/>
      <c r="U64" s="68"/>
      <c r="V64" s="68"/>
      <c r="W64" s="68"/>
      <c r="X64" s="68"/>
      <c r="Y64" s="68"/>
      <c r="Z64" s="68"/>
      <c r="AA64" s="68"/>
      <c r="AB64" s="68"/>
      <c r="AC64" s="68"/>
      <c r="AD64" s="68"/>
      <c r="AE64" s="68"/>
      <c r="AF64" s="68"/>
      <c r="AG64" s="68"/>
      <c r="AH64" s="68"/>
      <c r="AI64" s="68"/>
      <c r="AJ64" s="68"/>
      <c r="AK64" s="452"/>
      <c r="AL64" s="452"/>
      <c r="AM64" s="452"/>
      <c r="AN64" s="452"/>
      <c r="AO64" s="452"/>
      <c r="AP64" s="452"/>
      <c r="AQ64" s="452"/>
      <c r="AR64" s="452"/>
    </row>
    <row r="65" spans="1:46" x14ac:dyDescent="0.25">
      <c r="G65" s="9"/>
      <c r="I65" s="146"/>
      <c r="K65" s="62"/>
      <c r="M65"/>
      <c r="N65"/>
      <c r="T65" s="68"/>
      <c r="U65" s="68"/>
      <c r="V65" s="68"/>
      <c r="W65" s="68"/>
      <c r="X65" s="68"/>
      <c r="Y65" s="68"/>
      <c r="Z65" s="68"/>
      <c r="AA65" s="68"/>
      <c r="AB65" s="68"/>
      <c r="AC65" s="68"/>
      <c r="AD65" s="68"/>
      <c r="AE65" s="68"/>
      <c r="AF65" s="68"/>
      <c r="AG65" s="68"/>
      <c r="AH65" s="68"/>
      <c r="AI65" s="68"/>
      <c r="AJ65" s="68"/>
      <c r="AK65" s="68"/>
      <c r="AL65" s="68"/>
      <c r="AM65" s="452"/>
      <c r="AN65" s="452"/>
      <c r="AO65" s="452"/>
      <c r="AP65" s="452"/>
      <c r="AQ65" s="452"/>
      <c r="AR65" s="452"/>
      <c r="AS65" s="452"/>
      <c r="AT65" s="452"/>
    </row>
    <row r="66" spans="1:46" x14ac:dyDescent="0.25">
      <c r="A66" s="52" t="s">
        <v>300</v>
      </c>
      <c r="G66" s="9"/>
      <c r="H66"/>
      <c r="M66" s="53"/>
      <c r="N66" s="53"/>
      <c r="O66" s="53"/>
      <c r="P66" s="53"/>
      <c r="Q66" s="53"/>
      <c r="R66" s="53"/>
      <c r="S66" s="53"/>
      <c r="T66" s="53"/>
      <c r="U66" s="53"/>
      <c r="V66" s="53"/>
      <c r="W66" s="53"/>
      <c r="X66" s="53"/>
      <c r="Y66" s="53"/>
      <c r="Z66" s="53"/>
      <c r="AA66" s="53"/>
      <c r="AB66" s="53"/>
      <c r="AC66" s="53"/>
      <c r="AD66" s="53"/>
      <c r="AE66" s="53"/>
      <c r="AF66" s="53"/>
      <c r="AG66" s="9" t="s">
        <v>558</v>
      </c>
      <c r="AH66" s="53"/>
      <c r="AI66" s="53"/>
      <c r="AN66" s="452"/>
      <c r="AO66" s="452"/>
      <c r="AP66" s="452"/>
      <c r="AQ66" s="452"/>
      <c r="AR66" s="452"/>
      <c r="AS66" s="452"/>
      <c r="AT66" s="452"/>
    </row>
    <row r="67" spans="1:46" ht="30.75" thickBot="1" x14ac:dyDescent="0.3">
      <c r="A67" s="54" t="s">
        <v>306</v>
      </c>
      <c r="B67" s="55" t="s">
        <v>545</v>
      </c>
      <c r="C67" s="54" t="s">
        <v>325</v>
      </c>
      <c r="D67" s="54" t="s">
        <v>302</v>
      </c>
      <c r="E67" s="54" t="s">
        <v>326</v>
      </c>
      <c r="F67" s="54" t="s">
        <v>582</v>
      </c>
      <c r="G67" s="54" t="s">
        <v>549</v>
      </c>
      <c r="H67" s="54" t="s">
        <v>162</v>
      </c>
      <c r="I67" s="54" t="s">
        <v>164</v>
      </c>
      <c r="J67" s="54" t="s">
        <v>166</v>
      </c>
      <c r="K67" s="54" t="s">
        <v>168</v>
      </c>
      <c r="L67" s="54" t="s">
        <v>170</v>
      </c>
      <c r="M67" s="54" t="s">
        <v>173</v>
      </c>
      <c r="N67" s="54" t="s">
        <v>175</v>
      </c>
      <c r="O67" s="54" t="s">
        <v>177</v>
      </c>
      <c r="P67" s="54" t="s">
        <v>179</v>
      </c>
      <c r="Q67" s="54" t="s">
        <v>181</v>
      </c>
      <c r="R67" s="54" t="s">
        <v>183</v>
      </c>
      <c r="S67" s="54" t="s">
        <v>185</v>
      </c>
      <c r="T67" s="54" t="s">
        <v>188</v>
      </c>
      <c r="U67" s="54" t="s">
        <v>190</v>
      </c>
      <c r="V67" s="54" t="s">
        <v>192</v>
      </c>
      <c r="W67" s="54" t="s">
        <v>194</v>
      </c>
      <c r="X67" s="54" t="s">
        <v>196</v>
      </c>
      <c r="Y67" s="54" t="s">
        <v>198</v>
      </c>
      <c r="Z67" s="54" t="s">
        <v>9</v>
      </c>
      <c r="AA67" s="54" t="s">
        <v>201</v>
      </c>
      <c r="AB67" s="54" t="s">
        <v>203</v>
      </c>
      <c r="AC67" s="54" t="s">
        <v>205</v>
      </c>
      <c r="AD67" s="54" t="s">
        <v>207</v>
      </c>
      <c r="AE67" s="54" t="s">
        <v>210</v>
      </c>
      <c r="AF67" s="54" t="s">
        <v>212</v>
      </c>
      <c r="AG67" s="54" t="s">
        <v>214</v>
      </c>
      <c r="AH67" s="54" t="s">
        <v>217</v>
      </c>
      <c r="AI67" s="54" t="s">
        <v>219</v>
      </c>
      <c r="AJ67" s="351"/>
      <c r="AK67" s="351"/>
      <c r="AL67" s="351"/>
      <c r="AN67" s="452"/>
      <c r="AO67" s="452"/>
      <c r="AP67" s="452"/>
      <c r="AQ67" s="452"/>
      <c r="AR67" s="452"/>
      <c r="AS67" s="452"/>
      <c r="AT67" s="452"/>
    </row>
    <row r="68" spans="1:46" ht="25.5" x14ac:dyDescent="0.25">
      <c r="A68" s="50" t="s">
        <v>551</v>
      </c>
      <c r="B68" s="50" t="s">
        <v>26</v>
      </c>
      <c r="C68" s="50" t="s">
        <v>328</v>
      </c>
      <c r="D68" s="50" t="s">
        <v>576</v>
      </c>
      <c r="E68" s="50" t="s">
        <v>329</v>
      </c>
      <c r="F68" s="50"/>
      <c r="G68" s="50" t="s">
        <v>556</v>
      </c>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75"/>
      <c r="AK68" s="477" t="s">
        <v>983</v>
      </c>
      <c r="AL68" s="9" t="s">
        <v>984</v>
      </c>
      <c r="AN68" s="452"/>
      <c r="AO68" s="452"/>
      <c r="AP68" s="452"/>
      <c r="AQ68" s="452"/>
      <c r="AR68" s="452"/>
      <c r="AS68" s="452"/>
      <c r="AT68" s="452"/>
    </row>
    <row r="69" spans="1:46" x14ac:dyDescent="0.25">
      <c r="A69" s="9" t="str">
        <f>A11</f>
        <v>I-CM-DRYKILN01</v>
      </c>
      <c r="B69" s="9" t="str">
        <f>B11</f>
        <v>IND Cement technology: Dry kiln</v>
      </c>
      <c r="C69" s="9" t="s">
        <v>128</v>
      </c>
      <c r="E69" s="9" t="s">
        <v>470</v>
      </c>
      <c r="F69" s="9">
        <v>2020</v>
      </c>
      <c r="G69" s="9" t="s">
        <v>449</v>
      </c>
      <c r="H69" s="76">
        <f t="shared" ref="H69:Q73" si="11">$AK69*$AL$69</f>
        <v>0.17030862129692323</v>
      </c>
      <c r="I69" s="76">
        <f t="shared" si="11"/>
        <v>0.17030862129692323</v>
      </c>
      <c r="J69" s="76">
        <f t="shared" si="11"/>
        <v>0.17030862129692323</v>
      </c>
      <c r="K69" s="76">
        <f t="shared" si="11"/>
        <v>0.17030862129692323</v>
      </c>
      <c r="L69" s="76">
        <f t="shared" si="11"/>
        <v>0.17030862129692323</v>
      </c>
      <c r="M69" s="76">
        <f t="shared" si="11"/>
        <v>0.17030862129692323</v>
      </c>
      <c r="N69" s="76">
        <f t="shared" si="11"/>
        <v>0.17030862129692323</v>
      </c>
      <c r="O69" s="76">
        <f t="shared" si="11"/>
        <v>0.17030862129692323</v>
      </c>
      <c r="P69" s="76">
        <f t="shared" si="11"/>
        <v>0.17030862129692323</v>
      </c>
      <c r="Q69" s="76">
        <f t="shared" si="11"/>
        <v>0.17030862129692323</v>
      </c>
      <c r="R69" s="76">
        <f t="shared" ref="R69:AA73" si="12">$AK69*$AL$69</f>
        <v>0.17030862129692323</v>
      </c>
      <c r="S69" s="76">
        <f t="shared" si="12"/>
        <v>0.17030862129692323</v>
      </c>
      <c r="T69" s="76">
        <f t="shared" si="12"/>
        <v>0.17030862129692323</v>
      </c>
      <c r="U69" s="76">
        <f t="shared" si="12"/>
        <v>0.17030862129692323</v>
      </c>
      <c r="V69" s="76">
        <f t="shared" si="12"/>
        <v>0.17030862129692323</v>
      </c>
      <c r="W69" s="76">
        <f t="shared" si="12"/>
        <v>0.17030862129692323</v>
      </c>
      <c r="X69" s="76">
        <f t="shared" si="12"/>
        <v>0.17030862129692323</v>
      </c>
      <c r="Y69" s="76">
        <f t="shared" si="12"/>
        <v>0.17030862129692323</v>
      </c>
      <c r="Z69" s="76">
        <f t="shared" si="12"/>
        <v>0.17030862129692323</v>
      </c>
      <c r="AA69" s="76">
        <f t="shared" si="12"/>
        <v>0.17030862129692323</v>
      </c>
      <c r="AB69" s="76">
        <f t="shared" ref="AB69:AI73" si="13">$AK69*$AL$69</f>
        <v>0.17030862129692323</v>
      </c>
      <c r="AC69" s="76">
        <f t="shared" si="13"/>
        <v>0.17030862129692323</v>
      </c>
      <c r="AD69" s="76">
        <f t="shared" si="13"/>
        <v>0.17030862129692323</v>
      </c>
      <c r="AE69" s="76">
        <f t="shared" si="13"/>
        <v>0.17030862129692323</v>
      </c>
      <c r="AF69" s="76">
        <f t="shared" si="13"/>
        <v>0.17030862129692323</v>
      </c>
      <c r="AG69" s="76">
        <f t="shared" si="13"/>
        <v>0.17030862129692323</v>
      </c>
      <c r="AH69" s="76">
        <f t="shared" si="13"/>
        <v>0.17030862129692323</v>
      </c>
      <c r="AI69" s="76">
        <f t="shared" si="13"/>
        <v>0.17030862129692323</v>
      </c>
      <c r="AJ69" s="76"/>
      <c r="AK69" s="478">
        <v>0.05</v>
      </c>
      <c r="AL69" s="476">
        <f>'Inputs_BY INM'!$AH$56/1000</f>
        <v>3.4061724259384643</v>
      </c>
      <c r="AN69" s="452"/>
      <c r="AO69" s="452"/>
      <c r="AP69" s="452"/>
      <c r="AQ69" s="452"/>
      <c r="AR69" s="452"/>
      <c r="AS69" s="452"/>
      <c r="AT69" s="452"/>
    </row>
    <row r="70" spans="1:46" x14ac:dyDescent="0.25">
      <c r="C70" s="9" t="s">
        <v>120</v>
      </c>
      <c r="E70" s="9" t="s">
        <v>470</v>
      </c>
      <c r="F70" s="9">
        <v>2020</v>
      </c>
      <c r="G70" s="9" t="s">
        <v>449</v>
      </c>
      <c r="H70" s="76">
        <f t="shared" si="11"/>
        <v>2.3843206981569249</v>
      </c>
      <c r="I70" s="76">
        <f t="shared" si="11"/>
        <v>2.3843206981569249</v>
      </c>
      <c r="J70" s="76">
        <f t="shared" si="11"/>
        <v>2.3843206981569249</v>
      </c>
      <c r="K70" s="76">
        <f t="shared" si="11"/>
        <v>2.3843206981569249</v>
      </c>
      <c r="L70" s="76">
        <f t="shared" si="11"/>
        <v>2.3843206981569249</v>
      </c>
      <c r="M70" s="76">
        <f t="shared" si="11"/>
        <v>2.3843206981569249</v>
      </c>
      <c r="N70" s="76">
        <f t="shared" si="11"/>
        <v>2.3843206981569249</v>
      </c>
      <c r="O70" s="76">
        <f t="shared" si="11"/>
        <v>2.3843206981569249</v>
      </c>
      <c r="P70" s="76">
        <f t="shared" si="11"/>
        <v>2.3843206981569249</v>
      </c>
      <c r="Q70" s="76">
        <f t="shared" si="11"/>
        <v>2.3843206981569249</v>
      </c>
      <c r="R70" s="76">
        <f t="shared" si="12"/>
        <v>2.3843206981569249</v>
      </c>
      <c r="S70" s="76">
        <f t="shared" si="12"/>
        <v>2.3843206981569249</v>
      </c>
      <c r="T70" s="76">
        <f t="shared" si="12"/>
        <v>2.3843206981569249</v>
      </c>
      <c r="U70" s="76">
        <f t="shared" si="12"/>
        <v>2.3843206981569249</v>
      </c>
      <c r="V70" s="76">
        <f t="shared" si="12"/>
        <v>2.3843206981569249</v>
      </c>
      <c r="W70" s="76">
        <f t="shared" si="12"/>
        <v>2.3843206981569249</v>
      </c>
      <c r="X70" s="76">
        <f t="shared" si="12"/>
        <v>2.3843206981569249</v>
      </c>
      <c r="Y70" s="76">
        <f t="shared" si="12"/>
        <v>2.3843206981569249</v>
      </c>
      <c r="Z70" s="76">
        <f t="shared" si="12"/>
        <v>2.3843206981569249</v>
      </c>
      <c r="AA70" s="76">
        <f t="shared" si="12"/>
        <v>2.3843206981569249</v>
      </c>
      <c r="AB70" s="76">
        <f t="shared" si="13"/>
        <v>2.3843206981569249</v>
      </c>
      <c r="AC70" s="76">
        <f t="shared" si="13"/>
        <v>2.3843206981569249</v>
      </c>
      <c r="AD70" s="76">
        <f t="shared" si="13"/>
        <v>2.3843206981569249</v>
      </c>
      <c r="AE70" s="76">
        <f t="shared" si="13"/>
        <v>2.3843206981569249</v>
      </c>
      <c r="AF70" s="76">
        <f t="shared" si="13"/>
        <v>2.3843206981569249</v>
      </c>
      <c r="AG70" s="76">
        <f t="shared" si="13"/>
        <v>2.3843206981569249</v>
      </c>
      <c r="AH70" s="76">
        <f t="shared" si="13"/>
        <v>2.3843206981569249</v>
      </c>
      <c r="AI70" s="76">
        <f t="shared" si="13"/>
        <v>2.3843206981569249</v>
      </c>
      <c r="AJ70" s="76"/>
      <c r="AK70" s="478">
        <v>0.7</v>
      </c>
      <c r="AL70" s="452"/>
      <c r="AN70" s="452"/>
      <c r="AO70" s="452"/>
      <c r="AP70" s="452"/>
      <c r="AQ70" s="452"/>
      <c r="AR70" s="452"/>
      <c r="AS70" s="452"/>
      <c r="AT70" s="452"/>
    </row>
    <row r="71" spans="1:46" x14ac:dyDescent="0.25">
      <c r="C71" s="9" t="s">
        <v>117</v>
      </c>
      <c r="E71" s="9" t="s">
        <v>470</v>
      </c>
      <c r="F71" s="9">
        <v>2020</v>
      </c>
      <c r="G71" s="9" t="s">
        <v>449</v>
      </c>
      <c r="H71" s="76">
        <f t="shared" si="11"/>
        <v>0.17030862129692323</v>
      </c>
      <c r="I71" s="76">
        <f t="shared" si="11"/>
        <v>0.17030862129692323</v>
      </c>
      <c r="J71" s="76">
        <f t="shared" si="11"/>
        <v>0.17030862129692323</v>
      </c>
      <c r="K71" s="76">
        <f t="shared" si="11"/>
        <v>0.17030862129692323</v>
      </c>
      <c r="L71" s="76">
        <f t="shared" si="11"/>
        <v>0.17030862129692323</v>
      </c>
      <c r="M71" s="76">
        <f t="shared" si="11"/>
        <v>0.17030862129692323</v>
      </c>
      <c r="N71" s="76">
        <f t="shared" si="11"/>
        <v>0.17030862129692323</v>
      </c>
      <c r="O71" s="76">
        <f t="shared" si="11"/>
        <v>0.17030862129692323</v>
      </c>
      <c r="P71" s="76">
        <f t="shared" si="11"/>
        <v>0.17030862129692323</v>
      </c>
      <c r="Q71" s="76">
        <f t="shared" si="11"/>
        <v>0.17030862129692323</v>
      </c>
      <c r="R71" s="76">
        <f t="shared" si="12"/>
        <v>0.17030862129692323</v>
      </c>
      <c r="S71" s="76">
        <f t="shared" si="12"/>
        <v>0.17030862129692323</v>
      </c>
      <c r="T71" s="76">
        <f t="shared" si="12"/>
        <v>0.17030862129692323</v>
      </c>
      <c r="U71" s="76">
        <f t="shared" si="12"/>
        <v>0.17030862129692323</v>
      </c>
      <c r="V71" s="76">
        <f t="shared" si="12"/>
        <v>0.17030862129692323</v>
      </c>
      <c r="W71" s="76">
        <f t="shared" si="12"/>
        <v>0.17030862129692323</v>
      </c>
      <c r="X71" s="76">
        <f t="shared" si="12"/>
        <v>0.17030862129692323</v>
      </c>
      <c r="Y71" s="76">
        <f t="shared" si="12"/>
        <v>0.17030862129692323</v>
      </c>
      <c r="Z71" s="76">
        <f t="shared" si="12"/>
        <v>0.17030862129692323</v>
      </c>
      <c r="AA71" s="76">
        <f t="shared" si="12"/>
        <v>0.17030862129692323</v>
      </c>
      <c r="AB71" s="76">
        <f t="shared" si="13"/>
        <v>0.17030862129692323</v>
      </c>
      <c r="AC71" s="76">
        <f t="shared" si="13"/>
        <v>0.17030862129692323</v>
      </c>
      <c r="AD71" s="76">
        <f t="shared" si="13"/>
        <v>0.17030862129692323</v>
      </c>
      <c r="AE71" s="76">
        <f t="shared" si="13"/>
        <v>0.17030862129692323</v>
      </c>
      <c r="AF71" s="76">
        <f t="shared" si="13"/>
        <v>0.17030862129692323</v>
      </c>
      <c r="AG71" s="76">
        <f t="shared" si="13"/>
        <v>0.17030862129692323</v>
      </c>
      <c r="AH71" s="76">
        <f t="shared" si="13"/>
        <v>0.17030862129692323</v>
      </c>
      <c r="AI71" s="76">
        <f t="shared" si="13"/>
        <v>0.17030862129692323</v>
      </c>
      <c r="AJ71" s="76"/>
      <c r="AK71" s="478">
        <v>0.05</v>
      </c>
      <c r="AL71" s="452"/>
      <c r="AN71" s="452"/>
      <c r="AO71" s="452"/>
      <c r="AP71" s="452"/>
      <c r="AQ71" s="452"/>
      <c r="AR71" s="452"/>
      <c r="AS71" s="452"/>
      <c r="AT71" s="452"/>
    </row>
    <row r="72" spans="1:46" x14ac:dyDescent="0.25">
      <c r="C72" s="9" t="s">
        <v>134</v>
      </c>
      <c r="E72" s="9" t="s">
        <v>470</v>
      </c>
      <c r="F72" s="9">
        <v>2020</v>
      </c>
      <c r="G72" s="9" t="s">
        <v>449</v>
      </c>
      <c r="H72" s="76">
        <f t="shared" si="11"/>
        <v>0.34061724259384646</v>
      </c>
      <c r="I72" s="76">
        <f t="shared" si="11"/>
        <v>0.34061724259384646</v>
      </c>
      <c r="J72" s="76">
        <f t="shared" si="11"/>
        <v>0.34061724259384646</v>
      </c>
      <c r="K72" s="76">
        <f t="shared" si="11"/>
        <v>0.34061724259384646</v>
      </c>
      <c r="L72" s="76">
        <f t="shared" si="11"/>
        <v>0.34061724259384646</v>
      </c>
      <c r="M72" s="76">
        <f t="shared" si="11"/>
        <v>0.34061724259384646</v>
      </c>
      <c r="N72" s="76">
        <f t="shared" si="11"/>
        <v>0.34061724259384646</v>
      </c>
      <c r="O72" s="76">
        <f t="shared" si="11"/>
        <v>0.34061724259384646</v>
      </c>
      <c r="P72" s="76">
        <f t="shared" si="11"/>
        <v>0.34061724259384646</v>
      </c>
      <c r="Q72" s="76">
        <f t="shared" si="11"/>
        <v>0.34061724259384646</v>
      </c>
      <c r="R72" s="76">
        <f t="shared" si="12"/>
        <v>0.34061724259384646</v>
      </c>
      <c r="S72" s="76">
        <f t="shared" si="12"/>
        <v>0.34061724259384646</v>
      </c>
      <c r="T72" s="76">
        <f t="shared" si="12"/>
        <v>0.34061724259384646</v>
      </c>
      <c r="U72" s="76">
        <f t="shared" si="12"/>
        <v>0.34061724259384646</v>
      </c>
      <c r="V72" s="76">
        <f t="shared" si="12"/>
        <v>0.34061724259384646</v>
      </c>
      <c r="W72" s="76">
        <f t="shared" si="12"/>
        <v>0.34061724259384646</v>
      </c>
      <c r="X72" s="76">
        <f t="shared" si="12"/>
        <v>0.34061724259384646</v>
      </c>
      <c r="Y72" s="76">
        <f t="shared" si="12"/>
        <v>0.34061724259384646</v>
      </c>
      <c r="Z72" s="76">
        <f t="shared" si="12"/>
        <v>0.34061724259384646</v>
      </c>
      <c r="AA72" s="76">
        <f t="shared" si="12"/>
        <v>0.34061724259384646</v>
      </c>
      <c r="AB72" s="76">
        <f t="shared" si="13"/>
        <v>0.34061724259384646</v>
      </c>
      <c r="AC72" s="76">
        <f t="shared" si="13"/>
        <v>0.34061724259384646</v>
      </c>
      <c r="AD72" s="76">
        <f t="shared" si="13"/>
        <v>0.34061724259384646</v>
      </c>
      <c r="AE72" s="76">
        <f t="shared" si="13"/>
        <v>0.34061724259384646</v>
      </c>
      <c r="AF72" s="76">
        <f t="shared" si="13"/>
        <v>0.34061724259384646</v>
      </c>
      <c r="AG72" s="76">
        <f t="shared" si="13"/>
        <v>0.34061724259384646</v>
      </c>
      <c r="AH72" s="76">
        <f t="shared" si="13"/>
        <v>0.34061724259384646</v>
      </c>
      <c r="AI72" s="76">
        <f t="shared" si="13"/>
        <v>0.34061724259384646</v>
      </c>
      <c r="AJ72" s="76"/>
      <c r="AK72" s="478">
        <v>0.1</v>
      </c>
      <c r="AL72" s="452"/>
      <c r="AN72" s="452"/>
      <c r="AO72" s="452"/>
      <c r="AP72" s="452"/>
      <c r="AQ72" s="452"/>
      <c r="AR72" s="452"/>
      <c r="AS72" s="452"/>
      <c r="AT72" s="452"/>
    </row>
    <row r="73" spans="1:46" x14ac:dyDescent="0.25">
      <c r="C73" s="9" t="s">
        <v>126</v>
      </c>
      <c r="E73" s="9" t="s">
        <v>470</v>
      </c>
      <c r="F73" s="9">
        <v>2020</v>
      </c>
      <c r="G73" s="9" t="s">
        <v>449</v>
      </c>
      <c r="H73" s="76">
        <f t="shared" si="11"/>
        <v>0.34061724259384646</v>
      </c>
      <c r="I73" s="76">
        <f t="shared" si="11"/>
        <v>0.34061724259384646</v>
      </c>
      <c r="J73" s="76">
        <f t="shared" si="11"/>
        <v>0.34061724259384646</v>
      </c>
      <c r="K73" s="76">
        <f t="shared" si="11"/>
        <v>0.34061724259384646</v>
      </c>
      <c r="L73" s="76">
        <f t="shared" si="11"/>
        <v>0.34061724259384646</v>
      </c>
      <c r="M73" s="76">
        <f t="shared" si="11"/>
        <v>0.34061724259384646</v>
      </c>
      <c r="N73" s="76">
        <f t="shared" si="11"/>
        <v>0.34061724259384646</v>
      </c>
      <c r="O73" s="76">
        <f t="shared" si="11"/>
        <v>0.34061724259384646</v>
      </c>
      <c r="P73" s="76">
        <f t="shared" si="11"/>
        <v>0.34061724259384646</v>
      </c>
      <c r="Q73" s="76">
        <f t="shared" si="11"/>
        <v>0.34061724259384646</v>
      </c>
      <c r="R73" s="76">
        <f t="shared" si="12"/>
        <v>0.34061724259384646</v>
      </c>
      <c r="S73" s="76">
        <f t="shared" si="12"/>
        <v>0.34061724259384646</v>
      </c>
      <c r="T73" s="76">
        <f t="shared" si="12"/>
        <v>0.34061724259384646</v>
      </c>
      <c r="U73" s="76">
        <f t="shared" si="12"/>
        <v>0.34061724259384646</v>
      </c>
      <c r="V73" s="76">
        <f t="shared" si="12"/>
        <v>0.34061724259384646</v>
      </c>
      <c r="W73" s="76">
        <f t="shared" si="12"/>
        <v>0.34061724259384646</v>
      </c>
      <c r="X73" s="76">
        <f t="shared" si="12"/>
        <v>0.34061724259384646</v>
      </c>
      <c r="Y73" s="76">
        <f t="shared" si="12"/>
        <v>0.34061724259384646</v>
      </c>
      <c r="Z73" s="76">
        <f t="shared" si="12"/>
        <v>0.34061724259384646</v>
      </c>
      <c r="AA73" s="76">
        <f t="shared" si="12"/>
        <v>0.34061724259384646</v>
      </c>
      <c r="AB73" s="76">
        <f t="shared" si="13"/>
        <v>0.34061724259384646</v>
      </c>
      <c r="AC73" s="76">
        <f t="shared" si="13"/>
        <v>0.34061724259384646</v>
      </c>
      <c r="AD73" s="76">
        <f t="shared" si="13"/>
        <v>0.34061724259384646</v>
      </c>
      <c r="AE73" s="76">
        <f t="shared" si="13"/>
        <v>0.34061724259384646</v>
      </c>
      <c r="AF73" s="76">
        <f t="shared" si="13"/>
        <v>0.34061724259384646</v>
      </c>
      <c r="AG73" s="76">
        <f t="shared" si="13"/>
        <v>0.34061724259384646</v>
      </c>
      <c r="AH73" s="76">
        <f t="shared" si="13"/>
        <v>0.34061724259384646</v>
      </c>
      <c r="AI73" s="76">
        <f t="shared" si="13"/>
        <v>0.34061724259384646</v>
      </c>
      <c r="AJ73" s="76"/>
      <c r="AK73" s="478">
        <v>0.1</v>
      </c>
      <c r="AL73" s="452"/>
      <c r="AN73" s="452"/>
      <c r="AO73" s="452"/>
      <c r="AP73" s="452"/>
      <c r="AQ73" s="452"/>
      <c r="AR73" s="452"/>
      <c r="AS73" s="452"/>
      <c r="AT73" s="452"/>
    </row>
    <row r="74" spans="1:46" x14ac:dyDescent="0.25">
      <c r="D74" s="1" t="s">
        <v>159</v>
      </c>
      <c r="E74" s="9" t="s">
        <v>472</v>
      </c>
      <c r="G74" t="s">
        <v>1628</v>
      </c>
      <c r="H74" s="76">
        <f>$AL74*1000</f>
        <v>520</v>
      </c>
      <c r="I74" s="76">
        <f t="shared" ref="I74:AI74" si="14">$AL74*1000</f>
        <v>520</v>
      </c>
      <c r="J74" s="76">
        <f t="shared" si="14"/>
        <v>520</v>
      </c>
      <c r="K74" s="76">
        <f t="shared" si="14"/>
        <v>520</v>
      </c>
      <c r="L74" s="76">
        <f t="shared" si="14"/>
        <v>520</v>
      </c>
      <c r="M74" s="76">
        <f t="shared" si="14"/>
        <v>520</v>
      </c>
      <c r="N74" s="76">
        <f t="shared" si="14"/>
        <v>520</v>
      </c>
      <c r="O74" s="76">
        <f t="shared" si="14"/>
        <v>520</v>
      </c>
      <c r="P74" s="76">
        <f t="shared" si="14"/>
        <v>520</v>
      </c>
      <c r="Q74" s="76">
        <f t="shared" si="14"/>
        <v>520</v>
      </c>
      <c r="R74" s="76">
        <f t="shared" si="14"/>
        <v>520</v>
      </c>
      <c r="S74" s="76">
        <f t="shared" si="14"/>
        <v>520</v>
      </c>
      <c r="T74" s="76">
        <f t="shared" si="14"/>
        <v>520</v>
      </c>
      <c r="U74" s="76">
        <f t="shared" si="14"/>
        <v>520</v>
      </c>
      <c r="V74" s="76">
        <f t="shared" si="14"/>
        <v>520</v>
      </c>
      <c r="W74" s="76">
        <f t="shared" si="14"/>
        <v>520</v>
      </c>
      <c r="X74" s="76">
        <f t="shared" si="14"/>
        <v>520</v>
      </c>
      <c r="Y74" s="76">
        <f t="shared" si="14"/>
        <v>520</v>
      </c>
      <c r="Z74" s="76">
        <f t="shared" si="14"/>
        <v>520</v>
      </c>
      <c r="AA74" s="76">
        <f t="shared" si="14"/>
        <v>520</v>
      </c>
      <c r="AB74" s="76">
        <f t="shared" si="14"/>
        <v>520</v>
      </c>
      <c r="AC74" s="76">
        <f t="shared" si="14"/>
        <v>520</v>
      </c>
      <c r="AD74" s="76">
        <f t="shared" si="14"/>
        <v>520</v>
      </c>
      <c r="AE74" s="76">
        <f t="shared" si="14"/>
        <v>520</v>
      </c>
      <c r="AF74" s="76">
        <f t="shared" si="14"/>
        <v>520</v>
      </c>
      <c r="AG74" s="76">
        <f t="shared" si="14"/>
        <v>520</v>
      </c>
      <c r="AH74" s="76">
        <f t="shared" si="14"/>
        <v>520</v>
      </c>
      <c r="AI74" s="76">
        <f t="shared" si="14"/>
        <v>520</v>
      </c>
      <c r="AJ74" s="76"/>
      <c r="AL74" s="145">
        <f>'Inputs_BY INM'!$A$31/1000</f>
        <v>0.52</v>
      </c>
      <c r="AN74" s="452"/>
      <c r="AO74" s="452"/>
      <c r="AP74" s="452"/>
      <c r="AQ74" s="452"/>
      <c r="AR74" s="452"/>
      <c r="AS74" s="452"/>
      <c r="AT74" s="452"/>
    </row>
    <row r="75" spans="1:46" x14ac:dyDescent="0.25">
      <c r="A75" s="9" t="str">
        <f>A12</f>
        <v>I-CM-DRYKILN-PH-PC01</v>
      </c>
      <c r="B75" s="9" t="str">
        <f>B12</f>
        <v>IND Cement technology: Dry kiln - Pre-heater &amp; pre-calciner</v>
      </c>
      <c r="C75" s="9" t="s">
        <v>128</v>
      </c>
      <c r="E75" s="9" t="s">
        <v>470</v>
      </c>
      <c r="F75" s="9">
        <v>2020</v>
      </c>
      <c r="G75" s="9" t="s">
        <v>449</v>
      </c>
      <c r="H75" s="76">
        <f>$AK75*$AL$75</f>
        <v>0.15327775916723091</v>
      </c>
      <c r="I75" s="76">
        <f t="shared" ref="I75:AI79" si="15">$AK75*$AL$75</f>
        <v>0.15327775916723091</v>
      </c>
      <c r="J75" s="76">
        <f t="shared" si="15"/>
        <v>0.15327775916723091</v>
      </c>
      <c r="K75" s="76">
        <f t="shared" si="15"/>
        <v>0.15327775916723091</v>
      </c>
      <c r="L75" s="76">
        <f t="shared" si="15"/>
        <v>0.15327775916723091</v>
      </c>
      <c r="M75" s="76">
        <f t="shared" si="15"/>
        <v>0.15327775916723091</v>
      </c>
      <c r="N75" s="76">
        <f t="shared" si="15"/>
        <v>0.15327775916723091</v>
      </c>
      <c r="O75" s="76">
        <f t="shared" si="15"/>
        <v>0.15327775916723091</v>
      </c>
      <c r="P75" s="76">
        <f t="shared" si="15"/>
        <v>0.15327775916723091</v>
      </c>
      <c r="Q75" s="76">
        <f t="shared" si="15"/>
        <v>0.15327775916723091</v>
      </c>
      <c r="R75" s="76">
        <f t="shared" si="15"/>
        <v>0.15327775916723091</v>
      </c>
      <c r="S75" s="76">
        <f t="shared" si="15"/>
        <v>0.15327775916723091</v>
      </c>
      <c r="T75" s="76">
        <f t="shared" si="15"/>
        <v>0.15327775916723091</v>
      </c>
      <c r="U75" s="76">
        <f t="shared" si="15"/>
        <v>0.15327775916723091</v>
      </c>
      <c r="V75" s="76">
        <f t="shared" si="15"/>
        <v>0.15327775916723091</v>
      </c>
      <c r="W75" s="76">
        <f t="shared" si="15"/>
        <v>0.15327775916723091</v>
      </c>
      <c r="X75" s="76">
        <f t="shared" si="15"/>
        <v>0.15327775916723091</v>
      </c>
      <c r="Y75" s="76">
        <f t="shared" si="15"/>
        <v>0.15327775916723091</v>
      </c>
      <c r="Z75" s="76">
        <f t="shared" si="15"/>
        <v>0.15327775916723091</v>
      </c>
      <c r="AA75" s="76">
        <f t="shared" si="15"/>
        <v>0.15327775916723091</v>
      </c>
      <c r="AB75" s="76">
        <f t="shared" si="15"/>
        <v>0.15327775916723091</v>
      </c>
      <c r="AC75" s="76">
        <f t="shared" si="15"/>
        <v>0.15327775916723091</v>
      </c>
      <c r="AD75" s="76">
        <f t="shared" si="15"/>
        <v>0.15327775916723091</v>
      </c>
      <c r="AE75" s="76">
        <f t="shared" si="15"/>
        <v>0.15327775916723091</v>
      </c>
      <c r="AF75" s="76">
        <f t="shared" si="15"/>
        <v>0.15327775916723091</v>
      </c>
      <c r="AG75" s="76">
        <f t="shared" si="15"/>
        <v>0.15327775916723091</v>
      </c>
      <c r="AH75" s="76">
        <f t="shared" si="15"/>
        <v>0.15327775916723091</v>
      </c>
      <c r="AI75" s="76">
        <f t="shared" si="15"/>
        <v>0.15327775916723091</v>
      </c>
      <c r="AJ75" s="68"/>
      <c r="AK75" s="478">
        <f>AK69</f>
        <v>0.05</v>
      </c>
      <c r="AL75" s="145">
        <f>AL69*0.9</f>
        <v>3.065555183344618</v>
      </c>
      <c r="AM75" s="452"/>
      <c r="AN75" s="452"/>
      <c r="AO75" s="452"/>
      <c r="AP75" s="452"/>
      <c r="AQ75" s="452"/>
      <c r="AR75" s="452"/>
      <c r="AS75" s="452"/>
      <c r="AT75" s="452"/>
    </row>
    <row r="76" spans="1:46" x14ac:dyDescent="0.25">
      <c r="C76" s="9" t="s">
        <v>120</v>
      </c>
      <c r="E76" s="9" t="s">
        <v>470</v>
      </c>
      <c r="F76" s="9">
        <v>2020</v>
      </c>
      <c r="G76" s="9" t="s">
        <v>449</v>
      </c>
      <c r="H76" s="76">
        <f>$AK76*$AL$75</f>
        <v>2.1458886283412326</v>
      </c>
      <c r="I76" s="76">
        <f t="shared" ref="I76:W76" si="16">$AK76*$AL$75</f>
        <v>2.1458886283412326</v>
      </c>
      <c r="J76" s="76">
        <f t="shared" si="16"/>
        <v>2.1458886283412326</v>
      </c>
      <c r="K76" s="76">
        <f t="shared" si="16"/>
        <v>2.1458886283412326</v>
      </c>
      <c r="L76" s="76">
        <f t="shared" si="16"/>
        <v>2.1458886283412326</v>
      </c>
      <c r="M76" s="76">
        <f t="shared" si="16"/>
        <v>2.1458886283412326</v>
      </c>
      <c r="N76" s="76">
        <f t="shared" si="16"/>
        <v>2.1458886283412326</v>
      </c>
      <c r="O76" s="76">
        <f t="shared" si="16"/>
        <v>2.1458886283412326</v>
      </c>
      <c r="P76" s="76">
        <f t="shared" si="16"/>
        <v>2.1458886283412326</v>
      </c>
      <c r="Q76" s="76">
        <f t="shared" si="16"/>
        <v>2.1458886283412326</v>
      </c>
      <c r="R76" s="76">
        <f t="shared" si="16"/>
        <v>2.1458886283412326</v>
      </c>
      <c r="S76" s="76">
        <f t="shared" si="16"/>
        <v>2.1458886283412326</v>
      </c>
      <c r="T76" s="76">
        <f t="shared" si="16"/>
        <v>2.1458886283412326</v>
      </c>
      <c r="U76" s="76">
        <f t="shared" si="16"/>
        <v>2.1458886283412326</v>
      </c>
      <c r="V76" s="76">
        <f t="shared" si="16"/>
        <v>2.1458886283412326</v>
      </c>
      <c r="W76" s="76">
        <f t="shared" si="16"/>
        <v>2.1458886283412326</v>
      </c>
      <c r="X76" s="76">
        <f t="shared" si="15"/>
        <v>2.1458886283412326</v>
      </c>
      <c r="Y76" s="76">
        <f t="shared" si="15"/>
        <v>2.1458886283412326</v>
      </c>
      <c r="Z76" s="76">
        <f t="shared" si="15"/>
        <v>2.1458886283412326</v>
      </c>
      <c r="AA76" s="76">
        <f t="shared" si="15"/>
        <v>2.1458886283412326</v>
      </c>
      <c r="AB76" s="76">
        <f t="shared" si="15"/>
        <v>2.1458886283412326</v>
      </c>
      <c r="AC76" s="76">
        <f t="shared" si="15"/>
        <v>2.1458886283412326</v>
      </c>
      <c r="AD76" s="76">
        <f t="shared" si="15"/>
        <v>2.1458886283412326</v>
      </c>
      <c r="AE76" s="76">
        <f t="shared" si="15"/>
        <v>2.1458886283412326</v>
      </c>
      <c r="AF76" s="76">
        <f t="shared" si="15"/>
        <v>2.1458886283412326</v>
      </c>
      <c r="AG76" s="76">
        <f t="shared" si="15"/>
        <v>2.1458886283412326</v>
      </c>
      <c r="AH76" s="76">
        <f t="shared" si="15"/>
        <v>2.1458886283412326</v>
      </c>
      <c r="AI76" s="76">
        <f t="shared" si="15"/>
        <v>2.1458886283412326</v>
      </c>
      <c r="AJ76" s="68"/>
      <c r="AK76" s="478">
        <f t="shared" ref="AK76:AK79" si="17">AK70</f>
        <v>0.7</v>
      </c>
      <c r="AL76" s="68"/>
      <c r="AM76" s="452"/>
      <c r="AN76" s="452"/>
      <c r="AO76" s="452"/>
      <c r="AP76" s="452"/>
      <c r="AQ76" s="452"/>
      <c r="AR76" s="452"/>
      <c r="AS76" s="452"/>
      <c r="AT76" s="452"/>
    </row>
    <row r="77" spans="1:46" x14ac:dyDescent="0.25">
      <c r="C77" s="9" t="s">
        <v>117</v>
      </c>
      <c r="E77" s="9" t="s">
        <v>470</v>
      </c>
      <c r="F77" s="9">
        <v>2020</v>
      </c>
      <c r="G77" s="9" t="s">
        <v>449</v>
      </c>
      <c r="H77" s="76">
        <f>$AK77*$AL$75</f>
        <v>0.15327775916723091</v>
      </c>
      <c r="I77" s="76">
        <f t="shared" si="15"/>
        <v>0.15327775916723091</v>
      </c>
      <c r="J77" s="76">
        <f t="shared" si="15"/>
        <v>0.15327775916723091</v>
      </c>
      <c r="K77" s="76">
        <f t="shared" si="15"/>
        <v>0.15327775916723091</v>
      </c>
      <c r="L77" s="76">
        <f t="shared" si="15"/>
        <v>0.15327775916723091</v>
      </c>
      <c r="M77" s="76">
        <f t="shared" si="15"/>
        <v>0.15327775916723091</v>
      </c>
      <c r="N77" s="76">
        <f t="shared" si="15"/>
        <v>0.15327775916723091</v>
      </c>
      <c r="O77" s="76">
        <f t="shared" si="15"/>
        <v>0.15327775916723091</v>
      </c>
      <c r="P77" s="76">
        <f t="shared" si="15"/>
        <v>0.15327775916723091</v>
      </c>
      <c r="Q77" s="76">
        <f t="shared" si="15"/>
        <v>0.15327775916723091</v>
      </c>
      <c r="R77" s="76">
        <f t="shared" si="15"/>
        <v>0.15327775916723091</v>
      </c>
      <c r="S77" s="76">
        <f t="shared" si="15"/>
        <v>0.15327775916723091</v>
      </c>
      <c r="T77" s="76">
        <f t="shared" si="15"/>
        <v>0.15327775916723091</v>
      </c>
      <c r="U77" s="76">
        <f t="shared" si="15"/>
        <v>0.15327775916723091</v>
      </c>
      <c r="V77" s="76">
        <f t="shared" si="15"/>
        <v>0.15327775916723091</v>
      </c>
      <c r="W77" s="76">
        <f t="shared" si="15"/>
        <v>0.15327775916723091</v>
      </c>
      <c r="X77" s="76">
        <f t="shared" si="15"/>
        <v>0.15327775916723091</v>
      </c>
      <c r="Y77" s="76">
        <f t="shared" si="15"/>
        <v>0.15327775916723091</v>
      </c>
      <c r="Z77" s="76">
        <f t="shared" si="15"/>
        <v>0.15327775916723091</v>
      </c>
      <c r="AA77" s="76">
        <f t="shared" si="15"/>
        <v>0.15327775916723091</v>
      </c>
      <c r="AB77" s="76">
        <f t="shared" si="15"/>
        <v>0.15327775916723091</v>
      </c>
      <c r="AC77" s="76">
        <f t="shared" si="15"/>
        <v>0.15327775916723091</v>
      </c>
      <c r="AD77" s="76">
        <f t="shared" si="15"/>
        <v>0.15327775916723091</v>
      </c>
      <c r="AE77" s="76">
        <f t="shared" si="15"/>
        <v>0.15327775916723091</v>
      </c>
      <c r="AF77" s="76">
        <f t="shared" si="15"/>
        <v>0.15327775916723091</v>
      </c>
      <c r="AG77" s="76">
        <f t="shared" si="15"/>
        <v>0.15327775916723091</v>
      </c>
      <c r="AH77" s="76">
        <f t="shared" si="15"/>
        <v>0.15327775916723091</v>
      </c>
      <c r="AI77" s="76">
        <f t="shared" si="15"/>
        <v>0.15327775916723091</v>
      </c>
      <c r="AJ77" s="68"/>
      <c r="AK77" s="478">
        <f t="shared" si="17"/>
        <v>0.05</v>
      </c>
      <c r="AL77" s="68"/>
      <c r="AM77" s="452"/>
      <c r="AN77" s="452"/>
      <c r="AO77" s="452"/>
      <c r="AP77" s="452"/>
      <c r="AQ77" s="452"/>
      <c r="AR77" s="452"/>
      <c r="AS77" s="452"/>
      <c r="AT77" s="452"/>
    </row>
    <row r="78" spans="1:46" x14ac:dyDescent="0.25">
      <c r="C78" s="9" t="s">
        <v>134</v>
      </c>
      <c r="E78" s="9" t="s">
        <v>470</v>
      </c>
      <c r="F78" s="9">
        <v>2020</v>
      </c>
      <c r="G78" s="9" t="s">
        <v>449</v>
      </c>
      <c r="H78" s="76">
        <f>$AK78*$AL$75</f>
        <v>0.30655551833446182</v>
      </c>
      <c r="I78" s="76">
        <f t="shared" si="15"/>
        <v>0.30655551833446182</v>
      </c>
      <c r="J78" s="76">
        <f t="shared" si="15"/>
        <v>0.30655551833446182</v>
      </c>
      <c r="K78" s="76">
        <f t="shared" si="15"/>
        <v>0.30655551833446182</v>
      </c>
      <c r="L78" s="76">
        <f t="shared" si="15"/>
        <v>0.30655551833446182</v>
      </c>
      <c r="M78" s="76">
        <f t="shared" si="15"/>
        <v>0.30655551833446182</v>
      </c>
      <c r="N78" s="76">
        <f t="shared" si="15"/>
        <v>0.30655551833446182</v>
      </c>
      <c r="O78" s="76">
        <f t="shared" si="15"/>
        <v>0.30655551833446182</v>
      </c>
      <c r="P78" s="76">
        <f t="shared" si="15"/>
        <v>0.30655551833446182</v>
      </c>
      <c r="Q78" s="76">
        <f t="shared" si="15"/>
        <v>0.30655551833446182</v>
      </c>
      <c r="R78" s="76">
        <f t="shared" si="15"/>
        <v>0.30655551833446182</v>
      </c>
      <c r="S78" s="76">
        <f t="shared" si="15"/>
        <v>0.30655551833446182</v>
      </c>
      <c r="T78" s="76">
        <f t="shared" si="15"/>
        <v>0.30655551833446182</v>
      </c>
      <c r="U78" s="76">
        <f t="shared" si="15"/>
        <v>0.30655551833446182</v>
      </c>
      <c r="V78" s="76">
        <f t="shared" si="15"/>
        <v>0.30655551833446182</v>
      </c>
      <c r="W78" s="76">
        <f t="shared" si="15"/>
        <v>0.30655551833446182</v>
      </c>
      <c r="X78" s="76">
        <f t="shared" si="15"/>
        <v>0.30655551833446182</v>
      </c>
      <c r="Y78" s="76">
        <f t="shared" si="15"/>
        <v>0.30655551833446182</v>
      </c>
      <c r="Z78" s="76">
        <f t="shared" si="15"/>
        <v>0.30655551833446182</v>
      </c>
      <c r="AA78" s="76">
        <f t="shared" si="15"/>
        <v>0.30655551833446182</v>
      </c>
      <c r="AB78" s="76">
        <f t="shared" si="15"/>
        <v>0.30655551833446182</v>
      </c>
      <c r="AC78" s="76">
        <f t="shared" si="15"/>
        <v>0.30655551833446182</v>
      </c>
      <c r="AD78" s="76">
        <f t="shared" si="15"/>
        <v>0.30655551833446182</v>
      </c>
      <c r="AE78" s="76">
        <f t="shared" si="15"/>
        <v>0.30655551833446182</v>
      </c>
      <c r="AF78" s="76">
        <f t="shared" si="15"/>
        <v>0.30655551833446182</v>
      </c>
      <c r="AG78" s="76">
        <f t="shared" si="15"/>
        <v>0.30655551833446182</v>
      </c>
      <c r="AH78" s="76">
        <f t="shared" si="15"/>
        <v>0.30655551833446182</v>
      </c>
      <c r="AI78" s="76">
        <f t="shared" si="15"/>
        <v>0.30655551833446182</v>
      </c>
      <c r="AJ78" s="68"/>
      <c r="AK78" s="478">
        <f t="shared" si="17"/>
        <v>0.1</v>
      </c>
      <c r="AL78" s="68"/>
      <c r="AM78" s="452"/>
      <c r="AN78" s="452"/>
      <c r="AO78" s="452"/>
      <c r="AP78" s="452"/>
      <c r="AQ78" s="452"/>
      <c r="AR78" s="452"/>
      <c r="AS78" s="452"/>
      <c r="AT78" s="452"/>
    </row>
    <row r="79" spans="1:46" x14ac:dyDescent="0.25">
      <c r="C79" s="9" t="s">
        <v>126</v>
      </c>
      <c r="E79" s="9" t="s">
        <v>470</v>
      </c>
      <c r="F79" s="9">
        <v>2020</v>
      </c>
      <c r="G79" s="9" t="s">
        <v>449</v>
      </c>
      <c r="H79" s="76">
        <f>$AK79*$AL$75</f>
        <v>0.30655551833446182</v>
      </c>
      <c r="I79" s="76">
        <f t="shared" si="15"/>
        <v>0.30655551833446182</v>
      </c>
      <c r="J79" s="76">
        <f t="shared" si="15"/>
        <v>0.30655551833446182</v>
      </c>
      <c r="K79" s="76">
        <f t="shared" si="15"/>
        <v>0.30655551833446182</v>
      </c>
      <c r="L79" s="76">
        <f t="shared" si="15"/>
        <v>0.30655551833446182</v>
      </c>
      <c r="M79" s="76">
        <f t="shared" si="15"/>
        <v>0.30655551833446182</v>
      </c>
      <c r="N79" s="76">
        <f t="shared" si="15"/>
        <v>0.30655551833446182</v>
      </c>
      <c r="O79" s="76">
        <f t="shared" si="15"/>
        <v>0.30655551833446182</v>
      </c>
      <c r="P79" s="76">
        <f t="shared" si="15"/>
        <v>0.30655551833446182</v>
      </c>
      <c r="Q79" s="76">
        <f t="shared" si="15"/>
        <v>0.30655551833446182</v>
      </c>
      <c r="R79" s="76">
        <f t="shared" si="15"/>
        <v>0.30655551833446182</v>
      </c>
      <c r="S79" s="76">
        <f t="shared" si="15"/>
        <v>0.30655551833446182</v>
      </c>
      <c r="T79" s="76">
        <f t="shared" si="15"/>
        <v>0.30655551833446182</v>
      </c>
      <c r="U79" s="76">
        <f t="shared" si="15"/>
        <v>0.30655551833446182</v>
      </c>
      <c r="V79" s="76">
        <f t="shared" si="15"/>
        <v>0.30655551833446182</v>
      </c>
      <c r="W79" s="76">
        <f t="shared" si="15"/>
        <v>0.30655551833446182</v>
      </c>
      <c r="X79" s="76">
        <f t="shared" si="15"/>
        <v>0.30655551833446182</v>
      </c>
      <c r="Y79" s="76">
        <f t="shared" si="15"/>
        <v>0.30655551833446182</v>
      </c>
      <c r="Z79" s="76">
        <f t="shared" si="15"/>
        <v>0.30655551833446182</v>
      </c>
      <c r="AA79" s="76">
        <f t="shared" si="15"/>
        <v>0.30655551833446182</v>
      </c>
      <c r="AB79" s="76">
        <f t="shared" si="15"/>
        <v>0.30655551833446182</v>
      </c>
      <c r="AC79" s="76">
        <f t="shared" si="15"/>
        <v>0.30655551833446182</v>
      </c>
      <c r="AD79" s="76">
        <f t="shared" si="15"/>
        <v>0.30655551833446182</v>
      </c>
      <c r="AE79" s="76">
        <f t="shared" si="15"/>
        <v>0.30655551833446182</v>
      </c>
      <c r="AF79" s="76">
        <f t="shared" si="15"/>
        <v>0.30655551833446182</v>
      </c>
      <c r="AG79" s="76">
        <f t="shared" si="15"/>
        <v>0.30655551833446182</v>
      </c>
      <c r="AH79" s="76">
        <f t="shared" si="15"/>
        <v>0.30655551833446182</v>
      </c>
      <c r="AI79" s="76">
        <f t="shared" si="15"/>
        <v>0.30655551833446182</v>
      </c>
      <c r="AJ79" s="68"/>
      <c r="AK79" s="478">
        <f t="shared" si="17"/>
        <v>0.1</v>
      </c>
      <c r="AL79" s="68"/>
      <c r="AM79" s="452"/>
      <c r="AN79" s="452"/>
      <c r="AO79" s="452"/>
      <c r="AP79" s="452"/>
      <c r="AQ79" s="452"/>
      <c r="AR79" s="452"/>
      <c r="AS79" s="452"/>
      <c r="AT79" s="452"/>
    </row>
    <row r="80" spans="1:46" x14ac:dyDescent="0.25">
      <c r="D80" s="1" t="s">
        <v>159</v>
      </c>
      <c r="E80" s="9" t="s">
        <v>472</v>
      </c>
      <c r="G80" t="s">
        <v>1628</v>
      </c>
      <c r="H80" s="76">
        <f>$AL80*1000</f>
        <v>520</v>
      </c>
      <c r="I80" s="76">
        <f t="shared" ref="I80:AI80" si="18">$AL80*1000</f>
        <v>520</v>
      </c>
      <c r="J80" s="76">
        <f t="shared" si="18"/>
        <v>520</v>
      </c>
      <c r="K80" s="76">
        <f t="shared" si="18"/>
        <v>520</v>
      </c>
      <c r="L80" s="76">
        <f t="shared" si="18"/>
        <v>520</v>
      </c>
      <c r="M80" s="76">
        <f t="shared" si="18"/>
        <v>520</v>
      </c>
      <c r="N80" s="76">
        <f t="shared" si="18"/>
        <v>520</v>
      </c>
      <c r="O80" s="76">
        <f t="shared" si="18"/>
        <v>520</v>
      </c>
      <c r="P80" s="76">
        <f t="shared" si="18"/>
        <v>520</v>
      </c>
      <c r="Q80" s="76">
        <f t="shared" si="18"/>
        <v>520</v>
      </c>
      <c r="R80" s="76">
        <f t="shared" si="18"/>
        <v>520</v>
      </c>
      <c r="S80" s="76">
        <f t="shared" si="18"/>
        <v>520</v>
      </c>
      <c r="T80" s="76">
        <f t="shared" si="18"/>
        <v>520</v>
      </c>
      <c r="U80" s="76">
        <f t="shared" si="18"/>
        <v>520</v>
      </c>
      <c r="V80" s="76">
        <f t="shared" si="18"/>
        <v>520</v>
      </c>
      <c r="W80" s="76">
        <f t="shared" si="18"/>
        <v>520</v>
      </c>
      <c r="X80" s="76">
        <f t="shared" si="18"/>
        <v>520</v>
      </c>
      <c r="Y80" s="76">
        <f t="shared" si="18"/>
        <v>520</v>
      </c>
      <c r="Z80" s="76">
        <f t="shared" si="18"/>
        <v>520</v>
      </c>
      <c r="AA80" s="76">
        <f t="shared" si="18"/>
        <v>520</v>
      </c>
      <c r="AB80" s="76">
        <f t="shared" si="18"/>
        <v>520</v>
      </c>
      <c r="AC80" s="76">
        <f t="shared" si="18"/>
        <v>520</v>
      </c>
      <c r="AD80" s="76">
        <f t="shared" si="18"/>
        <v>520</v>
      </c>
      <c r="AE80" s="76">
        <f t="shared" si="18"/>
        <v>520</v>
      </c>
      <c r="AF80" s="76">
        <f t="shared" si="18"/>
        <v>520</v>
      </c>
      <c r="AG80" s="76">
        <f t="shared" si="18"/>
        <v>520</v>
      </c>
      <c r="AH80" s="76">
        <f t="shared" si="18"/>
        <v>520</v>
      </c>
      <c r="AI80" s="76">
        <f t="shared" si="18"/>
        <v>520</v>
      </c>
      <c r="AJ80" s="76"/>
      <c r="AL80" s="145">
        <f>'Inputs_BY INM'!$A$31/1000</f>
        <v>0.52</v>
      </c>
      <c r="AM80" s="452"/>
      <c r="AN80" s="452"/>
      <c r="AO80" s="452"/>
      <c r="AP80" s="452"/>
      <c r="AQ80" s="452"/>
      <c r="AR80" s="452"/>
      <c r="AS80" s="452"/>
      <c r="AT80" s="452"/>
    </row>
    <row r="81" spans="1:46" x14ac:dyDescent="0.25">
      <c r="A81" s="9" t="str">
        <f>A13</f>
        <v>I-CM-DRYKILN-AFBIO01</v>
      </c>
      <c r="B81" s="9" t="str">
        <f>B13</f>
        <v>IND Cement technology: Dry kiln - Alt. fuel bioenergy</v>
      </c>
      <c r="C81" s="9" t="s">
        <v>128</v>
      </c>
      <c r="E81" s="9" t="s">
        <v>470</v>
      </c>
      <c r="F81" s="9">
        <v>2020</v>
      </c>
      <c r="G81" s="9" t="s">
        <v>449</v>
      </c>
      <c r="H81" s="76">
        <f>$AK81*$AL$81</f>
        <v>0.17030862129692323</v>
      </c>
      <c r="I81" s="76">
        <f t="shared" ref="I81:AI85" si="19">$AK81*$AL$81</f>
        <v>0.17030862129692323</v>
      </c>
      <c r="J81" s="76">
        <f t="shared" si="19"/>
        <v>0.17030862129692323</v>
      </c>
      <c r="K81" s="76">
        <f t="shared" si="19"/>
        <v>0.17030862129692323</v>
      </c>
      <c r="L81" s="76">
        <f t="shared" si="19"/>
        <v>0.17030862129692323</v>
      </c>
      <c r="M81" s="76">
        <f t="shared" si="19"/>
        <v>0.17030862129692323</v>
      </c>
      <c r="N81" s="76">
        <f t="shared" si="19"/>
        <v>0.17030862129692323</v>
      </c>
      <c r="O81" s="76">
        <f t="shared" si="19"/>
        <v>0.17030862129692323</v>
      </c>
      <c r="P81" s="76">
        <f t="shared" si="19"/>
        <v>0.17030862129692323</v>
      </c>
      <c r="Q81" s="76">
        <f t="shared" si="19"/>
        <v>0.17030862129692323</v>
      </c>
      <c r="R81" s="76">
        <f t="shared" si="19"/>
        <v>0.17030862129692323</v>
      </c>
      <c r="S81" s="76">
        <f t="shared" si="19"/>
        <v>0.17030862129692323</v>
      </c>
      <c r="T81" s="76">
        <f t="shared" si="19"/>
        <v>0.17030862129692323</v>
      </c>
      <c r="U81" s="76">
        <f t="shared" si="19"/>
        <v>0.17030862129692323</v>
      </c>
      <c r="V81" s="76">
        <f t="shared" si="19"/>
        <v>0.17030862129692323</v>
      </c>
      <c r="W81" s="76">
        <f t="shared" si="19"/>
        <v>0.17030862129692323</v>
      </c>
      <c r="X81" s="76">
        <f t="shared" si="19"/>
        <v>0.17030862129692323</v>
      </c>
      <c r="Y81" s="76">
        <f t="shared" si="19"/>
        <v>0.17030862129692323</v>
      </c>
      <c r="Z81" s="76">
        <f t="shared" si="19"/>
        <v>0.17030862129692323</v>
      </c>
      <c r="AA81" s="76">
        <f t="shared" si="19"/>
        <v>0.17030862129692323</v>
      </c>
      <c r="AB81" s="76">
        <f t="shared" si="19"/>
        <v>0.17030862129692323</v>
      </c>
      <c r="AC81" s="76">
        <f t="shared" si="19"/>
        <v>0.17030862129692323</v>
      </c>
      <c r="AD81" s="76">
        <f t="shared" si="19"/>
        <v>0.17030862129692323</v>
      </c>
      <c r="AE81" s="76">
        <f t="shared" si="19"/>
        <v>0.17030862129692323</v>
      </c>
      <c r="AF81" s="76">
        <f t="shared" si="19"/>
        <v>0.17030862129692323</v>
      </c>
      <c r="AG81" s="76">
        <f t="shared" si="19"/>
        <v>0.17030862129692323</v>
      </c>
      <c r="AH81" s="76">
        <f t="shared" si="19"/>
        <v>0.17030862129692323</v>
      </c>
      <c r="AI81" s="76">
        <f t="shared" si="19"/>
        <v>0.17030862129692323</v>
      </c>
      <c r="AJ81" s="68"/>
      <c r="AK81" s="478">
        <v>0.05</v>
      </c>
      <c r="AL81" s="476">
        <f>'Inputs_BY INM'!$AH$56/1000</f>
        <v>3.4061724259384643</v>
      </c>
      <c r="AM81" s="452"/>
      <c r="AN81" s="452"/>
      <c r="AO81" s="452"/>
      <c r="AP81" s="452"/>
      <c r="AQ81" s="452"/>
      <c r="AR81" s="452"/>
      <c r="AS81" s="452"/>
      <c r="AT81" s="452"/>
    </row>
    <row r="82" spans="1:46" x14ac:dyDescent="0.25">
      <c r="C82" s="9" t="s">
        <v>120</v>
      </c>
      <c r="E82" s="9" t="s">
        <v>470</v>
      </c>
      <c r="F82" s="9">
        <v>2020</v>
      </c>
      <c r="G82" s="9" t="s">
        <v>449</v>
      </c>
      <c r="H82" s="76">
        <f t="shared" ref="H82:W85" si="20">$AK82*$AL$81</f>
        <v>0.85154310648461606</v>
      </c>
      <c r="I82" s="76">
        <f t="shared" si="20"/>
        <v>0.85154310648461606</v>
      </c>
      <c r="J82" s="76">
        <f t="shared" si="20"/>
        <v>0.85154310648461606</v>
      </c>
      <c r="K82" s="76">
        <f t="shared" si="20"/>
        <v>0.85154310648461606</v>
      </c>
      <c r="L82" s="76">
        <f t="shared" si="20"/>
        <v>0.85154310648461606</v>
      </c>
      <c r="M82" s="76">
        <f t="shared" si="20"/>
        <v>0.85154310648461606</v>
      </c>
      <c r="N82" s="76">
        <f t="shared" si="20"/>
        <v>0.85154310648461606</v>
      </c>
      <c r="O82" s="76">
        <f t="shared" si="20"/>
        <v>0.85154310648461606</v>
      </c>
      <c r="P82" s="76">
        <f t="shared" si="20"/>
        <v>0.85154310648461606</v>
      </c>
      <c r="Q82" s="76">
        <f t="shared" si="20"/>
        <v>0.85154310648461606</v>
      </c>
      <c r="R82" s="76">
        <f t="shared" si="20"/>
        <v>0.85154310648461606</v>
      </c>
      <c r="S82" s="76">
        <f t="shared" si="20"/>
        <v>0.85154310648461606</v>
      </c>
      <c r="T82" s="76">
        <f t="shared" si="20"/>
        <v>0.85154310648461606</v>
      </c>
      <c r="U82" s="76">
        <f t="shared" si="20"/>
        <v>0.85154310648461606</v>
      </c>
      <c r="V82" s="76">
        <f t="shared" si="20"/>
        <v>0.85154310648461606</v>
      </c>
      <c r="W82" s="76">
        <f t="shared" si="20"/>
        <v>0.85154310648461606</v>
      </c>
      <c r="X82" s="76">
        <f t="shared" si="19"/>
        <v>0.85154310648461606</v>
      </c>
      <c r="Y82" s="76">
        <f t="shared" si="19"/>
        <v>0.85154310648461606</v>
      </c>
      <c r="Z82" s="76">
        <f t="shared" si="19"/>
        <v>0.85154310648461606</v>
      </c>
      <c r="AA82" s="76">
        <f t="shared" si="19"/>
        <v>0.85154310648461606</v>
      </c>
      <c r="AB82" s="76">
        <f t="shared" si="19"/>
        <v>0.85154310648461606</v>
      </c>
      <c r="AC82" s="76">
        <f t="shared" si="19"/>
        <v>0.85154310648461606</v>
      </c>
      <c r="AD82" s="76">
        <f t="shared" si="19"/>
        <v>0.85154310648461606</v>
      </c>
      <c r="AE82" s="76">
        <f t="shared" si="19"/>
        <v>0.85154310648461606</v>
      </c>
      <c r="AF82" s="76">
        <f t="shared" si="19"/>
        <v>0.85154310648461606</v>
      </c>
      <c r="AG82" s="76">
        <f t="shared" si="19"/>
        <v>0.85154310648461606</v>
      </c>
      <c r="AH82" s="76">
        <f t="shared" si="19"/>
        <v>0.85154310648461606</v>
      </c>
      <c r="AI82" s="76">
        <f t="shared" si="19"/>
        <v>0.85154310648461606</v>
      </c>
      <c r="AJ82" s="68"/>
      <c r="AK82" s="478">
        <v>0.25</v>
      </c>
      <c r="AL82" s="68"/>
      <c r="AM82" s="452"/>
      <c r="AN82" s="452"/>
      <c r="AO82" s="452"/>
      <c r="AP82" s="452"/>
      <c r="AQ82" s="452"/>
      <c r="AR82" s="452"/>
      <c r="AS82" s="452"/>
      <c r="AT82" s="452"/>
    </row>
    <row r="83" spans="1:46" x14ac:dyDescent="0.25">
      <c r="C83" s="9" t="s">
        <v>117</v>
      </c>
      <c r="E83" s="9" t="s">
        <v>470</v>
      </c>
      <c r="F83" s="9">
        <v>2020</v>
      </c>
      <c r="G83" s="9" t="s">
        <v>449</v>
      </c>
      <c r="H83" s="76">
        <f t="shared" si="20"/>
        <v>1.7030862129692321</v>
      </c>
      <c r="I83" s="76">
        <f t="shared" si="19"/>
        <v>1.7030862129692321</v>
      </c>
      <c r="J83" s="76">
        <f t="shared" si="19"/>
        <v>1.7030862129692321</v>
      </c>
      <c r="K83" s="76">
        <f t="shared" si="19"/>
        <v>1.7030862129692321</v>
      </c>
      <c r="L83" s="76">
        <f t="shared" si="19"/>
        <v>1.7030862129692321</v>
      </c>
      <c r="M83" s="76">
        <f t="shared" si="19"/>
        <v>1.7030862129692321</v>
      </c>
      <c r="N83" s="76">
        <f t="shared" si="19"/>
        <v>1.7030862129692321</v>
      </c>
      <c r="O83" s="76">
        <f t="shared" si="19"/>
        <v>1.7030862129692321</v>
      </c>
      <c r="P83" s="76">
        <f t="shared" si="19"/>
        <v>1.7030862129692321</v>
      </c>
      <c r="Q83" s="76">
        <f t="shared" si="19"/>
        <v>1.7030862129692321</v>
      </c>
      <c r="R83" s="76">
        <f t="shared" si="19"/>
        <v>1.7030862129692321</v>
      </c>
      <c r="S83" s="76">
        <f t="shared" si="19"/>
        <v>1.7030862129692321</v>
      </c>
      <c r="T83" s="76">
        <f t="shared" si="19"/>
        <v>1.7030862129692321</v>
      </c>
      <c r="U83" s="76">
        <f t="shared" si="19"/>
        <v>1.7030862129692321</v>
      </c>
      <c r="V83" s="76">
        <f t="shared" si="19"/>
        <v>1.7030862129692321</v>
      </c>
      <c r="W83" s="76">
        <f t="shared" si="19"/>
        <v>1.7030862129692321</v>
      </c>
      <c r="X83" s="76">
        <f t="shared" si="19"/>
        <v>1.7030862129692321</v>
      </c>
      <c r="Y83" s="76">
        <f t="shared" si="19"/>
        <v>1.7030862129692321</v>
      </c>
      <c r="Z83" s="76">
        <f t="shared" si="19"/>
        <v>1.7030862129692321</v>
      </c>
      <c r="AA83" s="76">
        <f t="shared" si="19"/>
        <v>1.7030862129692321</v>
      </c>
      <c r="AB83" s="76">
        <f t="shared" si="19"/>
        <v>1.7030862129692321</v>
      </c>
      <c r="AC83" s="76">
        <f t="shared" si="19"/>
        <v>1.7030862129692321</v>
      </c>
      <c r="AD83" s="76">
        <f t="shared" si="19"/>
        <v>1.7030862129692321</v>
      </c>
      <c r="AE83" s="76">
        <f t="shared" si="19"/>
        <v>1.7030862129692321</v>
      </c>
      <c r="AF83" s="76">
        <f t="shared" si="19"/>
        <v>1.7030862129692321</v>
      </c>
      <c r="AG83" s="76">
        <f t="shared" si="19"/>
        <v>1.7030862129692321</v>
      </c>
      <c r="AH83" s="76">
        <f t="shared" si="19"/>
        <v>1.7030862129692321</v>
      </c>
      <c r="AI83" s="76">
        <f t="shared" si="19"/>
        <v>1.7030862129692321</v>
      </c>
      <c r="AJ83" s="68"/>
      <c r="AK83" s="478">
        <v>0.5</v>
      </c>
      <c r="AL83" s="68"/>
      <c r="AM83" s="452"/>
      <c r="AN83" s="452"/>
      <c r="AO83" s="452"/>
      <c r="AP83" s="452"/>
      <c r="AQ83" s="452"/>
      <c r="AR83" s="452"/>
      <c r="AS83" s="452"/>
      <c r="AT83" s="452"/>
    </row>
    <row r="84" spans="1:46" x14ac:dyDescent="0.25">
      <c r="C84" s="9" t="s">
        <v>134</v>
      </c>
      <c r="E84" s="9" t="s">
        <v>470</v>
      </c>
      <c r="F84" s="9">
        <v>2020</v>
      </c>
      <c r="G84" s="9" t="s">
        <v>449</v>
      </c>
      <c r="H84" s="76">
        <f t="shared" si="20"/>
        <v>0.34061724259384646</v>
      </c>
      <c r="I84" s="76">
        <f t="shared" si="19"/>
        <v>0.34061724259384646</v>
      </c>
      <c r="J84" s="76">
        <f t="shared" si="19"/>
        <v>0.34061724259384646</v>
      </c>
      <c r="K84" s="76">
        <f t="shared" si="19"/>
        <v>0.34061724259384646</v>
      </c>
      <c r="L84" s="76">
        <f t="shared" si="19"/>
        <v>0.34061724259384646</v>
      </c>
      <c r="M84" s="76">
        <f t="shared" si="19"/>
        <v>0.34061724259384646</v>
      </c>
      <c r="N84" s="76">
        <f t="shared" si="19"/>
        <v>0.34061724259384646</v>
      </c>
      <c r="O84" s="76">
        <f t="shared" si="19"/>
        <v>0.34061724259384646</v>
      </c>
      <c r="P84" s="76">
        <f t="shared" si="19"/>
        <v>0.34061724259384646</v>
      </c>
      <c r="Q84" s="76">
        <f t="shared" si="19"/>
        <v>0.34061724259384646</v>
      </c>
      <c r="R84" s="76">
        <f t="shared" si="19"/>
        <v>0.34061724259384646</v>
      </c>
      <c r="S84" s="76">
        <f t="shared" si="19"/>
        <v>0.34061724259384646</v>
      </c>
      <c r="T84" s="76">
        <f t="shared" si="19"/>
        <v>0.34061724259384646</v>
      </c>
      <c r="U84" s="76">
        <f t="shared" si="19"/>
        <v>0.34061724259384646</v>
      </c>
      <c r="V84" s="76">
        <f t="shared" si="19"/>
        <v>0.34061724259384646</v>
      </c>
      <c r="W84" s="76">
        <f t="shared" si="19"/>
        <v>0.34061724259384646</v>
      </c>
      <c r="X84" s="76">
        <f t="shared" si="19"/>
        <v>0.34061724259384646</v>
      </c>
      <c r="Y84" s="76">
        <f t="shared" si="19"/>
        <v>0.34061724259384646</v>
      </c>
      <c r="Z84" s="76">
        <f t="shared" si="19"/>
        <v>0.34061724259384646</v>
      </c>
      <c r="AA84" s="76">
        <f t="shared" si="19"/>
        <v>0.34061724259384646</v>
      </c>
      <c r="AB84" s="76">
        <f t="shared" si="19"/>
        <v>0.34061724259384646</v>
      </c>
      <c r="AC84" s="76">
        <f t="shared" si="19"/>
        <v>0.34061724259384646</v>
      </c>
      <c r="AD84" s="76">
        <f t="shared" si="19"/>
        <v>0.34061724259384646</v>
      </c>
      <c r="AE84" s="76">
        <f t="shared" si="19"/>
        <v>0.34061724259384646</v>
      </c>
      <c r="AF84" s="76">
        <f t="shared" si="19"/>
        <v>0.34061724259384646</v>
      </c>
      <c r="AG84" s="76">
        <f t="shared" si="19"/>
        <v>0.34061724259384646</v>
      </c>
      <c r="AH84" s="76">
        <f t="shared" si="19"/>
        <v>0.34061724259384646</v>
      </c>
      <c r="AI84" s="76">
        <f t="shared" si="19"/>
        <v>0.34061724259384646</v>
      </c>
      <c r="AJ84" s="68"/>
      <c r="AK84" s="478">
        <v>0.1</v>
      </c>
      <c r="AL84" s="68"/>
      <c r="AM84" s="452"/>
      <c r="AN84" s="452"/>
      <c r="AO84" s="452"/>
      <c r="AP84" s="452"/>
      <c r="AQ84" s="452"/>
      <c r="AR84" s="452"/>
      <c r="AS84" s="452"/>
      <c r="AT84" s="452"/>
    </row>
    <row r="85" spans="1:46" x14ac:dyDescent="0.25">
      <c r="C85" s="9" t="s">
        <v>126</v>
      </c>
      <c r="E85" s="9" t="s">
        <v>470</v>
      </c>
      <c r="F85" s="9">
        <v>2020</v>
      </c>
      <c r="G85" s="9" t="s">
        <v>449</v>
      </c>
      <c r="H85" s="76">
        <f t="shared" si="20"/>
        <v>0.34061724259384646</v>
      </c>
      <c r="I85" s="76">
        <f t="shared" si="19"/>
        <v>0.34061724259384646</v>
      </c>
      <c r="J85" s="76">
        <f t="shared" si="19"/>
        <v>0.34061724259384646</v>
      </c>
      <c r="K85" s="76">
        <f t="shared" si="19"/>
        <v>0.34061724259384646</v>
      </c>
      <c r="L85" s="76">
        <f t="shared" si="19"/>
        <v>0.34061724259384646</v>
      </c>
      <c r="M85" s="76">
        <f t="shared" si="19"/>
        <v>0.34061724259384646</v>
      </c>
      <c r="N85" s="76">
        <f t="shared" si="19"/>
        <v>0.34061724259384646</v>
      </c>
      <c r="O85" s="76">
        <f t="shared" si="19"/>
        <v>0.34061724259384646</v>
      </c>
      <c r="P85" s="76">
        <f t="shared" si="19"/>
        <v>0.34061724259384646</v>
      </c>
      <c r="Q85" s="76">
        <f t="shared" si="19"/>
        <v>0.34061724259384646</v>
      </c>
      <c r="R85" s="76">
        <f t="shared" si="19"/>
        <v>0.34061724259384646</v>
      </c>
      <c r="S85" s="76">
        <f t="shared" si="19"/>
        <v>0.34061724259384646</v>
      </c>
      <c r="T85" s="76">
        <f t="shared" si="19"/>
        <v>0.34061724259384646</v>
      </c>
      <c r="U85" s="76">
        <f t="shared" si="19"/>
        <v>0.34061724259384646</v>
      </c>
      <c r="V85" s="76">
        <f t="shared" si="19"/>
        <v>0.34061724259384646</v>
      </c>
      <c r="W85" s="76">
        <f t="shared" si="19"/>
        <v>0.34061724259384646</v>
      </c>
      <c r="X85" s="76">
        <f t="shared" si="19"/>
        <v>0.34061724259384646</v>
      </c>
      <c r="Y85" s="76">
        <f t="shared" si="19"/>
        <v>0.34061724259384646</v>
      </c>
      <c r="Z85" s="76">
        <f t="shared" si="19"/>
        <v>0.34061724259384646</v>
      </c>
      <c r="AA85" s="76">
        <f t="shared" si="19"/>
        <v>0.34061724259384646</v>
      </c>
      <c r="AB85" s="76">
        <f t="shared" si="19"/>
        <v>0.34061724259384646</v>
      </c>
      <c r="AC85" s="76">
        <f t="shared" si="19"/>
        <v>0.34061724259384646</v>
      </c>
      <c r="AD85" s="76">
        <f t="shared" si="19"/>
        <v>0.34061724259384646</v>
      </c>
      <c r="AE85" s="76">
        <f t="shared" si="19"/>
        <v>0.34061724259384646</v>
      </c>
      <c r="AF85" s="76">
        <f t="shared" si="19"/>
        <v>0.34061724259384646</v>
      </c>
      <c r="AG85" s="76">
        <f t="shared" si="19"/>
        <v>0.34061724259384646</v>
      </c>
      <c r="AH85" s="76">
        <f t="shared" si="19"/>
        <v>0.34061724259384646</v>
      </c>
      <c r="AI85" s="76">
        <f t="shared" si="19"/>
        <v>0.34061724259384646</v>
      </c>
      <c r="AJ85" s="68"/>
      <c r="AK85" s="478">
        <v>0.1</v>
      </c>
      <c r="AL85" s="68"/>
      <c r="AM85" s="452"/>
      <c r="AN85" s="452"/>
      <c r="AO85" s="452"/>
      <c r="AP85" s="452"/>
      <c r="AQ85" s="452"/>
      <c r="AR85" s="452"/>
      <c r="AS85" s="452"/>
      <c r="AT85" s="452"/>
    </row>
    <row r="86" spans="1:46" x14ac:dyDescent="0.25">
      <c r="D86" s="1" t="s">
        <v>159</v>
      </c>
      <c r="E86" s="9" t="s">
        <v>472</v>
      </c>
      <c r="G86" t="s">
        <v>1628</v>
      </c>
      <c r="H86" s="76">
        <f>$AL86*1000</f>
        <v>520</v>
      </c>
      <c r="I86" s="76">
        <f t="shared" ref="I86:AI86" si="21">$AL86*1000</f>
        <v>520</v>
      </c>
      <c r="J86" s="76">
        <f t="shared" si="21"/>
        <v>520</v>
      </c>
      <c r="K86" s="76">
        <f t="shared" si="21"/>
        <v>520</v>
      </c>
      <c r="L86" s="76">
        <f t="shared" si="21"/>
        <v>520</v>
      </c>
      <c r="M86" s="76">
        <f t="shared" si="21"/>
        <v>520</v>
      </c>
      <c r="N86" s="76">
        <f t="shared" si="21"/>
        <v>520</v>
      </c>
      <c r="O86" s="76">
        <f t="shared" si="21"/>
        <v>520</v>
      </c>
      <c r="P86" s="76">
        <f t="shared" si="21"/>
        <v>520</v>
      </c>
      <c r="Q86" s="76">
        <f t="shared" si="21"/>
        <v>520</v>
      </c>
      <c r="R86" s="76">
        <f t="shared" si="21"/>
        <v>520</v>
      </c>
      <c r="S86" s="76">
        <f t="shared" si="21"/>
        <v>520</v>
      </c>
      <c r="T86" s="76">
        <f t="shared" si="21"/>
        <v>520</v>
      </c>
      <c r="U86" s="76">
        <f t="shared" si="21"/>
        <v>520</v>
      </c>
      <c r="V86" s="76">
        <f t="shared" si="21"/>
        <v>520</v>
      </c>
      <c r="W86" s="76">
        <f t="shared" si="21"/>
        <v>520</v>
      </c>
      <c r="X86" s="76">
        <f t="shared" si="21"/>
        <v>520</v>
      </c>
      <c r="Y86" s="76">
        <f t="shared" si="21"/>
        <v>520</v>
      </c>
      <c r="Z86" s="76">
        <f t="shared" si="21"/>
        <v>520</v>
      </c>
      <c r="AA86" s="76">
        <f t="shared" si="21"/>
        <v>520</v>
      </c>
      <c r="AB86" s="76">
        <f t="shared" si="21"/>
        <v>520</v>
      </c>
      <c r="AC86" s="76">
        <f t="shared" si="21"/>
        <v>520</v>
      </c>
      <c r="AD86" s="76">
        <f t="shared" si="21"/>
        <v>520</v>
      </c>
      <c r="AE86" s="76">
        <f t="shared" si="21"/>
        <v>520</v>
      </c>
      <c r="AF86" s="76">
        <f t="shared" si="21"/>
        <v>520</v>
      </c>
      <c r="AG86" s="76">
        <f t="shared" si="21"/>
        <v>520</v>
      </c>
      <c r="AH86" s="76">
        <f t="shared" si="21"/>
        <v>520</v>
      </c>
      <c r="AI86" s="76">
        <f t="shared" si="21"/>
        <v>520</v>
      </c>
      <c r="AJ86" s="68"/>
      <c r="AL86" s="145">
        <f>'Inputs_BY INM'!$A$31/1000</f>
        <v>0.52</v>
      </c>
      <c r="AM86" s="452"/>
      <c r="AN86" s="452"/>
      <c r="AO86" s="452"/>
      <c r="AP86" s="452"/>
      <c r="AQ86" s="452"/>
      <c r="AR86" s="452"/>
      <c r="AS86" s="452"/>
      <c r="AT86" s="452"/>
    </row>
    <row r="87" spans="1:46" x14ac:dyDescent="0.25">
      <c r="A87" s="9" t="str">
        <f>A14</f>
        <v>I-CM-DRYKILN-AFGAS01</v>
      </c>
      <c r="B87" s="9" t="str">
        <f>B14</f>
        <v>IND Cement technology: Dry kiln - Alt. fuel gas</v>
      </c>
      <c r="C87" s="9" t="s">
        <v>128</v>
      </c>
      <c r="E87" s="9" t="s">
        <v>470</v>
      </c>
      <c r="F87" s="9">
        <v>2020</v>
      </c>
      <c r="G87" s="9" t="s">
        <v>449</v>
      </c>
      <c r="H87" s="76">
        <f>$AK87*$AL$87</f>
        <v>1.7030862129692321</v>
      </c>
      <c r="I87" s="76">
        <f t="shared" ref="I87:AI91" si="22">$AK87*$AL$87</f>
        <v>1.7030862129692321</v>
      </c>
      <c r="J87" s="76">
        <f t="shared" si="22"/>
        <v>1.7030862129692321</v>
      </c>
      <c r="K87" s="76">
        <f t="shared" si="22"/>
        <v>1.7030862129692321</v>
      </c>
      <c r="L87" s="76">
        <f t="shared" si="22"/>
        <v>1.7030862129692321</v>
      </c>
      <c r="M87" s="76">
        <f t="shared" si="22"/>
        <v>1.7030862129692321</v>
      </c>
      <c r="N87" s="76">
        <f t="shared" si="22"/>
        <v>1.7030862129692321</v>
      </c>
      <c r="O87" s="76">
        <f t="shared" si="22"/>
        <v>1.7030862129692321</v>
      </c>
      <c r="P87" s="76">
        <f t="shared" si="22"/>
        <v>1.7030862129692321</v>
      </c>
      <c r="Q87" s="76">
        <f t="shared" si="22"/>
        <v>1.7030862129692321</v>
      </c>
      <c r="R87" s="76">
        <f t="shared" si="22"/>
        <v>1.7030862129692321</v>
      </c>
      <c r="S87" s="76">
        <f t="shared" si="22"/>
        <v>1.7030862129692321</v>
      </c>
      <c r="T87" s="76">
        <f t="shared" si="22"/>
        <v>1.7030862129692321</v>
      </c>
      <c r="U87" s="76">
        <f t="shared" si="22"/>
        <v>1.7030862129692321</v>
      </c>
      <c r="V87" s="76">
        <f t="shared" si="22"/>
        <v>1.7030862129692321</v>
      </c>
      <c r="W87" s="76">
        <f t="shared" si="22"/>
        <v>1.7030862129692321</v>
      </c>
      <c r="X87" s="76">
        <f t="shared" si="22"/>
        <v>1.7030862129692321</v>
      </c>
      <c r="Y87" s="76">
        <f t="shared" si="22"/>
        <v>1.7030862129692321</v>
      </c>
      <c r="Z87" s="76">
        <f t="shared" si="22"/>
        <v>1.7030862129692321</v>
      </c>
      <c r="AA87" s="76">
        <f t="shared" si="22"/>
        <v>1.7030862129692321</v>
      </c>
      <c r="AB87" s="76">
        <f t="shared" si="22"/>
        <v>1.7030862129692321</v>
      </c>
      <c r="AC87" s="76">
        <f t="shared" si="22"/>
        <v>1.7030862129692321</v>
      </c>
      <c r="AD87" s="76">
        <f t="shared" si="22"/>
        <v>1.7030862129692321</v>
      </c>
      <c r="AE87" s="76">
        <f t="shared" si="22"/>
        <v>1.7030862129692321</v>
      </c>
      <c r="AF87" s="76">
        <f t="shared" si="22"/>
        <v>1.7030862129692321</v>
      </c>
      <c r="AG87" s="76">
        <f t="shared" si="22"/>
        <v>1.7030862129692321</v>
      </c>
      <c r="AH87" s="76">
        <f t="shared" si="22"/>
        <v>1.7030862129692321</v>
      </c>
      <c r="AI87" s="76">
        <f t="shared" si="22"/>
        <v>1.7030862129692321</v>
      </c>
      <c r="AJ87" s="68"/>
      <c r="AK87" s="478">
        <v>0.5</v>
      </c>
      <c r="AL87" s="476">
        <f>'Inputs_BY INM'!$AH$56/1000</f>
        <v>3.4061724259384643</v>
      </c>
      <c r="AM87" s="452"/>
      <c r="AN87" s="452"/>
      <c r="AO87" s="452"/>
      <c r="AP87" s="452"/>
      <c r="AQ87" s="452"/>
      <c r="AR87" s="452"/>
      <c r="AS87" s="452"/>
      <c r="AT87" s="452"/>
    </row>
    <row r="88" spans="1:46" x14ac:dyDescent="0.25">
      <c r="C88" s="9" t="s">
        <v>120</v>
      </c>
      <c r="E88" s="9" t="s">
        <v>470</v>
      </c>
      <c r="F88" s="9">
        <v>2020</v>
      </c>
      <c r="G88" s="9" t="s">
        <v>449</v>
      </c>
      <c r="H88" s="76">
        <f t="shared" ref="H88:W91" si="23">$AK88*$AL$87</f>
        <v>0.85154310648461606</v>
      </c>
      <c r="I88" s="76">
        <f t="shared" si="23"/>
        <v>0.85154310648461606</v>
      </c>
      <c r="J88" s="76">
        <f t="shared" si="23"/>
        <v>0.85154310648461606</v>
      </c>
      <c r="K88" s="76">
        <f t="shared" si="23"/>
        <v>0.85154310648461606</v>
      </c>
      <c r="L88" s="76">
        <f t="shared" si="23"/>
        <v>0.85154310648461606</v>
      </c>
      <c r="M88" s="76">
        <f t="shared" si="23"/>
        <v>0.85154310648461606</v>
      </c>
      <c r="N88" s="76">
        <f t="shared" si="23"/>
        <v>0.85154310648461606</v>
      </c>
      <c r="O88" s="76">
        <f t="shared" si="23"/>
        <v>0.85154310648461606</v>
      </c>
      <c r="P88" s="76">
        <f t="shared" si="23"/>
        <v>0.85154310648461606</v>
      </c>
      <c r="Q88" s="76">
        <f t="shared" si="23"/>
        <v>0.85154310648461606</v>
      </c>
      <c r="R88" s="76">
        <f t="shared" si="23"/>
        <v>0.85154310648461606</v>
      </c>
      <c r="S88" s="76">
        <f t="shared" si="23"/>
        <v>0.85154310648461606</v>
      </c>
      <c r="T88" s="76">
        <f t="shared" si="23"/>
        <v>0.85154310648461606</v>
      </c>
      <c r="U88" s="76">
        <f t="shared" si="23"/>
        <v>0.85154310648461606</v>
      </c>
      <c r="V88" s="76">
        <f t="shared" si="23"/>
        <v>0.85154310648461606</v>
      </c>
      <c r="W88" s="76">
        <f t="shared" si="23"/>
        <v>0.85154310648461606</v>
      </c>
      <c r="X88" s="76">
        <f t="shared" si="22"/>
        <v>0.85154310648461606</v>
      </c>
      <c r="Y88" s="76">
        <f t="shared" si="22"/>
        <v>0.85154310648461606</v>
      </c>
      <c r="Z88" s="76">
        <f t="shared" si="22"/>
        <v>0.85154310648461606</v>
      </c>
      <c r="AA88" s="76">
        <f t="shared" si="22"/>
        <v>0.85154310648461606</v>
      </c>
      <c r="AB88" s="76">
        <f t="shared" si="22"/>
        <v>0.85154310648461606</v>
      </c>
      <c r="AC88" s="76">
        <f t="shared" si="22"/>
        <v>0.85154310648461606</v>
      </c>
      <c r="AD88" s="76">
        <f t="shared" si="22"/>
        <v>0.85154310648461606</v>
      </c>
      <c r="AE88" s="76">
        <f t="shared" si="22"/>
        <v>0.85154310648461606</v>
      </c>
      <c r="AF88" s="76">
        <f t="shared" si="22"/>
        <v>0.85154310648461606</v>
      </c>
      <c r="AG88" s="76">
        <f t="shared" si="22"/>
        <v>0.85154310648461606</v>
      </c>
      <c r="AH88" s="76">
        <f t="shared" si="22"/>
        <v>0.85154310648461606</v>
      </c>
      <c r="AI88" s="76">
        <f t="shared" si="22"/>
        <v>0.85154310648461606</v>
      </c>
      <c r="AJ88" s="68"/>
      <c r="AK88" s="478">
        <v>0.25</v>
      </c>
      <c r="AL88" s="68"/>
      <c r="AM88" s="452"/>
      <c r="AN88" s="452"/>
      <c r="AO88" s="452"/>
      <c r="AP88" s="452"/>
      <c r="AQ88" s="452"/>
      <c r="AR88" s="452"/>
      <c r="AS88" s="452"/>
      <c r="AT88" s="452"/>
    </row>
    <row r="89" spans="1:46" x14ac:dyDescent="0.25">
      <c r="C89" s="9" t="s">
        <v>117</v>
      </c>
      <c r="E89" s="9" t="s">
        <v>470</v>
      </c>
      <c r="F89" s="9">
        <v>2020</v>
      </c>
      <c r="G89" s="9" t="s">
        <v>449</v>
      </c>
      <c r="H89" s="76">
        <f t="shared" si="23"/>
        <v>0.17030862129692323</v>
      </c>
      <c r="I89" s="76">
        <f t="shared" si="22"/>
        <v>0.17030862129692323</v>
      </c>
      <c r="J89" s="76">
        <f t="shared" si="22"/>
        <v>0.17030862129692323</v>
      </c>
      <c r="K89" s="76">
        <f t="shared" si="22"/>
        <v>0.17030862129692323</v>
      </c>
      <c r="L89" s="76">
        <f t="shared" si="22"/>
        <v>0.17030862129692323</v>
      </c>
      <c r="M89" s="76">
        <f t="shared" si="22"/>
        <v>0.17030862129692323</v>
      </c>
      <c r="N89" s="76">
        <f t="shared" si="22"/>
        <v>0.17030862129692323</v>
      </c>
      <c r="O89" s="76">
        <f t="shared" si="22"/>
        <v>0.17030862129692323</v>
      </c>
      <c r="P89" s="76">
        <f t="shared" si="22"/>
        <v>0.17030862129692323</v>
      </c>
      <c r="Q89" s="76">
        <f t="shared" si="22"/>
        <v>0.17030862129692323</v>
      </c>
      <c r="R89" s="76">
        <f t="shared" si="22"/>
        <v>0.17030862129692323</v>
      </c>
      <c r="S89" s="76">
        <f t="shared" si="22"/>
        <v>0.17030862129692323</v>
      </c>
      <c r="T89" s="76">
        <f t="shared" si="22"/>
        <v>0.17030862129692323</v>
      </c>
      <c r="U89" s="76">
        <f t="shared" si="22"/>
        <v>0.17030862129692323</v>
      </c>
      <c r="V89" s="76">
        <f t="shared" si="22"/>
        <v>0.17030862129692323</v>
      </c>
      <c r="W89" s="76">
        <f t="shared" si="22"/>
        <v>0.17030862129692323</v>
      </c>
      <c r="X89" s="76">
        <f t="shared" si="22"/>
        <v>0.17030862129692323</v>
      </c>
      <c r="Y89" s="76">
        <f t="shared" si="22"/>
        <v>0.17030862129692323</v>
      </c>
      <c r="Z89" s="76">
        <f t="shared" si="22"/>
        <v>0.17030862129692323</v>
      </c>
      <c r="AA89" s="76">
        <f t="shared" si="22"/>
        <v>0.17030862129692323</v>
      </c>
      <c r="AB89" s="76">
        <f t="shared" si="22"/>
        <v>0.17030862129692323</v>
      </c>
      <c r="AC89" s="76">
        <f t="shared" si="22"/>
        <v>0.17030862129692323</v>
      </c>
      <c r="AD89" s="76">
        <f t="shared" si="22"/>
        <v>0.17030862129692323</v>
      </c>
      <c r="AE89" s="76">
        <f t="shared" si="22"/>
        <v>0.17030862129692323</v>
      </c>
      <c r="AF89" s="76">
        <f t="shared" si="22"/>
        <v>0.17030862129692323</v>
      </c>
      <c r="AG89" s="76">
        <f t="shared" si="22"/>
        <v>0.17030862129692323</v>
      </c>
      <c r="AH89" s="76">
        <f t="shared" si="22"/>
        <v>0.17030862129692323</v>
      </c>
      <c r="AI89" s="76">
        <f t="shared" si="22"/>
        <v>0.17030862129692323</v>
      </c>
      <c r="AJ89" s="68"/>
      <c r="AK89" s="478">
        <v>0.05</v>
      </c>
      <c r="AL89" s="68"/>
      <c r="AM89" s="452"/>
      <c r="AN89" s="452"/>
      <c r="AO89" s="452"/>
      <c r="AP89" s="452"/>
      <c r="AQ89" s="452"/>
      <c r="AR89" s="452"/>
      <c r="AS89" s="452"/>
      <c r="AT89" s="452"/>
    </row>
    <row r="90" spans="1:46" x14ac:dyDescent="0.25">
      <c r="C90" s="9" t="s">
        <v>134</v>
      </c>
      <c r="E90" s="9" t="s">
        <v>470</v>
      </c>
      <c r="F90" s="9">
        <v>2020</v>
      </c>
      <c r="G90" s="9" t="s">
        <v>449</v>
      </c>
      <c r="H90" s="76">
        <f t="shared" si="23"/>
        <v>0.34061724259384646</v>
      </c>
      <c r="I90" s="76">
        <f t="shared" si="22"/>
        <v>0.34061724259384646</v>
      </c>
      <c r="J90" s="76">
        <f t="shared" si="22"/>
        <v>0.34061724259384646</v>
      </c>
      <c r="K90" s="76">
        <f t="shared" si="22"/>
        <v>0.34061724259384646</v>
      </c>
      <c r="L90" s="76">
        <f t="shared" si="22"/>
        <v>0.34061724259384646</v>
      </c>
      <c r="M90" s="76">
        <f t="shared" si="22"/>
        <v>0.34061724259384646</v>
      </c>
      <c r="N90" s="76">
        <f t="shared" si="22"/>
        <v>0.34061724259384646</v>
      </c>
      <c r="O90" s="76">
        <f t="shared" si="22"/>
        <v>0.34061724259384646</v>
      </c>
      <c r="P90" s="76">
        <f t="shared" si="22"/>
        <v>0.34061724259384646</v>
      </c>
      <c r="Q90" s="76">
        <f t="shared" si="22"/>
        <v>0.34061724259384646</v>
      </c>
      <c r="R90" s="76">
        <f t="shared" si="22"/>
        <v>0.34061724259384646</v>
      </c>
      <c r="S90" s="76">
        <f t="shared" si="22"/>
        <v>0.34061724259384646</v>
      </c>
      <c r="T90" s="76">
        <f t="shared" si="22"/>
        <v>0.34061724259384646</v>
      </c>
      <c r="U90" s="76">
        <f t="shared" si="22"/>
        <v>0.34061724259384646</v>
      </c>
      <c r="V90" s="76">
        <f t="shared" si="22"/>
        <v>0.34061724259384646</v>
      </c>
      <c r="W90" s="76">
        <f t="shared" si="22"/>
        <v>0.34061724259384646</v>
      </c>
      <c r="X90" s="76">
        <f t="shared" si="22"/>
        <v>0.34061724259384646</v>
      </c>
      <c r="Y90" s="76">
        <f t="shared" si="22"/>
        <v>0.34061724259384646</v>
      </c>
      <c r="Z90" s="76">
        <f t="shared" si="22"/>
        <v>0.34061724259384646</v>
      </c>
      <c r="AA90" s="76">
        <f t="shared" si="22"/>
        <v>0.34061724259384646</v>
      </c>
      <c r="AB90" s="76">
        <f t="shared" si="22"/>
        <v>0.34061724259384646</v>
      </c>
      <c r="AC90" s="76">
        <f t="shared" si="22"/>
        <v>0.34061724259384646</v>
      </c>
      <c r="AD90" s="76">
        <f t="shared" si="22"/>
        <v>0.34061724259384646</v>
      </c>
      <c r="AE90" s="76">
        <f t="shared" si="22"/>
        <v>0.34061724259384646</v>
      </c>
      <c r="AF90" s="76">
        <f t="shared" si="22"/>
        <v>0.34061724259384646</v>
      </c>
      <c r="AG90" s="76">
        <f t="shared" si="22"/>
        <v>0.34061724259384646</v>
      </c>
      <c r="AH90" s="76">
        <f t="shared" si="22"/>
        <v>0.34061724259384646</v>
      </c>
      <c r="AI90" s="76">
        <f t="shared" si="22"/>
        <v>0.34061724259384646</v>
      </c>
      <c r="AJ90" s="68"/>
      <c r="AK90" s="478">
        <v>0.1</v>
      </c>
      <c r="AL90" s="68"/>
      <c r="AM90" s="452"/>
      <c r="AN90" s="452"/>
      <c r="AO90" s="452"/>
      <c r="AP90" s="452"/>
      <c r="AQ90" s="452"/>
      <c r="AR90" s="452"/>
      <c r="AS90" s="452"/>
      <c r="AT90" s="452"/>
    </row>
    <row r="91" spans="1:46" x14ac:dyDescent="0.25">
      <c r="C91" s="9" t="s">
        <v>126</v>
      </c>
      <c r="E91" s="9" t="s">
        <v>470</v>
      </c>
      <c r="F91" s="9">
        <v>2020</v>
      </c>
      <c r="G91" s="9" t="s">
        <v>449</v>
      </c>
      <c r="H91" s="76">
        <f t="shared" si="23"/>
        <v>0.34061724259384646</v>
      </c>
      <c r="I91" s="76">
        <f t="shared" si="22"/>
        <v>0.34061724259384646</v>
      </c>
      <c r="J91" s="76">
        <f t="shared" si="22"/>
        <v>0.34061724259384646</v>
      </c>
      <c r="K91" s="76">
        <f t="shared" si="22"/>
        <v>0.34061724259384646</v>
      </c>
      <c r="L91" s="76">
        <f t="shared" si="22"/>
        <v>0.34061724259384646</v>
      </c>
      <c r="M91" s="76">
        <f t="shared" si="22"/>
        <v>0.34061724259384646</v>
      </c>
      <c r="N91" s="76">
        <f t="shared" si="22"/>
        <v>0.34061724259384646</v>
      </c>
      <c r="O91" s="76">
        <f t="shared" si="22"/>
        <v>0.34061724259384646</v>
      </c>
      <c r="P91" s="76">
        <f t="shared" si="22"/>
        <v>0.34061724259384646</v>
      </c>
      <c r="Q91" s="76">
        <f t="shared" si="22"/>
        <v>0.34061724259384646</v>
      </c>
      <c r="R91" s="76">
        <f t="shared" si="22"/>
        <v>0.34061724259384646</v>
      </c>
      <c r="S91" s="76">
        <f t="shared" si="22"/>
        <v>0.34061724259384646</v>
      </c>
      <c r="T91" s="76">
        <f t="shared" si="22"/>
        <v>0.34061724259384646</v>
      </c>
      <c r="U91" s="76">
        <f t="shared" si="22"/>
        <v>0.34061724259384646</v>
      </c>
      <c r="V91" s="76">
        <f t="shared" si="22"/>
        <v>0.34061724259384646</v>
      </c>
      <c r="W91" s="76">
        <f t="shared" si="22"/>
        <v>0.34061724259384646</v>
      </c>
      <c r="X91" s="76">
        <f t="shared" si="22"/>
        <v>0.34061724259384646</v>
      </c>
      <c r="Y91" s="76">
        <f t="shared" si="22"/>
        <v>0.34061724259384646</v>
      </c>
      <c r="Z91" s="76">
        <f t="shared" si="22"/>
        <v>0.34061724259384646</v>
      </c>
      <c r="AA91" s="76">
        <f t="shared" si="22"/>
        <v>0.34061724259384646</v>
      </c>
      <c r="AB91" s="76">
        <f t="shared" si="22"/>
        <v>0.34061724259384646</v>
      </c>
      <c r="AC91" s="76">
        <f t="shared" si="22"/>
        <v>0.34061724259384646</v>
      </c>
      <c r="AD91" s="76">
        <f t="shared" si="22"/>
        <v>0.34061724259384646</v>
      </c>
      <c r="AE91" s="76">
        <f t="shared" si="22"/>
        <v>0.34061724259384646</v>
      </c>
      <c r="AF91" s="76">
        <f t="shared" si="22"/>
        <v>0.34061724259384646</v>
      </c>
      <c r="AG91" s="76">
        <f t="shared" si="22"/>
        <v>0.34061724259384646</v>
      </c>
      <c r="AH91" s="76">
        <f t="shared" si="22"/>
        <v>0.34061724259384646</v>
      </c>
      <c r="AI91" s="76">
        <f t="shared" si="22"/>
        <v>0.34061724259384646</v>
      </c>
      <c r="AJ91" s="68"/>
      <c r="AK91" s="478">
        <v>0.1</v>
      </c>
      <c r="AL91" s="68"/>
      <c r="AM91" s="452"/>
      <c r="AN91" s="452"/>
      <c r="AO91" s="452"/>
      <c r="AP91" s="452"/>
      <c r="AQ91" s="452"/>
      <c r="AR91" s="452"/>
      <c r="AS91" s="452"/>
      <c r="AT91" s="452"/>
    </row>
    <row r="92" spans="1:46" x14ac:dyDescent="0.25">
      <c r="D92" s="1" t="s">
        <v>159</v>
      </c>
      <c r="E92" s="9" t="s">
        <v>472</v>
      </c>
      <c r="G92" t="s">
        <v>1628</v>
      </c>
      <c r="H92" s="76">
        <f>$AL92*1000</f>
        <v>520</v>
      </c>
      <c r="I92" s="76">
        <f t="shared" ref="I92:AI92" si="24">$AL92*1000</f>
        <v>520</v>
      </c>
      <c r="J92" s="76">
        <f t="shared" si="24"/>
        <v>520</v>
      </c>
      <c r="K92" s="76">
        <f t="shared" si="24"/>
        <v>520</v>
      </c>
      <c r="L92" s="76">
        <f t="shared" si="24"/>
        <v>520</v>
      </c>
      <c r="M92" s="76">
        <f t="shared" si="24"/>
        <v>520</v>
      </c>
      <c r="N92" s="76">
        <f t="shared" si="24"/>
        <v>520</v>
      </c>
      <c r="O92" s="76">
        <f t="shared" si="24"/>
        <v>520</v>
      </c>
      <c r="P92" s="76">
        <f t="shared" si="24"/>
        <v>520</v>
      </c>
      <c r="Q92" s="76">
        <f t="shared" si="24"/>
        <v>520</v>
      </c>
      <c r="R92" s="76">
        <f t="shared" si="24"/>
        <v>520</v>
      </c>
      <c r="S92" s="76">
        <f t="shared" si="24"/>
        <v>520</v>
      </c>
      <c r="T92" s="76">
        <f t="shared" si="24"/>
        <v>520</v>
      </c>
      <c r="U92" s="76">
        <f t="shared" si="24"/>
        <v>520</v>
      </c>
      <c r="V92" s="76">
        <f t="shared" si="24"/>
        <v>520</v>
      </c>
      <c r="W92" s="76">
        <f t="shared" si="24"/>
        <v>520</v>
      </c>
      <c r="X92" s="76">
        <f t="shared" si="24"/>
        <v>520</v>
      </c>
      <c r="Y92" s="76">
        <f t="shared" si="24"/>
        <v>520</v>
      </c>
      <c r="Z92" s="76">
        <f t="shared" si="24"/>
        <v>520</v>
      </c>
      <c r="AA92" s="76">
        <f t="shared" si="24"/>
        <v>520</v>
      </c>
      <c r="AB92" s="76">
        <f t="shared" si="24"/>
        <v>520</v>
      </c>
      <c r="AC92" s="76">
        <f t="shared" si="24"/>
        <v>520</v>
      </c>
      <c r="AD92" s="76">
        <f t="shared" si="24"/>
        <v>520</v>
      </c>
      <c r="AE92" s="76">
        <f t="shared" si="24"/>
        <v>520</v>
      </c>
      <c r="AF92" s="76">
        <f t="shared" si="24"/>
        <v>520</v>
      </c>
      <c r="AG92" s="76">
        <f t="shared" si="24"/>
        <v>520</v>
      </c>
      <c r="AH92" s="76">
        <f t="shared" si="24"/>
        <v>520</v>
      </c>
      <c r="AI92" s="76">
        <f t="shared" si="24"/>
        <v>520</v>
      </c>
      <c r="AJ92" s="68"/>
      <c r="AL92" s="145">
        <f>'Inputs_BY INM'!$A$31/1000</f>
        <v>0.52</v>
      </c>
      <c r="AM92" s="452"/>
      <c r="AN92" s="452"/>
      <c r="AO92" s="452"/>
      <c r="AP92" s="452"/>
      <c r="AQ92" s="452"/>
      <c r="AR92" s="452"/>
      <c r="AS92" s="452"/>
      <c r="AT92" s="452"/>
    </row>
    <row r="93" spans="1:46" x14ac:dyDescent="0.25">
      <c r="A93" s="9" t="str">
        <f>A15</f>
        <v>I-CM-DRYKILN-PSTCCS01</v>
      </c>
      <c r="B93" s="9" t="str">
        <f>B15</f>
        <v>IND Cement technology: Dry kiln - Post-combustion CCS</v>
      </c>
      <c r="C93" s="9" t="s">
        <v>128</v>
      </c>
      <c r="E93" s="9" t="s">
        <v>470</v>
      </c>
      <c r="F93" s="9">
        <v>2035</v>
      </c>
      <c r="G93" s="9" t="s">
        <v>449</v>
      </c>
      <c r="H93" s="76">
        <f>$AK93*$AL$93</f>
        <v>0.21288577662115402</v>
      </c>
      <c r="I93" s="76">
        <f t="shared" ref="I93:AI97" si="25">$AK93*$AL$93</f>
        <v>0.21288577662115402</v>
      </c>
      <c r="J93" s="76">
        <f t="shared" si="25"/>
        <v>0.21288577662115402</v>
      </c>
      <c r="K93" s="76">
        <f t="shared" si="25"/>
        <v>0.21288577662115402</v>
      </c>
      <c r="L93" s="76">
        <f t="shared" si="25"/>
        <v>0.21288577662115402</v>
      </c>
      <c r="M93" s="76">
        <f t="shared" si="25"/>
        <v>0.21288577662115402</v>
      </c>
      <c r="N93" s="76">
        <f t="shared" si="25"/>
        <v>0.21288577662115402</v>
      </c>
      <c r="O93" s="76">
        <f t="shared" si="25"/>
        <v>0.21288577662115402</v>
      </c>
      <c r="P93" s="76">
        <f t="shared" si="25"/>
        <v>0.21288577662115402</v>
      </c>
      <c r="Q93" s="76">
        <f t="shared" si="25"/>
        <v>0.21288577662115402</v>
      </c>
      <c r="R93" s="76">
        <f t="shared" si="25"/>
        <v>0.21288577662115402</v>
      </c>
      <c r="S93" s="76">
        <f t="shared" si="25"/>
        <v>0.21288577662115402</v>
      </c>
      <c r="T93" s="76">
        <f t="shared" si="25"/>
        <v>0.21288577662115402</v>
      </c>
      <c r="U93" s="76">
        <f t="shared" si="25"/>
        <v>0.21288577662115402</v>
      </c>
      <c r="V93" s="76">
        <f t="shared" si="25"/>
        <v>0.21288577662115402</v>
      </c>
      <c r="W93" s="76">
        <f t="shared" si="25"/>
        <v>0.21288577662115402</v>
      </c>
      <c r="X93" s="76">
        <f t="shared" si="25"/>
        <v>0.21288577662115402</v>
      </c>
      <c r="Y93" s="76">
        <f t="shared" si="25"/>
        <v>0.21288577662115402</v>
      </c>
      <c r="Z93" s="76">
        <f t="shared" si="25"/>
        <v>0.21288577662115402</v>
      </c>
      <c r="AA93" s="76">
        <f t="shared" si="25"/>
        <v>0.21288577662115402</v>
      </c>
      <c r="AB93" s="76">
        <f t="shared" si="25"/>
        <v>0.21288577662115402</v>
      </c>
      <c r="AC93" s="76">
        <f t="shared" si="25"/>
        <v>0.21288577662115402</v>
      </c>
      <c r="AD93" s="76">
        <f t="shared" si="25"/>
        <v>0.21288577662115402</v>
      </c>
      <c r="AE93" s="76">
        <f t="shared" si="25"/>
        <v>0.21288577662115402</v>
      </c>
      <c r="AF93" s="76">
        <f t="shared" si="25"/>
        <v>0.21288577662115402</v>
      </c>
      <c r="AG93" s="76">
        <f t="shared" si="25"/>
        <v>0.21288577662115402</v>
      </c>
      <c r="AH93" s="76">
        <f t="shared" si="25"/>
        <v>0.21288577662115402</v>
      </c>
      <c r="AI93" s="76">
        <f t="shared" si="25"/>
        <v>0.21288577662115402</v>
      </c>
      <c r="AJ93" s="68"/>
      <c r="AK93" s="478">
        <v>0.05</v>
      </c>
      <c r="AL93" s="145">
        <f>AL69*1.25</f>
        <v>4.25771553242308</v>
      </c>
      <c r="AM93" s="452"/>
      <c r="AN93" s="452"/>
      <c r="AO93" s="452"/>
      <c r="AP93" s="452"/>
      <c r="AQ93" s="452"/>
      <c r="AR93" s="452"/>
      <c r="AS93" s="452"/>
      <c r="AT93" s="452"/>
    </row>
    <row r="94" spans="1:46" x14ac:dyDescent="0.25">
      <c r="C94" s="9" t="s">
        <v>120</v>
      </c>
      <c r="E94" s="9" t="s">
        <v>470</v>
      </c>
      <c r="F94" s="9">
        <v>2035</v>
      </c>
      <c r="G94" s="9" t="s">
        <v>449</v>
      </c>
      <c r="H94" s="76">
        <f t="shared" ref="H94:W97" si="26">$AK94*$AL$93</f>
        <v>2.9804008726961557</v>
      </c>
      <c r="I94" s="76">
        <f t="shared" si="26"/>
        <v>2.9804008726961557</v>
      </c>
      <c r="J94" s="76">
        <f t="shared" si="26"/>
        <v>2.9804008726961557</v>
      </c>
      <c r="K94" s="76">
        <f t="shared" si="26"/>
        <v>2.9804008726961557</v>
      </c>
      <c r="L94" s="76">
        <f t="shared" si="26"/>
        <v>2.9804008726961557</v>
      </c>
      <c r="M94" s="76">
        <f t="shared" si="26"/>
        <v>2.9804008726961557</v>
      </c>
      <c r="N94" s="76">
        <f t="shared" si="26"/>
        <v>2.9804008726961557</v>
      </c>
      <c r="O94" s="76">
        <f t="shared" si="26"/>
        <v>2.9804008726961557</v>
      </c>
      <c r="P94" s="76">
        <f t="shared" si="26"/>
        <v>2.9804008726961557</v>
      </c>
      <c r="Q94" s="76">
        <f t="shared" si="26"/>
        <v>2.9804008726961557</v>
      </c>
      <c r="R94" s="76">
        <f t="shared" si="26"/>
        <v>2.9804008726961557</v>
      </c>
      <c r="S94" s="76">
        <f t="shared" si="26"/>
        <v>2.9804008726961557</v>
      </c>
      <c r="T94" s="76">
        <f t="shared" si="26"/>
        <v>2.9804008726961557</v>
      </c>
      <c r="U94" s="76">
        <f t="shared" si="26"/>
        <v>2.9804008726961557</v>
      </c>
      <c r="V94" s="76">
        <f t="shared" si="26"/>
        <v>2.9804008726961557</v>
      </c>
      <c r="W94" s="76">
        <f t="shared" si="26"/>
        <v>2.9804008726961557</v>
      </c>
      <c r="X94" s="76">
        <f t="shared" si="25"/>
        <v>2.9804008726961557</v>
      </c>
      <c r="Y94" s="76">
        <f t="shared" si="25"/>
        <v>2.9804008726961557</v>
      </c>
      <c r="Z94" s="76">
        <f t="shared" si="25"/>
        <v>2.9804008726961557</v>
      </c>
      <c r="AA94" s="76">
        <f t="shared" si="25"/>
        <v>2.9804008726961557</v>
      </c>
      <c r="AB94" s="76">
        <f t="shared" si="25"/>
        <v>2.9804008726961557</v>
      </c>
      <c r="AC94" s="76">
        <f t="shared" si="25"/>
        <v>2.9804008726961557</v>
      </c>
      <c r="AD94" s="76">
        <f t="shared" si="25"/>
        <v>2.9804008726961557</v>
      </c>
      <c r="AE94" s="76">
        <f t="shared" si="25"/>
        <v>2.9804008726961557</v>
      </c>
      <c r="AF94" s="76">
        <f t="shared" si="25"/>
        <v>2.9804008726961557</v>
      </c>
      <c r="AG94" s="76">
        <f t="shared" si="25"/>
        <v>2.9804008726961557</v>
      </c>
      <c r="AH94" s="76">
        <f t="shared" si="25"/>
        <v>2.9804008726961557</v>
      </c>
      <c r="AI94" s="76">
        <f t="shared" si="25"/>
        <v>2.9804008726961557</v>
      </c>
      <c r="AJ94" s="68"/>
      <c r="AK94" s="478">
        <v>0.7</v>
      </c>
      <c r="AL94" s="68"/>
      <c r="AM94" s="452"/>
      <c r="AN94" s="452"/>
      <c r="AO94" s="452"/>
      <c r="AP94" s="452"/>
      <c r="AQ94" s="452"/>
      <c r="AR94" s="452"/>
      <c r="AS94" s="452"/>
      <c r="AT94" s="452"/>
    </row>
    <row r="95" spans="1:46" x14ac:dyDescent="0.25">
      <c r="C95" s="9" t="s">
        <v>117</v>
      </c>
      <c r="E95" s="9" t="s">
        <v>470</v>
      </c>
      <c r="F95" s="9">
        <v>2035</v>
      </c>
      <c r="G95" s="9" t="s">
        <v>449</v>
      </c>
      <c r="H95" s="76">
        <f t="shared" si="26"/>
        <v>0.21288577662115402</v>
      </c>
      <c r="I95" s="76">
        <f t="shared" si="25"/>
        <v>0.21288577662115402</v>
      </c>
      <c r="J95" s="76">
        <f t="shared" si="25"/>
        <v>0.21288577662115402</v>
      </c>
      <c r="K95" s="76">
        <f t="shared" si="25"/>
        <v>0.21288577662115402</v>
      </c>
      <c r="L95" s="76">
        <f t="shared" si="25"/>
        <v>0.21288577662115402</v>
      </c>
      <c r="M95" s="76">
        <f t="shared" si="25"/>
        <v>0.21288577662115402</v>
      </c>
      <c r="N95" s="76">
        <f t="shared" si="25"/>
        <v>0.21288577662115402</v>
      </c>
      <c r="O95" s="76">
        <f t="shared" si="25"/>
        <v>0.21288577662115402</v>
      </c>
      <c r="P95" s="76">
        <f t="shared" si="25"/>
        <v>0.21288577662115402</v>
      </c>
      <c r="Q95" s="76">
        <f t="shared" si="25"/>
        <v>0.21288577662115402</v>
      </c>
      <c r="R95" s="76">
        <f t="shared" si="25"/>
        <v>0.21288577662115402</v>
      </c>
      <c r="S95" s="76">
        <f t="shared" si="25"/>
        <v>0.21288577662115402</v>
      </c>
      <c r="T95" s="76">
        <f t="shared" si="25"/>
        <v>0.21288577662115402</v>
      </c>
      <c r="U95" s="76">
        <f t="shared" si="25"/>
        <v>0.21288577662115402</v>
      </c>
      <c r="V95" s="76">
        <f t="shared" si="25"/>
        <v>0.21288577662115402</v>
      </c>
      <c r="W95" s="76">
        <f t="shared" si="25"/>
        <v>0.21288577662115402</v>
      </c>
      <c r="X95" s="76">
        <f t="shared" si="25"/>
        <v>0.21288577662115402</v>
      </c>
      <c r="Y95" s="76">
        <f t="shared" si="25"/>
        <v>0.21288577662115402</v>
      </c>
      <c r="Z95" s="76">
        <f t="shared" si="25"/>
        <v>0.21288577662115402</v>
      </c>
      <c r="AA95" s="76">
        <f t="shared" si="25"/>
        <v>0.21288577662115402</v>
      </c>
      <c r="AB95" s="76">
        <f t="shared" si="25"/>
        <v>0.21288577662115402</v>
      </c>
      <c r="AC95" s="76">
        <f t="shared" si="25"/>
        <v>0.21288577662115402</v>
      </c>
      <c r="AD95" s="76">
        <f t="shared" si="25"/>
        <v>0.21288577662115402</v>
      </c>
      <c r="AE95" s="76">
        <f t="shared" si="25"/>
        <v>0.21288577662115402</v>
      </c>
      <c r="AF95" s="76">
        <f t="shared" si="25"/>
        <v>0.21288577662115402</v>
      </c>
      <c r="AG95" s="76">
        <f t="shared" si="25"/>
        <v>0.21288577662115402</v>
      </c>
      <c r="AH95" s="76">
        <f t="shared" si="25"/>
        <v>0.21288577662115402</v>
      </c>
      <c r="AI95" s="76">
        <f t="shared" si="25"/>
        <v>0.21288577662115402</v>
      </c>
      <c r="AJ95" s="68"/>
      <c r="AK95" s="478">
        <v>0.05</v>
      </c>
      <c r="AL95" s="68"/>
      <c r="AM95" s="452"/>
      <c r="AN95" s="452"/>
      <c r="AO95" s="452"/>
      <c r="AP95" s="452"/>
      <c r="AQ95" s="452"/>
      <c r="AR95" s="452"/>
      <c r="AS95" s="452"/>
      <c r="AT95" s="452"/>
    </row>
    <row r="96" spans="1:46" x14ac:dyDescent="0.25">
      <c r="C96" s="9" t="s">
        <v>134</v>
      </c>
      <c r="E96" s="9" t="s">
        <v>470</v>
      </c>
      <c r="F96" s="9">
        <v>2035</v>
      </c>
      <c r="G96" s="9" t="s">
        <v>449</v>
      </c>
      <c r="H96" s="76">
        <f t="shared" si="26"/>
        <v>0.42577155324230803</v>
      </c>
      <c r="I96" s="76">
        <f t="shared" si="25"/>
        <v>0.42577155324230803</v>
      </c>
      <c r="J96" s="76">
        <f t="shared" si="25"/>
        <v>0.42577155324230803</v>
      </c>
      <c r="K96" s="76">
        <f t="shared" si="25"/>
        <v>0.42577155324230803</v>
      </c>
      <c r="L96" s="76">
        <f t="shared" si="25"/>
        <v>0.42577155324230803</v>
      </c>
      <c r="M96" s="76">
        <f t="shared" si="25"/>
        <v>0.42577155324230803</v>
      </c>
      <c r="N96" s="76">
        <f t="shared" si="25"/>
        <v>0.42577155324230803</v>
      </c>
      <c r="O96" s="76">
        <f t="shared" si="25"/>
        <v>0.42577155324230803</v>
      </c>
      <c r="P96" s="76">
        <f t="shared" si="25"/>
        <v>0.42577155324230803</v>
      </c>
      <c r="Q96" s="76">
        <f t="shared" si="25"/>
        <v>0.42577155324230803</v>
      </c>
      <c r="R96" s="76">
        <f t="shared" si="25"/>
        <v>0.42577155324230803</v>
      </c>
      <c r="S96" s="76">
        <f t="shared" si="25"/>
        <v>0.42577155324230803</v>
      </c>
      <c r="T96" s="76">
        <f t="shared" si="25"/>
        <v>0.42577155324230803</v>
      </c>
      <c r="U96" s="76">
        <f t="shared" si="25"/>
        <v>0.42577155324230803</v>
      </c>
      <c r="V96" s="76">
        <f t="shared" si="25"/>
        <v>0.42577155324230803</v>
      </c>
      <c r="W96" s="76">
        <f t="shared" si="25"/>
        <v>0.42577155324230803</v>
      </c>
      <c r="X96" s="76">
        <f t="shared" si="25"/>
        <v>0.42577155324230803</v>
      </c>
      <c r="Y96" s="76">
        <f t="shared" si="25"/>
        <v>0.42577155324230803</v>
      </c>
      <c r="Z96" s="76">
        <f t="shared" si="25"/>
        <v>0.42577155324230803</v>
      </c>
      <c r="AA96" s="76">
        <f t="shared" si="25"/>
        <v>0.42577155324230803</v>
      </c>
      <c r="AB96" s="76">
        <f t="shared" si="25"/>
        <v>0.42577155324230803</v>
      </c>
      <c r="AC96" s="76">
        <f t="shared" si="25"/>
        <v>0.42577155324230803</v>
      </c>
      <c r="AD96" s="76">
        <f t="shared" si="25"/>
        <v>0.42577155324230803</v>
      </c>
      <c r="AE96" s="76">
        <f t="shared" si="25"/>
        <v>0.42577155324230803</v>
      </c>
      <c r="AF96" s="76">
        <f t="shared" si="25"/>
        <v>0.42577155324230803</v>
      </c>
      <c r="AG96" s="76">
        <f t="shared" si="25"/>
        <v>0.42577155324230803</v>
      </c>
      <c r="AH96" s="76">
        <f t="shared" si="25"/>
        <v>0.42577155324230803</v>
      </c>
      <c r="AI96" s="76">
        <f t="shared" si="25"/>
        <v>0.42577155324230803</v>
      </c>
      <c r="AJ96" s="68"/>
      <c r="AK96" s="478">
        <v>0.1</v>
      </c>
      <c r="AL96" s="68"/>
      <c r="AM96" s="452"/>
      <c r="AN96" s="452"/>
      <c r="AO96" s="452"/>
      <c r="AP96" s="452"/>
      <c r="AQ96" s="452"/>
      <c r="AR96" s="452"/>
      <c r="AS96" s="452"/>
      <c r="AT96" s="452"/>
    </row>
    <row r="97" spans="1:46" x14ac:dyDescent="0.25">
      <c r="C97" s="9" t="s">
        <v>126</v>
      </c>
      <c r="E97" s="9" t="s">
        <v>470</v>
      </c>
      <c r="F97" s="9">
        <v>2035</v>
      </c>
      <c r="G97" s="9" t="s">
        <v>449</v>
      </c>
      <c r="H97" s="76">
        <f t="shared" si="26"/>
        <v>0.42577155324230803</v>
      </c>
      <c r="I97" s="76">
        <f t="shared" si="25"/>
        <v>0.42577155324230803</v>
      </c>
      <c r="J97" s="76">
        <f t="shared" si="25"/>
        <v>0.42577155324230803</v>
      </c>
      <c r="K97" s="76">
        <f t="shared" si="25"/>
        <v>0.42577155324230803</v>
      </c>
      <c r="L97" s="76">
        <f t="shared" si="25"/>
        <v>0.42577155324230803</v>
      </c>
      <c r="M97" s="76">
        <f t="shared" si="25"/>
        <v>0.42577155324230803</v>
      </c>
      <c r="N97" s="76">
        <f t="shared" si="25"/>
        <v>0.42577155324230803</v>
      </c>
      <c r="O97" s="76">
        <f t="shared" si="25"/>
        <v>0.42577155324230803</v>
      </c>
      <c r="P97" s="76">
        <f t="shared" si="25"/>
        <v>0.42577155324230803</v>
      </c>
      <c r="Q97" s="76">
        <f t="shared" si="25"/>
        <v>0.42577155324230803</v>
      </c>
      <c r="R97" s="76">
        <f t="shared" si="25"/>
        <v>0.42577155324230803</v>
      </c>
      <c r="S97" s="76">
        <f t="shared" si="25"/>
        <v>0.42577155324230803</v>
      </c>
      <c r="T97" s="76">
        <f t="shared" si="25"/>
        <v>0.42577155324230803</v>
      </c>
      <c r="U97" s="76">
        <f t="shared" si="25"/>
        <v>0.42577155324230803</v>
      </c>
      <c r="V97" s="76">
        <f t="shared" si="25"/>
        <v>0.42577155324230803</v>
      </c>
      <c r="W97" s="76">
        <f t="shared" si="25"/>
        <v>0.42577155324230803</v>
      </c>
      <c r="X97" s="76">
        <f t="shared" si="25"/>
        <v>0.42577155324230803</v>
      </c>
      <c r="Y97" s="76">
        <f t="shared" si="25"/>
        <v>0.42577155324230803</v>
      </c>
      <c r="Z97" s="76">
        <f t="shared" si="25"/>
        <v>0.42577155324230803</v>
      </c>
      <c r="AA97" s="76">
        <f t="shared" si="25"/>
        <v>0.42577155324230803</v>
      </c>
      <c r="AB97" s="76">
        <f t="shared" si="25"/>
        <v>0.42577155324230803</v>
      </c>
      <c r="AC97" s="76">
        <f t="shared" si="25"/>
        <v>0.42577155324230803</v>
      </c>
      <c r="AD97" s="76">
        <f t="shared" si="25"/>
        <v>0.42577155324230803</v>
      </c>
      <c r="AE97" s="76">
        <f t="shared" si="25"/>
        <v>0.42577155324230803</v>
      </c>
      <c r="AF97" s="76">
        <f t="shared" si="25"/>
        <v>0.42577155324230803</v>
      </c>
      <c r="AG97" s="76">
        <f t="shared" si="25"/>
        <v>0.42577155324230803</v>
      </c>
      <c r="AH97" s="76">
        <f t="shared" si="25"/>
        <v>0.42577155324230803</v>
      </c>
      <c r="AI97" s="76">
        <f t="shared" si="25"/>
        <v>0.42577155324230803</v>
      </c>
      <c r="AJ97" s="68"/>
      <c r="AK97" s="478">
        <v>0.1</v>
      </c>
      <c r="AL97" s="68"/>
      <c r="AM97" s="452"/>
      <c r="AN97" s="452"/>
      <c r="AO97" s="452"/>
      <c r="AP97" s="452"/>
      <c r="AQ97" s="452"/>
      <c r="AR97" s="452"/>
      <c r="AS97" s="452"/>
      <c r="AT97" s="452"/>
    </row>
    <row r="98" spans="1:46" x14ac:dyDescent="0.25">
      <c r="D98" s="1" t="s">
        <v>159</v>
      </c>
      <c r="E98" s="9" t="s">
        <v>472</v>
      </c>
      <c r="G98" t="s">
        <v>1628</v>
      </c>
      <c r="H98" s="613">
        <f>$AL98*(1-$AM99)*1000</f>
        <v>26.000000000000021</v>
      </c>
      <c r="I98" s="613">
        <f t="shared" ref="I98:AI98" si="27">$AL98*(1-$AM99)*1000</f>
        <v>26.000000000000021</v>
      </c>
      <c r="J98" s="613">
        <f t="shared" si="27"/>
        <v>26.000000000000021</v>
      </c>
      <c r="K98" s="613">
        <f t="shared" si="27"/>
        <v>26.000000000000021</v>
      </c>
      <c r="L98" s="613">
        <f t="shared" si="27"/>
        <v>26.000000000000021</v>
      </c>
      <c r="M98" s="613">
        <f t="shared" si="27"/>
        <v>26.000000000000021</v>
      </c>
      <c r="N98" s="613">
        <f t="shared" si="27"/>
        <v>26.000000000000021</v>
      </c>
      <c r="O98" s="613">
        <f t="shared" si="27"/>
        <v>26.000000000000021</v>
      </c>
      <c r="P98" s="613">
        <f t="shared" si="27"/>
        <v>26.000000000000021</v>
      </c>
      <c r="Q98" s="613">
        <f t="shared" si="27"/>
        <v>26.000000000000021</v>
      </c>
      <c r="R98" s="613">
        <f t="shared" si="27"/>
        <v>26.000000000000021</v>
      </c>
      <c r="S98" s="613">
        <f t="shared" si="27"/>
        <v>26.000000000000021</v>
      </c>
      <c r="T98" s="613">
        <f t="shared" si="27"/>
        <v>26.000000000000021</v>
      </c>
      <c r="U98" s="613">
        <f t="shared" si="27"/>
        <v>26.000000000000021</v>
      </c>
      <c r="V98" s="613">
        <f t="shared" si="27"/>
        <v>26.000000000000021</v>
      </c>
      <c r="W98" s="613">
        <f t="shared" si="27"/>
        <v>26.000000000000021</v>
      </c>
      <c r="X98" s="613">
        <f t="shared" si="27"/>
        <v>26.000000000000021</v>
      </c>
      <c r="Y98" s="613">
        <f t="shared" si="27"/>
        <v>26.000000000000021</v>
      </c>
      <c r="Z98" s="613">
        <f t="shared" si="27"/>
        <v>26.000000000000021</v>
      </c>
      <c r="AA98" s="613">
        <f t="shared" si="27"/>
        <v>26.000000000000021</v>
      </c>
      <c r="AB98" s="613">
        <f t="shared" si="27"/>
        <v>26.000000000000021</v>
      </c>
      <c r="AC98" s="613">
        <f t="shared" si="27"/>
        <v>26.000000000000021</v>
      </c>
      <c r="AD98" s="613">
        <f t="shared" si="27"/>
        <v>26.000000000000021</v>
      </c>
      <c r="AE98" s="613">
        <f t="shared" si="27"/>
        <v>26.000000000000021</v>
      </c>
      <c r="AF98" s="613">
        <f t="shared" si="27"/>
        <v>26.000000000000021</v>
      </c>
      <c r="AG98" s="613">
        <f t="shared" si="27"/>
        <v>26.000000000000021</v>
      </c>
      <c r="AH98" s="613">
        <f t="shared" si="27"/>
        <v>26.000000000000021</v>
      </c>
      <c r="AI98" s="613">
        <f t="shared" si="27"/>
        <v>26.000000000000021</v>
      </c>
      <c r="AJ98" s="68"/>
      <c r="AK98" s="478"/>
      <c r="AL98" s="145">
        <f>'Inputs_BY INM'!$A$31/1000</f>
        <v>0.52</v>
      </c>
      <c r="AM98" s="452" t="s">
        <v>622</v>
      </c>
      <c r="AN98" s="452"/>
      <c r="AO98" s="452"/>
      <c r="AP98" s="452"/>
      <c r="AQ98" s="452"/>
      <c r="AR98" s="452"/>
      <c r="AS98" s="452"/>
      <c r="AT98" s="452"/>
    </row>
    <row r="99" spans="1:46" x14ac:dyDescent="0.25">
      <c r="D99" s="1" t="s">
        <v>621</v>
      </c>
      <c r="E99" s="9" t="s">
        <v>472</v>
      </c>
      <c r="G99" t="s">
        <v>1628</v>
      </c>
      <c r="H99" s="613">
        <f>$AL98*$AM99*1000</f>
        <v>494</v>
      </c>
      <c r="I99" s="613">
        <f t="shared" ref="I99:AI99" si="28">$AL98*$AM99*1000</f>
        <v>494</v>
      </c>
      <c r="J99" s="613">
        <f t="shared" si="28"/>
        <v>494</v>
      </c>
      <c r="K99" s="613">
        <f t="shared" si="28"/>
        <v>494</v>
      </c>
      <c r="L99" s="613">
        <f t="shared" si="28"/>
        <v>494</v>
      </c>
      <c r="M99" s="613">
        <f t="shared" si="28"/>
        <v>494</v>
      </c>
      <c r="N99" s="613">
        <f t="shared" si="28"/>
        <v>494</v>
      </c>
      <c r="O99" s="613">
        <f t="shared" si="28"/>
        <v>494</v>
      </c>
      <c r="P99" s="613">
        <f t="shared" si="28"/>
        <v>494</v>
      </c>
      <c r="Q99" s="613">
        <f t="shared" si="28"/>
        <v>494</v>
      </c>
      <c r="R99" s="613">
        <f t="shared" si="28"/>
        <v>494</v>
      </c>
      <c r="S99" s="613">
        <f t="shared" si="28"/>
        <v>494</v>
      </c>
      <c r="T99" s="613">
        <f t="shared" si="28"/>
        <v>494</v>
      </c>
      <c r="U99" s="613">
        <f t="shared" si="28"/>
        <v>494</v>
      </c>
      <c r="V99" s="613">
        <f t="shared" si="28"/>
        <v>494</v>
      </c>
      <c r="W99" s="613">
        <f t="shared" si="28"/>
        <v>494</v>
      </c>
      <c r="X99" s="613">
        <f t="shared" si="28"/>
        <v>494</v>
      </c>
      <c r="Y99" s="613">
        <f t="shared" si="28"/>
        <v>494</v>
      </c>
      <c r="Z99" s="613">
        <f t="shared" si="28"/>
        <v>494</v>
      </c>
      <c r="AA99" s="613">
        <f t="shared" si="28"/>
        <v>494</v>
      </c>
      <c r="AB99" s="613">
        <f t="shared" si="28"/>
        <v>494</v>
      </c>
      <c r="AC99" s="613">
        <f t="shared" si="28"/>
        <v>494</v>
      </c>
      <c r="AD99" s="613">
        <f t="shared" si="28"/>
        <v>494</v>
      </c>
      <c r="AE99" s="613">
        <f t="shared" si="28"/>
        <v>494</v>
      </c>
      <c r="AF99" s="613">
        <f t="shared" si="28"/>
        <v>494</v>
      </c>
      <c r="AG99" s="613">
        <f t="shared" si="28"/>
        <v>494</v>
      </c>
      <c r="AH99" s="613">
        <f t="shared" si="28"/>
        <v>494</v>
      </c>
      <c r="AI99" s="613">
        <f t="shared" si="28"/>
        <v>494</v>
      </c>
      <c r="AJ99" s="68"/>
      <c r="AK99" s="68"/>
      <c r="AM99" s="452">
        <v>0.95</v>
      </c>
      <c r="AN99" s="452"/>
      <c r="AO99" s="452"/>
      <c r="AP99" s="452"/>
      <c r="AQ99" s="452"/>
      <c r="AR99" s="452"/>
      <c r="AS99" s="452"/>
      <c r="AT99" s="452"/>
    </row>
    <row r="100" spans="1:46" x14ac:dyDescent="0.25">
      <c r="A100" s="9" t="str">
        <f>A16</f>
        <v>I-CM-DRYKILN-OXYCCS01</v>
      </c>
      <c r="B100" s="9" t="str">
        <f>B16</f>
        <v>IND Cement technology: Dry kiln - Oxy fuel CCS</v>
      </c>
      <c r="C100" s="9" t="s">
        <v>128</v>
      </c>
      <c r="E100" s="9" t="s">
        <v>470</v>
      </c>
      <c r="F100" s="9">
        <v>2035</v>
      </c>
      <c r="G100" s="9" t="s">
        <v>449</v>
      </c>
      <c r="H100" s="76">
        <f>$AK100*$AL$100</f>
        <v>0.1958549144914617</v>
      </c>
      <c r="I100" s="76">
        <f t="shared" ref="I100:AI104" si="29">$AK100*$AL$100</f>
        <v>0.1958549144914617</v>
      </c>
      <c r="J100" s="76">
        <f t="shared" si="29"/>
        <v>0.1958549144914617</v>
      </c>
      <c r="K100" s="76">
        <f t="shared" si="29"/>
        <v>0.1958549144914617</v>
      </c>
      <c r="L100" s="76">
        <f t="shared" si="29"/>
        <v>0.1958549144914617</v>
      </c>
      <c r="M100" s="76">
        <f t="shared" si="29"/>
        <v>0.1958549144914617</v>
      </c>
      <c r="N100" s="76">
        <f t="shared" si="29"/>
        <v>0.1958549144914617</v>
      </c>
      <c r="O100" s="76">
        <f t="shared" si="29"/>
        <v>0.1958549144914617</v>
      </c>
      <c r="P100" s="76">
        <f t="shared" si="29"/>
        <v>0.1958549144914617</v>
      </c>
      <c r="Q100" s="76">
        <f t="shared" si="29"/>
        <v>0.1958549144914617</v>
      </c>
      <c r="R100" s="76">
        <f t="shared" si="29"/>
        <v>0.1958549144914617</v>
      </c>
      <c r="S100" s="76">
        <f t="shared" si="29"/>
        <v>0.1958549144914617</v>
      </c>
      <c r="T100" s="76">
        <f t="shared" si="29"/>
        <v>0.1958549144914617</v>
      </c>
      <c r="U100" s="76">
        <f t="shared" si="29"/>
        <v>0.1958549144914617</v>
      </c>
      <c r="V100" s="76">
        <f t="shared" si="29"/>
        <v>0.1958549144914617</v>
      </c>
      <c r="W100" s="76">
        <f t="shared" si="29"/>
        <v>0.1958549144914617</v>
      </c>
      <c r="X100" s="76">
        <f t="shared" si="29"/>
        <v>0.1958549144914617</v>
      </c>
      <c r="Y100" s="76">
        <f t="shared" si="29"/>
        <v>0.1958549144914617</v>
      </c>
      <c r="Z100" s="76">
        <f t="shared" si="29"/>
        <v>0.1958549144914617</v>
      </c>
      <c r="AA100" s="76">
        <f t="shared" si="29"/>
        <v>0.1958549144914617</v>
      </c>
      <c r="AB100" s="76">
        <f t="shared" si="29"/>
        <v>0.1958549144914617</v>
      </c>
      <c r="AC100" s="76">
        <f t="shared" si="29"/>
        <v>0.1958549144914617</v>
      </c>
      <c r="AD100" s="76">
        <f t="shared" si="29"/>
        <v>0.1958549144914617</v>
      </c>
      <c r="AE100" s="76">
        <f t="shared" si="29"/>
        <v>0.1958549144914617</v>
      </c>
      <c r="AF100" s="76">
        <f t="shared" si="29"/>
        <v>0.1958549144914617</v>
      </c>
      <c r="AG100" s="76">
        <f t="shared" si="29"/>
        <v>0.1958549144914617</v>
      </c>
      <c r="AH100" s="76">
        <f t="shared" si="29"/>
        <v>0.1958549144914617</v>
      </c>
      <c r="AI100" s="76">
        <f t="shared" si="29"/>
        <v>0.1958549144914617</v>
      </c>
      <c r="AJ100" s="68"/>
      <c r="AK100" s="478">
        <v>0.05</v>
      </c>
      <c r="AL100" s="145">
        <f>AL69*1.15</f>
        <v>3.9170982898292337</v>
      </c>
      <c r="AM100" s="452"/>
      <c r="AN100" s="452"/>
      <c r="AO100" s="452"/>
      <c r="AP100" s="452"/>
      <c r="AQ100" s="452"/>
      <c r="AR100" s="452"/>
      <c r="AS100" s="452"/>
    </row>
    <row r="101" spans="1:46" x14ac:dyDescent="0.25">
      <c r="C101" s="9" t="s">
        <v>120</v>
      </c>
      <c r="E101" s="9" t="s">
        <v>470</v>
      </c>
      <c r="F101" s="9">
        <v>2035</v>
      </c>
      <c r="G101" s="9" t="s">
        <v>449</v>
      </c>
      <c r="H101" s="76">
        <f t="shared" ref="H101:W104" si="30">$AK101*$AL$100</f>
        <v>2.3502589738975401</v>
      </c>
      <c r="I101" s="76">
        <f t="shared" si="30"/>
        <v>2.3502589738975401</v>
      </c>
      <c r="J101" s="76">
        <f t="shared" si="30"/>
        <v>2.3502589738975401</v>
      </c>
      <c r="K101" s="76">
        <f t="shared" si="30"/>
        <v>2.3502589738975401</v>
      </c>
      <c r="L101" s="76">
        <f t="shared" si="30"/>
        <v>2.3502589738975401</v>
      </c>
      <c r="M101" s="76">
        <f t="shared" si="30"/>
        <v>2.3502589738975401</v>
      </c>
      <c r="N101" s="76">
        <f t="shared" si="30"/>
        <v>2.3502589738975401</v>
      </c>
      <c r="O101" s="76">
        <f t="shared" si="30"/>
        <v>2.3502589738975401</v>
      </c>
      <c r="P101" s="76">
        <f t="shared" si="30"/>
        <v>2.3502589738975401</v>
      </c>
      <c r="Q101" s="76">
        <f t="shared" si="30"/>
        <v>2.3502589738975401</v>
      </c>
      <c r="R101" s="76">
        <f t="shared" si="30"/>
        <v>2.3502589738975401</v>
      </c>
      <c r="S101" s="76">
        <f t="shared" si="30"/>
        <v>2.3502589738975401</v>
      </c>
      <c r="T101" s="76">
        <f t="shared" si="30"/>
        <v>2.3502589738975401</v>
      </c>
      <c r="U101" s="76">
        <f t="shared" si="30"/>
        <v>2.3502589738975401</v>
      </c>
      <c r="V101" s="76">
        <f t="shared" si="30"/>
        <v>2.3502589738975401</v>
      </c>
      <c r="W101" s="76">
        <f t="shared" si="30"/>
        <v>2.3502589738975401</v>
      </c>
      <c r="X101" s="76">
        <f t="shared" si="29"/>
        <v>2.3502589738975401</v>
      </c>
      <c r="Y101" s="76">
        <f t="shared" si="29"/>
        <v>2.3502589738975401</v>
      </c>
      <c r="Z101" s="76">
        <f t="shared" si="29"/>
        <v>2.3502589738975401</v>
      </c>
      <c r="AA101" s="76">
        <f t="shared" si="29"/>
        <v>2.3502589738975401</v>
      </c>
      <c r="AB101" s="76">
        <f t="shared" si="29"/>
        <v>2.3502589738975401</v>
      </c>
      <c r="AC101" s="76">
        <f t="shared" si="29"/>
        <v>2.3502589738975401</v>
      </c>
      <c r="AD101" s="76">
        <f t="shared" si="29"/>
        <v>2.3502589738975401</v>
      </c>
      <c r="AE101" s="76">
        <f t="shared" si="29"/>
        <v>2.3502589738975401</v>
      </c>
      <c r="AF101" s="76">
        <f t="shared" si="29"/>
        <v>2.3502589738975401</v>
      </c>
      <c r="AG101" s="76">
        <f t="shared" si="29"/>
        <v>2.3502589738975401</v>
      </c>
      <c r="AH101" s="76">
        <f t="shared" si="29"/>
        <v>2.3502589738975401</v>
      </c>
      <c r="AI101" s="76">
        <f t="shared" si="29"/>
        <v>2.3502589738975401</v>
      </c>
      <c r="AJ101" s="68"/>
      <c r="AK101" s="478">
        <v>0.6</v>
      </c>
      <c r="AL101" s="68"/>
      <c r="AM101" s="452"/>
      <c r="AN101" s="452"/>
      <c r="AO101" s="452"/>
      <c r="AP101" s="452"/>
      <c r="AQ101" s="452"/>
      <c r="AR101" s="452"/>
      <c r="AS101" s="452"/>
    </row>
    <row r="102" spans="1:46" x14ac:dyDescent="0.25">
      <c r="C102" s="9" t="s">
        <v>117</v>
      </c>
      <c r="E102" s="9" t="s">
        <v>470</v>
      </c>
      <c r="F102" s="9">
        <v>2035</v>
      </c>
      <c r="G102" s="9" t="s">
        <v>449</v>
      </c>
      <c r="H102" s="76">
        <f t="shared" si="30"/>
        <v>0.1958549144914617</v>
      </c>
      <c r="I102" s="76">
        <f t="shared" si="29"/>
        <v>0.1958549144914617</v>
      </c>
      <c r="J102" s="76">
        <f t="shared" si="29"/>
        <v>0.1958549144914617</v>
      </c>
      <c r="K102" s="76">
        <f t="shared" si="29"/>
        <v>0.1958549144914617</v>
      </c>
      <c r="L102" s="76">
        <f t="shared" si="29"/>
        <v>0.1958549144914617</v>
      </c>
      <c r="M102" s="76">
        <f t="shared" si="29"/>
        <v>0.1958549144914617</v>
      </c>
      <c r="N102" s="76">
        <f t="shared" si="29"/>
        <v>0.1958549144914617</v>
      </c>
      <c r="O102" s="76">
        <f t="shared" si="29"/>
        <v>0.1958549144914617</v>
      </c>
      <c r="P102" s="76">
        <f t="shared" si="29"/>
        <v>0.1958549144914617</v>
      </c>
      <c r="Q102" s="76">
        <f t="shared" si="29"/>
        <v>0.1958549144914617</v>
      </c>
      <c r="R102" s="76">
        <f t="shared" si="29"/>
        <v>0.1958549144914617</v>
      </c>
      <c r="S102" s="76">
        <f t="shared" si="29"/>
        <v>0.1958549144914617</v>
      </c>
      <c r="T102" s="76">
        <f t="shared" si="29"/>
        <v>0.1958549144914617</v>
      </c>
      <c r="U102" s="76">
        <f t="shared" si="29"/>
        <v>0.1958549144914617</v>
      </c>
      <c r="V102" s="76">
        <f t="shared" si="29"/>
        <v>0.1958549144914617</v>
      </c>
      <c r="W102" s="76">
        <f t="shared" si="29"/>
        <v>0.1958549144914617</v>
      </c>
      <c r="X102" s="76">
        <f t="shared" si="29"/>
        <v>0.1958549144914617</v>
      </c>
      <c r="Y102" s="76">
        <f t="shared" si="29"/>
        <v>0.1958549144914617</v>
      </c>
      <c r="Z102" s="76">
        <f t="shared" si="29"/>
        <v>0.1958549144914617</v>
      </c>
      <c r="AA102" s="76">
        <f t="shared" si="29"/>
        <v>0.1958549144914617</v>
      </c>
      <c r="AB102" s="76">
        <f t="shared" si="29"/>
        <v>0.1958549144914617</v>
      </c>
      <c r="AC102" s="76">
        <f t="shared" si="29"/>
        <v>0.1958549144914617</v>
      </c>
      <c r="AD102" s="76">
        <f t="shared" si="29"/>
        <v>0.1958549144914617</v>
      </c>
      <c r="AE102" s="76">
        <f t="shared" si="29"/>
        <v>0.1958549144914617</v>
      </c>
      <c r="AF102" s="76">
        <f t="shared" si="29"/>
        <v>0.1958549144914617</v>
      </c>
      <c r="AG102" s="76">
        <f t="shared" si="29"/>
        <v>0.1958549144914617</v>
      </c>
      <c r="AH102" s="76">
        <f t="shared" si="29"/>
        <v>0.1958549144914617</v>
      </c>
      <c r="AI102" s="76">
        <f t="shared" si="29"/>
        <v>0.1958549144914617</v>
      </c>
      <c r="AJ102" s="68"/>
      <c r="AK102" s="478">
        <v>0.05</v>
      </c>
      <c r="AL102" s="68"/>
      <c r="AM102" s="452"/>
      <c r="AN102" s="452"/>
      <c r="AO102" s="452"/>
      <c r="AP102" s="452"/>
      <c r="AQ102" s="452"/>
      <c r="AR102" s="452"/>
      <c r="AS102" s="452"/>
    </row>
    <row r="103" spans="1:46" x14ac:dyDescent="0.25">
      <c r="C103" s="9" t="s">
        <v>134</v>
      </c>
      <c r="E103" s="9" t="s">
        <v>470</v>
      </c>
      <c r="F103" s="9">
        <v>2035</v>
      </c>
      <c r="G103" s="9" t="s">
        <v>449</v>
      </c>
      <c r="H103" s="76">
        <f t="shared" si="30"/>
        <v>0.39170982898292339</v>
      </c>
      <c r="I103" s="76">
        <f t="shared" si="29"/>
        <v>0.39170982898292339</v>
      </c>
      <c r="J103" s="76">
        <f t="shared" si="29"/>
        <v>0.39170982898292339</v>
      </c>
      <c r="K103" s="76">
        <f t="shared" si="29"/>
        <v>0.39170982898292339</v>
      </c>
      <c r="L103" s="76">
        <f t="shared" si="29"/>
        <v>0.39170982898292339</v>
      </c>
      <c r="M103" s="76">
        <f t="shared" si="29"/>
        <v>0.39170982898292339</v>
      </c>
      <c r="N103" s="76">
        <f t="shared" si="29"/>
        <v>0.39170982898292339</v>
      </c>
      <c r="O103" s="76">
        <f t="shared" si="29"/>
        <v>0.39170982898292339</v>
      </c>
      <c r="P103" s="76">
        <f t="shared" si="29"/>
        <v>0.39170982898292339</v>
      </c>
      <c r="Q103" s="76">
        <f t="shared" si="29"/>
        <v>0.39170982898292339</v>
      </c>
      <c r="R103" s="76">
        <f t="shared" si="29"/>
        <v>0.39170982898292339</v>
      </c>
      <c r="S103" s="76">
        <f t="shared" si="29"/>
        <v>0.39170982898292339</v>
      </c>
      <c r="T103" s="76">
        <f t="shared" si="29"/>
        <v>0.39170982898292339</v>
      </c>
      <c r="U103" s="76">
        <f t="shared" si="29"/>
        <v>0.39170982898292339</v>
      </c>
      <c r="V103" s="76">
        <f t="shared" si="29"/>
        <v>0.39170982898292339</v>
      </c>
      <c r="W103" s="76">
        <f t="shared" si="29"/>
        <v>0.39170982898292339</v>
      </c>
      <c r="X103" s="76">
        <f t="shared" si="29"/>
        <v>0.39170982898292339</v>
      </c>
      <c r="Y103" s="76">
        <f t="shared" si="29"/>
        <v>0.39170982898292339</v>
      </c>
      <c r="Z103" s="76">
        <f t="shared" si="29"/>
        <v>0.39170982898292339</v>
      </c>
      <c r="AA103" s="76">
        <f t="shared" si="29"/>
        <v>0.39170982898292339</v>
      </c>
      <c r="AB103" s="76">
        <f t="shared" si="29"/>
        <v>0.39170982898292339</v>
      </c>
      <c r="AC103" s="76">
        <f t="shared" si="29"/>
        <v>0.39170982898292339</v>
      </c>
      <c r="AD103" s="76">
        <f t="shared" si="29"/>
        <v>0.39170982898292339</v>
      </c>
      <c r="AE103" s="76">
        <f t="shared" si="29"/>
        <v>0.39170982898292339</v>
      </c>
      <c r="AF103" s="76">
        <f t="shared" si="29"/>
        <v>0.39170982898292339</v>
      </c>
      <c r="AG103" s="76">
        <f t="shared" si="29"/>
        <v>0.39170982898292339</v>
      </c>
      <c r="AH103" s="76">
        <f t="shared" si="29"/>
        <v>0.39170982898292339</v>
      </c>
      <c r="AI103" s="76">
        <f t="shared" si="29"/>
        <v>0.39170982898292339</v>
      </c>
      <c r="AJ103" s="68"/>
      <c r="AK103" s="478">
        <v>0.1</v>
      </c>
      <c r="AL103" s="68"/>
      <c r="AM103" s="452"/>
      <c r="AN103" s="452"/>
      <c r="AO103" s="452"/>
      <c r="AP103" s="452"/>
      <c r="AQ103" s="452"/>
      <c r="AR103" s="452"/>
      <c r="AS103" s="452"/>
    </row>
    <row r="104" spans="1:46" x14ac:dyDescent="0.25">
      <c r="C104" s="9" t="s">
        <v>126</v>
      </c>
      <c r="E104" s="9" t="s">
        <v>470</v>
      </c>
      <c r="F104" s="9">
        <v>2035</v>
      </c>
      <c r="G104" s="9" t="s">
        <v>449</v>
      </c>
      <c r="H104" s="76">
        <f t="shared" si="30"/>
        <v>0.78341965796584678</v>
      </c>
      <c r="I104" s="76">
        <f t="shared" si="29"/>
        <v>0.78341965796584678</v>
      </c>
      <c r="J104" s="76">
        <f t="shared" si="29"/>
        <v>0.78341965796584678</v>
      </c>
      <c r="K104" s="76">
        <f t="shared" si="29"/>
        <v>0.78341965796584678</v>
      </c>
      <c r="L104" s="76">
        <f t="shared" si="29"/>
        <v>0.78341965796584678</v>
      </c>
      <c r="M104" s="76">
        <f t="shared" si="29"/>
        <v>0.78341965796584678</v>
      </c>
      <c r="N104" s="76">
        <f t="shared" si="29"/>
        <v>0.78341965796584678</v>
      </c>
      <c r="O104" s="76">
        <f t="shared" si="29"/>
        <v>0.78341965796584678</v>
      </c>
      <c r="P104" s="76">
        <f t="shared" si="29"/>
        <v>0.78341965796584678</v>
      </c>
      <c r="Q104" s="76">
        <f t="shared" si="29"/>
        <v>0.78341965796584678</v>
      </c>
      <c r="R104" s="76">
        <f t="shared" si="29"/>
        <v>0.78341965796584678</v>
      </c>
      <c r="S104" s="76">
        <f t="shared" si="29"/>
        <v>0.78341965796584678</v>
      </c>
      <c r="T104" s="76">
        <f t="shared" si="29"/>
        <v>0.78341965796584678</v>
      </c>
      <c r="U104" s="76">
        <f t="shared" si="29"/>
        <v>0.78341965796584678</v>
      </c>
      <c r="V104" s="76">
        <f t="shared" si="29"/>
        <v>0.78341965796584678</v>
      </c>
      <c r="W104" s="76">
        <f t="shared" si="29"/>
        <v>0.78341965796584678</v>
      </c>
      <c r="X104" s="76">
        <f t="shared" si="29"/>
        <v>0.78341965796584678</v>
      </c>
      <c r="Y104" s="76">
        <f t="shared" si="29"/>
        <v>0.78341965796584678</v>
      </c>
      <c r="Z104" s="76">
        <f t="shared" si="29"/>
        <v>0.78341965796584678</v>
      </c>
      <c r="AA104" s="76">
        <f t="shared" si="29"/>
        <v>0.78341965796584678</v>
      </c>
      <c r="AB104" s="76">
        <f t="shared" si="29"/>
        <v>0.78341965796584678</v>
      </c>
      <c r="AC104" s="76">
        <f t="shared" si="29"/>
        <v>0.78341965796584678</v>
      </c>
      <c r="AD104" s="76">
        <f t="shared" si="29"/>
        <v>0.78341965796584678</v>
      </c>
      <c r="AE104" s="76">
        <f t="shared" si="29"/>
        <v>0.78341965796584678</v>
      </c>
      <c r="AF104" s="76">
        <f t="shared" si="29"/>
        <v>0.78341965796584678</v>
      </c>
      <c r="AG104" s="76">
        <f t="shared" si="29"/>
        <v>0.78341965796584678</v>
      </c>
      <c r="AH104" s="76">
        <f t="shared" si="29"/>
        <v>0.78341965796584678</v>
      </c>
      <c r="AI104" s="76">
        <f t="shared" si="29"/>
        <v>0.78341965796584678</v>
      </c>
      <c r="AJ104" s="68"/>
      <c r="AK104" s="478">
        <v>0.2</v>
      </c>
      <c r="AL104" s="68"/>
      <c r="AM104" s="452"/>
      <c r="AN104" s="452"/>
      <c r="AO104" s="452"/>
      <c r="AP104" s="452"/>
      <c r="AQ104" s="452"/>
      <c r="AR104" s="452"/>
      <c r="AS104" s="452"/>
    </row>
    <row r="105" spans="1:46" x14ac:dyDescent="0.25">
      <c r="D105" s="1" t="s">
        <v>159</v>
      </c>
      <c r="E105" s="9" t="s">
        <v>472</v>
      </c>
      <c r="G105" t="s">
        <v>1628</v>
      </c>
      <c r="H105" s="613">
        <f>$AL105*(1-$AM106)*1000</f>
        <v>26.000000000000021</v>
      </c>
      <c r="I105" s="613">
        <f t="shared" ref="I105:AI105" si="31">$AL105*(1-$AM106)*1000</f>
        <v>26.000000000000021</v>
      </c>
      <c r="J105" s="613">
        <f t="shared" si="31"/>
        <v>26.000000000000021</v>
      </c>
      <c r="K105" s="613">
        <f t="shared" si="31"/>
        <v>26.000000000000021</v>
      </c>
      <c r="L105" s="613">
        <f t="shared" si="31"/>
        <v>26.000000000000021</v>
      </c>
      <c r="M105" s="613">
        <f t="shared" si="31"/>
        <v>26.000000000000021</v>
      </c>
      <c r="N105" s="613">
        <f t="shared" si="31"/>
        <v>26.000000000000021</v>
      </c>
      <c r="O105" s="613">
        <f t="shared" si="31"/>
        <v>26.000000000000021</v>
      </c>
      <c r="P105" s="613">
        <f t="shared" si="31"/>
        <v>26.000000000000021</v>
      </c>
      <c r="Q105" s="613">
        <f t="shared" si="31"/>
        <v>26.000000000000021</v>
      </c>
      <c r="R105" s="613">
        <f t="shared" si="31"/>
        <v>26.000000000000021</v>
      </c>
      <c r="S105" s="613">
        <f t="shared" si="31"/>
        <v>26.000000000000021</v>
      </c>
      <c r="T105" s="613">
        <f t="shared" si="31"/>
        <v>26.000000000000021</v>
      </c>
      <c r="U105" s="613">
        <f t="shared" si="31"/>
        <v>26.000000000000021</v>
      </c>
      <c r="V105" s="613">
        <f t="shared" si="31"/>
        <v>26.000000000000021</v>
      </c>
      <c r="W105" s="613">
        <f t="shared" si="31"/>
        <v>26.000000000000021</v>
      </c>
      <c r="X105" s="613">
        <f t="shared" si="31"/>
        <v>26.000000000000021</v>
      </c>
      <c r="Y105" s="613">
        <f t="shared" si="31"/>
        <v>26.000000000000021</v>
      </c>
      <c r="Z105" s="613">
        <f t="shared" si="31"/>
        <v>26.000000000000021</v>
      </c>
      <c r="AA105" s="613">
        <f t="shared" si="31"/>
        <v>26.000000000000021</v>
      </c>
      <c r="AB105" s="613">
        <f t="shared" si="31"/>
        <v>26.000000000000021</v>
      </c>
      <c r="AC105" s="613">
        <f t="shared" si="31"/>
        <v>26.000000000000021</v>
      </c>
      <c r="AD105" s="613">
        <f t="shared" si="31"/>
        <v>26.000000000000021</v>
      </c>
      <c r="AE105" s="613">
        <f t="shared" si="31"/>
        <v>26.000000000000021</v>
      </c>
      <c r="AF105" s="613">
        <f t="shared" si="31"/>
        <v>26.000000000000021</v>
      </c>
      <c r="AG105" s="613">
        <f t="shared" si="31"/>
        <v>26.000000000000021</v>
      </c>
      <c r="AH105" s="613">
        <f t="shared" si="31"/>
        <v>26.000000000000021</v>
      </c>
      <c r="AI105" s="613">
        <f t="shared" si="31"/>
        <v>26.000000000000021</v>
      </c>
      <c r="AJ105" s="68"/>
      <c r="AK105" s="68"/>
      <c r="AL105" s="145">
        <f>'Inputs_BY INM'!$A$31/1000</f>
        <v>0.52</v>
      </c>
      <c r="AM105" s="452" t="s">
        <v>622</v>
      </c>
      <c r="AN105" s="452"/>
      <c r="AO105" s="452"/>
      <c r="AP105" s="452"/>
      <c r="AQ105" s="452"/>
      <c r="AR105" s="452"/>
      <c r="AS105" s="452"/>
    </row>
    <row r="106" spans="1:46" x14ac:dyDescent="0.25">
      <c r="D106" s="1" t="s">
        <v>621</v>
      </c>
      <c r="E106" s="9" t="s">
        <v>472</v>
      </c>
      <c r="G106" t="s">
        <v>1628</v>
      </c>
      <c r="H106" s="613">
        <f>$AL105*$AM106*1000</f>
        <v>494</v>
      </c>
      <c r="I106" s="613">
        <f t="shared" ref="I106:AI106" si="32">$AL105*$AM106*1000</f>
        <v>494</v>
      </c>
      <c r="J106" s="613">
        <f t="shared" si="32"/>
        <v>494</v>
      </c>
      <c r="K106" s="613">
        <f t="shared" si="32"/>
        <v>494</v>
      </c>
      <c r="L106" s="613">
        <f t="shared" si="32"/>
        <v>494</v>
      </c>
      <c r="M106" s="613">
        <f t="shared" si="32"/>
        <v>494</v>
      </c>
      <c r="N106" s="613">
        <f t="shared" si="32"/>
        <v>494</v>
      </c>
      <c r="O106" s="613">
        <f t="shared" si="32"/>
        <v>494</v>
      </c>
      <c r="P106" s="613">
        <f t="shared" si="32"/>
        <v>494</v>
      </c>
      <c r="Q106" s="613">
        <f t="shared" si="32"/>
        <v>494</v>
      </c>
      <c r="R106" s="613">
        <f t="shared" si="32"/>
        <v>494</v>
      </c>
      <c r="S106" s="613">
        <f t="shared" si="32"/>
        <v>494</v>
      </c>
      <c r="T106" s="613">
        <f t="shared" si="32"/>
        <v>494</v>
      </c>
      <c r="U106" s="613">
        <f t="shared" si="32"/>
        <v>494</v>
      </c>
      <c r="V106" s="613">
        <f t="shared" si="32"/>
        <v>494</v>
      </c>
      <c r="W106" s="613">
        <f t="shared" si="32"/>
        <v>494</v>
      </c>
      <c r="X106" s="613">
        <f t="shared" si="32"/>
        <v>494</v>
      </c>
      <c r="Y106" s="613">
        <f t="shared" si="32"/>
        <v>494</v>
      </c>
      <c r="Z106" s="613">
        <f t="shared" si="32"/>
        <v>494</v>
      </c>
      <c r="AA106" s="613">
        <f t="shared" si="32"/>
        <v>494</v>
      </c>
      <c r="AB106" s="613">
        <f t="shared" si="32"/>
        <v>494</v>
      </c>
      <c r="AC106" s="613">
        <f t="shared" si="32"/>
        <v>494</v>
      </c>
      <c r="AD106" s="613">
        <f t="shared" si="32"/>
        <v>494</v>
      </c>
      <c r="AE106" s="613">
        <f t="shared" si="32"/>
        <v>494</v>
      </c>
      <c r="AF106" s="613">
        <f t="shared" si="32"/>
        <v>494</v>
      </c>
      <c r="AG106" s="613">
        <f t="shared" si="32"/>
        <v>494</v>
      </c>
      <c r="AH106" s="613">
        <f t="shared" si="32"/>
        <v>494</v>
      </c>
      <c r="AI106" s="613">
        <f t="shared" si="32"/>
        <v>494</v>
      </c>
      <c r="AJ106" s="68"/>
      <c r="AK106" s="68"/>
      <c r="AL106" s="145"/>
      <c r="AM106" s="452">
        <v>0.95</v>
      </c>
      <c r="AN106" s="452"/>
      <c r="AO106" s="452"/>
      <c r="AP106" s="452"/>
      <c r="AQ106" s="452"/>
      <c r="AR106" s="452"/>
      <c r="AS106" s="452"/>
    </row>
    <row r="107" spans="1:46" x14ac:dyDescent="0.25">
      <c r="A107" s="9" t="str">
        <f>A17</f>
        <v>I-CM-GRND01</v>
      </c>
      <c r="B107" s="9" t="str">
        <f>B17</f>
        <v>IND Cement technology: Grinding</v>
      </c>
      <c r="C107" s="9" t="s">
        <v>126</v>
      </c>
      <c r="E107" s="9" t="s">
        <v>470</v>
      </c>
      <c r="G107" s="9" t="s">
        <v>449</v>
      </c>
      <c r="H107" s="76">
        <f>$AL$107</f>
        <v>0.34199999999999997</v>
      </c>
      <c r="I107" s="76">
        <f t="shared" ref="I107:AI107" si="33">$AL$107</f>
        <v>0.34199999999999997</v>
      </c>
      <c r="J107" s="76">
        <f t="shared" si="33"/>
        <v>0.34199999999999997</v>
      </c>
      <c r="K107" s="76">
        <f t="shared" si="33"/>
        <v>0.34199999999999997</v>
      </c>
      <c r="L107" s="76">
        <f t="shared" si="33"/>
        <v>0.34199999999999997</v>
      </c>
      <c r="M107" s="76">
        <f t="shared" si="33"/>
        <v>0.34199999999999997</v>
      </c>
      <c r="N107" s="76">
        <f t="shared" si="33"/>
        <v>0.34199999999999997</v>
      </c>
      <c r="O107" s="76">
        <f t="shared" si="33"/>
        <v>0.34199999999999997</v>
      </c>
      <c r="P107" s="76">
        <f t="shared" si="33"/>
        <v>0.34199999999999997</v>
      </c>
      <c r="Q107" s="76">
        <f t="shared" si="33"/>
        <v>0.34199999999999997</v>
      </c>
      <c r="R107" s="76">
        <f t="shared" si="33"/>
        <v>0.34199999999999997</v>
      </c>
      <c r="S107" s="76">
        <f t="shared" si="33"/>
        <v>0.34199999999999997</v>
      </c>
      <c r="T107" s="76">
        <f t="shared" si="33"/>
        <v>0.34199999999999997</v>
      </c>
      <c r="U107" s="76">
        <f t="shared" si="33"/>
        <v>0.34199999999999997</v>
      </c>
      <c r="V107" s="76">
        <f t="shared" si="33"/>
        <v>0.34199999999999997</v>
      </c>
      <c r="W107" s="76">
        <f t="shared" si="33"/>
        <v>0.34199999999999997</v>
      </c>
      <c r="X107" s="76">
        <f t="shared" si="33"/>
        <v>0.34199999999999997</v>
      </c>
      <c r="Y107" s="76">
        <f t="shared" si="33"/>
        <v>0.34199999999999997</v>
      </c>
      <c r="Z107" s="76">
        <f t="shared" si="33"/>
        <v>0.34199999999999997</v>
      </c>
      <c r="AA107" s="76">
        <f t="shared" si="33"/>
        <v>0.34199999999999997</v>
      </c>
      <c r="AB107" s="76">
        <f t="shared" si="33"/>
        <v>0.34199999999999997</v>
      </c>
      <c r="AC107" s="76">
        <f t="shared" si="33"/>
        <v>0.34199999999999997</v>
      </c>
      <c r="AD107" s="76">
        <f t="shared" si="33"/>
        <v>0.34199999999999997</v>
      </c>
      <c r="AE107" s="76">
        <f t="shared" si="33"/>
        <v>0.34199999999999997</v>
      </c>
      <c r="AF107" s="76">
        <f t="shared" si="33"/>
        <v>0.34199999999999997</v>
      </c>
      <c r="AG107" s="76">
        <f t="shared" si="33"/>
        <v>0.34199999999999997</v>
      </c>
      <c r="AH107" s="76">
        <f t="shared" si="33"/>
        <v>0.34199999999999997</v>
      </c>
      <c r="AI107" s="76">
        <f t="shared" si="33"/>
        <v>0.34199999999999997</v>
      </c>
      <c r="AJ107" s="68"/>
      <c r="AL107" s="145">
        <f>95*'Inputs_BY INM'!AK68*1000</f>
        <v>0.34199999999999997</v>
      </c>
      <c r="AM107" s="452"/>
      <c r="AN107" s="452"/>
      <c r="AO107" s="452"/>
      <c r="AP107" s="452"/>
      <c r="AQ107" s="452"/>
      <c r="AR107" s="452"/>
    </row>
    <row r="108" spans="1:46" x14ac:dyDescent="0.25">
      <c r="C108" s="9" t="s">
        <v>882</v>
      </c>
      <c r="E108" s="9" t="s">
        <v>470</v>
      </c>
      <c r="F108" s="9">
        <v>2020</v>
      </c>
      <c r="G108" s="9" t="s">
        <v>580</v>
      </c>
      <c r="H108" s="76">
        <f>IF('Inputs_BY INM'!E38&lt;'INM_New Techs'!$AL$108,'INM_New Techs'!$AL$108,'Inputs_BY INM'!E38)*$AN$108</f>
        <v>0.76520691469487045</v>
      </c>
      <c r="I108" s="76">
        <f>IF('Inputs_BY INM'!F38&lt;'INM_New Techs'!$AL$108,'INM_New Techs'!$AL$108,'Inputs_BY INM'!F38)*$AN$108</f>
        <v>0.70197644416394434</v>
      </c>
      <c r="J108" s="76">
        <f>IF('Inputs_BY INM'!G38&lt;'INM_New Techs'!$AL$108,'INM_New Techs'!$AL$108,'Inputs_BY INM'!G38)*$AN$108</f>
        <v>0.63</v>
      </c>
      <c r="K108" s="76">
        <f>IF('Inputs_BY INM'!H38&lt;'INM_New Techs'!$AL$108,'INM_New Techs'!$AL$108,'Inputs_BY INM'!H38)*$AN$108</f>
        <v>0.72075554556967214</v>
      </c>
      <c r="L108" s="76">
        <f>IF('Inputs_BY INM'!I38&lt;'INM_New Techs'!$AL$108,'INM_New Techs'!$AL$108,'Inputs_BY INM'!I38)*$AN$108</f>
        <v>0.63</v>
      </c>
      <c r="M108" s="76">
        <f>IF('Inputs_BY INM'!J38&lt;'INM_New Techs'!$AL$108,'INM_New Techs'!$AL$108,'Inputs_BY INM'!J38)*$AN$108</f>
        <v>0.69632672485517377</v>
      </c>
      <c r="N108" s="76">
        <f>IF('Inputs_BY INM'!K38&lt;'INM_New Techs'!$AL$108,'INM_New Techs'!$AL$108,'Inputs_BY INM'!K38)*$AN$108</f>
        <v>0.86515677873698227</v>
      </c>
      <c r="O108" s="76">
        <f>IF('Inputs_BY INM'!L38&lt;'INM_New Techs'!$AL$108,'INM_New Techs'!$AL$108,'Inputs_BY INM'!L38)*$AN$108</f>
        <v>0.63</v>
      </c>
      <c r="P108" s="76">
        <f>IF('Inputs_BY INM'!M38&lt;'INM_New Techs'!$AL$108,'INM_New Techs'!$AL$108,'Inputs_BY INM'!M38)*$AN$108</f>
        <v>0.63</v>
      </c>
      <c r="Q108" s="76">
        <f>IF('Inputs_BY INM'!N38&lt;'INM_New Techs'!$AL$108,'INM_New Techs'!$AL$108,'Inputs_BY INM'!N38)*$AN$108</f>
        <v>0.91796570121951226</v>
      </c>
      <c r="R108" s="76">
        <f>IF('Inputs_BY INM'!O38&lt;'INM_New Techs'!$AL$108,'INM_New Techs'!$AL$108,'Inputs_BY INM'!O38)*$AN$108</f>
        <v>0.63</v>
      </c>
      <c r="S108" s="76">
        <f>IF('Inputs_BY INM'!P38&lt;'INM_New Techs'!$AL$108,'INM_New Techs'!$AL$108,'Inputs_BY INM'!P38)*$AN$108</f>
        <v>0.63</v>
      </c>
      <c r="T108" s="76">
        <f>IF('Inputs_BY INM'!Q38&lt;'INM_New Techs'!$AL$108,'INM_New Techs'!$AL$108,'Inputs_BY INM'!Q38)*$AN$108</f>
        <v>0.75597814039112143</v>
      </c>
      <c r="U108" s="76">
        <f>IF('Inputs_BY INM'!R38&lt;'INM_New Techs'!$AL$108,'INM_New Techs'!$AL$108,'Inputs_BY INM'!R38)*$AN$108</f>
        <v>0.89627771957142111</v>
      </c>
      <c r="V108" s="76">
        <f>IF('Inputs_BY INM'!S38&lt;'INM_New Techs'!$AL$108,'INM_New Techs'!$AL$108,'Inputs_BY INM'!S38)*$AN$108</f>
        <v>0.69918962524252026</v>
      </c>
      <c r="W108" s="76">
        <f>IF('Inputs_BY INM'!T38&lt;'INM_New Techs'!$AL$108,'INM_New Techs'!$AL$108,'Inputs_BY INM'!T38)*$AN$108</f>
        <v>0.80766477947857696</v>
      </c>
      <c r="X108" s="76">
        <f>IF('Inputs_BY INM'!U38&lt;'INM_New Techs'!$AL$108,'INM_New Techs'!$AL$108,'Inputs_BY INM'!U38)*$AN$108</f>
        <v>0.66957366819262931</v>
      </c>
      <c r="Y108" s="76">
        <f>IF('Inputs_BY INM'!V38&lt;'INM_New Techs'!$AL$108,'INM_New Techs'!$AL$108,'Inputs_BY INM'!V38)*$AN$108</f>
        <v>0.77617049337835353</v>
      </c>
      <c r="Z108" s="76">
        <f>IF('Inputs_BY INM'!W38&lt;'INM_New Techs'!$AL$108,'INM_New Techs'!$AL$108,'Inputs_BY INM'!W38)*$AN$108</f>
        <v>0.71059794946585397</v>
      </c>
      <c r="AA108" s="76">
        <f>IF('Inputs_BY INM'!X38&lt;'INM_New Techs'!$AL$108,'INM_New Techs'!$AL$108,'Inputs_BY INM'!X38)*$AN$108</f>
        <v>0.82982209694042663</v>
      </c>
      <c r="AB108" s="76">
        <f>IF('Inputs_BY INM'!Y38&lt;'INM_New Techs'!$AL$108,'INM_New Techs'!$AL$108,'Inputs_BY INM'!Y38)*$AN$108</f>
        <v>0.6956298347604537</v>
      </c>
      <c r="AC108" s="76">
        <f>IF('Inputs_BY INM'!Z38&lt;'INM_New Techs'!$AL$108,'INM_New Techs'!$AL$108,'Inputs_BY INM'!Z38)*$AN$108</f>
        <v>0.7808148866519008</v>
      </c>
      <c r="AD108" s="76">
        <f>IF('Inputs_BY INM'!AA38&lt;'INM_New Techs'!$AL$108,'INM_New Techs'!$AL$108,'Inputs_BY INM'!AA38)*$AN$108</f>
        <v>0.86320821576537077</v>
      </c>
      <c r="AE108" s="76">
        <f>IF('Inputs_BY INM'!AB38&lt;'INM_New Techs'!$AL$108,'INM_New Techs'!$AL$108,'Inputs_BY INM'!AB38)*$AN$108</f>
        <v>0.79173789845232889</v>
      </c>
      <c r="AF108" s="76">
        <f>IF('Inputs_BY INM'!AC38&lt;'INM_New Techs'!$AL$108,'INM_New Techs'!$AL$108,'Inputs_BY INM'!AC38)*$AN$108</f>
        <v>0.67063545150501691</v>
      </c>
      <c r="AG108" s="76">
        <f>IF('Inputs_BY INM'!AD38&lt;'INM_New Techs'!$AL$108,'INM_New Techs'!$AL$108,'Inputs_BY INM'!AD38)*$AN$108</f>
        <v>0.63</v>
      </c>
      <c r="AH108" s="76">
        <f>IF('Inputs_BY INM'!AE38&lt;'INM_New Techs'!$AL$108,'INM_New Techs'!$AL$108,'Inputs_BY INM'!AE38)*$AN$108</f>
        <v>0.81639363279587607</v>
      </c>
      <c r="AI108" s="76">
        <f>IF('Inputs_BY INM'!AF38&lt;'INM_New Techs'!$AL$108,'INM_New Techs'!$AL$108,'Inputs_BY INM'!AF38)*$AN$108</f>
        <v>0.80295119182746888</v>
      </c>
      <c r="AJ108" s="68"/>
      <c r="AL108" s="480">
        <v>0.7</v>
      </c>
      <c r="AM108" s="481" t="s">
        <v>985</v>
      </c>
      <c r="AN108" s="482">
        <v>0.9</v>
      </c>
      <c r="AO108" s="482" t="s">
        <v>986</v>
      </c>
      <c r="AP108" s="452"/>
      <c r="AQ108" s="452"/>
      <c r="AR108" s="452"/>
    </row>
    <row r="109" spans="1:46" x14ac:dyDescent="0.25">
      <c r="C109" s="9" t="s">
        <v>882</v>
      </c>
      <c r="E109" s="9" t="s">
        <v>470</v>
      </c>
      <c r="F109" s="9">
        <v>2030</v>
      </c>
      <c r="G109" s="9" t="s">
        <v>580</v>
      </c>
      <c r="H109" s="76">
        <f>AVERAGE(H108,H110)</f>
        <v>0.68260345734743522</v>
      </c>
      <c r="I109" s="76">
        <f t="shared" ref="I109:AI109" si="34">AVERAGE(I108,I110)</f>
        <v>0.65098822208197216</v>
      </c>
      <c r="J109" s="76">
        <f t="shared" si="34"/>
        <v>0.61499999999999999</v>
      </c>
      <c r="K109" s="76">
        <f t="shared" si="34"/>
        <v>0.66037777278483611</v>
      </c>
      <c r="L109" s="76">
        <f t="shared" si="34"/>
        <v>0.61499999999999999</v>
      </c>
      <c r="M109" s="76">
        <f t="shared" si="34"/>
        <v>0.64816336242758688</v>
      </c>
      <c r="N109" s="76">
        <f t="shared" si="34"/>
        <v>0.73257838936849118</v>
      </c>
      <c r="O109" s="76">
        <f t="shared" si="34"/>
        <v>0.61499999999999999</v>
      </c>
      <c r="P109" s="76">
        <f t="shared" si="34"/>
        <v>0.61499999999999999</v>
      </c>
      <c r="Q109" s="76">
        <f t="shared" si="34"/>
        <v>0.75898285060975612</v>
      </c>
      <c r="R109" s="76">
        <f t="shared" si="34"/>
        <v>0.61499999999999999</v>
      </c>
      <c r="S109" s="76">
        <f t="shared" si="34"/>
        <v>0.61499999999999999</v>
      </c>
      <c r="T109" s="76">
        <f t="shared" si="34"/>
        <v>0.67798907019556065</v>
      </c>
      <c r="U109" s="76">
        <f t="shared" si="34"/>
        <v>0.7481388597857106</v>
      </c>
      <c r="V109" s="76">
        <f t="shared" si="34"/>
        <v>0.64959481262126006</v>
      </c>
      <c r="W109" s="76">
        <f t="shared" si="34"/>
        <v>0.70383238973928841</v>
      </c>
      <c r="X109" s="76">
        <f t="shared" si="34"/>
        <v>0.63478683409631464</v>
      </c>
      <c r="Y109" s="76">
        <f t="shared" si="34"/>
        <v>0.6880852466891767</v>
      </c>
      <c r="Z109" s="76">
        <f t="shared" si="34"/>
        <v>0.65529897473292698</v>
      </c>
      <c r="AA109" s="76">
        <f t="shared" si="34"/>
        <v>0.71491104847021325</v>
      </c>
      <c r="AB109" s="76">
        <f t="shared" si="34"/>
        <v>0.64781491738022678</v>
      </c>
      <c r="AC109" s="76">
        <f t="shared" si="34"/>
        <v>0.69040744332595039</v>
      </c>
      <c r="AD109" s="76">
        <f t="shared" si="34"/>
        <v>0.73160410788268537</v>
      </c>
      <c r="AE109" s="76">
        <f t="shared" si="34"/>
        <v>0.69586894922616449</v>
      </c>
      <c r="AF109" s="76">
        <f t="shared" si="34"/>
        <v>0.63531772575250844</v>
      </c>
      <c r="AG109" s="76">
        <f t="shared" si="34"/>
        <v>0.61499999999999999</v>
      </c>
      <c r="AH109" s="76">
        <f t="shared" si="34"/>
        <v>0.70819681639793797</v>
      </c>
      <c r="AI109" s="76">
        <f t="shared" si="34"/>
        <v>0.70147559591373443</v>
      </c>
      <c r="AJ109" s="68"/>
      <c r="AL109" s="476"/>
      <c r="AM109" s="452"/>
      <c r="AN109" s="452"/>
      <c r="AO109" s="452"/>
      <c r="AP109" s="452"/>
      <c r="AQ109" s="452"/>
      <c r="AR109" s="452"/>
    </row>
    <row r="110" spans="1:46" x14ac:dyDescent="0.25">
      <c r="C110" s="9" t="s">
        <v>882</v>
      </c>
      <c r="E110" s="9" t="s">
        <v>470</v>
      </c>
      <c r="F110" s="9">
        <v>2040</v>
      </c>
      <c r="G110" s="9" t="s">
        <v>580</v>
      </c>
      <c r="H110" s="76">
        <f>$AL$110</f>
        <v>0.6</v>
      </c>
      <c r="I110" s="76">
        <f t="shared" ref="I110:AI110" si="35">$AL$110</f>
        <v>0.6</v>
      </c>
      <c r="J110" s="76">
        <f t="shared" si="35"/>
        <v>0.6</v>
      </c>
      <c r="K110" s="76">
        <f t="shared" si="35"/>
        <v>0.6</v>
      </c>
      <c r="L110" s="76">
        <f t="shared" si="35"/>
        <v>0.6</v>
      </c>
      <c r="M110" s="76">
        <f t="shared" si="35"/>
        <v>0.6</v>
      </c>
      <c r="N110" s="76">
        <f t="shared" si="35"/>
        <v>0.6</v>
      </c>
      <c r="O110" s="76">
        <f t="shared" si="35"/>
        <v>0.6</v>
      </c>
      <c r="P110" s="76">
        <f t="shared" si="35"/>
        <v>0.6</v>
      </c>
      <c r="Q110" s="76">
        <f t="shared" si="35"/>
        <v>0.6</v>
      </c>
      <c r="R110" s="76">
        <f t="shared" si="35"/>
        <v>0.6</v>
      </c>
      <c r="S110" s="76">
        <f t="shared" si="35"/>
        <v>0.6</v>
      </c>
      <c r="T110" s="76">
        <f t="shared" si="35"/>
        <v>0.6</v>
      </c>
      <c r="U110" s="76">
        <f t="shared" si="35"/>
        <v>0.6</v>
      </c>
      <c r="V110" s="76">
        <f t="shared" si="35"/>
        <v>0.6</v>
      </c>
      <c r="W110" s="76">
        <f t="shared" si="35"/>
        <v>0.6</v>
      </c>
      <c r="X110" s="76">
        <f t="shared" si="35"/>
        <v>0.6</v>
      </c>
      <c r="Y110" s="76">
        <f t="shared" si="35"/>
        <v>0.6</v>
      </c>
      <c r="Z110" s="76">
        <f t="shared" si="35"/>
        <v>0.6</v>
      </c>
      <c r="AA110" s="76">
        <f t="shared" si="35"/>
        <v>0.6</v>
      </c>
      <c r="AB110" s="76">
        <f t="shared" si="35"/>
        <v>0.6</v>
      </c>
      <c r="AC110" s="76">
        <f t="shared" si="35"/>
        <v>0.6</v>
      </c>
      <c r="AD110" s="76">
        <f t="shared" si="35"/>
        <v>0.6</v>
      </c>
      <c r="AE110" s="76">
        <f t="shared" si="35"/>
        <v>0.6</v>
      </c>
      <c r="AF110" s="76">
        <f t="shared" si="35"/>
        <v>0.6</v>
      </c>
      <c r="AG110" s="76">
        <f t="shared" si="35"/>
        <v>0.6</v>
      </c>
      <c r="AH110" s="76">
        <f t="shared" si="35"/>
        <v>0.6</v>
      </c>
      <c r="AI110" s="76">
        <f t="shared" si="35"/>
        <v>0.6</v>
      </c>
      <c r="AJ110" s="68"/>
      <c r="AL110" s="476">
        <v>0.6</v>
      </c>
      <c r="AM110" s="452"/>
      <c r="AN110" s="452"/>
      <c r="AO110" s="452"/>
      <c r="AP110" s="452"/>
      <c r="AQ110" s="452"/>
      <c r="AR110" s="452"/>
    </row>
    <row r="111" spans="1:46" x14ac:dyDescent="0.25">
      <c r="A111" s="9" t="str">
        <f>A18</f>
        <v>I-CM-GRND-LOWCNK01</v>
      </c>
      <c r="B111" s="9" t="str">
        <f>B18</f>
        <v>IND Cement technology: Grinding - Low clinker blend</v>
      </c>
      <c r="C111" s="9" t="s">
        <v>126</v>
      </c>
      <c r="E111" s="9" t="s">
        <v>470</v>
      </c>
      <c r="G111" s="9" t="s">
        <v>449</v>
      </c>
      <c r="H111" s="76">
        <f>$AL$111</f>
        <v>0.34199999999999997</v>
      </c>
      <c r="I111" s="76">
        <f t="shared" ref="I111:AI111" si="36">$AL$111</f>
        <v>0.34199999999999997</v>
      </c>
      <c r="J111" s="76">
        <f t="shared" si="36"/>
        <v>0.34199999999999997</v>
      </c>
      <c r="K111" s="76">
        <f t="shared" si="36"/>
        <v>0.34199999999999997</v>
      </c>
      <c r="L111" s="76">
        <f t="shared" si="36"/>
        <v>0.34199999999999997</v>
      </c>
      <c r="M111" s="76">
        <f t="shared" si="36"/>
        <v>0.34199999999999997</v>
      </c>
      <c r="N111" s="76">
        <f t="shared" si="36"/>
        <v>0.34199999999999997</v>
      </c>
      <c r="O111" s="76">
        <f t="shared" si="36"/>
        <v>0.34199999999999997</v>
      </c>
      <c r="P111" s="76">
        <f t="shared" si="36"/>
        <v>0.34199999999999997</v>
      </c>
      <c r="Q111" s="76">
        <f t="shared" si="36"/>
        <v>0.34199999999999997</v>
      </c>
      <c r="R111" s="76">
        <f t="shared" si="36"/>
        <v>0.34199999999999997</v>
      </c>
      <c r="S111" s="76">
        <f t="shared" si="36"/>
        <v>0.34199999999999997</v>
      </c>
      <c r="T111" s="76">
        <f t="shared" si="36"/>
        <v>0.34199999999999997</v>
      </c>
      <c r="U111" s="76">
        <f t="shared" si="36"/>
        <v>0.34199999999999997</v>
      </c>
      <c r="V111" s="76">
        <f t="shared" si="36"/>
        <v>0.34199999999999997</v>
      </c>
      <c r="W111" s="76">
        <f t="shared" si="36"/>
        <v>0.34199999999999997</v>
      </c>
      <c r="X111" s="76">
        <f t="shared" si="36"/>
        <v>0.34199999999999997</v>
      </c>
      <c r="Y111" s="76">
        <f t="shared" si="36"/>
        <v>0.34199999999999997</v>
      </c>
      <c r="Z111" s="76">
        <f t="shared" si="36"/>
        <v>0.34199999999999997</v>
      </c>
      <c r="AA111" s="76">
        <f t="shared" si="36"/>
        <v>0.34199999999999997</v>
      </c>
      <c r="AB111" s="76">
        <f t="shared" si="36"/>
        <v>0.34199999999999997</v>
      </c>
      <c r="AC111" s="76">
        <f t="shared" si="36"/>
        <v>0.34199999999999997</v>
      </c>
      <c r="AD111" s="76">
        <f t="shared" si="36"/>
        <v>0.34199999999999997</v>
      </c>
      <c r="AE111" s="76">
        <f t="shared" si="36"/>
        <v>0.34199999999999997</v>
      </c>
      <c r="AF111" s="76">
        <f t="shared" si="36"/>
        <v>0.34199999999999997</v>
      </c>
      <c r="AG111" s="76">
        <f t="shared" si="36"/>
        <v>0.34199999999999997</v>
      </c>
      <c r="AH111" s="76">
        <f t="shared" si="36"/>
        <v>0.34199999999999997</v>
      </c>
      <c r="AI111" s="76">
        <f t="shared" si="36"/>
        <v>0.34199999999999997</v>
      </c>
      <c r="AJ111" s="68"/>
      <c r="AK111" s="452"/>
      <c r="AL111" s="145">
        <f>95*'Inputs_BY INM'!AK68*1000</f>
        <v>0.34199999999999997</v>
      </c>
      <c r="AM111" s="452"/>
      <c r="AN111" s="452"/>
      <c r="AO111" s="452"/>
      <c r="AP111" s="452"/>
      <c r="AQ111" s="452"/>
      <c r="AR111" s="452"/>
    </row>
    <row r="112" spans="1:46" x14ac:dyDescent="0.25">
      <c r="C112" s="9" t="s">
        <v>882</v>
      </c>
      <c r="E112" s="9" t="s">
        <v>470</v>
      </c>
      <c r="F112" s="9">
        <v>2035</v>
      </c>
      <c r="G112" s="9" t="s">
        <v>580</v>
      </c>
      <c r="H112" s="9">
        <f>$AL$112</f>
        <v>0.5</v>
      </c>
      <c r="I112" s="9">
        <f t="shared" ref="I112:AI112" si="37">$AL$112</f>
        <v>0.5</v>
      </c>
      <c r="J112" s="9">
        <f t="shared" si="37"/>
        <v>0.5</v>
      </c>
      <c r="K112" s="9">
        <f t="shared" si="37"/>
        <v>0.5</v>
      </c>
      <c r="L112" s="9">
        <f t="shared" si="37"/>
        <v>0.5</v>
      </c>
      <c r="M112" s="9">
        <f t="shared" si="37"/>
        <v>0.5</v>
      </c>
      <c r="N112" s="9">
        <f t="shared" si="37"/>
        <v>0.5</v>
      </c>
      <c r="O112" s="9">
        <f t="shared" si="37"/>
        <v>0.5</v>
      </c>
      <c r="P112" s="9">
        <f t="shared" si="37"/>
        <v>0.5</v>
      </c>
      <c r="Q112" s="9">
        <f t="shared" si="37"/>
        <v>0.5</v>
      </c>
      <c r="R112" s="9">
        <f t="shared" si="37"/>
        <v>0.5</v>
      </c>
      <c r="S112" s="9">
        <f t="shared" si="37"/>
        <v>0.5</v>
      </c>
      <c r="T112" s="9">
        <f t="shared" si="37"/>
        <v>0.5</v>
      </c>
      <c r="U112" s="9">
        <f t="shared" si="37"/>
        <v>0.5</v>
      </c>
      <c r="V112" s="9">
        <f t="shared" si="37"/>
        <v>0.5</v>
      </c>
      <c r="W112" s="9">
        <f t="shared" si="37"/>
        <v>0.5</v>
      </c>
      <c r="X112" s="9">
        <f t="shared" si="37"/>
        <v>0.5</v>
      </c>
      <c r="Y112" s="9">
        <f t="shared" si="37"/>
        <v>0.5</v>
      </c>
      <c r="Z112" s="9">
        <f t="shared" si="37"/>
        <v>0.5</v>
      </c>
      <c r="AA112" s="9">
        <f t="shared" si="37"/>
        <v>0.5</v>
      </c>
      <c r="AB112" s="9">
        <f t="shared" si="37"/>
        <v>0.5</v>
      </c>
      <c r="AC112" s="9">
        <f t="shared" si="37"/>
        <v>0.5</v>
      </c>
      <c r="AD112" s="9">
        <f t="shared" si="37"/>
        <v>0.5</v>
      </c>
      <c r="AE112" s="9">
        <f t="shared" si="37"/>
        <v>0.5</v>
      </c>
      <c r="AF112" s="9">
        <f t="shared" si="37"/>
        <v>0.5</v>
      </c>
      <c r="AG112" s="9">
        <f t="shared" si="37"/>
        <v>0.5</v>
      </c>
      <c r="AH112" s="9">
        <f t="shared" si="37"/>
        <v>0.5</v>
      </c>
      <c r="AI112" s="9">
        <f t="shared" si="37"/>
        <v>0.5</v>
      </c>
      <c r="AJ112" s="68"/>
      <c r="AK112" s="452"/>
      <c r="AL112" s="452">
        <v>0.5</v>
      </c>
      <c r="AM112" s="453" t="s">
        <v>987</v>
      </c>
      <c r="AN112" s="452"/>
      <c r="AO112" s="452"/>
      <c r="AP112" s="452"/>
      <c r="AQ112" s="452"/>
      <c r="AR112" s="452"/>
    </row>
    <row r="113" spans="1:44" x14ac:dyDescent="0.25">
      <c r="G113" s="146"/>
      <c r="I113" s="62"/>
      <c r="K113"/>
      <c r="L113"/>
      <c r="R113" s="68"/>
      <c r="S113" s="68"/>
      <c r="T113" s="68"/>
      <c r="U113" s="68"/>
      <c r="V113" s="68"/>
      <c r="W113" s="68"/>
      <c r="X113" s="68"/>
      <c r="Y113" s="68"/>
      <c r="Z113" s="68"/>
      <c r="AA113" s="68"/>
      <c r="AB113" s="68"/>
      <c r="AC113" s="68"/>
      <c r="AD113" s="68"/>
      <c r="AE113" s="68"/>
      <c r="AF113" s="68"/>
      <c r="AG113" s="68"/>
      <c r="AH113" s="68"/>
      <c r="AI113" s="68"/>
      <c r="AJ113" s="68"/>
      <c r="AK113" s="452"/>
      <c r="AL113" s="452"/>
      <c r="AM113" s="452"/>
      <c r="AN113" s="452"/>
      <c r="AO113" s="452"/>
      <c r="AP113" s="452"/>
      <c r="AQ113" s="452"/>
      <c r="AR113" s="452"/>
    </row>
    <row r="114" spans="1:44" x14ac:dyDescent="0.25">
      <c r="G114" s="146"/>
      <c r="I114" s="62"/>
      <c r="K114"/>
      <c r="L114"/>
      <c r="R114" s="68"/>
      <c r="S114" s="68"/>
      <c r="T114" s="68"/>
      <c r="U114" s="68"/>
      <c r="V114" s="68"/>
      <c r="W114" s="68"/>
      <c r="X114" s="68"/>
      <c r="Y114" s="68"/>
      <c r="Z114" s="68"/>
      <c r="AA114" s="68"/>
      <c r="AB114" s="68"/>
      <c r="AC114" s="68"/>
      <c r="AD114" s="68"/>
      <c r="AE114" s="68"/>
      <c r="AF114" s="68"/>
      <c r="AG114" s="68"/>
      <c r="AH114" s="68"/>
      <c r="AI114" s="68"/>
      <c r="AJ114" s="68"/>
      <c r="AK114" s="452"/>
      <c r="AL114" s="452"/>
      <c r="AM114" s="452"/>
      <c r="AN114" s="452"/>
      <c r="AO114" s="452"/>
      <c r="AP114" s="452"/>
      <c r="AQ114" s="452"/>
      <c r="AR114" s="452"/>
    </row>
    <row r="115" spans="1:44" x14ac:dyDescent="0.25">
      <c r="G115" s="146"/>
      <c r="I115" s="62"/>
      <c r="K115"/>
      <c r="L115"/>
      <c r="R115" s="68"/>
      <c r="S115" s="68"/>
      <c r="T115" s="68"/>
      <c r="U115" s="68"/>
      <c r="V115" s="68"/>
      <c r="W115" s="68"/>
      <c r="X115" s="68"/>
      <c r="Y115" s="68"/>
      <c r="Z115" s="68"/>
      <c r="AA115" s="68"/>
      <c r="AB115" s="68"/>
      <c r="AC115" s="68"/>
      <c r="AD115" s="68"/>
      <c r="AE115" s="68"/>
      <c r="AF115" s="68"/>
      <c r="AG115" s="68"/>
      <c r="AH115" s="68"/>
      <c r="AI115" s="68"/>
      <c r="AJ115" s="68"/>
      <c r="AK115" s="452"/>
      <c r="AL115" s="452"/>
      <c r="AM115" s="452"/>
      <c r="AN115" s="452"/>
      <c r="AO115" s="452"/>
      <c r="AP115" s="452"/>
      <c r="AQ115" s="452"/>
      <c r="AR115" s="452"/>
    </row>
    <row r="116" spans="1:44" x14ac:dyDescent="0.25">
      <c r="A116" s="52" t="s">
        <v>300</v>
      </c>
      <c r="G116" s="9"/>
      <c r="H116"/>
      <c r="M116" s="53"/>
      <c r="N116" s="53"/>
      <c r="O116" s="53"/>
      <c r="P116" s="53"/>
      <c r="Q116" s="53"/>
      <c r="R116" s="53"/>
      <c r="S116" s="53"/>
      <c r="T116" s="53"/>
      <c r="U116" s="53"/>
      <c r="V116" s="53"/>
      <c r="W116" s="53"/>
      <c r="X116" s="53"/>
      <c r="Y116" s="53"/>
      <c r="Z116" s="53"/>
      <c r="AA116" s="53"/>
      <c r="AB116" s="53"/>
      <c r="AC116" s="53"/>
      <c r="AD116" s="53"/>
      <c r="AE116" s="53"/>
      <c r="AF116" s="53"/>
      <c r="AG116" s="9" t="s">
        <v>558</v>
      </c>
      <c r="AH116" s="53"/>
      <c r="AI116" s="53"/>
      <c r="AJ116" s="68"/>
      <c r="AK116" s="452"/>
      <c r="AL116" s="452"/>
      <c r="AM116" s="452"/>
      <c r="AN116" s="452"/>
      <c r="AO116" s="452"/>
      <c r="AP116" s="452"/>
      <c r="AQ116" s="452"/>
      <c r="AR116" s="452"/>
    </row>
    <row r="117" spans="1:44" ht="30.75" thickBot="1" x14ac:dyDescent="0.3">
      <c r="A117" s="54" t="s">
        <v>306</v>
      </c>
      <c r="B117" s="55" t="s">
        <v>545</v>
      </c>
      <c r="C117" s="54" t="s">
        <v>325</v>
      </c>
      <c r="D117" s="54" t="s">
        <v>302</v>
      </c>
      <c r="E117" s="54" t="s">
        <v>326</v>
      </c>
      <c r="F117" s="54" t="s">
        <v>582</v>
      </c>
      <c r="G117" s="54" t="s">
        <v>549</v>
      </c>
      <c r="H117" s="54" t="s">
        <v>162</v>
      </c>
      <c r="I117" s="54" t="s">
        <v>164</v>
      </c>
      <c r="J117" s="54" t="s">
        <v>166</v>
      </c>
      <c r="K117" s="54" t="s">
        <v>168</v>
      </c>
      <c r="L117" s="54" t="s">
        <v>170</v>
      </c>
      <c r="M117" s="54" t="s">
        <v>173</v>
      </c>
      <c r="N117" s="54" t="s">
        <v>175</v>
      </c>
      <c r="O117" s="54" t="s">
        <v>177</v>
      </c>
      <c r="P117" s="54" t="s">
        <v>179</v>
      </c>
      <c r="Q117" s="54" t="s">
        <v>181</v>
      </c>
      <c r="R117" s="54" t="s">
        <v>183</v>
      </c>
      <c r="S117" s="54" t="s">
        <v>185</v>
      </c>
      <c r="T117" s="54" t="s">
        <v>188</v>
      </c>
      <c r="U117" s="54" t="s">
        <v>190</v>
      </c>
      <c r="V117" s="54" t="s">
        <v>192</v>
      </c>
      <c r="W117" s="54" t="s">
        <v>194</v>
      </c>
      <c r="X117" s="54" t="s">
        <v>196</v>
      </c>
      <c r="Y117" s="54" t="s">
        <v>198</v>
      </c>
      <c r="Z117" s="54" t="s">
        <v>9</v>
      </c>
      <c r="AA117" s="54" t="s">
        <v>201</v>
      </c>
      <c r="AB117" s="54" t="s">
        <v>203</v>
      </c>
      <c r="AC117" s="54" t="s">
        <v>205</v>
      </c>
      <c r="AD117" s="54" t="s">
        <v>207</v>
      </c>
      <c r="AE117" s="54" t="s">
        <v>210</v>
      </c>
      <c r="AF117" s="54" t="s">
        <v>212</v>
      </c>
      <c r="AG117" s="54" t="s">
        <v>214</v>
      </c>
      <c r="AH117" s="54" t="s">
        <v>217</v>
      </c>
      <c r="AI117" s="54" t="s">
        <v>219</v>
      </c>
      <c r="AJ117" s="68"/>
      <c r="AK117" s="452"/>
      <c r="AL117" s="452"/>
      <c r="AM117" s="452"/>
      <c r="AN117" s="452"/>
      <c r="AO117" s="452"/>
      <c r="AP117" s="452"/>
      <c r="AQ117" s="452"/>
      <c r="AR117" s="452"/>
    </row>
    <row r="118" spans="1:44" ht="25.5" x14ac:dyDescent="0.25">
      <c r="A118" s="50" t="s">
        <v>551</v>
      </c>
      <c r="B118" s="50" t="s">
        <v>26</v>
      </c>
      <c r="C118" s="50" t="s">
        <v>328</v>
      </c>
      <c r="D118" s="50" t="s">
        <v>576</v>
      </c>
      <c r="E118" s="50" t="s">
        <v>329</v>
      </c>
      <c r="F118" s="50"/>
      <c r="G118" s="50" t="s">
        <v>556</v>
      </c>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68"/>
      <c r="AK118" s="452"/>
      <c r="AL118" s="452" t="s">
        <v>988</v>
      </c>
      <c r="AM118" s="452"/>
      <c r="AN118" s="452"/>
      <c r="AO118" s="452"/>
      <c r="AP118" s="452"/>
      <c r="AQ118" s="452"/>
      <c r="AR118" s="452"/>
    </row>
    <row r="119" spans="1:44" x14ac:dyDescent="0.25">
      <c r="A119" s="9" t="str">
        <f t="shared" ref="A119:B123" si="38">A11</f>
        <v>I-CM-DRYKILN01</v>
      </c>
      <c r="B119" s="9" t="str">
        <f t="shared" si="38"/>
        <v>IND Cement technology: Dry kiln</v>
      </c>
      <c r="E119" s="9" t="s">
        <v>624</v>
      </c>
      <c r="F119" s="9">
        <f>G11</f>
        <v>2020</v>
      </c>
      <c r="G119" s="9" t="s">
        <v>989</v>
      </c>
      <c r="H119" s="76">
        <f>$AK119</f>
        <v>432.44712011391624</v>
      </c>
      <c r="I119" s="76">
        <f t="shared" ref="I119:AI128" si="39">$AK119</f>
        <v>432.44712011391624</v>
      </c>
      <c r="J119" s="76">
        <f t="shared" si="39"/>
        <v>432.44712011391624</v>
      </c>
      <c r="K119" s="76">
        <f t="shared" si="39"/>
        <v>432.44712011391624</v>
      </c>
      <c r="L119" s="76">
        <f t="shared" si="39"/>
        <v>432.44712011391624</v>
      </c>
      <c r="M119" s="76">
        <f t="shared" si="39"/>
        <v>432.44712011391624</v>
      </c>
      <c r="N119" s="76">
        <f t="shared" si="39"/>
        <v>432.44712011391624</v>
      </c>
      <c r="O119" s="76">
        <f t="shared" si="39"/>
        <v>432.44712011391624</v>
      </c>
      <c r="P119" s="76">
        <f t="shared" si="39"/>
        <v>432.44712011391624</v>
      </c>
      <c r="Q119" s="76">
        <f t="shared" si="39"/>
        <v>432.44712011391624</v>
      </c>
      <c r="R119" s="76">
        <f t="shared" si="39"/>
        <v>432.44712011391624</v>
      </c>
      <c r="S119" s="76">
        <f t="shared" si="39"/>
        <v>432.44712011391624</v>
      </c>
      <c r="T119" s="76">
        <f t="shared" si="39"/>
        <v>432.44712011391624</v>
      </c>
      <c r="U119" s="76">
        <f t="shared" si="39"/>
        <v>432.44712011391624</v>
      </c>
      <c r="V119" s="76">
        <f t="shared" si="39"/>
        <v>432.44712011391624</v>
      </c>
      <c r="W119" s="76">
        <f t="shared" si="39"/>
        <v>432.44712011391624</v>
      </c>
      <c r="X119" s="76">
        <f t="shared" si="39"/>
        <v>432.44712011391624</v>
      </c>
      <c r="Y119" s="76">
        <f t="shared" si="39"/>
        <v>432.44712011391624</v>
      </c>
      <c r="Z119" s="76">
        <f t="shared" si="39"/>
        <v>432.44712011391624</v>
      </c>
      <c r="AA119" s="76">
        <f t="shared" si="39"/>
        <v>432.44712011391624</v>
      </c>
      <c r="AB119" s="76">
        <f t="shared" si="39"/>
        <v>432.44712011391624</v>
      </c>
      <c r="AC119" s="76">
        <f t="shared" si="39"/>
        <v>432.44712011391624</v>
      </c>
      <c r="AD119" s="76">
        <f t="shared" si="39"/>
        <v>432.44712011391624</v>
      </c>
      <c r="AE119" s="76">
        <f t="shared" si="39"/>
        <v>432.44712011391624</v>
      </c>
      <c r="AF119" s="76">
        <f t="shared" si="39"/>
        <v>432.44712011391624</v>
      </c>
      <c r="AG119" s="76">
        <f t="shared" si="39"/>
        <v>432.44712011391624</v>
      </c>
      <c r="AH119" s="76">
        <f t="shared" si="39"/>
        <v>432.44712011391624</v>
      </c>
      <c r="AI119" s="76">
        <f t="shared" si="39"/>
        <v>432.44712011391624</v>
      </c>
      <c r="AJ119" s="68"/>
      <c r="AK119" s="476">
        <f>Cem_NewTechs!$F$4</f>
        <v>432.44712011391624</v>
      </c>
      <c r="AL119" s="452"/>
      <c r="AM119" s="452"/>
      <c r="AN119" s="452"/>
      <c r="AO119" s="452"/>
      <c r="AP119" s="452"/>
      <c r="AQ119" s="452"/>
      <c r="AR119" s="452"/>
    </row>
    <row r="120" spans="1:44" x14ac:dyDescent="0.25">
      <c r="A120" s="9" t="str">
        <f t="shared" si="38"/>
        <v>I-CM-DRYKILN-PH-PC01</v>
      </c>
      <c r="B120" s="9" t="str">
        <f t="shared" si="38"/>
        <v>IND Cement technology: Dry kiln - Pre-heater &amp; pre-calciner</v>
      </c>
      <c r="E120" s="9" t="s">
        <v>624</v>
      </c>
      <c r="F120" s="9">
        <f>G12</f>
        <v>2020</v>
      </c>
      <c r="G120" s="9" t="s">
        <v>989</v>
      </c>
      <c r="H120" s="76">
        <f t="shared" ref="H120:W128" si="40">$AK120</f>
        <v>475.69183212530788</v>
      </c>
      <c r="I120" s="76">
        <f t="shared" si="40"/>
        <v>475.69183212530788</v>
      </c>
      <c r="J120" s="76">
        <f t="shared" si="40"/>
        <v>475.69183212530788</v>
      </c>
      <c r="K120" s="76">
        <f t="shared" si="40"/>
        <v>475.69183212530788</v>
      </c>
      <c r="L120" s="76">
        <f t="shared" si="40"/>
        <v>475.69183212530788</v>
      </c>
      <c r="M120" s="76">
        <f t="shared" si="40"/>
        <v>475.69183212530788</v>
      </c>
      <c r="N120" s="76">
        <f t="shared" si="40"/>
        <v>475.69183212530788</v>
      </c>
      <c r="O120" s="76">
        <f t="shared" si="40"/>
        <v>475.69183212530788</v>
      </c>
      <c r="P120" s="76">
        <f t="shared" si="40"/>
        <v>475.69183212530788</v>
      </c>
      <c r="Q120" s="76">
        <f t="shared" si="40"/>
        <v>475.69183212530788</v>
      </c>
      <c r="R120" s="76">
        <f t="shared" si="40"/>
        <v>475.69183212530788</v>
      </c>
      <c r="S120" s="76">
        <f t="shared" si="40"/>
        <v>475.69183212530788</v>
      </c>
      <c r="T120" s="76">
        <f t="shared" si="40"/>
        <v>475.69183212530788</v>
      </c>
      <c r="U120" s="76">
        <f t="shared" si="40"/>
        <v>475.69183212530788</v>
      </c>
      <c r="V120" s="76">
        <f t="shared" si="40"/>
        <v>475.69183212530788</v>
      </c>
      <c r="W120" s="76">
        <f t="shared" si="40"/>
        <v>475.69183212530788</v>
      </c>
      <c r="X120" s="76">
        <f t="shared" si="39"/>
        <v>475.69183212530788</v>
      </c>
      <c r="Y120" s="76">
        <f t="shared" si="39"/>
        <v>475.69183212530788</v>
      </c>
      <c r="Z120" s="76">
        <f t="shared" si="39"/>
        <v>475.69183212530788</v>
      </c>
      <c r="AA120" s="76">
        <f t="shared" si="39"/>
        <v>475.69183212530788</v>
      </c>
      <c r="AB120" s="76">
        <f t="shared" si="39"/>
        <v>475.69183212530788</v>
      </c>
      <c r="AC120" s="76">
        <f t="shared" si="39"/>
        <v>475.69183212530788</v>
      </c>
      <c r="AD120" s="76">
        <f t="shared" si="39"/>
        <v>475.69183212530788</v>
      </c>
      <c r="AE120" s="76">
        <f t="shared" si="39"/>
        <v>475.69183212530788</v>
      </c>
      <c r="AF120" s="76">
        <f t="shared" si="39"/>
        <v>475.69183212530788</v>
      </c>
      <c r="AG120" s="76">
        <f t="shared" si="39"/>
        <v>475.69183212530788</v>
      </c>
      <c r="AH120" s="76">
        <f t="shared" si="39"/>
        <v>475.69183212530788</v>
      </c>
      <c r="AI120" s="76">
        <f t="shared" si="39"/>
        <v>475.69183212530788</v>
      </c>
      <c r="AJ120" s="68"/>
      <c r="AK120" s="476">
        <f>Cem_NewTechs!$F$4*AL120</f>
        <v>475.69183212530788</v>
      </c>
      <c r="AL120" s="452">
        <v>1.1000000000000001</v>
      </c>
      <c r="AM120" s="452"/>
      <c r="AN120" s="452"/>
      <c r="AO120" s="452"/>
      <c r="AP120" s="452"/>
      <c r="AQ120" s="452"/>
      <c r="AR120" s="452"/>
    </row>
    <row r="121" spans="1:44" x14ac:dyDescent="0.25">
      <c r="A121" s="9" t="str">
        <f t="shared" si="38"/>
        <v>I-CM-DRYKILN-AFBIO01</v>
      </c>
      <c r="B121" s="9" t="str">
        <f t="shared" si="38"/>
        <v>IND Cement technology: Dry kiln - Alt. fuel bioenergy</v>
      </c>
      <c r="E121" s="9" t="s">
        <v>624</v>
      </c>
      <c r="F121" s="9">
        <f>G13</f>
        <v>2020</v>
      </c>
      <c r="G121" s="9" t="s">
        <v>989</v>
      </c>
      <c r="H121" s="76">
        <f t="shared" si="40"/>
        <v>432.44712011391624</v>
      </c>
      <c r="I121" s="76">
        <f t="shared" si="39"/>
        <v>432.44712011391624</v>
      </c>
      <c r="J121" s="76">
        <f t="shared" si="39"/>
        <v>432.44712011391624</v>
      </c>
      <c r="K121" s="76">
        <f t="shared" si="39"/>
        <v>432.44712011391624</v>
      </c>
      <c r="L121" s="76">
        <f t="shared" si="39"/>
        <v>432.44712011391624</v>
      </c>
      <c r="M121" s="76">
        <f t="shared" si="39"/>
        <v>432.44712011391624</v>
      </c>
      <c r="N121" s="76">
        <f t="shared" si="39"/>
        <v>432.44712011391624</v>
      </c>
      <c r="O121" s="76">
        <f t="shared" si="39"/>
        <v>432.44712011391624</v>
      </c>
      <c r="P121" s="76">
        <f t="shared" si="39"/>
        <v>432.44712011391624</v>
      </c>
      <c r="Q121" s="76">
        <f t="shared" si="39"/>
        <v>432.44712011391624</v>
      </c>
      <c r="R121" s="76">
        <f t="shared" si="39"/>
        <v>432.44712011391624</v>
      </c>
      <c r="S121" s="76">
        <f t="shared" si="39"/>
        <v>432.44712011391624</v>
      </c>
      <c r="T121" s="76">
        <f t="shared" si="39"/>
        <v>432.44712011391624</v>
      </c>
      <c r="U121" s="76">
        <f t="shared" si="39"/>
        <v>432.44712011391624</v>
      </c>
      <c r="V121" s="76">
        <f t="shared" si="39"/>
        <v>432.44712011391624</v>
      </c>
      <c r="W121" s="76">
        <f t="shared" si="39"/>
        <v>432.44712011391624</v>
      </c>
      <c r="X121" s="76">
        <f t="shared" si="39"/>
        <v>432.44712011391624</v>
      </c>
      <c r="Y121" s="76">
        <f t="shared" si="39"/>
        <v>432.44712011391624</v>
      </c>
      <c r="Z121" s="76">
        <f t="shared" si="39"/>
        <v>432.44712011391624</v>
      </c>
      <c r="AA121" s="76">
        <f t="shared" si="39"/>
        <v>432.44712011391624</v>
      </c>
      <c r="AB121" s="76">
        <f t="shared" si="39"/>
        <v>432.44712011391624</v>
      </c>
      <c r="AC121" s="76">
        <f t="shared" si="39"/>
        <v>432.44712011391624</v>
      </c>
      <c r="AD121" s="76">
        <f t="shared" si="39"/>
        <v>432.44712011391624</v>
      </c>
      <c r="AE121" s="76">
        <f t="shared" si="39"/>
        <v>432.44712011391624</v>
      </c>
      <c r="AF121" s="76">
        <f t="shared" si="39"/>
        <v>432.44712011391624</v>
      </c>
      <c r="AG121" s="76">
        <f t="shared" si="39"/>
        <v>432.44712011391624</v>
      </c>
      <c r="AH121" s="76">
        <f t="shared" si="39"/>
        <v>432.44712011391624</v>
      </c>
      <c r="AI121" s="76">
        <f t="shared" si="39"/>
        <v>432.44712011391624</v>
      </c>
      <c r="AJ121" s="68"/>
      <c r="AK121" s="476">
        <f>Cem_NewTechs!$F$4</f>
        <v>432.44712011391624</v>
      </c>
      <c r="AL121" s="452"/>
      <c r="AM121" s="452"/>
      <c r="AN121" s="452"/>
      <c r="AO121" s="452"/>
      <c r="AP121" s="452"/>
      <c r="AQ121" s="452"/>
      <c r="AR121" s="452"/>
    </row>
    <row r="122" spans="1:44" x14ac:dyDescent="0.25">
      <c r="A122" s="9" t="str">
        <f t="shared" si="38"/>
        <v>I-CM-DRYKILN-AFGAS01</v>
      </c>
      <c r="B122" s="9" t="str">
        <f t="shared" si="38"/>
        <v>IND Cement technology: Dry kiln - Alt. fuel gas</v>
      </c>
      <c r="E122" s="9" t="s">
        <v>624</v>
      </c>
      <c r="F122" s="9">
        <f>G14</f>
        <v>2020</v>
      </c>
      <c r="G122" s="9" t="s">
        <v>989</v>
      </c>
      <c r="H122" s="76">
        <f t="shared" si="40"/>
        <v>432.44712011391624</v>
      </c>
      <c r="I122" s="76">
        <f t="shared" si="39"/>
        <v>432.44712011391624</v>
      </c>
      <c r="J122" s="76">
        <f t="shared" si="39"/>
        <v>432.44712011391624</v>
      </c>
      <c r="K122" s="76">
        <f t="shared" si="39"/>
        <v>432.44712011391624</v>
      </c>
      <c r="L122" s="76">
        <f t="shared" si="39"/>
        <v>432.44712011391624</v>
      </c>
      <c r="M122" s="76">
        <f t="shared" si="39"/>
        <v>432.44712011391624</v>
      </c>
      <c r="N122" s="76">
        <f t="shared" si="39"/>
        <v>432.44712011391624</v>
      </c>
      <c r="O122" s="76">
        <f t="shared" si="39"/>
        <v>432.44712011391624</v>
      </c>
      <c r="P122" s="76">
        <f t="shared" si="39"/>
        <v>432.44712011391624</v>
      </c>
      <c r="Q122" s="76">
        <f t="shared" si="39"/>
        <v>432.44712011391624</v>
      </c>
      <c r="R122" s="76">
        <f t="shared" si="39"/>
        <v>432.44712011391624</v>
      </c>
      <c r="S122" s="76">
        <f t="shared" si="39"/>
        <v>432.44712011391624</v>
      </c>
      <c r="T122" s="76">
        <f t="shared" si="39"/>
        <v>432.44712011391624</v>
      </c>
      <c r="U122" s="76">
        <f t="shared" si="39"/>
        <v>432.44712011391624</v>
      </c>
      <c r="V122" s="76">
        <f t="shared" si="39"/>
        <v>432.44712011391624</v>
      </c>
      <c r="W122" s="76">
        <f t="shared" si="39"/>
        <v>432.44712011391624</v>
      </c>
      <c r="X122" s="76">
        <f t="shared" si="39"/>
        <v>432.44712011391624</v>
      </c>
      <c r="Y122" s="76">
        <f t="shared" si="39"/>
        <v>432.44712011391624</v>
      </c>
      <c r="Z122" s="76">
        <f t="shared" si="39"/>
        <v>432.44712011391624</v>
      </c>
      <c r="AA122" s="76">
        <f t="shared" si="39"/>
        <v>432.44712011391624</v>
      </c>
      <c r="AB122" s="76">
        <f t="shared" si="39"/>
        <v>432.44712011391624</v>
      </c>
      <c r="AC122" s="76">
        <f t="shared" si="39"/>
        <v>432.44712011391624</v>
      </c>
      <c r="AD122" s="76">
        <f t="shared" si="39"/>
        <v>432.44712011391624</v>
      </c>
      <c r="AE122" s="76">
        <f t="shared" si="39"/>
        <v>432.44712011391624</v>
      </c>
      <c r="AF122" s="76">
        <f t="shared" si="39"/>
        <v>432.44712011391624</v>
      </c>
      <c r="AG122" s="76">
        <f t="shared" si="39"/>
        <v>432.44712011391624</v>
      </c>
      <c r="AH122" s="76">
        <f t="shared" si="39"/>
        <v>432.44712011391624</v>
      </c>
      <c r="AI122" s="76">
        <f t="shared" si="39"/>
        <v>432.44712011391624</v>
      </c>
      <c r="AJ122" s="68"/>
      <c r="AK122" s="476">
        <f>Cem_NewTechs!$F$4</f>
        <v>432.44712011391624</v>
      </c>
      <c r="AL122" s="452"/>
      <c r="AM122" s="452"/>
      <c r="AN122" s="452"/>
      <c r="AO122" s="452"/>
      <c r="AP122" s="452"/>
      <c r="AQ122" s="452"/>
      <c r="AR122" s="452"/>
    </row>
    <row r="123" spans="1:44" x14ac:dyDescent="0.25">
      <c r="A123" s="9" t="str">
        <f t="shared" si="38"/>
        <v>I-CM-DRYKILN-PSTCCS01</v>
      </c>
      <c r="B123" s="9" t="str">
        <f t="shared" si="38"/>
        <v>IND Cement technology: Dry kiln - Post-combustion CCS</v>
      </c>
      <c r="E123" s="9" t="s">
        <v>624</v>
      </c>
      <c r="F123" s="9">
        <f>G15</f>
        <v>2035</v>
      </c>
      <c r="G123" s="9" t="s">
        <v>989</v>
      </c>
      <c r="H123" s="76">
        <f t="shared" si="40"/>
        <v>919.57146231120123</v>
      </c>
      <c r="I123" s="76">
        <f t="shared" si="39"/>
        <v>919.57146231120123</v>
      </c>
      <c r="J123" s="76">
        <f t="shared" si="39"/>
        <v>919.57146231120123</v>
      </c>
      <c r="K123" s="76">
        <f t="shared" si="39"/>
        <v>919.57146231120123</v>
      </c>
      <c r="L123" s="76">
        <f t="shared" si="39"/>
        <v>919.57146231120123</v>
      </c>
      <c r="M123" s="76">
        <f t="shared" si="39"/>
        <v>919.57146231120123</v>
      </c>
      <c r="N123" s="76">
        <f t="shared" si="39"/>
        <v>919.57146231120123</v>
      </c>
      <c r="O123" s="76">
        <f t="shared" si="39"/>
        <v>919.57146231120123</v>
      </c>
      <c r="P123" s="76">
        <f t="shared" si="39"/>
        <v>919.57146231120123</v>
      </c>
      <c r="Q123" s="76">
        <f t="shared" si="39"/>
        <v>919.57146231120123</v>
      </c>
      <c r="R123" s="76">
        <f t="shared" si="39"/>
        <v>919.57146231120123</v>
      </c>
      <c r="S123" s="76">
        <f t="shared" si="39"/>
        <v>919.57146231120123</v>
      </c>
      <c r="T123" s="76">
        <f t="shared" si="39"/>
        <v>919.57146231120123</v>
      </c>
      <c r="U123" s="76">
        <f t="shared" si="39"/>
        <v>919.57146231120123</v>
      </c>
      <c r="V123" s="76">
        <f t="shared" si="39"/>
        <v>919.57146231120123</v>
      </c>
      <c r="W123" s="76">
        <f t="shared" si="39"/>
        <v>919.57146231120123</v>
      </c>
      <c r="X123" s="76">
        <f t="shared" si="39"/>
        <v>919.57146231120123</v>
      </c>
      <c r="Y123" s="76">
        <f t="shared" si="39"/>
        <v>919.57146231120123</v>
      </c>
      <c r="Z123" s="76">
        <f t="shared" si="39"/>
        <v>919.57146231120123</v>
      </c>
      <c r="AA123" s="76">
        <f t="shared" si="39"/>
        <v>919.57146231120123</v>
      </c>
      <c r="AB123" s="76">
        <f t="shared" si="39"/>
        <v>919.57146231120123</v>
      </c>
      <c r="AC123" s="76">
        <f t="shared" si="39"/>
        <v>919.57146231120123</v>
      </c>
      <c r="AD123" s="76">
        <f t="shared" si="39"/>
        <v>919.57146231120123</v>
      </c>
      <c r="AE123" s="76">
        <f t="shared" si="39"/>
        <v>919.57146231120123</v>
      </c>
      <c r="AF123" s="76">
        <f t="shared" si="39"/>
        <v>919.57146231120123</v>
      </c>
      <c r="AG123" s="76">
        <f t="shared" si="39"/>
        <v>919.57146231120123</v>
      </c>
      <c r="AH123" s="76">
        <f t="shared" si="39"/>
        <v>919.57146231120123</v>
      </c>
      <c r="AI123" s="76">
        <f t="shared" si="39"/>
        <v>919.57146231120123</v>
      </c>
      <c r="AJ123" s="68"/>
      <c r="AK123" s="476">
        <f>Cem_NewTechs!F14</f>
        <v>919.57146231120123</v>
      </c>
      <c r="AL123" s="452"/>
      <c r="AM123" s="452"/>
      <c r="AN123" s="452"/>
      <c r="AO123" s="452"/>
      <c r="AP123" s="452"/>
      <c r="AQ123" s="452"/>
      <c r="AR123" s="452"/>
    </row>
    <row r="124" spans="1:44" x14ac:dyDescent="0.25">
      <c r="E124" s="9" t="s">
        <v>624</v>
      </c>
      <c r="F124" s="9">
        <v>2040</v>
      </c>
      <c r="G124" s="9" t="s">
        <v>989</v>
      </c>
      <c r="H124" s="76">
        <f t="shared" si="40"/>
        <v>873.59288919564108</v>
      </c>
      <c r="I124" s="76">
        <f t="shared" si="39"/>
        <v>873.59288919564108</v>
      </c>
      <c r="J124" s="76">
        <f t="shared" si="39"/>
        <v>873.59288919564108</v>
      </c>
      <c r="K124" s="76">
        <f t="shared" si="39"/>
        <v>873.59288919564108</v>
      </c>
      <c r="L124" s="76">
        <f t="shared" si="39"/>
        <v>873.59288919564108</v>
      </c>
      <c r="M124" s="76">
        <f t="shared" si="39"/>
        <v>873.59288919564108</v>
      </c>
      <c r="N124" s="76">
        <f t="shared" si="39"/>
        <v>873.59288919564108</v>
      </c>
      <c r="O124" s="76">
        <f t="shared" si="39"/>
        <v>873.59288919564108</v>
      </c>
      <c r="P124" s="76">
        <f t="shared" si="39"/>
        <v>873.59288919564108</v>
      </c>
      <c r="Q124" s="76">
        <f t="shared" si="39"/>
        <v>873.59288919564108</v>
      </c>
      <c r="R124" s="76">
        <f t="shared" si="39"/>
        <v>873.59288919564108</v>
      </c>
      <c r="S124" s="76">
        <f t="shared" si="39"/>
        <v>873.59288919564108</v>
      </c>
      <c r="T124" s="76">
        <f t="shared" si="39"/>
        <v>873.59288919564108</v>
      </c>
      <c r="U124" s="76">
        <f t="shared" si="39"/>
        <v>873.59288919564108</v>
      </c>
      <c r="V124" s="76">
        <f t="shared" si="39"/>
        <v>873.59288919564108</v>
      </c>
      <c r="W124" s="76">
        <f t="shared" si="39"/>
        <v>873.59288919564108</v>
      </c>
      <c r="X124" s="76">
        <f t="shared" si="39"/>
        <v>873.59288919564108</v>
      </c>
      <c r="Y124" s="76">
        <f t="shared" si="39"/>
        <v>873.59288919564108</v>
      </c>
      <c r="Z124" s="76">
        <f t="shared" si="39"/>
        <v>873.59288919564108</v>
      </c>
      <c r="AA124" s="76">
        <f t="shared" si="39"/>
        <v>873.59288919564108</v>
      </c>
      <c r="AB124" s="76">
        <f t="shared" si="39"/>
        <v>873.59288919564108</v>
      </c>
      <c r="AC124" s="76">
        <f t="shared" si="39"/>
        <v>873.59288919564108</v>
      </c>
      <c r="AD124" s="76">
        <f t="shared" si="39"/>
        <v>873.59288919564108</v>
      </c>
      <c r="AE124" s="76">
        <f t="shared" si="39"/>
        <v>873.59288919564108</v>
      </c>
      <c r="AF124" s="76">
        <f t="shared" si="39"/>
        <v>873.59288919564108</v>
      </c>
      <c r="AG124" s="76">
        <f t="shared" si="39"/>
        <v>873.59288919564108</v>
      </c>
      <c r="AH124" s="76">
        <f t="shared" si="39"/>
        <v>873.59288919564108</v>
      </c>
      <c r="AI124" s="76">
        <f t="shared" si="39"/>
        <v>873.59288919564108</v>
      </c>
      <c r="AJ124" s="68"/>
      <c r="AK124" s="76">
        <f>AK123*AL124</f>
        <v>873.59288919564108</v>
      </c>
      <c r="AL124" s="9">
        <v>0.95</v>
      </c>
      <c r="AM124" s="452"/>
      <c r="AN124" s="452"/>
      <c r="AO124" s="452"/>
      <c r="AP124" s="452"/>
      <c r="AQ124" s="452"/>
      <c r="AR124" s="452"/>
    </row>
    <row r="125" spans="1:44" x14ac:dyDescent="0.25">
      <c r="A125" s="9" t="str">
        <f>A16</f>
        <v>I-CM-DRYKILN-OXYCCS01</v>
      </c>
      <c r="B125" s="9" t="str">
        <f>B16</f>
        <v>IND Cement technology: Dry kiln - Oxy fuel CCS</v>
      </c>
      <c r="E125" s="9" t="s">
        <v>624</v>
      </c>
      <c r="F125" s="9">
        <f>G16</f>
        <v>2035</v>
      </c>
      <c r="G125" s="9" t="s">
        <v>989</v>
      </c>
      <c r="H125" s="76">
        <f t="shared" si="40"/>
        <v>538.07357186587853</v>
      </c>
      <c r="I125" s="76">
        <f t="shared" si="39"/>
        <v>538.07357186587853</v>
      </c>
      <c r="J125" s="76">
        <f t="shared" si="39"/>
        <v>538.07357186587853</v>
      </c>
      <c r="K125" s="76">
        <f t="shared" si="39"/>
        <v>538.07357186587853</v>
      </c>
      <c r="L125" s="76">
        <f t="shared" si="39"/>
        <v>538.07357186587853</v>
      </c>
      <c r="M125" s="76">
        <f t="shared" si="39"/>
        <v>538.07357186587853</v>
      </c>
      <c r="N125" s="76">
        <f t="shared" si="39"/>
        <v>538.07357186587853</v>
      </c>
      <c r="O125" s="76">
        <f t="shared" si="39"/>
        <v>538.07357186587853</v>
      </c>
      <c r="P125" s="76">
        <f t="shared" si="39"/>
        <v>538.07357186587853</v>
      </c>
      <c r="Q125" s="76">
        <f t="shared" si="39"/>
        <v>538.07357186587853</v>
      </c>
      <c r="R125" s="76">
        <f t="shared" si="39"/>
        <v>538.07357186587853</v>
      </c>
      <c r="S125" s="76">
        <f t="shared" si="39"/>
        <v>538.07357186587853</v>
      </c>
      <c r="T125" s="76">
        <f t="shared" si="39"/>
        <v>538.07357186587853</v>
      </c>
      <c r="U125" s="76">
        <f t="shared" si="39"/>
        <v>538.07357186587853</v>
      </c>
      <c r="V125" s="76">
        <f t="shared" si="39"/>
        <v>538.07357186587853</v>
      </c>
      <c r="W125" s="76">
        <f t="shared" si="39"/>
        <v>538.07357186587853</v>
      </c>
      <c r="X125" s="76">
        <f t="shared" si="39"/>
        <v>538.07357186587853</v>
      </c>
      <c r="Y125" s="76">
        <f t="shared" si="39"/>
        <v>538.07357186587853</v>
      </c>
      <c r="Z125" s="76">
        <f t="shared" si="39"/>
        <v>538.07357186587853</v>
      </c>
      <c r="AA125" s="76">
        <f t="shared" si="39"/>
        <v>538.07357186587853</v>
      </c>
      <c r="AB125" s="76">
        <f t="shared" si="39"/>
        <v>538.07357186587853</v>
      </c>
      <c r="AC125" s="76">
        <f t="shared" si="39"/>
        <v>538.07357186587853</v>
      </c>
      <c r="AD125" s="76">
        <f t="shared" si="39"/>
        <v>538.07357186587853</v>
      </c>
      <c r="AE125" s="76">
        <f t="shared" si="39"/>
        <v>538.07357186587853</v>
      </c>
      <c r="AF125" s="76">
        <f t="shared" si="39"/>
        <v>538.07357186587853</v>
      </c>
      <c r="AG125" s="76">
        <f t="shared" si="39"/>
        <v>538.07357186587853</v>
      </c>
      <c r="AH125" s="76">
        <f t="shared" si="39"/>
        <v>538.07357186587853</v>
      </c>
      <c r="AI125" s="76">
        <f t="shared" si="39"/>
        <v>538.07357186587853</v>
      </c>
      <c r="AJ125" s="68"/>
      <c r="AK125" s="476">
        <f>Cem_NewTechs!F21</f>
        <v>538.07357186587853</v>
      </c>
      <c r="AL125" s="453" t="s">
        <v>990</v>
      </c>
      <c r="AM125" s="452"/>
      <c r="AN125" s="452"/>
      <c r="AO125" s="452"/>
      <c r="AP125" s="452"/>
      <c r="AQ125" s="452"/>
      <c r="AR125" s="452"/>
    </row>
    <row r="126" spans="1:44" x14ac:dyDescent="0.25">
      <c r="E126" s="9" t="s">
        <v>624</v>
      </c>
      <c r="F126" s="9">
        <v>2040</v>
      </c>
      <c r="G126" s="9" t="s">
        <v>989</v>
      </c>
      <c r="H126" s="76">
        <f t="shared" si="40"/>
        <v>511.1698932725846</v>
      </c>
      <c r="I126" s="76">
        <f t="shared" si="39"/>
        <v>511.1698932725846</v>
      </c>
      <c r="J126" s="76">
        <f t="shared" si="39"/>
        <v>511.1698932725846</v>
      </c>
      <c r="K126" s="76">
        <f t="shared" si="39"/>
        <v>511.1698932725846</v>
      </c>
      <c r="L126" s="76">
        <f t="shared" si="39"/>
        <v>511.1698932725846</v>
      </c>
      <c r="M126" s="76">
        <f t="shared" si="39"/>
        <v>511.1698932725846</v>
      </c>
      <c r="N126" s="76">
        <f t="shared" si="39"/>
        <v>511.1698932725846</v>
      </c>
      <c r="O126" s="76">
        <f t="shared" si="39"/>
        <v>511.1698932725846</v>
      </c>
      <c r="P126" s="76">
        <f t="shared" si="39"/>
        <v>511.1698932725846</v>
      </c>
      <c r="Q126" s="76">
        <f t="shared" si="39"/>
        <v>511.1698932725846</v>
      </c>
      <c r="R126" s="76">
        <f t="shared" si="39"/>
        <v>511.1698932725846</v>
      </c>
      <c r="S126" s="76">
        <f t="shared" si="39"/>
        <v>511.1698932725846</v>
      </c>
      <c r="T126" s="76">
        <f t="shared" si="39"/>
        <v>511.1698932725846</v>
      </c>
      <c r="U126" s="76">
        <f t="shared" si="39"/>
        <v>511.1698932725846</v>
      </c>
      <c r="V126" s="76">
        <f t="shared" si="39"/>
        <v>511.1698932725846</v>
      </c>
      <c r="W126" s="76">
        <f t="shared" si="39"/>
        <v>511.1698932725846</v>
      </c>
      <c r="X126" s="76">
        <f t="shared" si="39"/>
        <v>511.1698932725846</v>
      </c>
      <c r="Y126" s="76">
        <f t="shared" si="39"/>
        <v>511.1698932725846</v>
      </c>
      <c r="Z126" s="76">
        <f t="shared" si="39"/>
        <v>511.1698932725846</v>
      </c>
      <c r="AA126" s="76">
        <f t="shared" si="39"/>
        <v>511.1698932725846</v>
      </c>
      <c r="AB126" s="76">
        <f t="shared" si="39"/>
        <v>511.1698932725846</v>
      </c>
      <c r="AC126" s="76">
        <f t="shared" si="39"/>
        <v>511.1698932725846</v>
      </c>
      <c r="AD126" s="76">
        <f t="shared" si="39"/>
        <v>511.1698932725846</v>
      </c>
      <c r="AE126" s="76">
        <f t="shared" si="39"/>
        <v>511.1698932725846</v>
      </c>
      <c r="AF126" s="76">
        <f t="shared" si="39"/>
        <v>511.1698932725846</v>
      </c>
      <c r="AG126" s="76">
        <f t="shared" si="39"/>
        <v>511.1698932725846</v>
      </c>
      <c r="AH126" s="76">
        <f t="shared" si="39"/>
        <v>511.1698932725846</v>
      </c>
      <c r="AI126" s="76">
        <f t="shared" si="39"/>
        <v>511.1698932725846</v>
      </c>
      <c r="AJ126" s="68"/>
      <c r="AK126" s="76">
        <f>AK125*AL126</f>
        <v>511.1698932725846</v>
      </c>
      <c r="AL126" s="9">
        <v>0.95</v>
      </c>
      <c r="AM126" s="452"/>
      <c r="AN126" s="452"/>
      <c r="AO126" s="452"/>
      <c r="AP126" s="452"/>
      <c r="AQ126" s="452"/>
      <c r="AR126" s="452"/>
    </row>
    <row r="127" spans="1:44" x14ac:dyDescent="0.25">
      <c r="A127" s="9" t="str">
        <f>A17</f>
        <v>I-CM-GRND01</v>
      </c>
      <c r="B127" s="9" t="str">
        <f>B17</f>
        <v>IND Cement technology: Grinding</v>
      </c>
      <c r="E127" s="9" t="s">
        <v>624</v>
      </c>
      <c r="F127" s="9">
        <f>G17</f>
        <v>2020</v>
      </c>
      <c r="G127" s="9" t="s">
        <v>989</v>
      </c>
      <c r="H127" s="76">
        <f t="shared" si="40"/>
        <v>50</v>
      </c>
      <c r="I127" s="76">
        <f t="shared" si="39"/>
        <v>50</v>
      </c>
      <c r="J127" s="76">
        <f t="shared" si="39"/>
        <v>50</v>
      </c>
      <c r="K127" s="76">
        <f t="shared" si="39"/>
        <v>50</v>
      </c>
      <c r="L127" s="76">
        <f t="shared" si="39"/>
        <v>50</v>
      </c>
      <c r="M127" s="76">
        <f t="shared" si="39"/>
        <v>50</v>
      </c>
      <c r="N127" s="76">
        <f t="shared" si="39"/>
        <v>50</v>
      </c>
      <c r="O127" s="76">
        <f t="shared" si="39"/>
        <v>50</v>
      </c>
      <c r="P127" s="76">
        <f t="shared" si="39"/>
        <v>50</v>
      </c>
      <c r="Q127" s="76">
        <f t="shared" si="39"/>
        <v>50</v>
      </c>
      <c r="R127" s="76">
        <f t="shared" si="39"/>
        <v>50</v>
      </c>
      <c r="S127" s="76">
        <f t="shared" si="39"/>
        <v>50</v>
      </c>
      <c r="T127" s="76">
        <f t="shared" si="39"/>
        <v>50</v>
      </c>
      <c r="U127" s="76">
        <f t="shared" si="39"/>
        <v>50</v>
      </c>
      <c r="V127" s="76">
        <f t="shared" si="39"/>
        <v>50</v>
      </c>
      <c r="W127" s="76">
        <f t="shared" si="39"/>
        <v>50</v>
      </c>
      <c r="X127" s="76">
        <f t="shared" si="39"/>
        <v>50</v>
      </c>
      <c r="Y127" s="76">
        <f t="shared" si="39"/>
        <v>50</v>
      </c>
      <c r="Z127" s="76">
        <f t="shared" si="39"/>
        <v>50</v>
      </c>
      <c r="AA127" s="76">
        <f t="shared" si="39"/>
        <v>50</v>
      </c>
      <c r="AB127" s="76">
        <f t="shared" si="39"/>
        <v>50</v>
      </c>
      <c r="AC127" s="76">
        <f t="shared" si="39"/>
        <v>50</v>
      </c>
      <c r="AD127" s="76">
        <f t="shared" si="39"/>
        <v>50</v>
      </c>
      <c r="AE127" s="76">
        <f t="shared" si="39"/>
        <v>50</v>
      </c>
      <c r="AF127" s="76">
        <f t="shared" si="39"/>
        <v>50</v>
      </c>
      <c r="AG127" s="76">
        <f t="shared" si="39"/>
        <v>50</v>
      </c>
      <c r="AH127" s="76">
        <f t="shared" si="39"/>
        <v>50</v>
      </c>
      <c r="AI127" s="76">
        <f t="shared" si="39"/>
        <v>50</v>
      </c>
      <c r="AJ127" s="68"/>
      <c r="AK127" s="482">
        <v>50</v>
      </c>
      <c r="AL127" s="453" t="s">
        <v>991</v>
      </c>
      <c r="AM127" s="452"/>
      <c r="AN127" s="452"/>
      <c r="AO127" s="452"/>
      <c r="AP127" s="452"/>
      <c r="AQ127" s="452"/>
      <c r="AR127" s="452"/>
    </row>
    <row r="128" spans="1:44" x14ac:dyDescent="0.25">
      <c r="A128" s="9" t="str">
        <f>A18</f>
        <v>I-CM-GRND-LOWCNK01</v>
      </c>
      <c r="B128" s="9" t="str">
        <f>B18</f>
        <v>IND Cement technology: Grinding - Low clinker blend</v>
      </c>
      <c r="E128" s="9" t="s">
        <v>624</v>
      </c>
      <c r="F128" s="9">
        <f>G18</f>
        <v>2035</v>
      </c>
      <c r="G128" s="9" t="s">
        <v>989</v>
      </c>
      <c r="H128" s="76">
        <f t="shared" si="40"/>
        <v>50</v>
      </c>
      <c r="I128" s="76">
        <f t="shared" si="39"/>
        <v>50</v>
      </c>
      <c r="J128" s="76">
        <f t="shared" si="39"/>
        <v>50</v>
      </c>
      <c r="K128" s="76">
        <f t="shared" si="39"/>
        <v>50</v>
      </c>
      <c r="L128" s="76">
        <f t="shared" si="39"/>
        <v>50</v>
      </c>
      <c r="M128" s="76">
        <f t="shared" si="39"/>
        <v>50</v>
      </c>
      <c r="N128" s="76">
        <f t="shared" si="39"/>
        <v>50</v>
      </c>
      <c r="O128" s="76">
        <f t="shared" si="39"/>
        <v>50</v>
      </c>
      <c r="P128" s="76">
        <f t="shared" si="39"/>
        <v>50</v>
      </c>
      <c r="Q128" s="76">
        <f t="shared" si="39"/>
        <v>50</v>
      </c>
      <c r="R128" s="76">
        <f t="shared" si="39"/>
        <v>50</v>
      </c>
      <c r="S128" s="76">
        <f t="shared" si="39"/>
        <v>50</v>
      </c>
      <c r="T128" s="76">
        <f t="shared" si="39"/>
        <v>50</v>
      </c>
      <c r="U128" s="76">
        <f t="shared" si="39"/>
        <v>50</v>
      </c>
      <c r="V128" s="76">
        <f t="shared" si="39"/>
        <v>50</v>
      </c>
      <c r="W128" s="76">
        <f t="shared" si="39"/>
        <v>50</v>
      </c>
      <c r="X128" s="76">
        <f t="shared" si="39"/>
        <v>50</v>
      </c>
      <c r="Y128" s="76">
        <f t="shared" si="39"/>
        <v>50</v>
      </c>
      <c r="Z128" s="76">
        <f t="shared" si="39"/>
        <v>50</v>
      </c>
      <c r="AA128" s="76">
        <f t="shared" si="39"/>
        <v>50</v>
      </c>
      <c r="AB128" s="76">
        <f t="shared" si="39"/>
        <v>50</v>
      </c>
      <c r="AC128" s="76">
        <f t="shared" si="39"/>
        <v>50</v>
      </c>
      <c r="AD128" s="76">
        <f t="shared" si="39"/>
        <v>50</v>
      </c>
      <c r="AE128" s="76">
        <f t="shared" si="39"/>
        <v>50</v>
      </c>
      <c r="AF128" s="76">
        <f t="shared" si="39"/>
        <v>50</v>
      </c>
      <c r="AG128" s="76">
        <f t="shared" si="39"/>
        <v>50</v>
      </c>
      <c r="AH128" s="76">
        <f t="shared" si="39"/>
        <v>50</v>
      </c>
      <c r="AI128" s="76">
        <f t="shared" si="39"/>
        <v>50</v>
      </c>
      <c r="AJ128" s="68"/>
      <c r="AK128" s="482">
        <v>50</v>
      </c>
      <c r="AL128" s="453" t="s">
        <v>991</v>
      </c>
      <c r="AM128" s="452"/>
      <c r="AN128" s="452"/>
      <c r="AO128" s="452"/>
      <c r="AP128" s="452"/>
      <c r="AQ128" s="452"/>
      <c r="AR128" s="452"/>
    </row>
    <row r="129" spans="1:44" x14ac:dyDescent="0.25">
      <c r="A129" s="9" t="str">
        <f t="shared" ref="A129:B136" si="41">A11</f>
        <v>I-CM-DRYKILN01</v>
      </c>
      <c r="B129" s="9" t="str">
        <f t="shared" si="41"/>
        <v>IND Cement technology: Dry kiln</v>
      </c>
      <c r="E129" s="9" t="s">
        <v>547</v>
      </c>
      <c r="F129" s="9">
        <f t="shared" ref="F129:F136" si="42">G11</f>
        <v>2020</v>
      </c>
      <c r="G129" s="9" t="s">
        <v>989</v>
      </c>
      <c r="H129" s="318">
        <f>H119*$AL129</f>
        <v>86.489424022783254</v>
      </c>
      <c r="I129" s="318">
        <f t="shared" ref="I129:AI136" si="43">I119*$AL129</f>
        <v>86.489424022783254</v>
      </c>
      <c r="J129" s="318">
        <f t="shared" si="43"/>
        <v>86.489424022783254</v>
      </c>
      <c r="K129" s="318">
        <f t="shared" si="43"/>
        <v>86.489424022783254</v>
      </c>
      <c r="L129" s="318">
        <f t="shared" si="43"/>
        <v>86.489424022783254</v>
      </c>
      <c r="M129" s="318">
        <f t="shared" si="43"/>
        <v>86.489424022783254</v>
      </c>
      <c r="N129" s="318">
        <f t="shared" si="43"/>
        <v>86.489424022783254</v>
      </c>
      <c r="O129" s="318">
        <f t="shared" si="43"/>
        <v>86.489424022783254</v>
      </c>
      <c r="P129" s="318">
        <f t="shared" si="43"/>
        <v>86.489424022783254</v>
      </c>
      <c r="Q129" s="318">
        <f t="shared" si="43"/>
        <v>86.489424022783254</v>
      </c>
      <c r="R129" s="318">
        <f t="shared" si="43"/>
        <v>86.489424022783254</v>
      </c>
      <c r="S129" s="318">
        <f t="shared" si="43"/>
        <v>86.489424022783254</v>
      </c>
      <c r="T129" s="318">
        <f t="shared" si="43"/>
        <v>86.489424022783254</v>
      </c>
      <c r="U129" s="318">
        <f t="shared" si="43"/>
        <v>86.489424022783254</v>
      </c>
      <c r="V129" s="318">
        <f t="shared" si="43"/>
        <v>86.489424022783254</v>
      </c>
      <c r="W129" s="318">
        <f t="shared" si="43"/>
        <v>86.489424022783254</v>
      </c>
      <c r="X129" s="318">
        <f t="shared" si="43"/>
        <v>86.489424022783254</v>
      </c>
      <c r="Y129" s="318">
        <f t="shared" si="43"/>
        <v>86.489424022783254</v>
      </c>
      <c r="Z129" s="318">
        <f t="shared" si="43"/>
        <v>86.489424022783254</v>
      </c>
      <c r="AA129" s="318">
        <f t="shared" si="43"/>
        <v>86.489424022783254</v>
      </c>
      <c r="AB129" s="318">
        <f t="shared" si="43"/>
        <v>86.489424022783254</v>
      </c>
      <c r="AC129" s="318">
        <f t="shared" si="43"/>
        <v>86.489424022783254</v>
      </c>
      <c r="AD129" s="318">
        <f t="shared" si="43"/>
        <v>86.489424022783254</v>
      </c>
      <c r="AE129" s="318">
        <f t="shared" si="43"/>
        <v>86.489424022783254</v>
      </c>
      <c r="AF129" s="318">
        <f t="shared" si="43"/>
        <v>86.489424022783254</v>
      </c>
      <c r="AG129" s="318">
        <f t="shared" si="43"/>
        <v>86.489424022783254</v>
      </c>
      <c r="AH129" s="318">
        <f t="shared" si="43"/>
        <v>86.489424022783254</v>
      </c>
      <c r="AI129" s="318">
        <f t="shared" si="43"/>
        <v>86.489424022783254</v>
      </c>
      <c r="AJ129" s="68"/>
      <c r="AK129" s="452"/>
      <c r="AL129" s="452">
        <v>0.2</v>
      </c>
      <c r="AM129" s="452"/>
      <c r="AN129" s="452"/>
      <c r="AO129" s="452"/>
      <c r="AP129" s="452"/>
      <c r="AQ129" s="452"/>
      <c r="AR129" s="452"/>
    </row>
    <row r="130" spans="1:44" x14ac:dyDescent="0.25">
      <c r="A130" s="9" t="str">
        <f t="shared" si="41"/>
        <v>I-CM-DRYKILN-PH-PC01</v>
      </c>
      <c r="B130" s="9" t="str">
        <f t="shared" si="41"/>
        <v>IND Cement technology: Dry kiln - Pre-heater &amp; pre-calciner</v>
      </c>
      <c r="E130" s="9" t="s">
        <v>547</v>
      </c>
      <c r="F130" s="9">
        <f t="shared" si="42"/>
        <v>2020</v>
      </c>
      <c r="G130" s="9" t="s">
        <v>989</v>
      </c>
      <c r="H130" s="318">
        <f t="shared" ref="H130:W136" si="44">H120*$AL130</f>
        <v>95.138366425061577</v>
      </c>
      <c r="I130" s="318">
        <f t="shared" si="44"/>
        <v>95.138366425061577</v>
      </c>
      <c r="J130" s="318">
        <f t="shared" si="44"/>
        <v>95.138366425061577</v>
      </c>
      <c r="K130" s="318">
        <f t="shared" si="44"/>
        <v>95.138366425061577</v>
      </c>
      <c r="L130" s="318">
        <f t="shared" si="44"/>
        <v>95.138366425061577</v>
      </c>
      <c r="M130" s="318">
        <f t="shared" si="44"/>
        <v>95.138366425061577</v>
      </c>
      <c r="N130" s="318">
        <f t="shared" si="44"/>
        <v>95.138366425061577</v>
      </c>
      <c r="O130" s="318">
        <f t="shared" si="44"/>
        <v>95.138366425061577</v>
      </c>
      <c r="P130" s="318">
        <f t="shared" si="44"/>
        <v>95.138366425061577</v>
      </c>
      <c r="Q130" s="318">
        <f t="shared" si="44"/>
        <v>95.138366425061577</v>
      </c>
      <c r="R130" s="318">
        <f t="shared" si="44"/>
        <v>95.138366425061577</v>
      </c>
      <c r="S130" s="318">
        <f t="shared" si="44"/>
        <v>95.138366425061577</v>
      </c>
      <c r="T130" s="318">
        <f t="shared" si="44"/>
        <v>95.138366425061577</v>
      </c>
      <c r="U130" s="318">
        <f t="shared" si="44"/>
        <v>95.138366425061577</v>
      </c>
      <c r="V130" s="318">
        <f t="shared" si="44"/>
        <v>95.138366425061577</v>
      </c>
      <c r="W130" s="318">
        <f t="shared" si="44"/>
        <v>95.138366425061577</v>
      </c>
      <c r="X130" s="318">
        <f t="shared" si="43"/>
        <v>95.138366425061577</v>
      </c>
      <c r="Y130" s="318">
        <f t="shared" si="43"/>
        <v>95.138366425061577</v>
      </c>
      <c r="Z130" s="318">
        <f t="shared" si="43"/>
        <v>95.138366425061577</v>
      </c>
      <c r="AA130" s="318">
        <f t="shared" si="43"/>
        <v>95.138366425061577</v>
      </c>
      <c r="AB130" s="318">
        <f t="shared" si="43"/>
        <v>95.138366425061577</v>
      </c>
      <c r="AC130" s="318">
        <f t="shared" si="43"/>
        <v>95.138366425061577</v>
      </c>
      <c r="AD130" s="318">
        <f t="shared" si="43"/>
        <v>95.138366425061577</v>
      </c>
      <c r="AE130" s="318">
        <f t="shared" si="43"/>
        <v>95.138366425061577</v>
      </c>
      <c r="AF130" s="318">
        <f t="shared" si="43"/>
        <v>95.138366425061577</v>
      </c>
      <c r="AG130" s="318">
        <f t="shared" si="43"/>
        <v>95.138366425061577</v>
      </c>
      <c r="AH130" s="318">
        <f t="shared" si="43"/>
        <v>95.138366425061577</v>
      </c>
      <c r="AI130" s="318">
        <f t="shared" si="43"/>
        <v>95.138366425061577</v>
      </c>
      <c r="AJ130" s="68"/>
      <c r="AK130" s="452"/>
      <c r="AL130" s="452">
        <v>0.2</v>
      </c>
      <c r="AM130" s="452"/>
      <c r="AN130" s="452"/>
      <c r="AO130" s="452"/>
      <c r="AP130" s="452"/>
      <c r="AQ130" s="452"/>
      <c r="AR130" s="452"/>
    </row>
    <row r="131" spans="1:44" x14ac:dyDescent="0.25">
      <c r="A131" s="9" t="str">
        <f t="shared" si="41"/>
        <v>I-CM-DRYKILN-AFBIO01</v>
      </c>
      <c r="B131" s="9" t="str">
        <f t="shared" si="41"/>
        <v>IND Cement technology: Dry kiln - Alt. fuel bioenergy</v>
      </c>
      <c r="E131" s="9" t="s">
        <v>547</v>
      </c>
      <c r="F131" s="9">
        <f t="shared" si="42"/>
        <v>2020</v>
      </c>
      <c r="G131" s="9" t="s">
        <v>989</v>
      </c>
      <c r="H131" s="318">
        <f t="shared" si="44"/>
        <v>86.489424022783254</v>
      </c>
      <c r="I131" s="318">
        <f t="shared" si="43"/>
        <v>86.489424022783254</v>
      </c>
      <c r="J131" s="318">
        <f t="shared" si="43"/>
        <v>86.489424022783254</v>
      </c>
      <c r="K131" s="318">
        <f t="shared" si="43"/>
        <v>86.489424022783254</v>
      </c>
      <c r="L131" s="318">
        <f t="shared" si="43"/>
        <v>86.489424022783254</v>
      </c>
      <c r="M131" s="318">
        <f t="shared" si="43"/>
        <v>86.489424022783254</v>
      </c>
      <c r="N131" s="318">
        <f t="shared" si="43"/>
        <v>86.489424022783254</v>
      </c>
      <c r="O131" s="318">
        <f t="shared" si="43"/>
        <v>86.489424022783254</v>
      </c>
      <c r="P131" s="318">
        <f t="shared" si="43"/>
        <v>86.489424022783254</v>
      </c>
      <c r="Q131" s="318">
        <f t="shared" si="43"/>
        <v>86.489424022783254</v>
      </c>
      <c r="R131" s="318">
        <f t="shared" si="43"/>
        <v>86.489424022783254</v>
      </c>
      <c r="S131" s="318">
        <f t="shared" si="43"/>
        <v>86.489424022783254</v>
      </c>
      <c r="T131" s="318">
        <f t="shared" si="43"/>
        <v>86.489424022783254</v>
      </c>
      <c r="U131" s="318">
        <f t="shared" si="43"/>
        <v>86.489424022783254</v>
      </c>
      <c r="V131" s="318">
        <f t="shared" si="43"/>
        <v>86.489424022783254</v>
      </c>
      <c r="W131" s="318">
        <f t="shared" si="43"/>
        <v>86.489424022783254</v>
      </c>
      <c r="X131" s="318">
        <f t="shared" si="43"/>
        <v>86.489424022783254</v>
      </c>
      <c r="Y131" s="318">
        <f t="shared" si="43"/>
        <v>86.489424022783254</v>
      </c>
      <c r="Z131" s="318">
        <f t="shared" si="43"/>
        <v>86.489424022783254</v>
      </c>
      <c r="AA131" s="318">
        <f t="shared" si="43"/>
        <v>86.489424022783254</v>
      </c>
      <c r="AB131" s="318">
        <f t="shared" si="43"/>
        <v>86.489424022783254</v>
      </c>
      <c r="AC131" s="318">
        <f t="shared" si="43"/>
        <v>86.489424022783254</v>
      </c>
      <c r="AD131" s="318">
        <f t="shared" si="43"/>
        <v>86.489424022783254</v>
      </c>
      <c r="AE131" s="318">
        <f t="shared" si="43"/>
        <v>86.489424022783254</v>
      </c>
      <c r="AF131" s="318">
        <f t="shared" si="43"/>
        <v>86.489424022783254</v>
      </c>
      <c r="AG131" s="318">
        <f t="shared" si="43"/>
        <v>86.489424022783254</v>
      </c>
      <c r="AH131" s="318">
        <f t="shared" si="43"/>
        <v>86.489424022783254</v>
      </c>
      <c r="AI131" s="318">
        <f t="shared" si="43"/>
        <v>86.489424022783254</v>
      </c>
      <c r="AJ131" s="68"/>
      <c r="AK131" s="452"/>
      <c r="AL131" s="452">
        <v>0.2</v>
      </c>
      <c r="AM131" s="452"/>
      <c r="AN131" s="452"/>
      <c r="AO131" s="452"/>
      <c r="AP131" s="452"/>
      <c r="AQ131" s="452"/>
      <c r="AR131" s="452"/>
    </row>
    <row r="132" spans="1:44" x14ac:dyDescent="0.25">
      <c r="A132" s="9" t="str">
        <f t="shared" si="41"/>
        <v>I-CM-DRYKILN-AFGAS01</v>
      </c>
      <c r="B132" s="9" t="str">
        <f t="shared" si="41"/>
        <v>IND Cement technology: Dry kiln - Alt. fuel gas</v>
      </c>
      <c r="E132" s="9" t="s">
        <v>547</v>
      </c>
      <c r="F132" s="9">
        <f t="shared" si="42"/>
        <v>2020</v>
      </c>
      <c r="G132" s="9" t="s">
        <v>989</v>
      </c>
      <c r="H132" s="318">
        <f t="shared" si="44"/>
        <v>86.489424022783254</v>
      </c>
      <c r="I132" s="318">
        <f t="shared" si="43"/>
        <v>86.489424022783254</v>
      </c>
      <c r="J132" s="318">
        <f t="shared" si="43"/>
        <v>86.489424022783254</v>
      </c>
      <c r="K132" s="318">
        <f t="shared" si="43"/>
        <v>86.489424022783254</v>
      </c>
      <c r="L132" s="318">
        <f t="shared" si="43"/>
        <v>86.489424022783254</v>
      </c>
      <c r="M132" s="318">
        <f t="shared" si="43"/>
        <v>86.489424022783254</v>
      </c>
      <c r="N132" s="318">
        <f t="shared" si="43"/>
        <v>86.489424022783254</v>
      </c>
      <c r="O132" s="318">
        <f t="shared" si="43"/>
        <v>86.489424022783254</v>
      </c>
      <c r="P132" s="318">
        <f t="shared" si="43"/>
        <v>86.489424022783254</v>
      </c>
      <c r="Q132" s="318">
        <f t="shared" si="43"/>
        <v>86.489424022783254</v>
      </c>
      <c r="R132" s="318">
        <f t="shared" si="43"/>
        <v>86.489424022783254</v>
      </c>
      <c r="S132" s="318">
        <f t="shared" si="43"/>
        <v>86.489424022783254</v>
      </c>
      <c r="T132" s="318">
        <f t="shared" si="43"/>
        <v>86.489424022783254</v>
      </c>
      <c r="U132" s="318">
        <f t="shared" si="43"/>
        <v>86.489424022783254</v>
      </c>
      <c r="V132" s="318">
        <f t="shared" si="43"/>
        <v>86.489424022783254</v>
      </c>
      <c r="W132" s="318">
        <f t="shared" si="43"/>
        <v>86.489424022783254</v>
      </c>
      <c r="X132" s="318">
        <f t="shared" si="43"/>
        <v>86.489424022783254</v>
      </c>
      <c r="Y132" s="318">
        <f t="shared" si="43"/>
        <v>86.489424022783254</v>
      </c>
      <c r="Z132" s="318">
        <f t="shared" si="43"/>
        <v>86.489424022783254</v>
      </c>
      <c r="AA132" s="318">
        <f t="shared" si="43"/>
        <v>86.489424022783254</v>
      </c>
      <c r="AB132" s="318">
        <f t="shared" si="43"/>
        <v>86.489424022783254</v>
      </c>
      <c r="AC132" s="318">
        <f t="shared" si="43"/>
        <v>86.489424022783254</v>
      </c>
      <c r="AD132" s="318">
        <f t="shared" si="43"/>
        <v>86.489424022783254</v>
      </c>
      <c r="AE132" s="318">
        <f t="shared" si="43"/>
        <v>86.489424022783254</v>
      </c>
      <c r="AF132" s="318">
        <f t="shared" si="43"/>
        <v>86.489424022783254</v>
      </c>
      <c r="AG132" s="318">
        <f t="shared" si="43"/>
        <v>86.489424022783254</v>
      </c>
      <c r="AH132" s="318">
        <f t="shared" si="43"/>
        <v>86.489424022783254</v>
      </c>
      <c r="AI132" s="318">
        <f t="shared" si="43"/>
        <v>86.489424022783254</v>
      </c>
      <c r="AJ132" s="68"/>
      <c r="AK132" s="452"/>
      <c r="AL132" s="452">
        <v>0.2</v>
      </c>
      <c r="AM132" s="452"/>
      <c r="AN132" s="452"/>
      <c r="AO132" s="452"/>
      <c r="AP132" s="452"/>
      <c r="AQ132" s="452"/>
      <c r="AR132" s="452"/>
    </row>
    <row r="133" spans="1:44" x14ac:dyDescent="0.25">
      <c r="A133" s="9" t="str">
        <f t="shared" si="41"/>
        <v>I-CM-DRYKILN-PSTCCS01</v>
      </c>
      <c r="B133" s="9" t="str">
        <f t="shared" si="41"/>
        <v>IND Cement technology: Dry kiln - Post-combustion CCS</v>
      </c>
      <c r="E133" s="9" t="s">
        <v>547</v>
      </c>
      <c r="F133" s="9">
        <f t="shared" si="42"/>
        <v>2035</v>
      </c>
      <c r="G133" s="9" t="s">
        <v>989</v>
      </c>
      <c r="H133" s="318">
        <f t="shared" si="44"/>
        <v>183.91429246224027</v>
      </c>
      <c r="I133" s="318">
        <f t="shared" si="43"/>
        <v>183.91429246224027</v>
      </c>
      <c r="J133" s="318">
        <f t="shared" si="43"/>
        <v>183.91429246224027</v>
      </c>
      <c r="K133" s="318">
        <f t="shared" si="43"/>
        <v>183.91429246224027</v>
      </c>
      <c r="L133" s="318">
        <f t="shared" si="43"/>
        <v>183.91429246224027</v>
      </c>
      <c r="M133" s="318">
        <f t="shared" si="43"/>
        <v>183.91429246224027</v>
      </c>
      <c r="N133" s="318">
        <f t="shared" si="43"/>
        <v>183.91429246224027</v>
      </c>
      <c r="O133" s="318">
        <f t="shared" si="43"/>
        <v>183.91429246224027</v>
      </c>
      <c r="P133" s="318">
        <f t="shared" si="43"/>
        <v>183.91429246224027</v>
      </c>
      <c r="Q133" s="318">
        <f t="shared" si="43"/>
        <v>183.91429246224027</v>
      </c>
      <c r="R133" s="318">
        <f t="shared" si="43"/>
        <v>183.91429246224027</v>
      </c>
      <c r="S133" s="318">
        <f t="shared" si="43"/>
        <v>183.91429246224027</v>
      </c>
      <c r="T133" s="318">
        <f t="shared" si="43"/>
        <v>183.91429246224027</v>
      </c>
      <c r="U133" s="318">
        <f t="shared" si="43"/>
        <v>183.91429246224027</v>
      </c>
      <c r="V133" s="318">
        <f t="shared" si="43"/>
        <v>183.91429246224027</v>
      </c>
      <c r="W133" s="318">
        <f t="shared" si="43"/>
        <v>183.91429246224027</v>
      </c>
      <c r="X133" s="318">
        <f t="shared" si="43"/>
        <v>183.91429246224027</v>
      </c>
      <c r="Y133" s="318">
        <f t="shared" si="43"/>
        <v>183.91429246224027</v>
      </c>
      <c r="Z133" s="318">
        <f t="shared" si="43"/>
        <v>183.91429246224027</v>
      </c>
      <c r="AA133" s="318">
        <f t="shared" si="43"/>
        <v>183.91429246224027</v>
      </c>
      <c r="AB133" s="318">
        <f t="shared" si="43"/>
        <v>183.91429246224027</v>
      </c>
      <c r="AC133" s="318">
        <f t="shared" si="43"/>
        <v>183.91429246224027</v>
      </c>
      <c r="AD133" s="318">
        <f t="shared" si="43"/>
        <v>183.91429246224027</v>
      </c>
      <c r="AE133" s="318">
        <f t="shared" si="43"/>
        <v>183.91429246224027</v>
      </c>
      <c r="AF133" s="318">
        <f t="shared" si="43"/>
        <v>183.91429246224027</v>
      </c>
      <c r="AG133" s="318">
        <f t="shared" si="43"/>
        <v>183.91429246224027</v>
      </c>
      <c r="AH133" s="318">
        <f t="shared" si="43"/>
        <v>183.91429246224027</v>
      </c>
      <c r="AI133" s="318">
        <f t="shared" si="43"/>
        <v>183.91429246224027</v>
      </c>
      <c r="AJ133" s="68"/>
      <c r="AK133" s="452"/>
      <c r="AL133" s="452">
        <v>0.2</v>
      </c>
      <c r="AM133" s="452"/>
      <c r="AN133" s="452"/>
      <c r="AO133" s="452"/>
      <c r="AP133" s="452"/>
      <c r="AQ133" s="452"/>
      <c r="AR133" s="452"/>
    </row>
    <row r="134" spans="1:44" x14ac:dyDescent="0.25">
      <c r="A134" s="9" t="str">
        <f t="shared" si="41"/>
        <v>I-CM-DRYKILN-OXYCCS01</v>
      </c>
      <c r="B134" s="9" t="str">
        <f t="shared" si="41"/>
        <v>IND Cement technology: Dry kiln - Oxy fuel CCS</v>
      </c>
      <c r="E134" s="9" t="s">
        <v>547</v>
      </c>
      <c r="F134" s="9">
        <f t="shared" si="42"/>
        <v>2035</v>
      </c>
      <c r="G134" s="9" t="s">
        <v>989</v>
      </c>
      <c r="H134" s="318">
        <f t="shared" si="44"/>
        <v>174.71857783912822</v>
      </c>
      <c r="I134" s="318">
        <f t="shared" si="43"/>
        <v>174.71857783912822</v>
      </c>
      <c r="J134" s="318">
        <f t="shared" si="43"/>
        <v>174.71857783912822</v>
      </c>
      <c r="K134" s="318">
        <f t="shared" si="43"/>
        <v>174.71857783912822</v>
      </c>
      <c r="L134" s="318">
        <f t="shared" si="43"/>
        <v>174.71857783912822</v>
      </c>
      <c r="M134" s="318">
        <f t="shared" si="43"/>
        <v>174.71857783912822</v>
      </c>
      <c r="N134" s="318">
        <f t="shared" si="43"/>
        <v>174.71857783912822</v>
      </c>
      <c r="O134" s="318">
        <f t="shared" si="43"/>
        <v>174.71857783912822</v>
      </c>
      <c r="P134" s="318">
        <f t="shared" si="43"/>
        <v>174.71857783912822</v>
      </c>
      <c r="Q134" s="318">
        <f t="shared" si="43"/>
        <v>174.71857783912822</v>
      </c>
      <c r="R134" s="318">
        <f t="shared" si="43"/>
        <v>174.71857783912822</v>
      </c>
      <c r="S134" s="318">
        <f t="shared" si="43"/>
        <v>174.71857783912822</v>
      </c>
      <c r="T134" s="318">
        <f t="shared" si="43"/>
        <v>174.71857783912822</v>
      </c>
      <c r="U134" s="318">
        <f t="shared" si="43"/>
        <v>174.71857783912822</v>
      </c>
      <c r="V134" s="318">
        <f t="shared" si="43"/>
        <v>174.71857783912822</v>
      </c>
      <c r="W134" s="318">
        <f t="shared" si="43"/>
        <v>174.71857783912822</v>
      </c>
      <c r="X134" s="318">
        <f t="shared" si="43"/>
        <v>174.71857783912822</v>
      </c>
      <c r="Y134" s="318">
        <f t="shared" si="43"/>
        <v>174.71857783912822</v>
      </c>
      <c r="Z134" s="318">
        <f t="shared" si="43"/>
        <v>174.71857783912822</v>
      </c>
      <c r="AA134" s="318">
        <f t="shared" si="43"/>
        <v>174.71857783912822</v>
      </c>
      <c r="AB134" s="318">
        <f t="shared" si="43"/>
        <v>174.71857783912822</v>
      </c>
      <c r="AC134" s="318">
        <f t="shared" si="43"/>
        <v>174.71857783912822</v>
      </c>
      <c r="AD134" s="318">
        <f t="shared" si="43"/>
        <v>174.71857783912822</v>
      </c>
      <c r="AE134" s="318">
        <f t="shared" si="43"/>
        <v>174.71857783912822</v>
      </c>
      <c r="AF134" s="318">
        <f t="shared" si="43"/>
        <v>174.71857783912822</v>
      </c>
      <c r="AG134" s="318">
        <f t="shared" si="43"/>
        <v>174.71857783912822</v>
      </c>
      <c r="AH134" s="318">
        <f t="shared" si="43"/>
        <v>174.71857783912822</v>
      </c>
      <c r="AI134" s="318">
        <f t="shared" si="43"/>
        <v>174.71857783912822</v>
      </c>
      <c r="AJ134" s="68"/>
      <c r="AK134" s="452"/>
      <c r="AL134" s="452">
        <v>0.2</v>
      </c>
      <c r="AM134" s="452"/>
      <c r="AN134" s="452"/>
      <c r="AO134" s="452"/>
      <c r="AP134" s="452"/>
      <c r="AQ134" s="452"/>
      <c r="AR134" s="452"/>
    </row>
    <row r="135" spans="1:44" x14ac:dyDescent="0.25">
      <c r="A135" s="9" t="str">
        <f t="shared" si="41"/>
        <v>I-CM-GRND01</v>
      </c>
      <c r="B135" s="9" t="str">
        <f t="shared" si="41"/>
        <v>IND Cement technology: Grinding</v>
      </c>
      <c r="E135" s="9" t="s">
        <v>547</v>
      </c>
      <c r="F135" s="9">
        <f t="shared" si="42"/>
        <v>2020</v>
      </c>
      <c r="G135" s="9" t="s">
        <v>989</v>
      </c>
      <c r="H135" s="318">
        <f t="shared" si="44"/>
        <v>107.61471437317572</v>
      </c>
      <c r="I135" s="318">
        <f t="shared" si="43"/>
        <v>107.61471437317572</v>
      </c>
      <c r="J135" s="318">
        <f t="shared" si="43"/>
        <v>107.61471437317572</v>
      </c>
      <c r="K135" s="318">
        <f t="shared" si="43"/>
        <v>107.61471437317572</v>
      </c>
      <c r="L135" s="318">
        <f t="shared" si="43"/>
        <v>107.61471437317572</v>
      </c>
      <c r="M135" s="318">
        <f t="shared" si="43"/>
        <v>107.61471437317572</v>
      </c>
      <c r="N135" s="318">
        <f t="shared" si="43"/>
        <v>107.61471437317572</v>
      </c>
      <c r="O135" s="318">
        <f t="shared" si="43"/>
        <v>107.61471437317572</v>
      </c>
      <c r="P135" s="318">
        <f t="shared" si="43"/>
        <v>107.61471437317572</v>
      </c>
      <c r="Q135" s="318">
        <f t="shared" si="43"/>
        <v>107.61471437317572</v>
      </c>
      <c r="R135" s="318">
        <f t="shared" si="43"/>
        <v>107.61471437317572</v>
      </c>
      <c r="S135" s="318">
        <f t="shared" si="43"/>
        <v>107.61471437317572</v>
      </c>
      <c r="T135" s="318">
        <f t="shared" si="43"/>
        <v>107.61471437317572</v>
      </c>
      <c r="U135" s="318">
        <f t="shared" si="43"/>
        <v>107.61471437317572</v>
      </c>
      <c r="V135" s="318">
        <f t="shared" si="43"/>
        <v>107.61471437317572</v>
      </c>
      <c r="W135" s="318">
        <f t="shared" si="43"/>
        <v>107.61471437317572</v>
      </c>
      <c r="X135" s="318">
        <f t="shared" si="43"/>
        <v>107.61471437317572</v>
      </c>
      <c r="Y135" s="318">
        <f t="shared" si="43"/>
        <v>107.61471437317572</v>
      </c>
      <c r="Z135" s="318">
        <f t="shared" si="43"/>
        <v>107.61471437317572</v>
      </c>
      <c r="AA135" s="318">
        <f t="shared" si="43"/>
        <v>107.61471437317572</v>
      </c>
      <c r="AB135" s="318">
        <f t="shared" si="43"/>
        <v>107.61471437317572</v>
      </c>
      <c r="AC135" s="318">
        <f t="shared" si="43"/>
        <v>107.61471437317572</v>
      </c>
      <c r="AD135" s="318">
        <f t="shared" si="43"/>
        <v>107.61471437317572</v>
      </c>
      <c r="AE135" s="318">
        <f t="shared" si="43"/>
        <v>107.61471437317572</v>
      </c>
      <c r="AF135" s="318">
        <f t="shared" si="43"/>
        <v>107.61471437317572</v>
      </c>
      <c r="AG135" s="318">
        <f t="shared" si="43"/>
        <v>107.61471437317572</v>
      </c>
      <c r="AH135" s="318">
        <f t="shared" si="43"/>
        <v>107.61471437317572</v>
      </c>
      <c r="AI135" s="318">
        <f t="shared" si="43"/>
        <v>107.61471437317572</v>
      </c>
      <c r="AJ135" s="68"/>
      <c r="AK135" s="452"/>
      <c r="AL135" s="452">
        <v>0.2</v>
      </c>
      <c r="AM135" s="452"/>
      <c r="AN135" s="452"/>
      <c r="AO135" s="452"/>
      <c r="AP135" s="452"/>
      <c r="AQ135" s="452"/>
      <c r="AR135" s="452"/>
    </row>
    <row r="136" spans="1:44" x14ac:dyDescent="0.25">
      <c r="A136" s="9" t="str">
        <f t="shared" si="41"/>
        <v>I-CM-GRND-LOWCNK01</v>
      </c>
      <c r="B136" s="9" t="str">
        <f t="shared" si="41"/>
        <v>IND Cement technology: Grinding - Low clinker blend</v>
      </c>
      <c r="E136" s="9" t="s">
        <v>547</v>
      </c>
      <c r="F136" s="9">
        <f t="shared" si="42"/>
        <v>2035</v>
      </c>
      <c r="G136" s="9" t="s">
        <v>989</v>
      </c>
      <c r="H136" s="318">
        <f t="shared" si="44"/>
        <v>102.23397865451693</v>
      </c>
      <c r="I136" s="318">
        <f t="shared" si="43"/>
        <v>102.23397865451693</v>
      </c>
      <c r="J136" s="318">
        <f t="shared" si="43"/>
        <v>102.23397865451693</v>
      </c>
      <c r="K136" s="318">
        <f t="shared" si="43"/>
        <v>102.23397865451693</v>
      </c>
      <c r="L136" s="318">
        <f t="shared" si="43"/>
        <v>102.23397865451693</v>
      </c>
      <c r="M136" s="318">
        <f t="shared" si="43"/>
        <v>102.23397865451693</v>
      </c>
      <c r="N136" s="318">
        <f t="shared" si="43"/>
        <v>102.23397865451693</v>
      </c>
      <c r="O136" s="318">
        <f t="shared" si="43"/>
        <v>102.23397865451693</v>
      </c>
      <c r="P136" s="318">
        <f t="shared" si="43"/>
        <v>102.23397865451693</v>
      </c>
      <c r="Q136" s="318">
        <f t="shared" si="43"/>
        <v>102.23397865451693</v>
      </c>
      <c r="R136" s="318">
        <f t="shared" si="43"/>
        <v>102.23397865451693</v>
      </c>
      <c r="S136" s="318">
        <f t="shared" si="43"/>
        <v>102.23397865451693</v>
      </c>
      <c r="T136" s="318">
        <f t="shared" si="43"/>
        <v>102.23397865451693</v>
      </c>
      <c r="U136" s="318">
        <f t="shared" si="43"/>
        <v>102.23397865451693</v>
      </c>
      <c r="V136" s="318">
        <f t="shared" si="43"/>
        <v>102.23397865451693</v>
      </c>
      <c r="W136" s="318">
        <f t="shared" si="43"/>
        <v>102.23397865451693</v>
      </c>
      <c r="X136" s="318">
        <f t="shared" si="43"/>
        <v>102.23397865451693</v>
      </c>
      <c r="Y136" s="318">
        <f t="shared" si="43"/>
        <v>102.23397865451693</v>
      </c>
      <c r="Z136" s="318">
        <f t="shared" si="43"/>
        <v>102.23397865451693</v>
      </c>
      <c r="AA136" s="318">
        <f t="shared" si="43"/>
        <v>102.23397865451693</v>
      </c>
      <c r="AB136" s="318">
        <f t="shared" si="43"/>
        <v>102.23397865451693</v>
      </c>
      <c r="AC136" s="318">
        <f t="shared" si="43"/>
        <v>102.23397865451693</v>
      </c>
      <c r="AD136" s="318">
        <f t="shared" si="43"/>
        <v>102.23397865451693</v>
      </c>
      <c r="AE136" s="318">
        <f t="shared" si="43"/>
        <v>102.23397865451693</v>
      </c>
      <c r="AF136" s="318">
        <f t="shared" si="43"/>
        <v>102.23397865451693</v>
      </c>
      <c r="AG136" s="318">
        <f t="shared" si="43"/>
        <v>102.23397865451693</v>
      </c>
      <c r="AH136" s="318">
        <f t="shared" si="43"/>
        <v>102.23397865451693</v>
      </c>
      <c r="AI136" s="318">
        <f t="shared" si="43"/>
        <v>102.23397865451693</v>
      </c>
      <c r="AJ136" s="68"/>
      <c r="AK136" s="452"/>
      <c r="AL136" s="452">
        <v>0.2</v>
      </c>
      <c r="AM136" s="452"/>
      <c r="AN136" s="452"/>
      <c r="AO136" s="452"/>
      <c r="AP136" s="452"/>
      <c r="AQ136" s="452"/>
      <c r="AR136" s="452"/>
    </row>
    <row r="137" spans="1:44" x14ac:dyDescent="0.25">
      <c r="G137" s="146"/>
      <c r="I137" s="62"/>
      <c r="K137"/>
      <c r="L137"/>
      <c r="R137" s="68"/>
      <c r="S137" s="68"/>
      <c r="T137" s="68"/>
      <c r="U137" s="68"/>
      <c r="V137" s="68"/>
      <c r="W137" s="68"/>
      <c r="X137" s="68"/>
      <c r="Y137" s="68"/>
      <c r="Z137" s="68"/>
      <c r="AA137" s="68"/>
      <c r="AB137" s="68"/>
      <c r="AC137" s="68"/>
      <c r="AD137" s="68"/>
      <c r="AE137" s="68"/>
      <c r="AF137" s="68"/>
      <c r="AG137" s="68"/>
      <c r="AH137" s="68"/>
      <c r="AI137" s="68"/>
      <c r="AJ137" s="68"/>
      <c r="AK137" s="452"/>
      <c r="AL137" s="452"/>
      <c r="AM137" s="452"/>
      <c r="AN137" s="452"/>
      <c r="AO137" s="452"/>
      <c r="AP137" s="452"/>
      <c r="AQ137" s="452"/>
      <c r="AR137" s="452"/>
    </row>
    <row r="138" spans="1:44" x14ac:dyDescent="0.25">
      <c r="G138" s="146"/>
      <c r="I138" s="62"/>
      <c r="K138"/>
      <c r="L138"/>
      <c r="R138" s="68"/>
      <c r="S138" s="68"/>
      <c r="T138" s="68"/>
      <c r="U138" s="68"/>
      <c r="V138" s="68"/>
      <c r="W138" s="68"/>
      <c r="X138" s="68"/>
      <c r="Y138" s="68"/>
      <c r="Z138" s="68"/>
      <c r="AA138" s="68"/>
      <c r="AB138" s="68"/>
      <c r="AC138" s="68"/>
      <c r="AD138" s="68"/>
      <c r="AE138" s="68"/>
      <c r="AF138" s="68"/>
      <c r="AG138" s="68"/>
      <c r="AH138" s="68"/>
      <c r="AI138" s="68"/>
      <c r="AJ138" s="68"/>
      <c r="AK138" s="452"/>
      <c r="AL138" s="452"/>
      <c r="AM138" s="452"/>
      <c r="AN138" s="452"/>
      <c r="AO138" s="452"/>
      <c r="AP138" s="452"/>
      <c r="AQ138" s="452"/>
      <c r="AR138" s="452"/>
    </row>
    <row r="139" spans="1:44" x14ac:dyDescent="0.25">
      <c r="G139" s="146"/>
      <c r="I139" s="62"/>
      <c r="K139"/>
      <c r="L139"/>
      <c r="R139" s="68"/>
      <c r="S139" s="68"/>
      <c r="T139" s="68"/>
      <c r="U139" s="68"/>
      <c r="V139" s="68"/>
      <c r="W139" s="68"/>
      <c r="X139" s="68"/>
      <c r="Y139" s="68"/>
      <c r="Z139" s="68"/>
      <c r="AA139" s="68"/>
      <c r="AB139" s="68"/>
      <c r="AC139" s="68"/>
      <c r="AD139" s="68"/>
      <c r="AE139" s="68"/>
      <c r="AF139" s="68"/>
      <c r="AG139" s="68"/>
      <c r="AH139" s="68"/>
      <c r="AI139" s="68"/>
      <c r="AJ139" s="68"/>
      <c r="AK139" s="452"/>
      <c r="AL139" s="452"/>
      <c r="AM139" s="452"/>
      <c r="AN139" s="452"/>
      <c r="AO139" s="452"/>
      <c r="AP139" s="452"/>
      <c r="AQ139" s="452"/>
      <c r="AR139" s="452"/>
    </row>
    <row r="140" spans="1:44" ht="15.75" x14ac:dyDescent="0.25">
      <c r="A140" s="463" t="s">
        <v>992</v>
      </c>
      <c r="C140" s="75"/>
      <c r="D140" s="75"/>
      <c r="E140" s="75"/>
      <c r="F140" s="75"/>
      <c r="G140" s="75"/>
      <c r="H140" s="319"/>
      <c r="I140" s="319"/>
      <c r="J140" s="319"/>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c r="AI140" s="319"/>
      <c r="AQ140" s="452"/>
      <c r="AR140" s="452"/>
    </row>
    <row r="141" spans="1:44" x14ac:dyDescent="0.25">
      <c r="C141" s="75"/>
      <c r="D141" s="75"/>
      <c r="E141" s="75"/>
      <c r="F141" s="75"/>
      <c r="G141" s="75"/>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c r="AI141" s="319"/>
      <c r="AL141" s="327"/>
      <c r="AM141" s="329"/>
    </row>
    <row r="142" spans="1:44" x14ac:dyDescent="0.25">
      <c r="A142" s="52" t="s">
        <v>300</v>
      </c>
      <c r="F142"/>
      <c r="G142" s="9"/>
      <c r="K142" s="53"/>
      <c r="L142" s="53"/>
      <c r="M142" s="53"/>
      <c r="N142" s="53"/>
      <c r="O142" s="53"/>
      <c r="P142" s="53"/>
      <c r="Q142" s="53"/>
      <c r="R142" s="53"/>
      <c r="S142" s="53"/>
      <c r="T142" s="53"/>
      <c r="U142" s="53"/>
      <c r="V142" s="53"/>
      <c r="W142" s="53"/>
      <c r="X142" s="53"/>
      <c r="Y142" s="53"/>
      <c r="Z142" s="53"/>
      <c r="AA142" s="53"/>
      <c r="AB142" s="53"/>
      <c r="AC142" s="53"/>
      <c r="AD142" s="53"/>
      <c r="AE142" s="9" t="s">
        <v>558</v>
      </c>
      <c r="AF142" s="53"/>
      <c r="AG142" s="53"/>
    </row>
    <row r="143" spans="1:44" ht="15.75" thickBot="1" x14ac:dyDescent="0.3">
      <c r="A143" s="54" t="s">
        <v>306</v>
      </c>
      <c r="B143" s="55" t="s">
        <v>545</v>
      </c>
      <c r="C143" s="54" t="s">
        <v>326</v>
      </c>
      <c r="D143" s="54" t="s">
        <v>582</v>
      </c>
      <c r="E143" s="54" t="s">
        <v>549</v>
      </c>
      <c r="F143" s="54" t="s">
        <v>162</v>
      </c>
      <c r="G143" s="54" t="s">
        <v>164</v>
      </c>
      <c r="H143" s="54" t="s">
        <v>166</v>
      </c>
      <c r="I143" s="54" t="s">
        <v>168</v>
      </c>
      <c r="J143" s="54" t="s">
        <v>170</v>
      </c>
      <c r="K143" s="54" t="s">
        <v>173</v>
      </c>
      <c r="L143" s="54" t="s">
        <v>175</v>
      </c>
      <c r="M143" s="54" t="s">
        <v>177</v>
      </c>
      <c r="N143" s="54" t="s">
        <v>179</v>
      </c>
      <c r="O143" s="54" t="s">
        <v>181</v>
      </c>
      <c r="P143" s="54" t="s">
        <v>183</v>
      </c>
      <c r="Q143" s="54" t="s">
        <v>185</v>
      </c>
      <c r="R143" s="54" t="s">
        <v>188</v>
      </c>
      <c r="S143" s="54" t="s">
        <v>190</v>
      </c>
      <c r="T143" s="54" t="s">
        <v>192</v>
      </c>
      <c r="U143" s="54" t="s">
        <v>194</v>
      </c>
      <c r="V143" s="54" t="s">
        <v>196</v>
      </c>
      <c r="W143" s="54" t="s">
        <v>198</v>
      </c>
      <c r="X143" s="54" t="s">
        <v>9</v>
      </c>
      <c r="Y143" s="54" t="s">
        <v>201</v>
      </c>
      <c r="Z143" s="54" t="s">
        <v>203</v>
      </c>
      <c r="AA143" s="54" t="s">
        <v>205</v>
      </c>
      <c r="AB143" s="54" t="s">
        <v>207</v>
      </c>
      <c r="AC143" s="54" t="s">
        <v>210</v>
      </c>
      <c r="AD143" s="54" t="s">
        <v>212</v>
      </c>
      <c r="AE143" s="54" t="s">
        <v>214</v>
      </c>
      <c r="AF143" s="54" t="s">
        <v>217</v>
      </c>
      <c r="AG143" s="54" t="s">
        <v>219</v>
      </c>
      <c r="AH143" s="54"/>
      <c r="AI143" s="351"/>
      <c r="AJ143" s="351"/>
    </row>
    <row r="144" spans="1:44" x14ac:dyDescent="0.25">
      <c r="A144" s="50" t="s">
        <v>551</v>
      </c>
      <c r="B144" s="50" t="s">
        <v>26</v>
      </c>
      <c r="C144" s="50" t="s">
        <v>329</v>
      </c>
      <c r="D144" s="50"/>
      <c r="E144" s="50" t="s">
        <v>556</v>
      </c>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75"/>
      <c r="AJ144" s="75"/>
    </row>
    <row r="145" spans="1:39" x14ac:dyDescent="0.25">
      <c r="A145" s="454" t="s">
        <v>993</v>
      </c>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326"/>
      <c r="AF145" s="326"/>
      <c r="AG145" s="326"/>
      <c r="AH145" s="326"/>
      <c r="AI145" s="75"/>
      <c r="AJ145" s="75"/>
    </row>
    <row r="146" spans="1:39" x14ac:dyDescent="0.25">
      <c r="A146" s="9" t="str">
        <f>IF(COUNTIF(A$20:A$60,'Inputs_NT INM'!A104)=0,"*",'Inputs_NT INM'!A104)</f>
        <v>*</v>
      </c>
      <c r="B146" s="9" t="s">
        <v>558</v>
      </c>
      <c r="C146" s="9" t="s">
        <v>558</v>
      </c>
      <c r="D146" s="9" t="s">
        <v>558</v>
      </c>
      <c r="E146" s="9" t="s">
        <v>558</v>
      </c>
      <c r="F146" s="67" t="s">
        <v>558</v>
      </c>
      <c r="G146" s="67" t="s">
        <v>558</v>
      </c>
      <c r="H146" s="67" t="s">
        <v>558</v>
      </c>
      <c r="I146" s="67" t="s">
        <v>558</v>
      </c>
      <c r="J146" s="67" t="s">
        <v>558</v>
      </c>
      <c r="K146" s="67" t="s">
        <v>558</v>
      </c>
      <c r="L146" s="67" t="s">
        <v>558</v>
      </c>
      <c r="M146" s="67" t="s">
        <v>558</v>
      </c>
      <c r="N146" s="67" t="s">
        <v>558</v>
      </c>
      <c r="O146" s="67" t="s">
        <v>558</v>
      </c>
      <c r="P146" s="67" t="s">
        <v>558</v>
      </c>
      <c r="Q146" s="67" t="s">
        <v>558</v>
      </c>
      <c r="R146" s="67" t="s">
        <v>558</v>
      </c>
      <c r="S146" s="67" t="s">
        <v>558</v>
      </c>
      <c r="T146" s="67" t="s">
        <v>558</v>
      </c>
      <c r="U146" s="67" t="s">
        <v>558</v>
      </c>
      <c r="V146" s="67" t="s">
        <v>558</v>
      </c>
      <c r="W146" s="67" t="s">
        <v>558</v>
      </c>
      <c r="X146" s="67" t="s">
        <v>558</v>
      </c>
      <c r="Y146" s="67" t="s">
        <v>558</v>
      </c>
      <c r="Z146" s="67" t="s">
        <v>558</v>
      </c>
      <c r="AA146" s="67" t="s">
        <v>558</v>
      </c>
      <c r="AB146" s="67" t="s">
        <v>558</v>
      </c>
      <c r="AC146" s="67" t="s">
        <v>558</v>
      </c>
      <c r="AD146" s="67" t="s">
        <v>558</v>
      </c>
      <c r="AE146" s="67" t="s">
        <v>558</v>
      </c>
      <c r="AF146" s="67" t="s">
        <v>558</v>
      </c>
      <c r="AG146" s="67" t="s">
        <v>558</v>
      </c>
      <c r="AH146" s="67"/>
      <c r="AI146" s="67"/>
      <c r="AJ146" s="67"/>
    </row>
    <row r="147" spans="1:39" x14ac:dyDescent="0.25">
      <c r="A147" s="9" t="str">
        <f>IF(COUNTIF(A$20:A$60,'Inputs_NT INM'!A105)=0,"*",'Inputs_NT INM'!A105)</f>
        <v>I-NM-HTH_GAS01</v>
      </c>
      <c r="B147" s="9" t="s">
        <v>938</v>
      </c>
      <c r="C147" s="9" t="s">
        <v>304</v>
      </c>
      <c r="D147" s="9">
        <f>'Inputs_NT INM'!H105</f>
        <v>2020</v>
      </c>
      <c r="E147" s="9" t="s">
        <v>460</v>
      </c>
      <c r="F147" s="67">
        <f>'Inputs_NT INM'!M105</f>
        <v>0.6</v>
      </c>
      <c r="G147" s="67">
        <f>'Inputs_NT INM'!N105</f>
        <v>0.6</v>
      </c>
      <c r="H147" s="67">
        <f>'Inputs_NT INM'!O105</f>
        <v>0.6</v>
      </c>
      <c r="I147" s="67">
        <f>'Inputs_NT INM'!P105</f>
        <v>0.6</v>
      </c>
      <c r="J147" s="67">
        <f>'Inputs_NT INM'!Q105</f>
        <v>0.6</v>
      </c>
      <c r="K147" s="67">
        <f>'Inputs_NT INM'!R105</f>
        <v>0.6</v>
      </c>
      <c r="L147" s="67">
        <f>'Inputs_NT INM'!S105</f>
        <v>0.6</v>
      </c>
      <c r="M147" s="67">
        <f>'Inputs_NT INM'!T105</f>
        <v>0.6</v>
      </c>
      <c r="N147" s="67">
        <f>'Inputs_NT INM'!U105</f>
        <v>0.6</v>
      </c>
      <c r="O147" s="67">
        <f>'Inputs_NT INM'!V105</f>
        <v>0.6</v>
      </c>
      <c r="P147" s="67">
        <f>'Inputs_NT INM'!W105</f>
        <v>0.6</v>
      </c>
      <c r="Q147" s="67">
        <f>'Inputs_NT INM'!X105</f>
        <v>0.6</v>
      </c>
      <c r="R147" s="67">
        <f>'Inputs_NT INM'!Y105</f>
        <v>0.6</v>
      </c>
      <c r="S147" s="67">
        <f>'Inputs_NT INM'!Z105</f>
        <v>0.6</v>
      </c>
      <c r="T147" s="67">
        <f>'Inputs_NT INM'!AA105</f>
        <v>0.6</v>
      </c>
      <c r="U147" s="67">
        <f>'Inputs_NT INM'!AB105</f>
        <v>0.6</v>
      </c>
      <c r="V147" s="67">
        <f>'Inputs_NT INM'!AC105</f>
        <v>0.6</v>
      </c>
      <c r="W147" s="67">
        <f>'Inputs_NT INM'!AD105</f>
        <v>0.6</v>
      </c>
      <c r="X147" s="67">
        <f>'Inputs_NT INM'!AE105</f>
        <v>0.6</v>
      </c>
      <c r="Y147" s="67">
        <f>'Inputs_NT INM'!AF105</f>
        <v>0.6</v>
      </c>
      <c r="Z147" s="67">
        <f>'Inputs_NT INM'!AG105</f>
        <v>0.6</v>
      </c>
      <c r="AA147" s="67">
        <f>'Inputs_NT INM'!AH105</f>
        <v>0.6</v>
      </c>
      <c r="AB147" s="67">
        <f>'Inputs_NT INM'!AI105</f>
        <v>0.6</v>
      </c>
      <c r="AC147" s="67">
        <f>'Inputs_NT INM'!AJ105</f>
        <v>0.6</v>
      </c>
      <c r="AD147" s="67">
        <f>'Inputs_NT INM'!AK105</f>
        <v>0.6</v>
      </c>
      <c r="AE147" s="67">
        <f>'Inputs_NT INM'!AL105</f>
        <v>0.6</v>
      </c>
      <c r="AF147" s="67">
        <f>'Inputs_NT INM'!AM105</f>
        <v>0.6</v>
      </c>
      <c r="AG147" s="67">
        <f>'Inputs_NT INM'!AN105</f>
        <v>0.6</v>
      </c>
      <c r="AH147" s="67"/>
      <c r="AI147" s="67"/>
      <c r="AJ147" s="67"/>
    </row>
    <row r="148" spans="1:39" x14ac:dyDescent="0.25">
      <c r="A148" s="9" t="str">
        <f>IF(COUNTIF(A$20:A$60,'Inputs_NT INM'!A106)=0,"*",'Inputs_NT INM'!A106)</f>
        <v>I-NM-HTH_HET01</v>
      </c>
      <c r="B148" s="9" t="s">
        <v>940</v>
      </c>
      <c r="C148" s="9" t="s">
        <v>304</v>
      </c>
      <c r="D148" s="9">
        <f>'Inputs_NT INM'!H106</f>
        <v>2020</v>
      </c>
      <c r="E148" s="9" t="s">
        <v>460</v>
      </c>
      <c r="F148" s="67">
        <f>'Inputs_NT INM'!M106</f>
        <v>1</v>
      </c>
      <c r="G148" s="67">
        <f>'Inputs_NT INM'!N106</f>
        <v>1</v>
      </c>
      <c r="H148" s="67">
        <f>'Inputs_NT INM'!O106</f>
        <v>1</v>
      </c>
      <c r="I148" s="67">
        <f>'Inputs_NT INM'!P106</f>
        <v>1</v>
      </c>
      <c r="J148" s="67">
        <f>'Inputs_NT INM'!Q106</f>
        <v>1</v>
      </c>
      <c r="K148" s="67">
        <f>'Inputs_NT INM'!R106</f>
        <v>1</v>
      </c>
      <c r="L148" s="67">
        <f>'Inputs_NT INM'!S106</f>
        <v>1</v>
      </c>
      <c r="M148" s="67">
        <f>'Inputs_NT INM'!T106</f>
        <v>1</v>
      </c>
      <c r="N148" s="67">
        <f>'Inputs_NT INM'!U106</f>
        <v>1</v>
      </c>
      <c r="O148" s="67">
        <f>'Inputs_NT INM'!V106</f>
        <v>1</v>
      </c>
      <c r="P148" s="67">
        <f>'Inputs_NT INM'!W106</f>
        <v>1</v>
      </c>
      <c r="Q148" s="67">
        <f>'Inputs_NT INM'!X106</f>
        <v>1</v>
      </c>
      <c r="R148" s="67">
        <f>'Inputs_NT INM'!Y106</f>
        <v>1</v>
      </c>
      <c r="S148" s="67">
        <f>'Inputs_NT INM'!Z106</f>
        <v>1</v>
      </c>
      <c r="T148" s="67">
        <f>'Inputs_NT INM'!AA106</f>
        <v>1</v>
      </c>
      <c r="U148" s="67">
        <f>'Inputs_NT INM'!AB106</f>
        <v>1</v>
      </c>
      <c r="V148" s="67">
        <f>'Inputs_NT INM'!AC106</f>
        <v>1</v>
      </c>
      <c r="W148" s="67">
        <f>'Inputs_NT INM'!AD106</f>
        <v>1</v>
      </c>
      <c r="X148" s="67">
        <f>'Inputs_NT INM'!AE106</f>
        <v>1</v>
      </c>
      <c r="Y148" s="67">
        <f>'Inputs_NT INM'!AF106</f>
        <v>1</v>
      </c>
      <c r="Z148" s="67">
        <f>'Inputs_NT INM'!AG106</f>
        <v>1</v>
      </c>
      <c r="AA148" s="67">
        <f>'Inputs_NT INM'!AH106</f>
        <v>1</v>
      </c>
      <c r="AB148" s="67">
        <f>'Inputs_NT INM'!AI106</f>
        <v>1</v>
      </c>
      <c r="AC148" s="67">
        <f>'Inputs_NT INM'!AJ106</f>
        <v>1</v>
      </c>
      <c r="AD148" s="67">
        <f>'Inputs_NT INM'!AK106</f>
        <v>1</v>
      </c>
      <c r="AE148" s="67">
        <f>'Inputs_NT INM'!AL106</f>
        <v>1</v>
      </c>
      <c r="AF148" s="67">
        <f>'Inputs_NT INM'!AM106</f>
        <v>1</v>
      </c>
      <c r="AG148" s="67">
        <f>'Inputs_NT INM'!AN106</f>
        <v>1</v>
      </c>
      <c r="AH148" s="67"/>
      <c r="AI148" s="67"/>
      <c r="AJ148" s="67"/>
    </row>
    <row r="149" spans="1:39" x14ac:dyDescent="0.25">
      <c r="A149" s="9" t="str">
        <f>IF(COUNTIF(A$20:A$60,'Inputs_NT INM'!A107)=0,"*",'Inputs_NT INM'!A107)</f>
        <v>I-NM-HTH_OIL01</v>
      </c>
      <c r="B149" s="9" t="s">
        <v>942</v>
      </c>
      <c r="C149" s="9" t="s">
        <v>304</v>
      </c>
      <c r="D149" s="9">
        <f>'Inputs_NT INM'!H107</f>
        <v>2020</v>
      </c>
      <c r="E149" s="9" t="s">
        <v>460</v>
      </c>
      <c r="F149" s="67">
        <f>'Inputs_NT INM'!M107</f>
        <v>0.4</v>
      </c>
      <c r="G149" s="67">
        <f>'Inputs_NT INM'!N107</f>
        <v>0.4</v>
      </c>
      <c r="H149" s="67">
        <f>'Inputs_NT INM'!O107</f>
        <v>0.4</v>
      </c>
      <c r="I149" s="67">
        <f>'Inputs_NT INM'!P107</f>
        <v>0.4</v>
      </c>
      <c r="J149" s="67">
        <f>'Inputs_NT INM'!Q107</f>
        <v>0.4</v>
      </c>
      <c r="K149" s="67">
        <f>'Inputs_NT INM'!R107</f>
        <v>0.4</v>
      </c>
      <c r="L149" s="67">
        <f>'Inputs_NT INM'!S107</f>
        <v>0.4</v>
      </c>
      <c r="M149" s="67">
        <f>'Inputs_NT INM'!T107</f>
        <v>0.4</v>
      </c>
      <c r="N149" s="67">
        <f>'Inputs_NT INM'!U107</f>
        <v>0.4</v>
      </c>
      <c r="O149" s="67">
        <f>'Inputs_NT INM'!V107</f>
        <v>0.4</v>
      </c>
      <c r="P149" s="67">
        <f>'Inputs_NT INM'!W107</f>
        <v>0.4</v>
      </c>
      <c r="Q149" s="67">
        <f>'Inputs_NT INM'!X107</f>
        <v>0.4</v>
      </c>
      <c r="R149" s="67">
        <f>'Inputs_NT INM'!Y107</f>
        <v>0.4</v>
      </c>
      <c r="S149" s="67">
        <f>'Inputs_NT INM'!Z107</f>
        <v>0.4</v>
      </c>
      <c r="T149" s="67">
        <f>'Inputs_NT INM'!AA107</f>
        <v>0.4</v>
      </c>
      <c r="U149" s="67">
        <f>'Inputs_NT INM'!AB107</f>
        <v>0.4</v>
      </c>
      <c r="V149" s="67">
        <f>'Inputs_NT INM'!AC107</f>
        <v>0.4</v>
      </c>
      <c r="W149" s="67">
        <f>'Inputs_NT INM'!AD107</f>
        <v>0.4</v>
      </c>
      <c r="X149" s="67">
        <f>'Inputs_NT INM'!AE107</f>
        <v>0.4</v>
      </c>
      <c r="Y149" s="67">
        <f>'Inputs_NT INM'!AF107</f>
        <v>0.4</v>
      </c>
      <c r="Z149" s="67">
        <f>'Inputs_NT INM'!AG107</f>
        <v>0.4</v>
      </c>
      <c r="AA149" s="67">
        <f>'Inputs_NT INM'!AH107</f>
        <v>0.4</v>
      </c>
      <c r="AB149" s="67">
        <f>'Inputs_NT INM'!AI107</f>
        <v>0.4</v>
      </c>
      <c r="AC149" s="67">
        <f>'Inputs_NT INM'!AJ107</f>
        <v>0.4</v>
      </c>
      <c r="AD149" s="67">
        <f>'Inputs_NT INM'!AK107</f>
        <v>0.4</v>
      </c>
      <c r="AE149" s="67">
        <f>'Inputs_NT INM'!AL107</f>
        <v>0.4</v>
      </c>
      <c r="AF149" s="67">
        <f>'Inputs_NT INM'!AM107</f>
        <v>0.4</v>
      </c>
      <c r="AG149" s="67">
        <f>'Inputs_NT INM'!AN107</f>
        <v>0.4</v>
      </c>
      <c r="AH149" s="67"/>
      <c r="AI149" s="67"/>
      <c r="AJ149" s="67"/>
    </row>
    <row r="150" spans="1:39" x14ac:dyDescent="0.25">
      <c r="A150" s="9" t="str">
        <f>IF(COUNTIF(A$20:A$60,'Inputs_NT INM'!A108)=0,"*",'Inputs_NT INM'!A108)</f>
        <v>I-NM-HTH_COA01</v>
      </c>
      <c r="B150" s="9" t="s">
        <v>943</v>
      </c>
      <c r="C150" s="9" t="s">
        <v>304</v>
      </c>
      <c r="D150" s="9">
        <f>'Inputs_NT INM'!H108</f>
        <v>2020</v>
      </c>
      <c r="E150" s="9" t="s">
        <v>460</v>
      </c>
      <c r="F150" s="67">
        <f>'Inputs_NT INM'!M108</f>
        <v>0.4</v>
      </c>
      <c r="G150" s="67">
        <f>'Inputs_NT INM'!N108</f>
        <v>0.4</v>
      </c>
      <c r="H150" s="67">
        <f>'Inputs_NT INM'!O108</f>
        <v>0.4</v>
      </c>
      <c r="I150" s="67">
        <f>'Inputs_NT INM'!P108</f>
        <v>0.4</v>
      </c>
      <c r="J150" s="67">
        <f>'Inputs_NT INM'!Q108</f>
        <v>0.4</v>
      </c>
      <c r="K150" s="67">
        <f>'Inputs_NT INM'!R108</f>
        <v>0.4</v>
      </c>
      <c r="L150" s="67">
        <f>'Inputs_NT INM'!S108</f>
        <v>0.4</v>
      </c>
      <c r="M150" s="67">
        <f>'Inputs_NT INM'!T108</f>
        <v>0.4</v>
      </c>
      <c r="N150" s="67">
        <f>'Inputs_NT INM'!U108</f>
        <v>0.4</v>
      </c>
      <c r="O150" s="67">
        <f>'Inputs_NT INM'!V108</f>
        <v>0.4</v>
      </c>
      <c r="P150" s="67">
        <f>'Inputs_NT INM'!W108</f>
        <v>0.4</v>
      </c>
      <c r="Q150" s="67">
        <f>'Inputs_NT INM'!X108</f>
        <v>0.4</v>
      </c>
      <c r="R150" s="67">
        <f>'Inputs_NT INM'!Y108</f>
        <v>0.4</v>
      </c>
      <c r="S150" s="67">
        <f>'Inputs_NT INM'!Z108</f>
        <v>0.4</v>
      </c>
      <c r="T150" s="67">
        <f>'Inputs_NT INM'!AA108</f>
        <v>0.4</v>
      </c>
      <c r="U150" s="67">
        <f>'Inputs_NT INM'!AB108</f>
        <v>0.4</v>
      </c>
      <c r="V150" s="67">
        <f>'Inputs_NT INM'!AC108</f>
        <v>0.4</v>
      </c>
      <c r="W150" s="67">
        <f>'Inputs_NT INM'!AD108</f>
        <v>0.4</v>
      </c>
      <c r="X150" s="67">
        <f>'Inputs_NT INM'!AE108</f>
        <v>0.4</v>
      </c>
      <c r="Y150" s="67">
        <f>'Inputs_NT INM'!AF108</f>
        <v>0.4</v>
      </c>
      <c r="Z150" s="67">
        <f>'Inputs_NT INM'!AG108</f>
        <v>0.4</v>
      </c>
      <c r="AA150" s="67">
        <f>'Inputs_NT INM'!AH108</f>
        <v>0.4</v>
      </c>
      <c r="AB150" s="67">
        <f>'Inputs_NT INM'!AI108</f>
        <v>0.4</v>
      </c>
      <c r="AC150" s="67">
        <f>'Inputs_NT INM'!AJ108</f>
        <v>0.4</v>
      </c>
      <c r="AD150" s="67">
        <f>'Inputs_NT INM'!AK108</f>
        <v>0.4</v>
      </c>
      <c r="AE150" s="67">
        <f>'Inputs_NT INM'!AL108</f>
        <v>0.4</v>
      </c>
      <c r="AF150" s="67">
        <f>'Inputs_NT INM'!AM108</f>
        <v>0.4</v>
      </c>
      <c r="AG150" s="67">
        <f>'Inputs_NT INM'!AN108</f>
        <v>0.4</v>
      </c>
      <c r="AH150" s="67"/>
      <c r="AI150" s="67"/>
      <c r="AJ150" s="67"/>
      <c r="AL150" s="327"/>
      <c r="AM150" s="329"/>
    </row>
    <row r="151" spans="1:39" x14ac:dyDescent="0.25">
      <c r="A151" s="9" t="str">
        <f>IF(COUNTIF(A$20:A$60,'Inputs_NT INM'!A109)=0,"*",'Inputs_NT INM'!A109)</f>
        <v>*</v>
      </c>
      <c r="B151" s="9" t="s">
        <v>558</v>
      </c>
      <c r="C151" s="9" t="s">
        <v>558</v>
      </c>
      <c r="F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row>
    <row r="152" spans="1:39" x14ac:dyDescent="0.25">
      <c r="A152" s="9" t="str">
        <f>IF(COUNTIF(A$20:A$60,'Inputs_NT INM'!A110)=0,"*",'Inputs_NT INM'!A110)</f>
        <v>*</v>
      </c>
      <c r="B152" s="9" t="s">
        <v>558</v>
      </c>
      <c r="C152" s="9" t="s">
        <v>558</v>
      </c>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row>
    <row r="153" spans="1:39" x14ac:dyDescent="0.25">
      <c r="A153" s="9" t="str">
        <f>IF(COUNTIF(A$20:A$60,'Inputs_NT INM'!A111)=0,"*",'Inputs_NT INM'!A111)</f>
        <v>I-NM-HTH_GAS02</v>
      </c>
      <c r="B153" s="9" t="s">
        <v>944</v>
      </c>
      <c r="C153" s="9" t="s">
        <v>304</v>
      </c>
      <c r="D153" s="9">
        <f>'Inputs_NT INM'!H111</f>
        <v>2025</v>
      </c>
      <c r="E153" s="9" t="s">
        <v>460</v>
      </c>
      <c r="F153" s="67">
        <f>'Inputs_NT INM'!M111</f>
        <v>0.6</v>
      </c>
      <c r="G153" s="67">
        <f>'Inputs_NT INM'!N111</f>
        <v>0.6</v>
      </c>
      <c r="H153" s="67">
        <f>'Inputs_NT INM'!O111</f>
        <v>0.6</v>
      </c>
      <c r="I153" s="67">
        <f>'Inputs_NT INM'!P111</f>
        <v>0.6</v>
      </c>
      <c r="J153" s="67">
        <f>'Inputs_NT INM'!Q111</f>
        <v>0.6</v>
      </c>
      <c r="K153" s="67">
        <f>'Inputs_NT INM'!R111</f>
        <v>0.6</v>
      </c>
      <c r="L153" s="67">
        <f>'Inputs_NT INM'!S111</f>
        <v>0.6</v>
      </c>
      <c r="M153" s="67">
        <f>'Inputs_NT INM'!T111</f>
        <v>0.6</v>
      </c>
      <c r="N153" s="67">
        <f>'Inputs_NT INM'!U111</f>
        <v>0.6</v>
      </c>
      <c r="O153" s="67">
        <f>'Inputs_NT INM'!V111</f>
        <v>0.6</v>
      </c>
      <c r="P153" s="67">
        <f>'Inputs_NT INM'!W111</f>
        <v>0.6</v>
      </c>
      <c r="Q153" s="67">
        <f>'Inputs_NT INM'!X111</f>
        <v>0.6</v>
      </c>
      <c r="R153" s="67">
        <f>'Inputs_NT INM'!Y111</f>
        <v>0.6</v>
      </c>
      <c r="S153" s="67">
        <f>'Inputs_NT INM'!Z111</f>
        <v>0.6</v>
      </c>
      <c r="T153" s="67">
        <f>'Inputs_NT INM'!AA111</f>
        <v>0.6</v>
      </c>
      <c r="U153" s="67">
        <f>'Inputs_NT INM'!AB111</f>
        <v>0.6</v>
      </c>
      <c r="V153" s="67">
        <f>'Inputs_NT INM'!AC111</f>
        <v>0.6</v>
      </c>
      <c r="W153" s="67">
        <f>'Inputs_NT INM'!AD111</f>
        <v>0.6</v>
      </c>
      <c r="X153" s="67">
        <f>'Inputs_NT INM'!AE111</f>
        <v>0.6</v>
      </c>
      <c r="Y153" s="67">
        <f>'Inputs_NT INM'!AF111</f>
        <v>0.6</v>
      </c>
      <c r="Z153" s="67">
        <f>'Inputs_NT INM'!AG111</f>
        <v>0.6</v>
      </c>
      <c r="AA153" s="67">
        <f>'Inputs_NT INM'!AH111</f>
        <v>0.6</v>
      </c>
      <c r="AB153" s="67">
        <f>'Inputs_NT INM'!AI111</f>
        <v>0.6</v>
      </c>
      <c r="AC153" s="67">
        <f>'Inputs_NT INM'!AJ111</f>
        <v>0.6</v>
      </c>
      <c r="AD153" s="67">
        <f>'Inputs_NT INM'!AK111</f>
        <v>0.6</v>
      </c>
      <c r="AE153" s="67">
        <f>'Inputs_NT INM'!AL111</f>
        <v>0.6</v>
      </c>
      <c r="AF153" s="67">
        <f>'Inputs_NT INM'!AM111</f>
        <v>0.6</v>
      </c>
      <c r="AG153" s="67">
        <f>'Inputs_NT INM'!AN111</f>
        <v>0.6</v>
      </c>
      <c r="AH153" s="67"/>
      <c r="AI153" s="67"/>
      <c r="AJ153" s="67"/>
    </row>
    <row r="154" spans="1:39" x14ac:dyDescent="0.25">
      <c r="A154" s="9" t="str">
        <f>IF(COUNTIF(A$20:A$60,'Inputs_NT INM'!A112)=0,"*",'Inputs_NT INM'!A112)</f>
        <v>I-NM-HTH_HET02</v>
      </c>
      <c r="B154" s="9" t="s">
        <v>945</v>
      </c>
      <c r="C154" s="9" t="s">
        <v>304</v>
      </c>
      <c r="D154" s="9">
        <f>'Inputs_NT INM'!H112</f>
        <v>2025</v>
      </c>
      <c r="E154" s="9" t="s">
        <v>460</v>
      </c>
      <c r="F154" s="67">
        <f>'Inputs_NT INM'!M112</f>
        <v>1</v>
      </c>
      <c r="G154" s="67">
        <f>'Inputs_NT INM'!N112</f>
        <v>1</v>
      </c>
      <c r="H154" s="67">
        <f>'Inputs_NT INM'!O112</f>
        <v>1</v>
      </c>
      <c r="I154" s="67">
        <f>'Inputs_NT INM'!P112</f>
        <v>1</v>
      </c>
      <c r="J154" s="67">
        <f>'Inputs_NT INM'!Q112</f>
        <v>1</v>
      </c>
      <c r="K154" s="67">
        <f>'Inputs_NT INM'!R112</f>
        <v>1</v>
      </c>
      <c r="L154" s="67">
        <f>'Inputs_NT INM'!S112</f>
        <v>1</v>
      </c>
      <c r="M154" s="67">
        <f>'Inputs_NT INM'!T112</f>
        <v>1</v>
      </c>
      <c r="N154" s="67">
        <f>'Inputs_NT INM'!U112</f>
        <v>1</v>
      </c>
      <c r="O154" s="67">
        <f>'Inputs_NT INM'!V112</f>
        <v>1</v>
      </c>
      <c r="P154" s="67">
        <f>'Inputs_NT INM'!W112</f>
        <v>1</v>
      </c>
      <c r="Q154" s="67">
        <f>'Inputs_NT INM'!X112</f>
        <v>1</v>
      </c>
      <c r="R154" s="67">
        <f>'Inputs_NT INM'!Y112</f>
        <v>1</v>
      </c>
      <c r="S154" s="67">
        <f>'Inputs_NT INM'!Z112</f>
        <v>1</v>
      </c>
      <c r="T154" s="67">
        <f>'Inputs_NT INM'!AA112</f>
        <v>1</v>
      </c>
      <c r="U154" s="67">
        <f>'Inputs_NT INM'!AB112</f>
        <v>1</v>
      </c>
      <c r="V154" s="67">
        <f>'Inputs_NT INM'!AC112</f>
        <v>1</v>
      </c>
      <c r="W154" s="67">
        <f>'Inputs_NT INM'!AD112</f>
        <v>1</v>
      </c>
      <c r="X154" s="67">
        <f>'Inputs_NT INM'!AE112</f>
        <v>1</v>
      </c>
      <c r="Y154" s="67">
        <f>'Inputs_NT INM'!AF112</f>
        <v>1</v>
      </c>
      <c r="Z154" s="67">
        <f>'Inputs_NT INM'!AG112</f>
        <v>1</v>
      </c>
      <c r="AA154" s="67">
        <f>'Inputs_NT INM'!AH112</f>
        <v>1</v>
      </c>
      <c r="AB154" s="67">
        <f>'Inputs_NT INM'!AI112</f>
        <v>1</v>
      </c>
      <c r="AC154" s="67">
        <f>'Inputs_NT INM'!AJ112</f>
        <v>1</v>
      </c>
      <c r="AD154" s="67">
        <f>'Inputs_NT INM'!AK112</f>
        <v>1</v>
      </c>
      <c r="AE154" s="67">
        <f>'Inputs_NT INM'!AL112</f>
        <v>1</v>
      </c>
      <c r="AF154" s="67">
        <f>'Inputs_NT INM'!AM112</f>
        <v>1</v>
      </c>
      <c r="AG154" s="67">
        <f>'Inputs_NT INM'!AN112</f>
        <v>1</v>
      </c>
      <c r="AH154" s="67"/>
      <c r="AI154" s="67"/>
      <c r="AJ154" s="67"/>
    </row>
    <row r="155" spans="1:39" x14ac:dyDescent="0.25">
      <c r="A155" s="9" t="str">
        <f>IF(COUNTIF(A$20:A$60,'Inputs_NT INM'!A113)=0,"*",'Inputs_NT INM'!A113)</f>
        <v>I-NM-HTH_OIL02</v>
      </c>
      <c r="B155" s="9" t="s">
        <v>946</v>
      </c>
      <c r="C155" s="9" t="s">
        <v>304</v>
      </c>
      <c r="D155" s="9">
        <f>'Inputs_NT INM'!H113</f>
        <v>2025</v>
      </c>
      <c r="E155" s="9" t="s">
        <v>460</v>
      </c>
      <c r="F155" s="67">
        <f>'Inputs_NT INM'!M113</f>
        <v>0.4</v>
      </c>
      <c r="G155" s="67">
        <f>'Inputs_NT INM'!N113</f>
        <v>0.4</v>
      </c>
      <c r="H155" s="67">
        <f>'Inputs_NT INM'!O113</f>
        <v>0.4</v>
      </c>
      <c r="I155" s="67">
        <f>'Inputs_NT INM'!P113</f>
        <v>0.4</v>
      </c>
      <c r="J155" s="67">
        <f>'Inputs_NT INM'!Q113</f>
        <v>0.4</v>
      </c>
      <c r="K155" s="67">
        <f>'Inputs_NT INM'!R113</f>
        <v>0.4</v>
      </c>
      <c r="L155" s="67">
        <f>'Inputs_NT INM'!S113</f>
        <v>0.4</v>
      </c>
      <c r="M155" s="67">
        <f>'Inputs_NT INM'!T113</f>
        <v>0.4</v>
      </c>
      <c r="N155" s="67">
        <f>'Inputs_NT INM'!U113</f>
        <v>0.4</v>
      </c>
      <c r="O155" s="67">
        <f>'Inputs_NT INM'!V113</f>
        <v>0.4</v>
      </c>
      <c r="P155" s="67">
        <f>'Inputs_NT INM'!W113</f>
        <v>0.4</v>
      </c>
      <c r="Q155" s="67">
        <f>'Inputs_NT INM'!X113</f>
        <v>0.4</v>
      </c>
      <c r="R155" s="67">
        <f>'Inputs_NT INM'!Y113</f>
        <v>0.4</v>
      </c>
      <c r="S155" s="67">
        <f>'Inputs_NT INM'!Z113</f>
        <v>0.4</v>
      </c>
      <c r="T155" s="67">
        <f>'Inputs_NT INM'!AA113</f>
        <v>0.4</v>
      </c>
      <c r="U155" s="67">
        <f>'Inputs_NT INM'!AB113</f>
        <v>0.4</v>
      </c>
      <c r="V155" s="67">
        <f>'Inputs_NT INM'!AC113</f>
        <v>0.4</v>
      </c>
      <c r="W155" s="67">
        <f>'Inputs_NT INM'!AD113</f>
        <v>0.4</v>
      </c>
      <c r="X155" s="67">
        <f>'Inputs_NT INM'!AE113</f>
        <v>0.4</v>
      </c>
      <c r="Y155" s="67">
        <f>'Inputs_NT INM'!AF113</f>
        <v>0.4</v>
      </c>
      <c r="Z155" s="67">
        <f>'Inputs_NT INM'!AG113</f>
        <v>0.4</v>
      </c>
      <c r="AA155" s="67">
        <f>'Inputs_NT INM'!AH113</f>
        <v>0.4</v>
      </c>
      <c r="AB155" s="67">
        <f>'Inputs_NT INM'!AI113</f>
        <v>0.4</v>
      </c>
      <c r="AC155" s="67">
        <f>'Inputs_NT INM'!AJ113</f>
        <v>0.4</v>
      </c>
      <c r="AD155" s="67">
        <f>'Inputs_NT INM'!AK113</f>
        <v>0.4</v>
      </c>
      <c r="AE155" s="67">
        <f>'Inputs_NT INM'!AL113</f>
        <v>0.4</v>
      </c>
      <c r="AF155" s="67">
        <f>'Inputs_NT INM'!AM113</f>
        <v>0.4</v>
      </c>
      <c r="AG155" s="67">
        <f>'Inputs_NT INM'!AN113</f>
        <v>0.4</v>
      </c>
      <c r="AH155" s="67"/>
      <c r="AI155" s="67"/>
      <c r="AJ155" s="67"/>
    </row>
    <row r="156" spans="1:39" x14ac:dyDescent="0.25">
      <c r="A156" s="9" t="str">
        <f>IF(COUNTIF(A$20:A$60,'Inputs_NT INM'!A114)=0,"*",'Inputs_NT INM'!A114)</f>
        <v>I-NM-HTH_COA02</v>
      </c>
      <c r="B156" s="9" t="s">
        <v>947</v>
      </c>
      <c r="C156" s="9" t="s">
        <v>304</v>
      </c>
      <c r="D156" s="9">
        <f>'Inputs_NT INM'!H114</f>
        <v>2025</v>
      </c>
      <c r="E156" s="9" t="s">
        <v>460</v>
      </c>
      <c r="F156" s="67">
        <f>'Inputs_NT INM'!M114</f>
        <v>0.4</v>
      </c>
      <c r="G156" s="67">
        <f>'Inputs_NT INM'!N114</f>
        <v>0.4</v>
      </c>
      <c r="H156" s="67">
        <f>'Inputs_NT INM'!O114</f>
        <v>0.4</v>
      </c>
      <c r="I156" s="67">
        <f>'Inputs_NT INM'!P114</f>
        <v>0.4</v>
      </c>
      <c r="J156" s="67">
        <f>'Inputs_NT INM'!Q114</f>
        <v>0.4</v>
      </c>
      <c r="K156" s="67">
        <f>'Inputs_NT INM'!R114</f>
        <v>0.4</v>
      </c>
      <c r="L156" s="67">
        <f>'Inputs_NT INM'!S114</f>
        <v>0.4</v>
      </c>
      <c r="M156" s="67">
        <f>'Inputs_NT INM'!T114</f>
        <v>0.4</v>
      </c>
      <c r="N156" s="67">
        <f>'Inputs_NT INM'!U114</f>
        <v>0.4</v>
      </c>
      <c r="O156" s="67">
        <f>'Inputs_NT INM'!V114</f>
        <v>0.4</v>
      </c>
      <c r="P156" s="67">
        <f>'Inputs_NT INM'!W114</f>
        <v>0.4</v>
      </c>
      <c r="Q156" s="67">
        <f>'Inputs_NT INM'!X114</f>
        <v>0.4</v>
      </c>
      <c r="R156" s="67">
        <f>'Inputs_NT INM'!Y114</f>
        <v>0.4</v>
      </c>
      <c r="S156" s="67">
        <f>'Inputs_NT INM'!Z114</f>
        <v>0.4</v>
      </c>
      <c r="T156" s="67">
        <f>'Inputs_NT INM'!AA114</f>
        <v>0.4</v>
      </c>
      <c r="U156" s="67">
        <f>'Inputs_NT INM'!AB114</f>
        <v>0.4</v>
      </c>
      <c r="V156" s="67">
        <f>'Inputs_NT INM'!AC114</f>
        <v>0.4</v>
      </c>
      <c r="W156" s="67">
        <f>'Inputs_NT INM'!AD114</f>
        <v>0.4</v>
      </c>
      <c r="X156" s="67">
        <f>'Inputs_NT INM'!AE114</f>
        <v>0.4</v>
      </c>
      <c r="Y156" s="67">
        <f>'Inputs_NT INM'!AF114</f>
        <v>0.4</v>
      </c>
      <c r="Z156" s="67">
        <f>'Inputs_NT INM'!AG114</f>
        <v>0.4</v>
      </c>
      <c r="AA156" s="67">
        <f>'Inputs_NT INM'!AH114</f>
        <v>0.4</v>
      </c>
      <c r="AB156" s="67">
        <f>'Inputs_NT INM'!AI114</f>
        <v>0.4</v>
      </c>
      <c r="AC156" s="67">
        <f>'Inputs_NT INM'!AJ114</f>
        <v>0.4</v>
      </c>
      <c r="AD156" s="67">
        <f>'Inputs_NT INM'!AK114</f>
        <v>0.4</v>
      </c>
      <c r="AE156" s="67">
        <f>'Inputs_NT INM'!AL114</f>
        <v>0.4</v>
      </c>
      <c r="AF156" s="67">
        <f>'Inputs_NT INM'!AM114</f>
        <v>0.4</v>
      </c>
      <c r="AG156" s="67">
        <f>'Inputs_NT INM'!AN114</f>
        <v>0.4</v>
      </c>
      <c r="AH156" s="67"/>
      <c r="AI156" s="67"/>
      <c r="AJ156" s="67"/>
    </row>
    <row r="157" spans="1:39" x14ac:dyDescent="0.25">
      <c r="A157" s="9" t="str">
        <f>IF(COUNTIF(A$20:A$60,'Inputs_NT INM'!A115)=0,"*",'Inputs_NT INM'!A115)</f>
        <v>*</v>
      </c>
      <c r="B157" s="9" t="s">
        <v>558</v>
      </c>
      <c r="C157" s="9" t="s">
        <v>558</v>
      </c>
      <c r="F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row>
    <row r="158" spans="1:39" x14ac:dyDescent="0.25">
      <c r="A158" s="9" t="str">
        <f>IF(COUNTIF(A$20:A$60,'Inputs_NT INM'!A116)=0,"*",'Inputs_NT INM'!A116)</f>
        <v>*</v>
      </c>
      <c r="B158" s="9" t="s">
        <v>558</v>
      </c>
      <c r="C158" s="9" t="s">
        <v>558</v>
      </c>
      <c r="F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row>
    <row r="159" spans="1:39" x14ac:dyDescent="0.25">
      <c r="A159" s="9" t="str">
        <f>IF(COUNTIF(A$20:A$60,'Inputs_NT INM'!A117)=0,"*",'Inputs_NT INM'!A117)</f>
        <v>I-NM-HTH_GAS02</v>
      </c>
      <c r="B159" s="9" t="s">
        <v>944</v>
      </c>
      <c r="C159" s="9" t="s">
        <v>304</v>
      </c>
      <c r="D159" s="9">
        <f>'Inputs_NT INM'!H117</f>
        <v>2030</v>
      </c>
      <c r="E159" s="9" t="s">
        <v>460</v>
      </c>
      <c r="F159" s="67">
        <f>'Inputs_NT INM'!M117</f>
        <v>0.61245660000000002</v>
      </c>
      <c r="G159" s="67">
        <f>'Inputs_NT INM'!N117</f>
        <v>0.61245660000000002</v>
      </c>
      <c r="H159" s="67">
        <f>'Inputs_NT INM'!O117</f>
        <v>0.61245660000000002</v>
      </c>
      <c r="I159" s="67">
        <f>'Inputs_NT INM'!P117</f>
        <v>0.61245660000000002</v>
      </c>
      <c r="J159" s="67">
        <f>'Inputs_NT INM'!Q117</f>
        <v>0.61245660000000002</v>
      </c>
      <c r="K159" s="67">
        <f>'Inputs_NT INM'!R117</f>
        <v>0.61245660000000002</v>
      </c>
      <c r="L159" s="67">
        <f>'Inputs_NT INM'!S117</f>
        <v>0.61245660000000002</v>
      </c>
      <c r="M159" s="67">
        <f>'Inputs_NT INM'!T117</f>
        <v>0.61245660000000002</v>
      </c>
      <c r="N159" s="67">
        <f>'Inputs_NT INM'!U117</f>
        <v>0.61245660000000002</v>
      </c>
      <c r="O159" s="67">
        <f>'Inputs_NT INM'!V117</f>
        <v>0.61245660000000002</v>
      </c>
      <c r="P159" s="67">
        <f>'Inputs_NT INM'!W117</f>
        <v>0.61245660000000002</v>
      </c>
      <c r="Q159" s="67">
        <f>'Inputs_NT INM'!X117</f>
        <v>0.61245660000000002</v>
      </c>
      <c r="R159" s="67">
        <f>'Inputs_NT INM'!Y117</f>
        <v>0.61245660000000002</v>
      </c>
      <c r="S159" s="67">
        <f>'Inputs_NT INM'!Z117</f>
        <v>0.61245660000000002</v>
      </c>
      <c r="T159" s="67">
        <f>'Inputs_NT INM'!AA117</f>
        <v>0.61245660000000002</v>
      </c>
      <c r="U159" s="67">
        <f>'Inputs_NT INM'!AB117</f>
        <v>0.61245660000000002</v>
      </c>
      <c r="V159" s="67">
        <f>'Inputs_NT INM'!AC117</f>
        <v>0.61245660000000002</v>
      </c>
      <c r="W159" s="67">
        <f>'Inputs_NT INM'!AD117</f>
        <v>0.61245660000000002</v>
      </c>
      <c r="X159" s="67">
        <f>'Inputs_NT INM'!AE117</f>
        <v>0.61245660000000002</v>
      </c>
      <c r="Y159" s="67">
        <f>'Inputs_NT INM'!AF117</f>
        <v>0.61245660000000002</v>
      </c>
      <c r="Z159" s="67">
        <f>'Inputs_NT INM'!AG117</f>
        <v>0.61245660000000002</v>
      </c>
      <c r="AA159" s="67">
        <f>'Inputs_NT INM'!AH117</f>
        <v>0.61245660000000002</v>
      </c>
      <c r="AB159" s="67">
        <f>'Inputs_NT INM'!AI117</f>
        <v>0.61245660000000002</v>
      </c>
      <c r="AC159" s="67">
        <f>'Inputs_NT INM'!AJ117</f>
        <v>0.61245660000000002</v>
      </c>
      <c r="AD159" s="67">
        <f>'Inputs_NT INM'!AK117</f>
        <v>0.61245660000000002</v>
      </c>
      <c r="AE159" s="67">
        <f>'Inputs_NT INM'!AL117</f>
        <v>0.61245660000000002</v>
      </c>
      <c r="AF159" s="67">
        <f>'Inputs_NT INM'!AM117</f>
        <v>0.61245660000000002</v>
      </c>
      <c r="AG159" s="67">
        <f>'Inputs_NT INM'!AN117</f>
        <v>0.61245660000000002</v>
      </c>
      <c r="AH159" s="67"/>
      <c r="AI159" s="67"/>
      <c r="AJ159" s="67"/>
    </row>
    <row r="160" spans="1:39" x14ac:dyDescent="0.25">
      <c r="A160" s="9" t="str">
        <f>IF(COUNTIF(A$20:A$60,'Inputs_NT INM'!A118)=0,"*",'Inputs_NT INM'!A118)</f>
        <v>I-NM-HTH_HET02</v>
      </c>
      <c r="B160" s="9" t="s">
        <v>945</v>
      </c>
      <c r="C160" s="9" t="s">
        <v>304</v>
      </c>
      <c r="D160" s="9">
        <f>'Inputs_NT INM'!H118</f>
        <v>2030</v>
      </c>
      <c r="E160" s="9" t="s">
        <v>460</v>
      </c>
      <c r="F160" s="67">
        <f>'Inputs_NT INM'!M118</f>
        <v>1.020761</v>
      </c>
      <c r="G160" s="67">
        <f>'Inputs_NT INM'!N118</f>
        <v>1.020761</v>
      </c>
      <c r="H160" s="67">
        <f>'Inputs_NT INM'!O118</f>
        <v>1.020761</v>
      </c>
      <c r="I160" s="67">
        <f>'Inputs_NT INM'!P118</f>
        <v>1.020761</v>
      </c>
      <c r="J160" s="67">
        <f>'Inputs_NT INM'!Q118</f>
        <v>1.020761</v>
      </c>
      <c r="K160" s="67">
        <f>'Inputs_NT INM'!R118</f>
        <v>1.020761</v>
      </c>
      <c r="L160" s="67">
        <f>'Inputs_NT INM'!S118</f>
        <v>1.020761</v>
      </c>
      <c r="M160" s="67">
        <f>'Inputs_NT INM'!T118</f>
        <v>1.020761</v>
      </c>
      <c r="N160" s="67">
        <f>'Inputs_NT INM'!U118</f>
        <v>1.020761</v>
      </c>
      <c r="O160" s="67">
        <f>'Inputs_NT INM'!V118</f>
        <v>1.020761</v>
      </c>
      <c r="P160" s="67">
        <f>'Inputs_NT INM'!W118</f>
        <v>1.020761</v>
      </c>
      <c r="Q160" s="67">
        <f>'Inputs_NT INM'!X118</f>
        <v>1.020761</v>
      </c>
      <c r="R160" s="67">
        <f>'Inputs_NT INM'!Y118</f>
        <v>1.020761</v>
      </c>
      <c r="S160" s="67">
        <f>'Inputs_NT INM'!Z118</f>
        <v>1.020761</v>
      </c>
      <c r="T160" s="67">
        <f>'Inputs_NT INM'!AA118</f>
        <v>1.020761</v>
      </c>
      <c r="U160" s="67">
        <f>'Inputs_NT INM'!AB118</f>
        <v>1.020761</v>
      </c>
      <c r="V160" s="67">
        <f>'Inputs_NT INM'!AC118</f>
        <v>1.020761</v>
      </c>
      <c r="W160" s="67">
        <f>'Inputs_NT INM'!AD118</f>
        <v>1.020761</v>
      </c>
      <c r="X160" s="67">
        <f>'Inputs_NT INM'!AE118</f>
        <v>1.020761</v>
      </c>
      <c r="Y160" s="67">
        <f>'Inputs_NT INM'!AF118</f>
        <v>1.020761</v>
      </c>
      <c r="Z160" s="67">
        <f>'Inputs_NT INM'!AG118</f>
        <v>1.020761</v>
      </c>
      <c r="AA160" s="67">
        <f>'Inputs_NT INM'!AH118</f>
        <v>1.020761</v>
      </c>
      <c r="AB160" s="67">
        <f>'Inputs_NT INM'!AI118</f>
        <v>1.020761</v>
      </c>
      <c r="AC160" s="67">
        <f>'Inputs_NT INM'!AJ118</f>
        <v>1.020761</v>
      </c>
      <c r="AD160" s="67">
        <f>'Inputs_NT INM'!AK118</f>
        <v>1.020761</v>
      </c>
      <c r="AE160" s="67">
        <f>'Inputs_NT INM'!AL118</f>
        <v>1.020761</v>
      </c>
      <c r="AF160" s="67">
        <f>'Inputs_NT INM'!AM118</f>
        <v>1.020761</v>
      </c>
      <c r="AG160" s="67">
        <f>'Inputs_NT INM'!AN118</f>
        <v>1.020761</v>
      </c>
      <c r="AH160" s="67"/>
      <c r="AI160" s="67"/>
      <c r="AJ160" s="67"/>
      <c r="AL160" s="327"/>
      <c r="AM160" s="329"/>
    </row>
    <row r="161" spans="1:39" x14ac:dyDescent="0.25">
      <c r="A161" s="9" t="str">
        <f>IF(COUNTIF(A$20:A$60,'Inputs_NT INM'!A119)=0,"*",'Inputs_NT INM'!A119)</f>
        <v>I-NM-HTH_OIL02</v>
      </c>
      <c r="B161" s="9" t="s">
        <v>946</v>
      </c>
      <c r="C161" s="9" t="s">
        <v>304</v>
      </c>
      <c r="D161" s="9">
        <f>'Inputs_NT INM'!H119</f>
        <v>2030</v>
      </c>
      <c r="E161" s="9" t="s">
        <v>460</v>
      </c>
      <c r="F161" s="67">
        <f>'Inputs_NT INM'!M119</f>
        <v>0.40830440000000001</v>
      </c>
      <c r="G161" s="67">
        <f>'Inputs_NT INM'!N119</f>
        <v>0.40830440000000001</v>
      </c>
      <c r="H161" s="67">
        <f>'Inputs_NT INM'!O119</f>
        <v>0.40830440000000001</v>
      </c>
      <c r="I161" s="67">
        <f>'Inputs_NT INM'!P119</f>
        <v>0.40830440000000001</v>
      </c>
      <c r="J161" s="67">
        <f>'Inputs_NT INM'!Q119</f>
        <v>0.40830440000000001</v>
      </c>
      <c r="K161" s="67">
        <f>'Inputs_NT INM'!R119</f>
        <v>0.40830440000000001</v>
      </c>
      <c r="L161" s="67">
        <f>'Inputs_NT INM'!S119</f>
        <v>0.40830440000000001</v>
      </c>
      <c r="M161" s="67">
        <f>'Inputs_NT INM'!T119</f>
        <v>0.40830440000000001</v>
      </c>
      <c r="N161" s="67">
        <f>'Inputs_NT INM'!U119</f>
        <v>0.40830440000000001</v>
      </c>
      <c r="O161" s="67">
        <f>'Inputs_NT INM'!V119</f>
        <v>0.40830440000000001</v>
      </c>
      <c r="P161" s="67">
        <f>'Inputs_NT INM'!W119</f>
        <v>0.40830440000000001</v>
      </c>
      <c r="Q161" s="67">
        <f>'Inputs_NT INM'!X119</f>
        <v>0.40830440000000001</v>
      </c>
      <c r="R161" s="67">
        <f>'Inputs_NT INM'!Y119</f>
        <v>0.40830440000000001</v>
      </c>
      <c r="S161" s="67">
        <f>'Inputs_NT INM'!Z119</f>
        <v>0.40830440000000001</v>
      </c>
      <c r="T161" s="67">
        <f>'Inputs_NT INM'!AA119</f>
        <v>0.40830440000000001</v>
      </c>
      <c r="U161" s="67">
        <f>'Inputs_NT INM'!AB119</f>
        <v>0.40830440000000001</v>
      </c>
      <c r="V161" s="67">
        <f>'Inputs_NT INM'!AC119</f>
        <v>0.40830440000000001</v>
      </c>
      <c r="W161" s="67">
        <f>'Inputs_NT INM'!AD119</f>
        <v>0.40830440000000001</v>
      </c>
      <c r="X161" s="67">
        <f>'Inputs_NT INM'!AE119</f>
        <v>0.40830440000000001</v>
      </c>
      <c r="Y161" s="67">
        <f>'Inputs_NT INM'!AF119</f>
        <v>0.40830440000000001</v>
      </c>
      <c r="Z161" s="67">
        <f>'Inputs_NT INM'!AG119</f>
        <v>0.40830440000000001</v>
      </c>
      <c r="AA161" s="67">
        <f>'Inputs_NT INM'!AH119</f>
        <v>0.40830440000000001</v>
      </c>
      <c r="AB161" s="67">
        <f>'Inputs_NT INM'!AI119</f>
        <v>0.40830440000000001</v>
      </c>
      <c r="AC161" s="67">
        <f>'Inputs_NT INM'!AJ119</f>
        <v>0.40830440000000001</v>
      </c>
      <c r="AD161" s="67">
        <f>'Inputs_NT INM'!AK119</f>
        <v>0.40830440000000001</v>
      </c>
      <c r="AE161" s="67">
        <f>'Inputs_NT INM'!AL119</f>
        <v>0.40830440000000001</v>
      </c>
      <c r="AF161" s="67">
        <f>'Inputs_NT INM'!AM119</f>
        <v>0.40830440000000001</v>
      </c>
      <c r="AG161" s="67">
        <f>'Inputs_NT INM'!AN119</f>
        <v>0.40830440000000001</v>
      </c>
      <c r="AH161" s="67"/>
      <c r="AI161" s="67"/>
      <c r="AJ161" s="67"/>
    </row>
    <row r="162" spans="1:39" x14ac:dyDescent="0.25">
      <c r="A162" s="9" t="str">
        <f>IF(COUNTIF(A$20:A$60,'Inputs_NT INM'!A120)=0,"*",'Inputs_NT INM'!A120)</f>
        <v>I-NM-HTH_COA02</v>
      </c>
      <c r="B162" s="9" t="s">
        <v>947</v>
      </c>
      <c r="C162" s="9" t="s">
        <v>304</v>
      </c>
      <c r="D162" s="9">
        <f>'Inputs_NT INM'!H120</f>
        <v>2030</v>
      </c>
      <c r="E162" s="9" t="s">
        <v>460</v>
      </c>
      <c r="F162" s="67">
        <f>'Inputs_NT INM'!M120</f>
        <v>0.40830440000000001</v>
      </c>
      <c r="G162" s="67">
        <f>'Inputs_NT INM'!N120</f>
        <v>0.40830440000000001</v>
      </c>
      <c r="H162" s="67">
        <f>'Inputs_NT INM'!O120</f>
        <v>0.40830440000000001</v>
      </c>
      <c r="I162" s="67">
        <f>'Inputs_NT INM'!P120</f>
        <v>0.40830440000000001</v>
      </c>
      <c r="J162" s="67">
        <f>'Inputs_NT INM'!Q120</f>
        <v>0.40830440000000001</v>
      </c>
      <c r="K162" s="67">
        <f>'Inputs_NT INM'!R120</f>
        <v>0.40830440000000001</v>
      </c>
      <c r="L162" s="67">
        <f>'Inputs_NT INM'!S120</f>
        <v>0.40830440000000001</v>
      </c>
      <c r="M162" s="67">
        <f>'Inputs_NT INM'!T120</f>
        <v>0.40830440000000001</v>
      </c>
      <c r="N162" s="67">
        <f>'Inputs_NT INM'!U120</f>
        <v>0.40830440000000001</v>
      </c>
      <c r="O162" s="67">
        <f>'Inputs_NT INM'!V120</f>
        <v>0.40830440000000001</v>
      </c>
      <c r="P162" s="67">
        <f>'Inputs_NT INM'!W120</f>
        <v>0.40830440000000001</v>
      </c>
      <c r="Q162" s="67">
        <f>'Inputs_NT INM'!X120</f>
        <v>0.40830440000000001</v>
      </c>
      <c r="R162" s="67">
        <f>'Inputs_NT INM'!Y120</f>
        <v>0.40830440000000001</v>
      </c>
      <c r="S162" s="67">
        <f>'Inputs_NT INM'!Z120</f>
        <v>0.40830440000000001</v>
      </c>
      <c r="T162" s="67">
        <f>'Inputs_NT INM'!AA120</f>
        <v>0.40830440000000001</v>
      </c>
      <c r="U162" s="67">
        <f>'Inputs_NT INM'!AB120</f>
        <v>0.40830440000000001</v>
      </c>
      <c r="V162" s="67">
        <f>'Inputs_NT INM'!AC120</f>
        <v>0.40830440000000001</v>
      </c>
      <c r="W162" s="67">
        <f>'Inputs_NT INM'!AD120</f>
        <v>0.40830440000000001</v>
      </c>
      <c r="X162" s="67">
        <f>'Inputs_NT INM'!AE120</f>
        <v>0.40830440000000001</v>
      </c>
      <c r="Y162" s="67">
        <f>'Inputs_NT INM'!AF120</f>
        <v>0.40830440000000001</v>
      </c>
      <c r="Z162" s="67">
        <f>'Inputs_NT INM'!AG120</f>
        <v>0.40830440000000001</v>
      </c>
      <c r="AA162" s="67">
        <f>'Inputs_NT INM'!AH120</f>
        <v>0.40830440000000001</v>
      </c>
      <c r="AB162" s="67">
        <f>'Inputs_NT INM'!AI120</f>
        <v>0.40830440000000001</v>
      </c>
      <c r="AC162" s="67">
        <f>'Inputs_NT INM'!AJ120</f>
        <v>0.40830440000000001</v>
      </c>
      <c r="AD162" s="67">
        <f>'Inputs_NT INM'!AK120</f>
        <v>0.40830440000000001</v>
      </c>
      <c r="AE162" s="67">
        <f>'Inputs_NT INM'!AL120</f>
        <v>0.40830440000000001</v>
      </c>
      <c r="AF162" s="67">
        <f>'Inputs_NT INM'!AM120</f>
        <v>0.40830440000000001</v>
      </c>
      <c r="AG162" s="67">
        <f>'Inputs_NT INM'!AN120</f>
        <v>0.40830440000000001</v>
      </c>
      <c r="AH162" s="67"/>
      <c r="AI162" s="67"/>
      <c r="AJ162" s="67"/>
    </row>
    <row r="163" spans="1:39" x14ac:dyDescent="0.25">
      <c r="A163" s="9" t="str">
        <f>IF(COUNTIF(A$20:A$60,'Inputs_NT INM'!A121)=0,"*",'Inputs_NT INM'!A121)</f>
        <v>*</v>
      </c>
      <c r="B163" s="9" t="s">
        <v>558</v>
      </c>
      <c r="C163" s="9" t="s">
        <v>558</v>
      </c>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L163" s="327"/>
      <c r="AM163" s="329"/>
    </row>
    <row r="164" spans="1:39" x14ac:dyDescent="0.25">
      <c r="A164" s="9" t="str">
        <f>IF(COUNTIF(A$20:A$60,'Inputs_NT INM'!A122)=0,"*",'Inputs_NT INM'!A122)</f>
        <v>*</v>
      </c>
      <c r="B164" s="9" t="s">
        <v>558</v>
      </c>
      <c r="C164" s="9" t="s">
        <v>558</v>
      </c>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row>
    <row r="165" spans="1:39" x14ac:dyDescent="0.25">
      <c r="A165" s="9" t="str">
        <f>IF(COUNTIF(A$20:A$60,'Inputs_NT INM'!A123)=0,"*",'Inputs_NT INM'!A123)</f>
        <v>I-NM-HTH_GAS02</v>
      </c>
      <c r="B165" s="9" t="s">
        <v>944</v>
      </c>
      <c r="C165" s="9" t="s">
        <v>304</v>
      </c>
      <c r="D165" s="9">
        <f>'Inputs_NT INM'!H123</f>
        <v>2050</v>
      </c>
      <c r="E165" s="9" t="s">
        <v>460</v>
      </c>
      <c r="F165" s="67">
        <f>'Inputs_NT INM'!M123</f>
        <v>0.62117621999999995</v>
      </c>
      <c r="G165" s="67">
        <f>'Inputs_NT INM'!N123</f>
        <v>0.62117621999999995</v>
      </c>
      <c r="H165" s="67">
        <f>'Inputs_NT INM'!O123</f>
        <v>0.62117621999999995</v>
      </c>
      <c r="I165" s="67">
        <f>'Inputs_NT INM'!P123</f>
        <v>0.62117621999999995</v>
      </c>
      <c r="J165" s="67">
        <f>'Inputs_NT INM'!Q123</f>
        <v>0.62117621999999995</v>
      </c>
      <c r="K165" s="67">
        <f>'Inputs_NT INM'!R123</f>
        <v>0.62117621999999995</v>
      </c>
      <c r="L165" s="67">
        <f>'Inputs_NT INM'!S123</f>
        <v>0.62117621999999995</v>
      </c>
      <c r="M165" s="67">
        <f>'Inputs_NT INM'!T123</f>
        <v>0.62117621999999995</v>
      </c>
      <c r="N165" s="67">
        <f>'Inputs_NT INM'!U123</f>
        <v>0.62117621999999995</v>
      </c>
      <c r="O165" s="67">
        <f>'Inputs_NT INM'!V123</f>
        <v>0.62117621999999995</v>
      </c>
      <c r="P165" s="67">
        <f>'Inputs_NT INM'!W123</f>
        <v>0.62117621999999995</v>
      </c>
      <c r="Q165" s="67">
        <f>'Inputs_NT INM'!X123</f>
        <v>0.62117621999999995</v>
      </c>
      <c r="R165" s="67">
        <f>'Inputs_NT INM'!Y123</f>
        <v>0.62117621999999995</v>
      </c>
      <c r="S165" s="67">
        <f>'Inputs_NT INM'!Z123</f>
        <v>0.62117621999999995</v>
      </c>
      <c r="T165" s="67">
        <f>'Inputs_NT INM'!AA123</f>
        <v>0.62117621999999995</v>
      </c>
      <c r="U165" s="67">
        <f>'Inputs_NT INM'!AB123</f>
        <v>0.62117621999999995</v>
      </c>
      <c r="V165" s="67">
        <f>'Inputs_NT INM'!AC123</f>
        <v>0.62117621999999995</v>
      </c>
      <c r="W165" s="67">
        <f>'Inputs_NT INM'!AD123</f>
        <v>0.62117621999999995</v>
      </c>
      <c r="X165" s="67">
        <f>'Inputs_NT INM'!AE123</f>
        <v>0.62117621999999995</v>
      </c>
      <c r="Y165" s="67">
        <f>'Inputs_NT INM'!AF123</f>
        <v>0.62117621999999995</v>
      </c>
      <c r="Z165" s="67">
        <f>'Inputs_NT INM'!AG123</f>
        <v>0.62117621999999995</v>
      </c>
      <c r="AA165" s="67">
        <f>'Inputs_NT INM'!AH123</f>
        <v>0.62117621999999995</v>
      </c>
      <c r="AB165" s="67">
        <f>'Inputs_NT INM'!AI123</f>
        <v>0.62117621999999995</v>
      </c>
      <c r="AC165" s="67">
        <f>'Inputs_NT INM'!AJ123</f>
        <v>0.62117621999999995</v>
      </c>
      <c r="AD165" s="67">
        <f>'Inputs_NT INM'!AK123</f>
        <v>0.62117621999999995</v>
      </c>
      <c r="AE165" s="67">
        <f>'Inputs_NT INM'!AL123</f>
        <v>0.62117621999999995</v>
      </c>
      <c r="AF165" s="67">
        <f>'Inputs_NT INM'!AM123</f>
        <v>0.62117621999999995</v>
      </c>
      <c r="AG165" s="67">
        <f>'Inputs_NT INM'!AN123</f>
        <v>0.62117621999999995</v>
      </c>
      <c r="AH165" s="67"/>
      <c r="AI165" s="67"/>
      <c r="AJ165" s="67"/>
    </row>
    <row r="166" spans="1:39" x14ac:dyDescent="0.25">
      <c r="A166" s="9" t="str">
        <f>IF(COUNTIF(A$20:A$60,'Inputs_NT INM'!A124)=0,"*",'Inputs_NT INM'!A124)</f>
        <v>I-NM-HTH_HET02</v>
      </c>
      <c r="B166" s="9" t="s">
        <v>945</v>
      </c>
      <c r="C166" s="9" t="s">
        <v>304</v>
      </c>
      <c r="D166" s="9">
        <f>'Inputs_NT INM'!H124</f>
        <v>2050</v>
      </c>
      <c r="E166" s="9" t="s">
        <v>460</v>
      </c>
      <c r="F166" s="67">
        <f>'Inputs_NT INM'!M124</f>
        <v>1.0352937</v>
      </c>
      <c r="G166" s="67">
        <f>'Inputs_NT INM'!N124</f>
        <v>1.0352937</v>
      </c>
      <c r="H166" s="67">
        <f>'Inputs_NT INM'!O124</f>
        <v>1.0352937</v>
      </c>
      <c r="I166" s="67">
        <f>'Inputs_NT INM'!P124</f>
        <v>1.0352937</v>
      </c>
      <c r="J166" s="67">
        <f>'Inputs_NT INM'!Q124</f>
        <v>1.0352937</v>
      </c>
      <c r="K166" s="67">
        <f>'Inputs_NT INM'!R124</f>
        <v>1.0352937</v>
      </c>
      <c r="L166" s="67">
        <f>'Inputs_NT INM'!S124</f>
        <v>1.0352937</v>
      </c>
      <c r="M166" s="67">
        <f>'Inputs_NT INM'!T124</f>
        <v>1.0352937</v>
      </c>
      <c r="N166" s="67">
        <f>'Inputs_NT INM'!U124</f>
        <v>1.0352937</v>
      </c>
      <c r="O166" s="67">
        <f>'Inputs_NT INM'!V124</f>
        <v>1.0352937</v>
      </c>
      <c r="P166" s="67">
        <f>'Inputs_NT INM'!W124</f>
        <v>1.0352937</v>
      </c>
      <c r="Q166" s="67">
        <f>'Inputs_NT INM'!X124</f>
        <v>1.0352937</v>
      </c>
      <c r="R166" s="67">
        <f>'Inputs_NT INM'!Y124</f>
        <v>1.0352937</v>
      </c>
      <c r="S166" s="67">
        <f>'Inputs_NT INM'!Z124</f>
        <v>1.0352937</v>
      </c>
      <c r="T166" s="67">
        <f>'Inputs_NT INM'!AA124</f>
        <v>1.0352937</v>
      </c>
      <c r="U166" s="67">
        <f>'Inputs_NT INM'!AB124</f>
        <v>1.0352937</v>
      </c>
      <c r="V166" s="67">
        <f>'Inputs_NT INM'!AC124</f>
        <v>1.0352937</v>
      </c>
      <c r="W166" s="67">
        <f>'Inputs_NT INM'!AD124</f>
        <v>1.0352937</v>
      </c>
      <c r="X166" s="67">
        <f>'Inputs_NT INM'!AE124</f>
        <v>1.0352937</v>
      </c>
      <c r="Y166" s="67">
        <f>'Inputs_NT INM'!AF124</f>
        <v>1.0352937</v>
      </c>
      <c r="Z166" s="67">
        <f>'Inputs_NT INM'!AG124</f>
        <v>1.0352937</v>
      </c>
      <c r="AA166" s="67">
        <f>'Inputs_NT INM'!AH124</f>
        <v>1.0352937</v>
      </c>
      <c r="AB166" s="67">
        <f>'Inputs_NT INM'!AI124</f>
        <v>1.0352937</v>
      </c>
      <c r="AC166" s="67">
        <f>'Inputs_NT INM'!AJ124</f>
        <v>1.0352937</v>
      </c>
      <c r="AD166" s="67">
        <f>'Inputs_NT INM'!AK124</f>
        <v>1.0352937</v>
      </c>
      <c r="AE166" s="67">
        <f>'Inputs_NT INM'!AL124</f>
        <v>1.0352937</v>
      </c>
      <c r="AF166" s="67">
        <f>'Inputs_NT INM'!AM124</f>
        <v>1.0352937</v>
      </c>
      <c r="AG166" s="67">
        <f>'Inputs_NT INM'!AN124</f>
        <v>1.0352937</v>
      </c>
      <c r="AH166" s="67"/>
      <c r="AI166" s="67"/>
      <c r="AJ166" s="67"/>
    </row>
    <row r="167" spans="1:39" x14ac:dyDescent="0.25">
      <c r="A167" s="9" t="str">
        <f>IF(COUNTIF(A$20:A$60,'Inputs_NT INM'!A125)=0,"*",'Inputs_NT INM'!A125)</f>
        <v>I-NM-HTH_OIL02</v>
      </c>
      <c r="B167" s="9" t="s">
        <v>946</v>
      </c>
      <c r="C167" s="9" t="s">
        <v>304</v>
      </c>
      <c r="D167" s="9">
        <f>'Inputs_NT INM'!H125</f>
        <v>2050</v>
      </c>
      <c r="E167" s="9" t="s">
        <v>460</v>
      </c>
      <c r="F167" s="67">
        <f>'Inputs_NT INM'!M125</f>
        <v>0.41411748000000004</v>
      </c>
      <c r="G167" s="67">
        <f>'Inputs_NT INM'!N125</f>
        <v>0.41411748000000004</v>
      </c>
      <c r="H167" s="67">
        <f>'Inputs_NT INM'!O125</f>
        <v>0.41411748000000004</v>
      </c>
      <c r="I167" s="67">
        <f>'Inputs_NT INM'!P125</f>
        <v>0.41411748000000004</v>
      </c>
      <c r="J167" s="67">
        <f>'Inputs_NT INM'!Q125</f>
        <v>0.41411748000000004</v>
      </c>
      <c r="K167" s="67">
        <f>'Inputs_NT INM'!R125</f>
        <v>0.41411748000000004</v>
      </c>
      <c r="L167" s="67">
        <f>'Inputs_NT INM'!S125</f>
        <v>0.41411748000000004</v>
      </c>
      <c r="M167" s="67">
        <f>'Inputs_NT INM'!T125</f>
        <v>0.41411748000000004</v>
      </c>
      <c r="N167" s="67">
        <f>'Inputs_NT INM'!U125</f>
        <v>0.41411748000000004</v>
      </c>
      <c r="O167" s="67">
        <f>'Inputs_NT INM'!V125</f>
        <v>0.41411748000000004</v>
      </c>
      <c r="P167" s="67">
        <f>'Inputs_NT INM'!W125</f>
        <v>0.41411748000000004</v>
      </c>
      <c r="Q167" s="67">
        <f>'Inputs_NT INM'!X125</f>
        <v>0.41411748000000004</v>
      </c>
      <c r="R167" s="67">
        <f>'Inputs_NT INM'!Y125</f>
        <v>0.41411748000000004</v>
      </c>
      <c r="S167" s="67">
        <f>'Inputs_NT INM'!Z125</f>
        <v>0.41411748000000004</v>
      </c>
      <c r="T167" s="67">
        <f>'Inputs_NT INM'!AA125</f>
        <v>0.41411748000000004</v>
      </c>
      <c r="U167" s="67">
        <f>'Inputs_NT INM'!AB125</f>
        <v>0.41411748000000004</v>
      </c>
      <c r="V167" s="67">
        <f>'Inputs_NT INM'!AC125</f>
        <v>0.41411748000000004</v>
      </c>
      <c r="W167" s="67">
        <f>'Inputs_NT INM'!AD125</f>
        <v>0.41411748000000004</v>
      </c>
      <c r="X167" s="67">
        <f>'Inputs_NT INM'!AE125</f>
        <v>0.41411748000000004</v>
      </c>
      <c r="Y167" s="67">
        <f>'Inputs_NT INM'!AF125</f>
        <v>0.41411748000000004</v>
      </c>
      <c r="Z167" s="67">
        <f>'Inputs_NT INM'!AG125</f>
        <v>0.41411748000000004</v>
      </c>
      <c r="AA167" s="67">
        <f>'Inputs_NT INM'!AH125</f>
        <v>0.41411748000000004</v>
      </c>
      <c r="AB167" s="67">
        <f>'Inputs_NT INM'!AI125</f>
        <v>0.41411748000000004</v>
      </c>
      <c r="AC167" s="67">
        <f>'Inputs_NT INM'!AJ125</f>
        <v>0.41411748000000004</v>
      </c>
      <c r="AD167" s="67">
        <f>'Inputs_NT INM'!AK125</f>
        <v>0.41411748000000004</v>
      </c>
      <c r="AE167" s="67">
        <f>'Inputs_NT INM'!AL125</f>
        <v>0.41411748000000004</v>
      </c>
      <c r="AF167" s="67">
        <f>'Inputs_NT INM'!AM125</f>
        <v>0.41411748000000004</v>
      </c>
      <c r="AG167" s="67">
        <f>'Inputs_NT INM'!AN125</f>
        <v>0.41411748000000004</v>
      </c>
      <c r="AH167" s="67"/>
      <c r="AI167" s="67"/>
      <c r="AJ167" s="67"/>
    </row>
    <row r="168" spans="1:39" x14ac:dyDescent="0.25">
      <c r="A168" s="9" t="str">
        <f>IF(COUNTIF(A$20:A$60,'Inputs_NT INM'!A126)=0,"*",'Inputs_NT INM'!A126)</f>
        <v>I-NM-HTH_COA02</v>
      </c>
      <c r="B168" s="9" t="s">
        <v>947</v>
      </c>
      <c r="C168" s="9" t="s">
        <v>304</v>
      </c>
      <c r="D168" s="9">
        <f>'Inputs_NT INM'!H126</f>
        <v>2050</v>
      </c>
      <c r="E168" s="9" t="s">
        <v>460</v>
      </c>
      <c r="F168" s="67">
        <f>'Inputs_NT INM'!M126</f>
        <v>0.41411748000000004</v>
      </c>
      <c r="G168" s="67">
        <f>'Inputs_NT INM'!N126</f>
        <v>0.41411748000000004</v>
      </c>
      <c r="H168" s="67">
        <f>'Inputs_NT INM'!O126</f>
        <v>0.41411748000000004</v>
      </c>
      <c r="I168" s="67">
        <f>'Inputs_NT INM'!P126</f>
        <v>0.41411748000000004</v>
      </c>
      <c r="J168" s="67">
        <f>'Inputs_NT INM'!Q126</f>
        <v>0.41411748000000004</v>
      </c>
      <c r="K168" s="67">
        <f>'Inputs_NT INM'!R126</f>
        <v>0.41411748000000004</v>
      </c>
      <c r="L168" s="67">
        <f>'Inputs_NT INM'!S126</f>
        <v>0.41411748000000004</v>
      </c>
      <c r="M168" s="67">
        <f>'Inputs_NT INM'!T126</f>
        <v>0.41411748000000004</v>
      </c>
      <c r="N168" s="67">
        <f>'Inputs_NT INM'!U126</f>
        <v>0.41411748000000004</v>
      </c>
      <c r="O168" s="67">
        <f>'Inputs_NT INM'!V126</f>
        <v>0.41411748000000004</v>
      </c>
      <c r="P168" s="67">
        <f>'Inputs_NT INM'!W126</f>
        <v>0.41411748000000004</v>
      </c>
      <c r="Q168" s="67">
        <f>'Inputs_NT INM'!X126</f>
        <v>0.41411748000000004</v>
      </c>
      <c r="R168" s="67">
        <f>'Inputs_NT INM'!Y126</f>
        <v>0.41411748000000004</v>
      </c>
      <c r="S168" s="67">
        <f>'Inputs_NT INM'!Z126</f>
        <v>0.41411748000000004</v>
      </c>
      <c r="T168" s="67">
        <f>'Inputs_NT INM'!AA126</f>
        <v>0.41411748000000004</v>
      </c>
      <c r="U168" s="67">
        <f>'Inputs_NT INM'!AB126</f>
        <v>0.41411748000000004</v>
      </c>
      <c r="V168" s="67">
        <f>'Inputs_NT INM'!AC126</f>
        <v>0.41411748000000004</v>
      </c>
      <c r="W168" s="67">
        <f>'Inputs_NT INM'!AD126</f>
        <v>0.41411748000000004</v>
      </c>
      <c r="X168" s="67">
        <f>'Inputs_NT INM'!AE126</f>
        <v>0.41411748000000004</v>
      </c>
      <c r="Y168" s="67">
        <f>'Inputs_NT INM'!AF126</f>
        <v>0.41411748000000004</v>
      </c>
      <c r="Z168" s="67">
        <f>'Inputs_NT INM'!AG126</f>
        <v>0.41411748000000004</v>
      </c>
      <c r="AA168" s="67">
        <f>'Inputs_NT INM'!AH126</f>
        <v>0.41411748000000004</v>
      </c>
      <c r="AB168" s="67">
        <f>'Inputs_NT INM'!AI126</f>
        <v>0.41411748000000004</v>
      </c>
      <c r="AC168" s="67">
        <f>'Inputs_NT INM'!AJ126</f>
        <v>0.41411748000000004</v>
      </c>
      <c r="AD168" s="67">
        <f>'Inputs_NT INM'!AK126</f>
        <v>0.41411748000000004</v>
      </c>
      <c r="AE168" s="67">
        <f>'Inputs_NT INM'!AL126</f>
        <v>0.41411748000000004</v>
      </c>
      <c r="AF168" s="67">
        <f>'Inputs_NT INM'!AM126</f>
        <v>0.41411748000000004</v>
      </c>
      <c r="AG168" s="67">
        <f>'Inputs_NT INM'!AN126</f>
        <v>0.41411748000000004</v>
      </c>
      <c r="AH168" s="67"/>
      <c r="AI168" s="67"/>
      <c r="AJ168" s="67"/>
    </row>
    <row r="169" spans="1:39" x14ac:dyDescent="0.25">
      <c r="A169" s="9" t="str">
        <f>IF(COUNTIF(A$20:A$60,'Inputs_NT INM'!A127)=0,"*",'Inputs_NT INM'!A127)</f>
        <v>*</v>
      </c>
      <c r="B169" s="9" t="s">
        <v>558</v>
      </c>
      <c r="C169" s="9" t="s">
        <v>558</v>
      </c>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row>
    <row r="170" spans="1:39" x14ac:dyDescent="0.25">
      <c r="A170" s="9" t="str">
        <f>IF(COUNTIF(A$20:A$60,'Inputs_NT INM'!A128)=0,"*",'Inputs_NT INM'!A128)</f>
        <v>I-NM-HTH_ELC03</v>
      </c>
      <c r="B170" s="9" t="s">
        <v>949</v>
      </c>
      <c r="C170" s="9" t="s">
        <v>304</v>
      </c>
      <c r="D170" s="9">
        <f>'Inputs_NT INM'!H128</f>
        <v>2030</v>
      </c>
      <c r="E170" s="9" t="s">
        <v>460</v>
      </c>
      <c r="F170" s="67">
        <f>'Inputs_NT INM'!M128</f>
        <v>0.88000000000000012</v>
      </c>
      <c r="G170" s="67">
        <f>'Inputs_NT INM'!N128</f>
        <v>0.88000000000000012</v>
      </c>
      <c r="H170" s="67">
        <f>'Inputs_NT INM'!O128</f>
        <v>0.88000000000000012</v>
      </c>
      <c r="I170" s="67">
        <f>'Inputs_NT INM'!P128</f>
        <v>0.88000000000000012</v>
      </c>
      <c r="J170" s="67">
        <f>'Inputs_NT INM'!Q128</f>
        <v>0.88000000000000012</v>
      </c>
      <c r="K170" s="67">
        <f>'Inputs_NT INM'!R128</f>
        <v>0.88000000000000012</v>
      </c>
      <c r="L170" s="67">
        <f>'Inputs_NT INM'!S128</f>
        <v>0.88000000000000012</v>
      </c>
      <c r="M170" s="67">
        <f>'Inputs_NT INM'!T128</f>
        <v>0.88000000000000012</v>
      </c>
      <c r="N170" s="67">
        <f>'Inputs_NT INM'!U128</f>
        <v>0.88000000000000012</v>
      </c>
      <c r="O170" s="67">
        <f>'Inputs_NT INM'!V128</f>
        <v>0.88000000000000012</v>
      </c>
      <c r="P170" s="67">
        <f>'Inputs_NT INM'!W128</f>
        <v>0.88000000000000012</v>
      </c>
      <c r="Q170" s="67">
        <f>'Inputs_NT INM'!X128</f>
        <v>0.88000000000000012</v>
      </c>
      <c r="R170" s="67">
        <f>'Inputs_NT INM'!Y128</f>
        <v>0.88000000000000012</v>
      </c>
      <c r="S170" s="67">
        <f>'Inputs_NT INM'!Z128</f>
        <v>0.88000000000000012</v>
      </c>
      <c r="T170" s="67">
        <f>'Inputs_NT INM'!AA128</f>
        <v>0.88000000000000012</v>
      </c>
      <c r="U170" s="67">
        <f>'Inputs_NT INM'!AB128</f>
        <v>0.88000000000000012</v>
      </c>
      <c r="V170" s="67">
        <f>'Inputs_NT INM'!AC128</f>
        <v>0.88000000000000012</v>
      </c>
      <c r="W170" s="67">
        <f>'Inputs_NT INM'!AD128</f>
        <v>0.88000000000000012</v>
      </c>
      <c r="X170" s="67">
        <f>'Inputs_NT INM'!AE128</f>
        <v>0.88000000000000012</v>
      </c>
      <c r="Y170" s="67">
        <f>'Inputs_NT INM'!AF128</f>
        <v>0.88000000000000012</v>
      </c>
      <c r="Z170" s="67">
        <f>'Inputs_NT INM'!AG128</f>
        <v>0.88000000000000012</v>
      </c>
      <c r="AA170" s="67">
        <f>'Inputs_NT INM'!AH128</f>
        <v>0.88000000000000012</v>
      </c>
      <c r="AB170" s="67">
        <f>'Inputs_NT INM'!AI128</f>
        <v>0.88000000000000012</v>
      </c>
      <c r="AC170" s="67">
        <f>'Inputs_NT INM'!AJ128</f>
        <v>0.88000000000000012</v>
      </c>
      <c r="AD170" s="67">
        <f>'Inputs_NT INM'!AK128</f>
        <v>0.88000000000000012</v>
      </c>
      <c r="AE170" s="67">
        <f>'Inputs_NT INM'!AL128</f>
        <v>0.88000000000000012</v>
      </c>
      <c r="AF170" s="67">
        <f>'Inputs_NT INM'!AM128</f>
        <v>0.88000000000000012</v>
      </c>
      <c r="AG170" s="67">
        <f>'Inputs_NT INM'!AN128</f>
        <v>0.88000000000000012</v>
      </c>
      <c r="AH170" s="67"/>
      <c r="AI170" s="67"/>
      <c r="AJ170" s="67"/>
    </row>
    <row r="171" spans="1:39" x14ac:dyDescent="0.25">
      <c r="A171" s="9" t="str">
        <f>IF(COUNTIF(A$20:A$60,'Inputs_NT INM'!A129)=0,"*",'Inputs_NT INM'!A129)</f>
        <v>I-NM-HTH_GAS03</v>
      </c>
      <c r="B171" s="9" t="s">
        <v>950</v>
      </c>
      <c r="C171" s="9" t="s">
        <v>304</v>
      </c>
      <c r="D171" s="9">
        <f>'Inputs_NT INM'!H129</f>
        <v>2030</v>
      </c>
      <c r="E171" s="9" t="s">
        <v>460</v>
      </c>
      <c r="F171" s="67">
        <f>'Inputs_NT INM'!M129</f>
        <v>0.66</v>
      </c>
      <c r="G171" s="67">
        <f>'Inputs_NT INM'!N129</f>
        <v>0.66</v>
      </c>
      <c r="H171" s="67">
        <f>'Inputs_NT INM'!O129</f>
        <v>0.66</v>
      </c>
      <c r="I171" s="67">
        <f>'Inputs_NT INM'!P129</f>
        <v>0.66</v>
      </c>
      <c r="J171" s="67">
        <f>'Inputs_NT INM'!Q129</f>
        <v>0.66</v>
      </c>
      <c r="K171" s="67">
        <f>'Inputs_NT INM'!R129</f>
        <v>0.66</v>
      </c>
      <c r="L171" s="67">
        <f>'Inputs_NT INM'!S129</f>
        <v>0.66</v>
      </c>
      <c r="M171" s="67">
        <f>'Inputs_NT INM'!T129</f>
        <v>0.66</v>
      </c>
      <c r="N171" s="67">
        <f>'Inputs_NT INM'!U129</f>
        <v>0.66</v>
      </c>
      <c r="O171" s="67">
        <f>'Inputs_NT INM'!V129</f>
        <v>0.66</v>
      </c>
      <c r="P171" s="67">
        <f>'Inputs_NT INM'!W129</f>
        <v>0.66</v>
      </c>
      <c r="Q171" s="67">
        <f>'Inputs_NT INM'!X129</f>
        <v>0.66</v>
      </c>
      <c r="R171" s="67">
        <f>'Inputs_NT INM'!Y129</f>
        <v>0.66</v>
      </c>
      <c r="S171" s="67">
        <f>'Inputs_NT INM'!Z129</f>
        <v>0.66</v>
      </c>
      <c r="T171" s="67">
        <f>'Inputs_NT INM'!AA129</f>
        <v>0.66</v>
      </c>
      <c r="U171" s="67">
        <f>'Inputs_NT INM'!AB129</f>
        <v>0.66</v>
      </c>
      <c r="V171" s="67">
        <f>'Inputs_NT INM'!AC129</f>
        <v>0.66</v>
      </c>
      <c r="W171" s="67">
        <f>'Inputs_NT INM'!AD129</f>
        <v>0.66</v>
      </c>
      <c r="X171" s="67">
        <f>'Inputs_NT INM'!AE129</f>
        <v>0.66</v>
      </c>
      <c r="Y171" s="67">
        <f>'Inputs_NT INM'!AF129</f>
        <v>0.66</v>
      </c>
      <c r="Z171" s="67">
        <f>'Inputs_NT INM'!AG129</f>
        <v>0.66</v>
      </c>
      <c r="AA171" s="67">
        <f>'Inputs_NT INM'!AH129</f>
        <v>0.66</v>
      </c>
      <c r="AB171" s="67">
        <f>'Inputs_NT INM'!AI129</f>
        <v>0.66</v>
      </c>
      <c r="AC171" s="67">
        <f>'Inputs_NT INM'!AJ129</f>
        <v>0.66</v>
      </c>
      <c r="AD171" s="67">
        <f>'Inputs_NT INM'!AK129</f>
        <v>0.66</v>
      </c>
      <c r="AE171" s="67">
        <f>'Inputs_NT INM'!AL129</f>
        <v>0.66</v>
      </c>
      <c r="AF171" s="67">
        <f>'Inputs_NT INM'!AM129</f>
        <v>0.66</v>
      </c>
      <c r="AG171" s="67">
        <f>'Inputs_NT INM'!AN129</f>
        <v>0.66</v>
      </c>
      <c r="AH171" s="67"/>
      <c r="AI171" s="67"/>
      <c r="AJ171" s="67"/>
    </row>
    <row r="172" spans="1:39" x14ac:dyDescent="0.25">
      <c r="A172" s="9" t="str">
        <f>IF(COUNTIF(A$20:A$60,'Inputs_NT INM'!A130)=0,"*",'Inputs_NT INM'!A130)</f>
        <v>I-NM-HTH_HET03</v>
      </c>
      <c r="B172" s="9" t="s">
        <v>951</v>
      </c>
      <c r="C172" s="9" t="s">
        <v>304</v>
      </c>
      <c r="D172" s="9">
        <f>'Inputs_NT INM'!H130</f>
        <v>2030</v>
      </c>
      <c r="E172" s="9" t="s">
        <v>460</v>
      </c>
      <c r="F172" s="67">
        <f>'Inputs_NT INM'!M130</f>
        <v>1.1000000000000001</v>
      </c>
      <c r="G172" s="67">
        <f>'Inputs_NT INM'!N130</f>
        <v>1.1000000000000001</v>
      </c>
      <c r="H172" s="67">
        <f>'Inputs_NT INM'!O130</f>
        <v>1.1000000000000001</v>
      </c>
      <c r="I172" s="67">
        <f>'Inputs_NT INM'!P130</f>
        <v>1.1000000000000001</v>
      </c>
      <c r="J172" s="67">
        <f>'Inputs_NT INM'!Q130</f>
        <v>1.1000000000000001</v>
      </c>
      <c r="K172" s="67">
        <f>'Inputs_NT INM'!R130</f>
        <v>1.1000000000000001</v>
      </c>
      <c r="L172" s="67">
        <f>'Inputs_NT INM'!S130</f>
        <v>1.1000000000000001</v>
      </c>
      <c r="M172" s="67">
        <f>'Inputs_NT INM'!T130</f>
        <v>1.1000000000000001</v>
      </c>
      <c r="N172" s="67">
        <f>'Inputs_NT INM'!U130</f>
        <v>1.1000000000000001</v>
      </c>
      <c r="O172" s="67">
        <f>'Inputs_NT INM'!V130</f>
        <v>1.1000000000000001</v>
      </c>
      <c r="P172" s="67">
        <f>'Inputs_NT INM'!W130</f>
        <v>1.1000000000000001</v>
      </c>
      <c r="Q172" s="67">
        <f>'Inputs_NT INM'!X130</f>
        <v>1.1000000000000001</v>
      </c>
      <c r="R172" s="67">
        <f>'Inputs_NT INM'!Y130</f>
        <v>1.1000000000000001</v>
      </c>
      <c r="S172" s="67">
        <f>'Inputs_NT INM'!Z130</f>
        <v>1.1000000000000001</v>
      </c>
      <c r="T172" s="67">
        <f>'Inputs_NT INM'!AA130</f>
        <v>1.1000000000000001</v>
      </c>
      <c r="U172" s="67">
        <f>'Inputs_NT INM'!AB130</f>
        <v>1.1000000000000001</v>
      </c>
      <c r="V172" s="67">
        <f>'Inputs_NT INM'!AC130</f>
        <v>1.1000000000000001</v>
      </c>
      <c r="W172" s="67">
        <f>'Inputs_NT INM'!AD130</f>
        <v>1.1000000000000001</v>
      </c>
      <c r="X172" s="67">
        <f>'Inputs_NT INM'!AE130</f>
        <v>1.1000000000000001</v>
      </c>
      <c r="Y172" s="67">
        <f>'Inputs_NT INM'!AF130</f>
        <v>1.1000000000000001</v>
      </c>
      <c r="Z172" s="67">
        <f>'Inputs_NT INM'!AG130</f>
        <v>1.1000000000000001</v>
      </c>
      <c r="AA172" s="67">
        <f>'Inputs_NT INM'!AH130</f>
        <v>1.1000000000000001</v>
      </c>
      <c r="AB172" s="67">
        <f>'Inputs_NT INM'!AI130</f>
        <v>1.1000000000000001</v>
      </c>
      <c r="AC172" s="67">
        <f>'Inputs_NT INM'!AJ130</f>
        <v>1.1000000000000001</v>
      </c>
      <c r="AD172" s="67">
        <f>'Inputs_NT INM'!AK130</f>
        <v>1.1000000000000001</v>
      </c>
      <c r="AE172" s="67">
        <f>'Inputs_NT INM'!AL130</f>
        <v>1.1000000000000001</v>
      </c>
      <c r="AF172" s="67">
        <f>'Inputs_NT INM'!AM130</f>
        <v>1.1000000000000001</v>
      </c>
      <c r="AG172" s="67">
        <f>'Inputs_NT INM'!AN130</f>
        <v>1.1000000000000001</v>
      </c>
      <c r="AH172" s="67"/>
      <c r="AI172" s="67"/>
      <c r="AJ172" s="67"/>
    </row>
    <row r="173" spans="1:39" x14ac:dyDescent="0.25">
      <c r="A173" s="9" t="str">
        <f>IF(COUNTIF(A$20:A$60,'Inputs_NT INM'!A131)=0,"*",'Inputs_NT INM'!A131)</f>
        <v>I-NM-HTH_OIL03</v>
      </c>
      <c r="B173" s="9" t="s">
        <v>952</v>
      </c>
      <c r="C173" s="9" t="s">
        <v>304</v>
      </c>
      <c r="D173" s="9">
        <f>'Inputs_NT INM'!H131</f>
        <v>2030</v>
      </c>
      <c r="E173" s="9" t="s">
        <v>460</v>
      </c>
      <c r="F173" s="67">
        <f>'Inputs_NT INM'!M131</f>
        <v>0.44000000000000006</v>
      </c>
      <c r="G173" s="67">
        <f>'Inputs_NT INM'!N131</f>
        <v>0.44000000000000006</v>
      </c>
      <c r="H173" s="67">
        <f>'Inputs_NT INM'!O131</f>
        <v>0.44000000000000006</v>
      </c>
      <c r="I173" s="67">
        <f>'Inputs_NT INM'!P131</f>
        <v>0.44000000000000006</v>
      </c>
      <c r="J173" s="67">
        <f>'Inputs_NT INM'!Q131</f>
        <v>0.44000000000000006</v>
      </c>
      <c r="K173" s="67">
        <f>'Inputs_NT INM'!R131</f>
        <v>0.44000000000000006</v>
      </c>
      <c r="L173" s="67">
        <f>'Inputs_NT INM'!S131</f>
        <v>0.44000000000000006</v>
      </c>
      <c r="M173" s="67">
        <f>'Inputs_NT INM'!T131</f>
        <v>0.44000000000000006</v>
      </c>
      <c r="N173" s="67">
        <f>'Inputs_NT INM'!U131</f>
        <v>0.44000000000000006</v>
      </c>
      <c r="O173" s="67">
        <f>'Inputs_NT INM'!V131</f>
        <v>0.44000000000000006</v>
      </c>
      <c r="P173" s="67">
        <f>'Inputs_NT INM'!W131</f>
        <v>0.44000000000000006</v>
      </c>
      <c r="Q173" s="67">
        <f>'Inputs_NT INM'!X131</f>
        <v>0.44000000000000006</v>
      </c>
      <c r="R173" s="67">
        <f>'Inputs_NT INM'!Y131</f>
        <v>0.44000000000000006</v>
      </c>
      <c r="S173" s="67">
        <f>'Inputs_NT INM'!Z131</f>
        <v>0.44000000000000006</v>
      </c>
      <c r="T173" s="67">
        <f>'Inputs_NT INM'!AA131</f>
        <v>0.44000000000000006</v>
      </c>
      <c r="U173" s="67">
        <f>'Inputs_NT INM'!AB131</f>
        <v>0.44000000000000006</v>
      </c>
      <c r="V173" s="67">
        <f>'Inputs_NT INM'!AC131</f>
        <v>0.44000000000000006</v>
      </c>
      <c r="W173" s="67">
        <f>'Inputs_NT INM'!AD131</f>
        <v>0.44000000000000006</v>
      </c>
      <c r="X173" s="67">
        <f>'Inputs_NT INM'!AE131</f>
        <v>0.44000000000000006</v>
      </c>
      <c r="Y173" s="67">
        <f>'Inputs_NT INM'!AF131</f>
        <v>0.44000000000000006</v>
      </c>
      <c r="Z173" s="67">
        <f>'Inputs_NT INM'!AG131</f>
        <v>0.44000000000000006</v>
      </c>
      <c r="AA173" s="67">
        <f>'Inputs_NT INM'!AH131</f>
        <v>0.44000000000000006</v>
      </c>
      <c r="AB173" s="67">
        <f>'Inputs_NT INM'!AI131</f>
        <v>0.44000000000000006</v>
      </c>
      <c r="AC173" s="67">
        <f>'Inputs_NT INM'!AJ131</f>
        <v>0.44000000000000006</v>
      </c>
      <c r="AD173" s="67">
        <f>'Inputs_NT INM'!AK131</f>
        <v>0.44000000000000006</v>
      </c>
      <c r="AE173" s="67">
        <f>'Inputs_NT INM'!AL131</f>
        <v>0.44000000000000006</v>
      </c>
      <c r="AF173" s="67">
        <f>'Inputs_NT INM'!AM131</f>
        <v>0.44000000000000006</v>
      </c>
      <c r="AG173" s="67">
        <f>'Inputs_NT INM'!AN131</f>
        <v>0.44000000000000006</v>
      </c>
      <c r="AH173" s="67"/>
      <c r="AI173" s="67"/>
      <c r="AJ173" s="67"/>
    </row>
    <row r="174" spans="1:39" x14ac:dyDescent="0.25">
      <c r="A174" s="9" t="str">
        <f>IF(COUNTIF(A$20:A$60,'Inputs_NT INM'!A132)=0,"*",'Inputs_NT INM'!A132)</f>
        <v>I-NM-HTH_COA03</v>
      </c>
      <c r="B174" s="9" t="s">
        <v>953</v>
      </c>
      <c r="C174" s="9" t="s">
        <v>304</v>
      </c>
      <c r="D174" s="9">
        <f>'Inputs_NT INM'!H132</f>
        <v>2030</v>
      </c>
      <c r="E174" s="9" t="s">
        <v>460</v>
      </c>
      <c r="F174" s="67">
        <f>'Inputs_NT INM'!M132</f>
        <v>0.44000000000000006</v>
      </c>
      <c r="G174" s="67">
        <f>'Inputs_NT INM'!N132</f>
        <v>0.44000000000000006</v>
      </c>
      <c r="H174" s="67">
        <f>'Inputs_NT INM'!O132</f>
        <v>0.44000000000000006</v>
      </c>
      <c r="I174" s="67">
        <f>'Inputs_NT INM'!P132</f>
        <v>0.44000000000000006</v>
      </c>
      <c r="J174" s="67">
        <f>'Inputs_NT INM'!Q132</f>
        <v>0.44000000000000006</v>
      </c>
      <c r="K174" s="67">
        <f>'Inputs_NT INM'!R132</f>
        <v>0.44000000000000006</v>
      </c>
      <c r="L174" s="67">
        <f>'Inputs_NT INM'!S132</f>
        <v>0.44000000000000006</v>
      </c>
      <c r="M174" s="67">
        <f>'Inputs_NT INM'!T132</f>
        <v>0.44000000000000006</v>
      </c>
      <c r="N174" s="67">
        <f>'Inputs_NT INM'!U132</f>
        <v>0.44000000000000006</v>
      </c>
      <c r="O174" s="67">
        <f>'Inputs_NT INM'!V132</f>
        <v>0.44000000000000006</v>
      </c>
      <c r="P174" s="67">
        <f>'Inputs_NT INM'!W132</f>
        <v>0.44000000000000006</v>
      </c>
      <c r="Q174" s="67">
        <f>'Inputs_NT INM'!X132</f>
        <v>0.44000000000000006</v>
      </c>
      <c r="R174" s="67">
        <f>'Inputs_NT INM'!Y132</f>
        <v>0.44000000000000006</v>
      </c>
      <c r="S174" s="67">
        <f>'Inputs_NT INM'!Z132</f>
        <v>0.44000000000000006</v>
      </c>
      <c r="T174" s="67">
        <f>'Inputs_NT INM'!AA132</f>
        <v>0.44000000000000006</v>
      </c>
      <c r="U174" s="67">
        <f>'Inputs_NT INM'!AB132</f>
        <v>0.44000000000000006</v>
      </c>
      <c r="V174" s="67">
        <f>'Inputs_NT INM'!AC132</f>
        <v>0.44000000000000006</v>
      </c>
      <c r="W174" s="67">
        <f>'Inputs_NT INM'!AD132</f>
        <v>0.44000000000000006</v>
      </c>
      <c r="X174" s="67">
        <f>'Inputs_NT INM'!AE132</f>
        <v>0.44000000000000006</v>
      </c>
      <c r="Y174" s="67">
        <f>'Inputs_NT INM'!AF132</f>
        <v>0.44000000000000006</v>
      </c>
      <c r="Z174" s="67">
        <f>'Inputs_NT INM'!AG132</f>
        <v>0.44000000000000006</v>
      </c>
      <c r="AA174" s="67">
        <f>'Inputs_NT INM'!AH132</f>
        <v>0.44000000000000006</v>
      </c>
      <c r="AB174" s="67">
        <f>'Inputs_NT INM'!AI132</f>
        <v>0.44000000000000006</v>
      </c>
      <c r="AC174" s="67">
        <f>'Inputs_NT INM'!AJ132</f>
        <v>0.44000000000000006</v>
      </c>
      <c r="AD174" s="67">
        <f>'Inputs_NT INM'!AK132</f>
        <v>0.44000000000000006</v>
      </c>
      <c r="AE174" s="67">
        <f>'Inputs_NT INM'!AL132</f>
        <v>0.44000000000000006</v>
      </c>
      <c r="AF174" s="67">
        <f>'Inputs_NT INM'!AM132</f>
        <v>0.44000000000000006</v>
      </c>
      <c r="AG174" s="67">
        <f>'Inputs_NT INM'!AN132</f>
        <v>0.44000000000000006</v>
      </c>
      <c r="AH174" s="67"/>
      <c r="AI174" s="67"/>
      <c r="AJ174" s="67"/>
    </row>
    <row r="175" spans="1:39" x14ac:dyDescent="0.25">
      <c r="A175" s="9" t="str">
        <f>IF(COUNTIF(A$20:A$60,'Inputs_NT INM'!A133)=0,"*",'Inputs_NT INM'!A133)</f>
        <v>I-NM-HTH_BIO03</v>
      </c>
      <c r="B175" s="9" t="s">
        <v>955</v>
      </c>
      <c r="C175" s="9" t="s">
        <v>304</v>
      </c>
      <c r="D175" s="9">
        <f>'Inputs_NT INM'!H133</f>
        <v>2030</v>
      </c>
      <c r="E175" s="9" t="s">
        <v>460</v>
      </c>
      <c r="F175" s="67">
        <f>'Inputs_NT INM'!M133</f>
        <v>0.44000000000000006</v>
      </c>
      <c r="G175" s="67">
        <f>'Inputs_NT INM'!N133</f>
        <v>0.44000000000000006</v>
      </c>
      <c r="H175" s="67">
        <f>'Inputs_NT INM'!O133</f>
        <v>0.44000000000000006</v>
      </c>
      <c r="I175" s="67">
        <f>'Inputs_NT INM'!P133</f>
        <v>0.44000000000000006</v>
      </c>
      <c r="J175" s="67">
        <f>'Inputs_NT INM'!Q133</f>
        <v>0.44000000000000006</v>
      </c>
      <c r="K175" s="67">
        <f>'Inputs_NT INM'!R133</f>
        <v>0.44000000000000006</v>
      </c>
      <c r="L175" s="67">
        <f>'Inputs_NT INM'!S133</f>
        <v>0.44000000000000006</v>
      </c>
      <c r="M175" s="67">
        <f>'Inputs_NT INM'!T133</f>
        <v>0.44000000000000006</v>
      </c>
      <c r="N175" s="67">
        <f>'Inputs_NT INM'!U133</f>
        <v>0.44000000000000006</v>
      </c>
      <c r="O175" s="67">
        <f>'Inputs_NT INM'!V133</f>
        <v>0.44000000000000006</v>
      </c>
      <c r="P175" s="67">
        <f>'Inputs_NT INM'!W133</f>
        <v>0.44000000000000006</v>
      </c>
      <c r="Q175" s="67">
        <f>'Inputs_NT INM'!X133</f>
        <v>0.44000000000000006</v>
      </c>
      <c r="R175" s="67">
        <f>'Inputs_NT INM'!Y133</f>
        <v>0.44000000000000006</v>
      </c>
      <c r="S175" s="67">
        <f>'Inputs_NT INM'!Z133</f>
        <v>0.44000000000000006</v>
      </c>
      <c r="T175" s="67">
        <f>'Inputs_NT INM'!AA133</f>
        <v>0.44000000000000006</v>
      </c>
      <c r="U175" s="67">
        <f>'Inputs_NT INM'!AB133</f>
        <v>0.44000000000000006</v>
      </c>
      <c r="V175" s="67">
        <f>'Inputs_NT INM'!AC133</f>
        <v>0.44000000000000006</v>
      </c>
      <c r="W175" s="67">
        <f>'Inputs_NT INM'!AD133</f>
        <v>0.44000000000000006</v>
      </c>
      <c r="X175" s="67">
        <f>'Inputs_NT INM'!AE133</f>
        <v>0.44000000000000006</v>
      </c>
      <c r="Y175" s="67">
        <f>'Inputs_NT INM'!AF133</f>
        <v>0.44000000000000006</v>
      </c>
      <c r="Z175" s="67">
        <f>'Inputs_NT INM'!AG133</f>
        <v>0.44000000000000006</v>
      </c>
      <c r="AA175" s="67">
        <f>'Inputs_NT INM'!AH133</f>
        <v>0.44000000000000006</v>
      </c>
      <c r="AB175" s="67">
        <f>'Inputs_NT INM'!AI133</f>
        <v>0.44000000000000006</v>
      </c>
      <c r="AC175" s="67">
        <f>'Inputs_NT INM'!AJ133</f>
        <v>0.44000000000000006</v>
      </c>
      <c r="AD175" s="67">
        <f>'Inputs_NT INM'!AK133</f>
        <v>0.44000000000000006</v>
      </c>
      <c r="AE175" s="67">
        <f>'Inputs_NT INM'!AL133</f>
        <v>0.44000000000000006</v>
      </c>
      <c r="AF175" s="67">
        <f>'Inputs_NT INM'!AM133</f>
        <v>0.44000000000000006</v>
      </c>
      <c r="AG175" s="67">
        <f>'Inputs_NT INM'!AN133</f>
        <v>0.44000000000000006</v>
      </c>
      <c r="AH175" s="67"/>
      <c r="AI175" s="67"/>
      <c r="AJ175" s="67"/>
      <c r="AL175" s="146"/>
    </row>
    <row r="176" spans="1:39" x14ac:dyDescent="0.25">
      <c r="A176" s="9" t="str">
        <f>IF(COUNTIF(A$20:A$60,'Inputs_NT INM'!A134)=0,"*",'Inputs_NT INM'!A134)</f>
        <v>I-NM-LTH_H2G03</v>
      </c>
      <c r="B176" s="9" t="s">
        <v>975</v>
      </c>
      <c r="C176" s="9" t="s">
        <v>304</v>
      </c>
      <c r="D176" s="9">
        <f>'Inputs_NT INM'!H134</f>
        <v>2050</v>
      </c>
      <c r="E176" s="9" t="s">
        <v>460</v>
      </c>
      <c r="F176" s="67">
        <f>'Inputs_NT INM'!M134</f>
        <v>0.68399999999999994</v>
      </c>
      <c r="G176" s="67">
        <f>'Inputs_NT INM'!N134</f>
        <v>0.68399999999999994</v>
      </c>
      <c r="H176" s="67">
        <f>'Inputs_NT INM'!O134</f>
        <v>0.68399999999999994</v>
      </c>
      <c r="I176" s="67">
        <f>'Inputs_NT INM'!P134</f>
        <v>0.68399999999999994</v>
      </c>
      <c r="J176" s="67">
        <f>'Inputs_NT INM'!Q134</f>
        <v>0.68399999999999994</v>
      </c>
      <c r="K176" s="67">
        <f>'Inputs_NT INM'!R134</f>
        <v>0.68399999999999994</v>
      </c>
      <c r="L176" s="67">
        <f>'Inputs_NT INM'!S134</f>
        <v>0.68399999999999994</v>
      </c>
      <c r="M176" s="67">
        <f>'Inputs_NT INM'!T134</f>
        <v>0.68399999999999994</v>
      </c>
      <c r="N176" s="67">
        <f>'Inputs_NT INM'!U134</f>
        <v>0.68399999999999994</v>
      </c>
      <c r="O176" s="67">
        <f>'Inputs_NT INM'!V134</f>
        <v>0.68399999999999994</v>
      </c>
      <c r="P176" s="67">
        <f>'Inputs_NT INM'!W134</f>
        <v>0.68399999999999994</v>
      </c>
      <c r="Q176" s="67">
        <f>'Inputs_NT INM'!X134</f>
        <v>0.68399999999999994</v>
      </c>
      <c r="R176" s="67">
        <f>'Inputs_NT INM'!Y134</f>
        <v>0.68399999999999994</v>
      </c>
      <c r="S176" s="67">
        <f>'Inputs_NT INM'!Z134</f>
        <v>0.68399999999999994</v>
      </c>
      <c r="T176" s="67">
        <f>'Inputs_NT INM'!AA134</f>
        <v>0.68399999999999994</v>
      </c>
      <c r="U176" s="67">
        <f>'Inputs_NT INM'!AB134</f>
        <v>0.68399999999999994</v>
      </c>
      <c r="V176" s="67">
        <f>'Inputs_NT INM'!AC134</f>
        <v>0.68399999999999994</v>
      </c>
      <c r="W176" s="67">
        <f>'Inputs_NT INM'!AD134</f>
        <v>0.68399999999999994</v>
      </c>
      <c r="X176" s="67">
        <f>'Inputs_NT INM'!AE134</f>
        <v>0.68399999999999994</v>
      </c>
      <c r="Y176" s="67">
        <f>'Inputs_NT INM'!AF134</f>
        <v>0.68399999999999994</v>
      </c>
      <c r="Z176" s="67">
        <f>'Inputs_NT INM'!AG134</f>
        <v>0.68399999999999994</v>
      </c>
      <c r="AA176" s="67">
        <f>'Inputs_NT INM'!AH134</f>
        <v>0.68399999999999994</v>
      </c>
      <c r="AB176" s="67">
        <f>'Inputs_NT INM'!AI134</f>
        <v>0.68399999999999994</v>
      </c>
      <c r="AC176" s="67">
        <f>'Inputs_NT INM'!AJ134</f>
        <v>0.68399999999999994</v>
      </c>
      <c r="AD176" s="67">
        <f>'Inputs_NT INM'!AK134</f>
        <v>0.68399999999999994</v>
      </c>
      <c r="AE176" s="67">
        <f>'Inputs_NT INM'!AL134</f>
        <v>0.68399999999999994</v>
      </c>
      <c r="AF176" s="67">
        <f>'Inputs_NT INM'!AM134</f>
        <v>0.68399999999999994</v>
      </c>
      <c r="AG176" s="67">
        <f>'Inputs_NT INM'!AN134</f>
        <v>0.68399999999999994</v>
      </c>
      <c r="AH176" s="67"/>
      <c r="AI176" s="67"/>
      <c r="AJ176" s="67"/>
      <c r="AL176" s="146"/>
    </row>
    <row r="177" spans="1:38" x14ac:dyDescent="0.25">
      <c r="A177" s="9" t="str">
        <f>IF(COUNTIF(A$20:A$60,'Inputs_NT INM'!A135)=0,"*",'Inputs_NT INM'!A135)</f>
        <v>I-NM-HTH_ELC03</v>
      </c>
      <c r="B177" s="9" t="s">
        <v>949</v>
      </c>
      <c r="C177" s="9" t="s">
        <v>304</v>
      </c>
      <c r="D177" s="9">
        <f>'Inputs_NT INM'!H135</f>
        <v>2050</v>
      </c>
      <c r="E177" s="9" t="s">
        <v>460</v>
      </c>
      <c r="F177" s="67">
        <f>'Inputs_NT INM'!M135</f>
        <v>0.92799999999999994</v>
      </c>
      <c r="G177" s="67">
        <f>'Inputs_NT INM'!N135</f>
        <v>0.92799999999999994</v>
      </c>
      <c r="H177" s="67">
        <f>'Inputs_NT INM'!O135</f>
        <v>0.92799999999999994</v>
      </c>
      <c r="I177" s="67">
        <f>'Inputs_NT INM'!P135</f>
        <v>0.92799999999999994</v>
      </c>
      <c r="J177" s="67">
        <f>'Inputs_NT INM'!Q135</f>
        <v>0.92799999999999994</v>
      </c>
      <c r="K177" s="67">
        <f>'Inputs_NT INM'!R135</f>
        <v>0.92799999999999994</v>
      </c>
      <c r="L177" s="67">
        <f>'Inputs_NT INM'!S135</f>
        <v>0.92799999999999994</v>
      </c>
      <c r="M177" s="67">
        <f>'Inputs_NT INM'!T135</f>
        <v>0.92799999999999994</v>
      </c>
      <c r="N177" s="67">
        <f>'Inputs_NT INM'!U135</f>
        <v>0.92799999999999994</v>
      </c>
      <c r="O177" s="67">
        <f>'Inputs_NT INM'!V135</f>
        <v>0.92799999999999994</v>
      </c>
      <c r="P177" s="67">
        <f>'Inputs_NT INM'!W135</f>
        <v>0.92799999999999994</v>
      </c>
      <c r="Q177" s="67">
        <f>'Inputs_NT INM'!X135</f>
        <v>0.92799999999999994</v>
      </c>
      <c r="R177" s="67">
        <f>'Inputs_NT INM'!Y135</f>
        <v>0.92799999999999994</v>
      </c>
      <c r="S177" s="67">
        <f>'Inputs_NT INM'!Z135</f>
        <v>0.92799999999999994</v>
      </c>
      <c r="T177" s="67">
        <f>'Inputs_NT INM'!AA135</f>
        <v>0.92799999999999994</v>
      </c>
      <c r="U177" s="67">
        <f>'Inputs_NT INM'!AB135</f>
        <v>0.92799999999999994</v>
      </c>
      <c r="V177" s="67">
        <f>'Inputs_NT INM'!AC135</f>
        <v>0.92799999999999994</v>
      </c>
      <c r="W177" s="67">
        <f>'Inputs_NT INM'!AD135</f>
        <v>0.92799999999999994</v>
      </c>
      <c r="X177" s="67">
        <f>'Inputs_NT INM'!AE135</f>
        <v>0.92799999999999994</v>
      </c>
      <c r="Y177" s="67">
        <f>'Inputs_NT INM'!AF135</f>
        <v>0.92799999999999994</v>
      </c>
      <c r="Z177" s="67">
        <f>'Inputs_NT INM'!AG135</f>
        <v>0.92799999999999994</v>
      </c>
      <c r="AA177" s="67">
        <f>'Inputs_NT INM'!AH135</f>
        <v>0.92799999999999994</v>
      </c>
      <c r="AB177" s="67">
        <f>'Inputs_NT INM'!AI135</f>
        <v>0.92799999999999994</v>
      </c>
      <c r="AC177" s="67">
        <f>'Inputs_NT INM'!AJ135</f>
        <v>0.92799999999999994</v>
      </c>
      <c r="AD177" s="67">
        <f>'Inputs_NT INM'!AK135</f>
        <v>0.92799999999999994</v>
      </c>
      <c r="AE177" s="67">
        <f>'Inputs_NT INM'!AL135</f>
        <v>0.92799999999999994</v>
      </c>
      <c r="AF177" s="67">
        <f>'Inputs_NT INM'!AM135</f>
        <v>0.92799999999999994</v>
      </c>
      <c r="AG177" s="67">
        <f>'Inputs_NT INM'!AN135</f>
        <v>0.92799999999999994</v>
      </c>
      <c r="AH177" s="67"/>
      <c r="AI177" s="67"/>
      <c r="AJ177" s="67"/>
      <c r="AL177" s="146"/>
    </row>
    <row r="178" spans="1:38" x14ac:dyDescent="0.25">
      <c r="A178" s="9" t="str">
        <f>IF(COUNTIF(A$20:A$60,'Inputs_NT INM'!A136)=0,"*",'Inputs_NT INM'!A136)</f>
        <v>I-NM-HTH_GAS03</v>
      </c>
      <c r="B178" s="9" t="s">
        <v>950</v>
      </c>
      <c r="C178" s="9" t="s">
        <v>304</v>
      </c>
      <c r="D178" s="9">
        <f>'Inputs_NT INM'!H136</f>
        <v>2050</v>
      </c>
      <c r="E178" s="9" t="s">
        <v>460</v>
      </c>
      <c r="F178" s="67">
        <f>'Inputs_NT INM'!M136</f>
        <v>0.69599999999999995</v>
      </c>
      <c r="G178" s="67">
        <f>'Inputs_NT INM'!N136</f>
        <v>0.69599999999999995</v>
      </c>
      <c r="H178" s="67">
        <f>'Inputs_NT INM'!O136</f>
        <v>0.69599999999999995</v>
      </c>
      <c r="I178" s="67">
        <f>'Inputs_NT INM'!P136</f>
        <v>0.69599999999999995</v>
      </c>
      <c r="J178" s="67">
        <f>'Inputs_NT INM'!Q136</f>
        <v>0.69599999999999995</v>
      </c>
      <c r="K178" s="67">
        <f>'Inputs_NT INM'!R136</f>
        <v>0.69599999999999995</v>
      </c>
      <c r="L178" s="67">
        <f>'Inputs_NT INM'!S136</f>
        <v>0.69599999999999995</v>
      </c>
      <c r="M178" s="67">
        <f>'Inputs_NT INM'!T136</f>
        <v>0.69599999999999995</v>
      </c>
      <c r="N178" s="67">
        <f>'Inputs_NT INM'!U136</f>
        <v>0.69599999999999995</v>
      </c>
      <c r="O178" s="67">
        <f>'Inputs_NT INM'!V136</f>
        <v>0.69599999999999995</v>
      </c>
      <c r="P178" s="67">
        <f>'Inputs_NT INM'!W136</f>
        <v>0.69599999999999995</v>
      </c>
      <c r="Q178" s="67">
        <f>'Inputs_NT INM'!X136</f>
        <v>0.69599999999999995</v>
      </c>
      <c r="R178" s="67">
        <f>'Inputs_NT INM'!Y136</f>
        <v>0.69599999999999995</v>
      </c>
      <c r="S178" s="67">
        <f>'Inputs_NT INM'!Z136</f>
        <v>0.69599999999999995</v>
      </c>
      <c r="T178" s="67">
        <f>'Inputs_NT INM'!AA136</f>
        <v>0.69599999999999995</v>
      </c>
      <c r="U178" s="67">
        <f>'Inputs_NT INM'!AB136</f>
        <v>0.69599999999999995</v>
      </c>
      <c r="V178" s="67">
        <f>'Inputs_NT INM'!AC136</f>
        <v>0.69599999999999995</v>
      </c>
      <c r="W178" s="67">
        <f>'Inputs_NT INM'!AD136</f>
        <v>0.69599999999999995</v>
      </c>
      <c r="X178" s="67">
        <f>'Inputs_NT INM'!AE136</f>
        <v>0.69599999999999995</v>
      </c>
      <c r="Y178" s="67">
        <f>'Inputs_NT INM'!AF136</f>
        <v>0.69599999999999995</v>
      </c>
      <c r="Z178" s="67">
        <f>'Inputs_NT INM'!AG136</f>
        <v>0.69599999999999995</v>
      </c>
      <c r="AA178" s="67">
        <f>'Inputs_NT INM'!AH136</f>
        <v>0.69599999999999995</v>
      </c>
      <c r="AB178" s="67">
        <f>'Inputs_NT INM'!AI136</f>
        <v>0.69599999999999995</v>
      </c>
      <c r="AC178" s="67">
        <f>'Inputs_NT INM'!AJ136</f>
        <v>0.69599999999999995</v>
      </c>
      <c r="AD178" s="67">
        <f>'Inputs_NT INM'!AK136</f>
        <v>0.69599999999999995</v>
      </c>
      <c r="AE178" s="67">
        <f>'Inputs_NT INM'!AL136</f>
        <v>0.69599999999999995</v>
      </c>
      <c r="AF178" s="67">
        <f>'Inputs_NT INM'!AM136</f>
        <v>0.69599999999999995</v>
      </c>
      <c r="AG178" s="67">
        <f>'Inputs_NT INM'!AN136</f>
        <v>0.69599999999999995</v>
      </c>
      <c r="AH178" s="67"/>
      <c r="AI178" s="67"/>
      <c r="AJ178" s="67"/>
    </row>
    <row r="179" spans="1:38" x14ac:dyDescent="0.25">
      <c r="A179" s="9" t="str">
        <f>IF(COUNTIF(A$20:A$60,'Inputs_NT INM'!A137)=0,"*",'Inputs_NT INM'!A137)</f>
        <v>I-NM-HTH_HET03</v>
      </c>
      <c r="B179" s="9" t="s">
        <v>951</v>
      </c>
      <c r="C179" s="9" t="s">
        <v>304</v>
      </c>
      <c r="D179" s="9">
        <f>'Inputs_NT INM'!H137</f>
        <v>2050</v>
      </c>
      <c r="E179" s="9" t="s">
        <v>460</v>
      </c>
      <c r="F179" s="67">
        <f>'Inputs_NT INM'!M137</f>
        <v>1.1599999999999999</v>
      </c>
      <c r="G179" s="67">
        <f>'Inputs_NT INM'!N137</f>
        <v>1.1599999999999999</v>
      </c>
      <c r="H179" s="67">
        <f>'Inputs_NT INM'!O137</f>
        <v>1.1599999999999999</v>
      </c>
      <c r="I179" s="67">
        <f>'Inputs_NT INM'!P137</f>
        <v>1.1599999999999999</v>
      </c>
      <c r="J179" s="67">
        <f>'Inputs_NT INM'!Q137</f>
        <v>1.1599999999999999</v>
      </c>
      <c r="K179" s="67">
        <f>'Inputs_NT INM'!R137</f>
        <v>1.1599999999999999</v>
      </c>
      <c r="L179" s="67">
        <f>'Inputs_NT INM'!S137</f>
        <v>1.1599999999999999</v>
      </c>
      <c r="M179" s="67">
        <f>'Inputs_NT INM'!T137</f>
        <v>1.1599999999999999</v>
      </c>
      <c r="N179" s="67">
        <f>'Inputs_NT INM'!U137</f>
        <v>1.1599999999999999</v>
      </c>
      <c r="O179" s="67">
        <f>'Inputs_NT INM'!V137</f>
        <v>1.1599999999999999</v>
      </c>
      <c r="P179" s="67">
        <f>'Inputs_NT INM'!W137</f>
        <v>1.1599999999999999</v>
      </c>
      <c r="Q179" s="67">
        <f>'Inputs_NT INM'!X137</f>
        <v>1.1599999999999999</v>
      </c>
      <c r="R179" s="67">
        <f>'Inputs_NT INM'!Y137</f>
        <v>1.1599999999999999</v>
      </c>
      <c r="S179" s="67">
        <f>'Inputs_NT INM'!Z137</f>
        <v>1.1599999999999999</v>
      </c>
      <c r="T179" s="67">
        <f>'Inputs_NT INM'!AA137</f>
        <v>1.1599999999999999</v>
      </c>
      <c r="U179" s="67">
        <f>'Inputs_NT INM'!AB137</f>
        <v>1.1599999999999999</v>
      </c>
      <c r="V179" s="67">
        <f>'Inputs_NT INM'!AC137</f>
        <v>1.1599999999999999</v>
      </c>
      <c r="W179" s="67">
        <f>'Inputs_NT INM'!AD137</f>
        <v>1.1599999999999999</v>
      </c>
      <c r="X179" s="67">
        <f>'Inputs_NT INM'!AE137</f>
        <v>1.1599999999999999</v>
      </c>
      <c r="Y179" s="67">
        <f>'Inputs_NT INM'!AF137</f>
        <v>1.1599999999999999</v>
      </c>
      <c r="Z179" s="67">
        <f>'Inputs_NT INM'!AG137</f>
        <v>1.1599999999999999</v>
      </c>
      <c r="AA179" s="67">
        <f>'Inputs_NT INM'!AH137</f>
        <v>1.1599999999999999</v>
      </c>
      <c r="AB179" s="67">
        <f>'Inputs_NT INM'!AI137</f>
        <v>1.1599999999999999</v>
      </c>
      <c r="AC179" s="67">
        <f>'Inputs_NT INM'!AJ137</f>
        <v>1.1599999999999999</v>
      </c>
      <c r="AD179" s="67">
        <f>'Inputs_NT INM'!AK137</f>
        <v>1.1599999999999999</v>
      </c>
      <c r="AE179" s="67">
        <f>'Inputs_NT INM'!AL137</f>
        <v>1.1599999999999999</v>
      </c>
      <c r="AF179" s="67">
        <f>'Inputs_NT INM'!AM137</f>
        <v>1.1599999999999999</v>
      </c>
      <c r="AG179" s="67">
        <f>'Inputs_NT INM'!AN137</f>
        <v>1.1599999999999999</v>
      </c>
      <c r="AH179" s="67"/>
      <c r="AI179" s="67"/>
      <c r="AJ179" s="67"/>
    </row>
    <row r="180" spans="1:38" x14ac:dyDescent="0.25">
      <c r="A180" s="9" t="str">
        <f>IF(COUNTIF(A$20:A$60,'Inputs_NT INM'!A138)=0,"*",'Inputs_NT INM'!A138)</f>
        <v>I-NM-HTH_OIL03</v>
      </c>
      <c r="B180" s="9" t="s">
        <v>952</v>
      </c>
      <c r="C180" s="9" t="s">
        <v>304</v>
      </c>
      <c r="D180" s="9">
        <f>'Inputs_NT INM'!H138</f>
        <v>2050</v>
      </c>
      <c r="E180" s="9" t="s">
        <v>460</v>
      </c>
      <c r="F180" s="67">
        <f>'Inputs_NT INM'!M138</f>
        <v>0.46399999999999997</v>
      </c>
      <c r="G180" s="67">
        <f>'Inputs_NT INM'!N138</f>
        <v>0.46399999999999997</v>
      </c>
      <c r="H180" s="67">
        <f>'Inputs_NT INM'!O138</f>
        <v>0.46399999999999997</v>
      </c>
      <c r="I180" s="67">
        <f>'Inputs_NT INM'!P138</f>
        <v>0.46399999999999997</v>
      </c>
      <c r="J180" s="67">
        <f>'Inputs_NT INM'!Q138</f>
        <v>0.46399999999999997</v>
      </c>
      <c r="K180" s="67">
        <f>'Inputs_NT INM'!R138</f>
        <v>0.46399999999999997</v>
      </c>
      <c r="L180" s="67">
        <f>'Inputs_NT INM'!S138</f>
        <v>0.46399999999999997</v>
      </c>
      <c r="M180" s="67">
        <f>'Inputs_NT INM'!T138</f>
        <v>0.46399999999999997</v>
      </c>
      <c r="N180" s="67">
        <f>'Inputs_NT INM'!U138</f>
        <v>0.46399999999999997</v>
      </c>
      <c r="O180" s="67">
        <f>'Inputs_NT INM'!V138</f>
        <v>0.46399999999999997</v>
      </c>
      <c r="P180" s="67">
        <f>'Inputs_NT INM'!W138</f>
        <v>0.46399999999999997</v>
      </c>
      <c r="Q180" s="67">
        <f>'Inputs_NT INM'!X138</f>
        <v>0.46399999999999997</v>
      </c>
      <c r="R180" s="67">
        <f>'Inputs_NT INM'!Y138</f>
        <v>0.46399999999999997</v>
      </c>
      <c r="S180" s="67">
        <f>'Inputs_NT INM'!Z138</f>
        <v>0.46399999999999997</v>
      </c>
      <c r="T180" s="67">
        <f>'Inputs_NT INM'!AA138</f>
        <v>0.46399999999999997</v>
      </c>
      <c r="U180" s="67">
        <f>'Inputs_NT INM'!AB138</f>
        <v>0.46399999999999997</v>
      </c>
      <c r="V180" s="67">
        <f>'Inputs_NT INM'!AC138</f>
        <v>0.46399999999999997</v>
      </c>
      <c r="W180" s="67">
        <f>'Inputs_NT INM'!AD138</f>
        <v>0.46399999999999997</v>
      </c>
      <c r="X180" s="67">
        <f>'Inputs_NT INM'!AE138</f>
        <v>0.46399999999999997</v>
      </c>
      <c r="Y180" s="67">
        <f>'Inputs_NT INM'!AF138</f>
        <v>0.46399999999999997</v>
      </c>
      <c r="Z180" s="67">
        <f>'Inputs_NT INM'!AG138</f>
        <v>0.46399999999999997</v>
      </c>
      <c r="AA180" s="67">
        <f>'Inputs_NT INM'!AH138</f>
        <v>0.46399999999999997</v>
      </c>
      <c r="AB180" s="67">
        <f>'Inputs_NT INM'!AI138</f>
        <v>0.46399999999999997</v>
      </c>
      <c r="AC180" s="67">
        <f>'Inputs_NT INM'!AJ138</f>
        <v>0.46399999999999997</v>
      </c>
      <c r="AD180" s="67">
        <f>'Inputs_NT INM'!AK138</f>
        <v>0.46399999999999997</v>
      </c>
      <c r="AE180" s="67">
        <f>'Inputs_NT INM'!AL138</f>
        <v>0.46399999999999997</v>
      </c>
      <c r="AF180" s="67">
        <f>'Inputs_NT INM'!AM138</f>
        <v>0.46399999999999997</v>
      </c>
      <c r="AG180" s="67">
        <f>'Inputs_NT INM'!AN138</f>
        <v>0.46399999999999997</v>
      </c>
      <c r="AH180" s="67"/>
      <c r="AI180" s="67"/>
      <c r="AJ180" s="67"/>
    </row>
    <row r="181" spans="1:38" x14ac:dyDescent="0.25">
      <c r="A181" s="9" t="str">
        <f>IF(COUNTIF(A$20:A$60,'Inputs_NT INM'!A139)=0,"*",'Inputs_NT INM'!A139)</f>
        <v>I-NM-HTH_COA03</v>
      </c>
      <c r="B181" s="9" t="s">
        <v>953</v>
      </c>
      <c r="C181" s="9" t="s">
        <v>304</v>
      </c>
      <c r="D181" s="9">
        <f>'Inputs_NT INM'!H139</f>
        <v>2050</v>
      </c>
      <c r="E181" s="9" t="s">
        <v>460</v>
      </c>
      <c r="F181" s="67">
        <f>'Inputs_NT INM'!M139</f>
        <v>0.46399999999999997</v>
      </c>
      <c r="G181" s="67">
        <f>'Inputs_NT INM'!N139</f>
        <v>0.46399999999999997</v>
      </c>
      <c r="H181" s="67">
        <f>'Inputs_NT INM'!O139</f>
        <v>0.46399999999999997</v>
      </c>
      <c r="I181" s="67">
        <f>'Inputs_NT INM'!P139</f>
        <v>0.46399999999999997</v>
      </c>
      <c r="J181" s="67">
        <f>'Inputs_NT INM'!Q139</f>
        <v>0.46399999999999997</v>
      </c>
      <c r="K181" s="67">
        <f>'Inputs_NT INM'!R139</f>
        <v>0.46399999999999997</v>
      </c>
      <c r="L181" s="67">
        <f>'Inputs_NT INM'!S139</f>
        <v>0.46399999999999997</v>
      </c>
      <c r="M181" s="67">
        <f>'Inputs_NT INM'!T139</f>
        <v>0.46399999999999997</v>
      </c>
      <c r="N181" s="67">
        <f>'Inputs_NT INM'!U139</f>
        <v>0.46399999999999997</v>
      </c>
      <c r="O181" s="67">
        <f>'Inputs_NT INM'!V139</f>
        <v>0.46399999999999997</v>
      </c>
      <c r="P181" s="67">
        <f>'Inputs_NT INM'!W139</f>
        <v>0.46399999999999997</v>
      </c>
      <c r="Q181" s="67">
        <f>'Inputs_NT INM'!X139</f>
        <v>0.46399999999999997</v>
      </c>
      <c r="R181" s="67">
        <f>'Inputs_NT INM'!Y139</f>
        <v>0.46399999999999997</v>
      </c>
      <c r="S181" s="67">
        <f>'Inputs_NT INM'!Z139</f>
        <v>0.46399999999999997</v>
      </c>
      <c r="T181" s="67">
        <f>'Inputs_NT INM'!AA139</f>
        <v>0.46399999999999997</v>
      </c>
      <c r="U181" s="67">
        <f>'Inputs_NT INM'!AB139</f>
        <v>0.46399999999999997</v>
      </c>
      <c r="V181" s="67">
        <f>'Inputs_NT INM'!AC139</f>
        <v>0.46399999999999997</v>
      </c>
      <c r="W181" s="67">
        <f>'Inputs_NT INM'!AD139</f>
        <v>0.46399999999999997</v>
      </c>
      <c r="X181" s="67">
        <f>'Inputs_NT INM'!AE139</f>
        <v>0.46399999999999997</v>
      </c>
      <c r="Y181" s="67">
        <f>'Inputs_NT INM'!AF139</f>
        <v>0.46399999999999997</v>
      </c>
      <c r="Z181" s="67">
        <f>'Inputs_NT INM'!AG139</f>
        <v>0.46399999999999997</v>
      </c>
      <c r="AA181" s="67">
        <f>'Inputs_NT INM'!AH139</f>
        <v>0.46399999999999997</v>
      </c>
      <c r="AB181" s="67">
        <f>'Inputs_NT INM'!AI139</f>
        <v>0.46399999999999997</v>
      </c>
      <c r="AC181" s="67">
        <f>'Inputs_NT INM'!AJ139</f>
        <v>0.46399999999999997</v>
      </c>
      <c r="AD181" s="67">
        <f>'Inputs_NT INM'!AK139</f>
        <v>0.46399999999999997</v>
      </c>
      <c r="AE181" s="67">
        <f>'Inputs_NT INM'!AL139</f>
        <v>0.46399999999999997</v>
      </c>
      <c r="AF181" s="67">
        <f>'Inputs_NT INM'!AM139</f>
        <v>0.46399999999999997</v>
      </c>
      <c r="AG181" s="67">
        <f>'Inputs_NT INM'!AN139</f>
        <v>0.46399999999999997</v>
      </c>
      <c r="AH181" s="67"/>
      <c r="AI181" s="67"/>
      <c r="AJ181" s="67"/>
    </row>
    <row r="182" spans="1:38" x14ac:dyDescent="0.25">
      <c r="A182" s="9" t="str">
        <f>IF(COUNTIF(A$20:A$60,'Inputs_NT INM'!A140)=0,"*",'Inputs_NT INM'!A140)</f>
        <v>I-NM-HTH_BIO03</v>
      </c>
      <c r="B182" s="9" t="s">
        <v>955</v>
      </c>
      <c r="C182" s="9" t="s">
        <v>304</v>
      </c>
      <c r="D182" s="9">
        <f>'Inputs_NT INM'!H140</f>
        <v>2050</v>
      </c>
      <c r="E182" s="9" t="s">
        <v>460</v>
      </c>
      <c r="F182" s="67">
        <f>'Inputs_NT INM'!M140</f>
        <v>0.46399999999999997</v>
      </c>
      <c r="G182" s="67">
        <f>'Inputs_NT INM'!N140</f>
        <v>0.46399999999999997</v>
      </c>
      <c r="H182" s="67">
        <f>'Inputs_NT INM'!O140</f>
        <v>0.46399999999999997</v>
      </c>
      <c r="I182" s="67">
        <f>'Inputs_NT INM'!P140</f>
        <v>0.46399999999999997</v>
      </c>
      <c r="J182" s="67">
        <f>'Inputs_NT INM'!Q140</f>
        <v>0.46399999999999997</v>
      </c>
      <c r="K182" s="67">
        <f>'Inputs_NT INM'!R140</f>
        <v>0.46399999999999997</v>
      </c>
      <c r="L182" s="67">
        <f>'Inputs_NT INM'!S140</f>
        <v>0.46399999999999997</v>
      </c>
      <c r="M182" s="67">
        <f>'Inputs_NT INM'!T140</f>
        <v>0.46399999999999997</v>
      </c>
      <c r="N182" s="67">
        <f>'Inputs_NT INM'!U140</f>
        <v>0.46399999999999997</v>
      </c>
      <c r="O182" s="67">
        <f>'Inputs_NT INM'!V140</f>
        <v>0.46399999999999997</v>
      </c>
      <c r="P182" s="67">
        <f>'Inputs_NT INM'!W140</f>
        <v>0.46399999999999997</v>
      </c>
      <c r="Q182" s="67">
        <f>'Inputs_NT INM'!X140</f>
        <v>0.46399999999999997</v>
      </c>
      <c r="R182" s="67">
        <f>'Inputs_NT INM'!Y140</f>
        <v>0.46399999999999997</v>
      </c>
      <c r="S182" s="67">
        <f>'Inputs_NT INM'!Z140</f>
        <v>0.46399999999999997</v>
      </c>
      <c r="T182" s="67">
        <f>'Inputs_NT INM'!AA140</f>
        <v>0.46399999999999997</v>
      </c>
      <c r="U182" s="67">
        <f>'Inputs_NT INM'!AB140</f>
        <v>0.46399999999999997</v>
      </c>
      <c r="V182" s="67">
        <f>'Inputs_NT INM'!AC140</f>
        <v>0.46399999999999997</v>
      </c>
      <c r="W182" s="67">
        <f>'Inputs_NT INM'!AD140</f>
        <v>0.46399999999999997</v>
      </c>
      <c r="X182" s="67">
        <f>'Inputs_NT INM'!AE140</f>
        <v>0.46399999999999997</v>
      </c>
      <c r="Y182" s="67">
        <f>'Inputs_NT INM'!AF140</f>
        <v>0.46399999999999997</v>
      </c>
      <c r="Z182" s="67">
        <f>'Inputs_NT INM'!AG140</f>
        <v>0.46399999999999997</v>
      </c>
      <c r="AA182" s="67">
        <f>'Inputs_NT INM'!AH140</f>
        <v>0.46399999999999997</v>
      </c>
      <c r="AB182" s="67">
        <f>'Inputs_NT INM'!AI140</f>
        <v>0.46399999999999997</v>
      </c>
      <c r="AC182" s="67">
        <f>'Inputs_NT INM'!AJ140</f>
        <v>0.46399999999999997</v>
      </c>
      <c r="AD182" s="67">
        <f>'Inputs_NT INM'!AK140</f>
        <v>0.46399999999999997</v>
      </c>
      <c r="AE182" s="67">
        <f>'Inputs_NT INM'!AL140</f>
        <v>0.46399999999999997</v>
      </c>
      <c r="AF182" s="67">
        <f>'Inputs_NT INM'!AM140</f>
        <v>0.46399999999999997</v>
      </c>
      <c r="AG182" s="67">
        <f>'Inputs_NT INM'!AN140</f>
        <v>0.46399999999999997</v>
      </c>
      <c r="AH182" s="67"/>
      <c r="AI182" s="67"/>
      <c r="AJ182" s="67"/>
    </row>
    <row r="183" spans="1:38" x14ac:dyDescent="0.25">
      <c r="A183" s="9" t="str">
        <f>IF(COUNTIF(A$20:A$60,'Inputs_NT INM'!A141)=0,"*",'Inputs_NT INM'!A141)</f>
        <v>I-NM-HTH_H2G03</v>
      </c>
      <c r="B183" s="9" t="s">
        <v>956</v>
      </c>
      <c r="C183" s="9" t="s">
        <v>304</v>
      </c>
      <c r="D183" s="9">
        <f>'Inputs_NT INM'!H141</f>
        <v>2050</v>
      </c>
      <c r="E183" s="9" t="s">
        <v>460</v>
      </c>
      <c r="F183" s="67">
        <f>'Inputs_NT INM'!M141</f>
        <v>0.69599999999999995</v>
      </c>
      <c r="G183" s="67">
        <f>'Inputs_NT INM'!N141</f>
        <v>0.69599999999999995</v>
      </c>
      <c r="H183" s="67">
        <f>'Inputs_NT INM'!O141</f>
        <v>0.69599999999999995</v>
      </c>
      <c r="I183" s="67">
        <f>'Inputs_NT INM'!P141</f>
        <v>0.69599999999999995</v>
      </c>
      <c r="J183" s="67">
        <f>'Inputs_NT INM'!Q141</f>
        <v>0.69599999999999995</v>
      </c>
      <c r="K183" s="67">
        <f>'Inputs_NT INM'!R141</f>
        <v>0.69599999999999995</v>
      </c>
      <c r="L183" s="67">
        <f>'Inputs_NT INM'!S141</f>
        <v>0.69599999999999995</v>
      </c>
      <c r="M183" s="67">
        <f>'Inputs_NT INM'!T141</f>
        <v>0.69599999999999995</v>
      </c>
      <c r="N183" s="67">
        <f>'Inputs_NT INM'!U141</f>
        <v>0.69599999999999995</v>
      </c>
      <c r="O183" s="67">
        <f>'Inputs_NT INM'!V141</f>
        <v>0.69599999999999995</v>
      </c>
      <c r="P183" s="67">
        <f>'Inputs_NT INM'!W141</f>
        <v>0.69599999999999995</v>
      </c>
      <c r="Q183" s="67">
        <f>'Inputs_NT INM'!X141</f>
        <v>0.69599999999999995</v>
      </c>
      <c r="R183" s="67">
        <f>'Inputs_NT INM'!Y141</f>
        <v>0.69599999999999995</v>
      </c>
      <c r="S183" s="67">
        <f>'Inputs_NT INM'!Z141</f>
        <v>0.69599999999999995</v>
      </c>
      <c r="T183" s="67">
        <f>'Inputs_NT INM'!AA141</f>
        <v>0.69599999999999995</v>
      </c>
      <c r="U183" s="67">
        <f>'Inputs_NT INM'!AB141</f>
        <v>0.69599999999999995</v>
      </c>
      <c r="V183" s="67">
        <f>'Inputs_NT INM'!AC141</f>
        <v>0.69599999999999995</v>
      </c>
      <c r="W183" s="67">
        <f>'Inputs_NT INM'!AD141</f>
        <v>0.69599999999999995</v>
      </c>
      <c r="X183" s="67">
        <f>'Inputs_NT INM'!AE141</f>
        <v>0.69599999999999995</v>
      </c>
      <c r="Y183" s="67">
        <f>'Inputs_NT INM'!AF141</f>
        <v>0.69599999999999995</v>
      </c>
      <c r="Z183" s="67">
        <f>'Inputs_NT INM'!AG141</f>
        <v>0.69599999999999995</v>
      </c>
      <c r="AA183" s="67">
        <f>'Inputs_NT INM'!AH141</f>
        <v>0.69599999999999995</v>
      </c>
      <c r="AB183" s="67">
        <f>'Inputs_NT INM'!AI141</f>
        <v>0.69599999999999995</v>
      </c>
      <c r="AC183" s="67">
        <f>'Inputs_NT INM'!AJ141</f>
        <v>0.69599999999999995</v>
      </c>
      <c r="AD183" s="67">
        <f>'Inputs_NT INM'!AK141</f>
        <v>0.69599999999999995</v>
      </c>
      <c r="AE183" s="67">
        <f>'Inputs_NT INM'!AL141</f>
        <v>0.69599999999999995</v>
      </c>
      <c r="AF183" s="67">
        <f>'Inputs_NT INM'!AM141</f>
        <v>0.69599999999999995</v>
      </c>
      <c r="AG183" s="67">
        <f>'Inputs_NT INM'!AN141</f>
        <v>0.69599999999999995</v>
      </c>
      <c r="AH183" s="67"/>
      <c r="AI183" s="67"/>
      <c r="AJ183" s="67"/>
    </row>
    <row r="184" spans="1:38" x14ac:dyDescent="0.25">
      <c r="A184" s="9" t="str">
        <f>IF(COUNTIF(A$20:A$60,'Inputs_NT INM'!A142)=0,"*",'Inputs_NT INM'!A142)</f>
        <v>I-NM-LTH_ELC01</v>
      </c>
      <c r="B184" s="9" t="s">
        <v>957</v>
      </c>
      <c r="C184" s="9" t="s">
        <v>304</v>
      </c>
      <c r="D184" s="9">
        <f>'Inputs_NT INM'!H142</f>
        <v>2020</v>
      </c>
      <c r="E184" s="9" t="s">
        <v>460</v>
      </c>
      <c r="F184" s="67">
        <f>'Inputs_NT INM'!M142</f>
        <v>0.8</v>
      </c>
      <c r="G184" s="67">
        <f>'Inputs_NT INM'!N142</f>
        <v>0.8</v>
      </c>
      <c r="H184" s="67">
        <f>'Inputs_NT INM'!O142</f>
        <v>0.8</v>
      </c>
      <c r="I184" s="67">
        <f>'Inputs_NT INM'!P142</f>
        <v>0.8</v>
      </c>
      <c r="J184" s="67">
        <f>'Inputs_NT INM'!Q142</f>
        <v>0.8</v>
      </c>
      <c r="K184" s="67">
        <f>'Inputs_NT INM'!R142</f>
        <v>0.8</v>
      </c>
      <c r="L184" s="67">
        <f>'Inputs_NT INM'!S142</f>
        <v>0.8</v>
      </c>
      <c r="M184" s="67">
        <f>'Inputs_NT INM'!T142</f>
        <v>0.8</v>
      </c>
      <c r="N184" s="67">
        <f>'Inputs_NT INM'!U142</f>
        <v>0.8</v>
      </c>
      <c r="O184" s="67">
        <f>'Inputs_NT INM'!V142</f>
        <v>0.8</v>
      </c>
      <c r="P184" s="67">
        <f>'Inputs_NT INM'!W142</f>
        <v>0.8</v>
      </c>
      <c r="Q184" s="67">
        <f>'Inputs_NT INM'!X142</f>
        <v>0.8</v>
      </c>
      <c r="R184" s="67">
        <f>'Inputs_NT INM'!Y142</f>
        <v>0.8</v>
      </c>
      <c r="S184" s="67">
        <f>'Inputs_NT INM'!Z142</f>
        <v>0.8</v>
      </c>
      <c r="T184" s="67">
        <f>'Inputs_NT INM'!AA142</f>
        <v>0.8</v>
      </c>
      <c r="U184" s="67">
        <f>'Inputs_NT INM'!AB142</f>
        <v>0.8</v>
      </c>
      <c r="V184" s="67">
        <f>'Inputs_NT INM'!AC142</f>
        <v>0.8</v>
      </c>
      <c r="W184" s="67">
        <f>'Inputs_NT INM'!AD142</f>
        <v>0.8</v>
      </c>
      <c r="X184" s="67">
        <f>'Inputs_NT INM'!AE142</f>
        <v>0.8</v>
      </c>
      <c r="Y184" s="67">
        <f>'Inputs_NT INM'!AF142</f>
        <v>0.8</v>
      </c>
      <c r="Z184" s="67">
        <f>'Inputs_NT INM'!AG142</f>
        <v>0.8</v>
      </c>
      <c r="AA184" s="67">
        <f>'Inputs_NT INM'!AH142</f>
        <v>0.8</v>
      </c>
      <c r="AB184" s="67">
        <f>'Inputs_NT INM'!AI142</f>
        <v>0.8</v>
      </c>
      <c r="AC184" s="67">
        <f>'Inputs_NT INM'!AJ142</f>
        <v>0.8</v>
      </c>
      <c r="AD184" s="67">
        <f>'Inputs_NT INM'!AK142</f>
        <v>0.8</v>
      </c>
      <c r="AE184" s="67">
        <f>'Inputs_NT INM'!AL142</f>
        <v>0.8</v>
      </c>
      <c r="AF184" s="67">
        <f>'Inputs_NT INM'!AM142</f>
        <v>0.8</v>
      </c>
      <c r="AG184" s="67">
        <f>'Inputs_NT INM'!AN142</f>
        <v>0.8</v>
      </c>
      <c r="AH184" s="67"/>
      <c r="AI184" s="67"/>
      <c r="AJ184" s="67"/>
    </row>
    <row r="185" spans="1:38" x14ac:dyDescent="0.25">
      <c r="A185" s="9" t="str">
        <f>IF(COUNTIF(A$20:A$60,'Inputs_NT INM'!A143)=0,"*",'Inputs_NT INM'!A143)</f>
        <v>I-NM-LTH_GAS01</v>
      </c>
      <c r="B185" s="9" t="s">
        <v>958</v>
      </c>
      <c r="C185" s="9" t="s">
        <v>304</v>
      </c>
      <c r="D185" s="9">
        <f>'Inputs_NT INM'!H143</f>
        <v>2020</v>
      </c>
      <c r="E185" s="9" t="s">
        <v>460</v>
      </c>
      <c r="F185" s="67">
        <f>'Inputs_NT INM'!M143</f>
        <v>0.6</v>
      </c>
      <c r="G185" s="67">
        <f>'Inputs_NT INM'!N143</f>
        <v>0.6</v>
      </c>
      <c r="H185" s="67">
        <f>'Inputs_NT INM'!O143</f>
        <v>0.6</v>
      </c>
      <c r="I185" s="67">
        <f>'Inputs_NT INM'!P143</f>
        <v>0.6</v>
      </c>
      <c r="J185" s="67">
        <f>'Inputs_NT INM'!Q143</f>
        <v>0.6</v>
      </c>
      <c r="K185" s="67">
        <f>'Inputs_NT INM'!R143</f>
        <v>0.6</v>
      </c>
      <c r="L185" s="67">
        <f>'Inputs_NT INM'!S143</f>
        <v>0.6</v>
      </c>
      <c r="M185" s="67">
        <f>'Inputs_NT INM'!T143</f>
        <v>0.6</v>
      </c>
      <c r="N185" s="67">
        <f>'Inputs_NT INM'!U143</f>
        <v>0.6</v>
      </c>
      <c r="O185" s="67">
        <f>'Inputs_NT INM'!V143</f>
        <v>0.6</v>
      </c>
      <c r="P185" s="67">
        <f>'Inputs_NT INM'!W143</f>
        <v>0.6</v>
      </c>
      <c r="Q185" s="67">
        <f>'Inputs_NT INM'!X143</f>
        <v>0.6</v>
      </c>
      <c r="R185" s="67">
        <f>'Inputs_NT INM'!Y143</f>
        <v>0.6</v>
      </c>
      <c r="S185" s="67">
        <f>'Inputs_NT INM'!Z143</f>
        <v>0.6</v>
      </c>
      <c r="T185" s="67">
        <f>'Inputs_NT INM'!AA143</f>
        <v>0.6</v>
      </c>
      <c r="U185" s="67">
        <f>'Inputs_NT INM'!AB143</f>
        <v>0.6</v>
      </c>
      <c r="V185" s="67">
        <f>'Inputs_NT INM'!AC143</f>
        <v>0.6</v>
      </c>
      <c r="W185" s="67">
        <f>'Inputs_NT INM'!AD143</f>
        <v>0.6</v>
      </c>
      <c r="X185" s="67">
        <f>'Inputs_NT INM'!AE143</f>
        <v>0.6</v>
      </c>
      <c r="Y185" s="67">
        <f>'Inputs_NT INM'!AF143</f>
        <v>0.6</v>
      </c>
      <c r="Z185" s="67">
        <f>'Inputs_NT INM'!AG143</f>
        <v>0.6</v>
      </c>
      <c r="AA185" s="67">
        <f>'Inputs_NT INM'!AH143</f>
        <v>0.6</v>
      </c>
      <c r="AB185" s="67">
        <f>'Inputs_NT INM'!AI143</f>
        <v>0.6</v>
      </c>
      <c r="AC185" s="67">
        <f>'Inputs_NT INM'!AJ143</f>
        <v>0.6</v>
      </c>
      <c r="AD185" s="67">
        <f>'Inputs_NT INM'!AK143</f>
        <v>0.6</v>
      </c>
      <c r="AE185" s="67">
        <f>'Inputs_NT INM'!AL143</f>
        <v>0.6</v>
      </c>
      <c r="AF185" s="67">
        <f>'Inputs_NT INM'!AM143</f>
        <v>0.6</v>
      </c>
      <c r="AG185" s="67">
        <f>'Inputs_NT INM'!AN143</f>
        <v>0.6</v>
      </c>
      <c r="AH185" s="67"/>
      <c r="AI185" s="67"/>
      <c r="AJ185" s="67"/>
    </row>
    <row r="186" spans="1:38" x14ac:dyDescent="0.25">
      <c r="A186" s="9" t="str">
        <f>IF(COUNTIF(A$20:A$60,'Inputs_NT INM'!A144)=0,"*",'Inputs_NT INM'!A144)</f>
        <v>I-NM-LTH_HET01</v>
      </c>
      <c r="B186" s="9" t="s">
        <v>959</v>
      </c>
      <c r="C186" s="9" t="s">
        <v>304</v>
      </c>
      <c r="D186" s="9">
        <f>'Inputs_NT INM'!H144</f>
        <v>2020</v>
      </c>
      <c r="E186" s="9" t="s">
        <v>460</v>
      </c>
      <c r="F186" s="67">
        <f>'Inputs_NT INM'!M144</f>
        <v>1</v>
      </c>
      <c r="G186" s="67">
        <f>'Inputs_NT INM'!N144</f>
        <v>1</v>
      </c>
      <c r="H186" s="67">
        <f>'Inputs_NT INM'!O144</f>
        <v>1</v>
      </c>
      <c r="I186" s="67">
        <f>'Inputs_NT INM'!P144</f>
        <v>1</v>
      </c>
      <c r="J186" s="67">
        <f>'Inputs_NT INM'!Q144</f>
        <v>1</v>
      </c>
      <c r="K186" s="67">
        <f>'Inputs_NT INM'!R144</f>
        <v>1</v>
      </c>
      <c r="L186" s="67">
        <f>'Inputs_NT INM'!S144</f>
        <v>1</v>
      </c>
      <c r="M186" s="67">
        <f>'Inputs_NT INM'!T144</f>
        <v>1</v>
      </c>
      <c r="N186" s="67">
        <f>'Inputs_NT INM'!U144</f>
        <v>1</v>
      </c>
      <c r="O186" s="67">
        <f>'Inputs_NT INM'!V144</f>
        <v>1</v>
      </c>
      <c r="P186" s="67">
        <f>'Inputs_NT INM'!W144</f>
        <v>1</v>
      </c>
      <c r="Q186" s="67">
        <f>'Inputs_NT INM'!X144</f>
        <v>1</v>
      </c>
      <c r="R186" s="67">
        <f>'Inputs_NT INM'!Y144</f>
        <v>1</v>
      </c>
      <c r="S186" s="67">
        <f>'Inputs_NT INM'!Z144</f>
        <v>1</v>
      </c>
      <c r="T186" s="67">
        <f>'Inputs_NT INM'!AA144</f>
        <v>1</v>
      </c>
      <c r="U186" s="67">
        <f>'Inputs_NT INM'!AB144</f>
        <v>1</v>
      </c>
      <c r="V186" s="67">
        <f>'Inputs_NT INM'!AC144</f>
        <v>1</v>
      </c>
      <c r="W186" s="67">
        <f>'Inputs_NT INM'!AD144</f>
        <v>1</v>
      </c>
      <c r="X186" s="67">
        <f>'Inputs_NT INM'!AE144</f>
        <v>1</v>
      </c>
      <c r="Y186" s="67">
        <f>'Inputs_NT INM'!AF144</f>
        <v>1</v>
      </c>
      <c r="Z186" s="67">
        <f>'Inputs_NT INM'!AG144</f>
        <v>1</v>
      </c>
      <c r="AA186" s="67">
        <f>'Inputs_NT INM'!AH144</f>
        <v>1</v>
      </c>
      <c r="AB186" s="67">
        <f>'Inputs_NT INM'!AI144</f>
        <v>1</v>
      </c>
      <c r="AC186" s="67">
        <f>'Inputs_NT INM'!AJ144</f>
        <v>1</v>
      </c>
      <c r="AD186" s="67">
        <f>'Inputs_NT INM'!AK144</f>
        <v>1</v>
      </c>
      <c r="AE186" s="67">
        <f>'Inputs_NT INM'!AL144</f>
        <v>1</v>
      </c>
      <c r="AF186" s="67">
        <f>'Inputs_NT INM'!AM144</f>
        <v>1</v>
      </c>
      <c r="AG186" s="67">
        <f>'Inputs_NT INM'!AN144</f>
        <v>1</v>
      </c>
      <c r="AH186" s="67"/>
      <c r="AI186" s="67"/>
      <c r="AJ186" s="67"/>
    </row>
    <row r="187" spans="1:38" x14ac:dyDescent="0.25">
      <c r="A187" s="9" t="str">
        <f>IF(COUNTIF(A$20:A$60,'Inputs_NT INM'!A145)=0,"*",'Inputs_NT INM'!A145)</f>
        <v>I-NM-LTH_OIL01</v>
      </c>
      <c r="B187" s="9" t="s">
        <v>960</v>
      </c>
      <c r="C187" s="9" t="s">
        <v>304</v>
      </c>
      <c r="D187" s="9">
        <f>'Inputs_NT INM'!H145</f>
        <v>2020</v>
      </c>
      <c r="E187" s="9" t="s">
        <v>460</v>
      </c>
      <c r="F187" s="67">
        <f>'Inputs_NT INM'!M145</f>
        <v>0.4</v>
      </c>
      <c r="G187" s="67">
        <f>'Inputs_NT INM'!N145</f>
        <v>0.4</v>
      </c>
      <c r="H187" s="67">
        <f>'Inputs_NT INM'!O145</f>
        <v>0.4</v>
      </c>
      <c r="I187" s="67">
        <f>'Inputs_NT INM'!P145</f>
        <v>0.4</v>
      </c>
      <c r="J187" s="67">
        <f>'Inputs_NT INM'!Q145</f>
        <v>0.4</v>
      </c>
      <c r="K187" s="67">
        <f>'Inputs_NT INM'!R145</f>
        <v>0.4</v>
      </c>
      <c r="L187" s="67">
        <f>'Inputs_NT INM'!S145</f>
        <v>0.4</v>
      </c>
      <c r="M187" s="67">
        <f>'Inputs_NT INM'!T145</f>
        <v>0.4</v>
      </c>
      <c r="N187" s="67">
        <f>'Inputs_NT INM'!U145</f>
        <v>0.4</v>
      </c>
      <c r="O187" s="67">
        <f>'Inputs_NT INM'!V145</f>
        <v>0.4</v>
      </c>
      <c r="P187" s="67">
        <f>'Inputs_NT INM'!W145</f>
        <v>0.4</v>
      </c>
      <c r="Q187" s="67">
        <f>'Inputs_NT INM'!X145</f>
        <v>0.4</v>
      </c>
      <c r="R187" s="67">
        <f>'Inputs_NT INM'!Y145</f>
        <v>0.4</v>
      </c>
      <c r="S187" s="67">
        <f>'Inputs_NT INM'!Z145</f>
        <v>0.4</v>
      </c>
      <c r="T187" s="67">
        <f>'Inputs_NT INM'!AA145</f>
        <v>0.4</v>
      </c>
      <c r="U187" s="67">
        <f>'Inputs_NT INM'!AB145</f>
        <v>0.4</v>
      </c>
      <c r="V187" s="67">
        <f>'Inputs_NT INM'!AC145</f>
        <v>0.4</v>
      </c>
      <c r="W187" s="67">
        <f>'Inputs_NT INM'!AD145</f>
        <v>0.4</v>
      </c>
      <c r="X187" s="67">
        <f>'Inputs_NT INM'!AE145</f>
        <v>0.4</v>
      </c>
      <c r="Y187" s="67">
        <f>'Inputs_NT INM'!AF145</f>
        <v>0.4</v>
      </c>
      <c r="Z187" s="67">
        <f>'Inputs_NT INM'!AG145</f>
        <v>0.4</v>
      </c>
      <c r="AA187" s="67">
        <f>'Inputs_NT INM'!AH145</f>
        <v>0.4</v>
      </c>
      <c r="AB187" s="67">
        <f>'Inputs_NT INM'!AI145</f>
        <v>0.4</v>
      </c>
      <c r="AC187" s="67">
        <f>'Inputs_NT INM'!AJ145</f>
        <v>0.4</v>
      </c>
      <c r="AD187" s="67">
        <f>'Inputs_NT INM'!AK145</f>
        <v>0.4</v>
      </c>
      <c r="AE187" s="67">
        <f>'Inputs_NT INM'!AL145</f>
        <v>0.4</v>
      </c>
      <c r="AF187" s="67">
        <f>'Inputs_NT INM'!AM145</f>
        <v>0.4</v>
      </c>
      <c r="AG187" s="67">
        <f>'Inputs_NT INM'!AN145</f>
        <v>0.4</v>
      </c>
      <c r="AH187" s="67"/>
      <c r="AI187" s="67"/>
      <c r="AJ187" s="67"/>
    </row>
    <row r="188" spans="1:38" x14ac:dyDescent="0.25">
      <c r="A188" s="9" t="str">
        <f>IF(COUNTIF(A$20:A$60,'Inputs_NT INM'!A146)=0,"*",'Inputs_NT INM'!A146)</f>
        <v>I-NM-LTH_COA01</v>
      </c>
      <c r="B188" s="9" t="s">
        <v>961</v>
      </c>
      <c r="C188" s="9" t="s">
        <v>304</v>
      </c>
      <c r="D188" s="9">
        <f>'Inputs_NT INM'!H146</f>
        <v>2020</v>
      </c>
      <c r="E188" s="9" t="s">
        <v>460</v>
      </c>
      <c r="F188" s="67">
        <f>'Inputs_NT INM'!M146</f>
        <v>0.4</v>
      </c>
      <c r="G188" s="67">
        <f>'Inputs_NT INM'!N146</f>
        <v>0.4</v>
      </c>
      <c r="H188" s="67">
        <f>'Inputs_NT INM'!O146</f>
        <v>0.4</v>
      </c>
      <c r="I188" s="67">
        <f>'Inputs_NT INM'!P146</f>
        <v>0.4</v>
      </c>
      <c r="J188" s="67">
        <f>'Inputs_NT INM'!Q146</f>
        <v>0.4</v>
      </c>
      <c r="K188" s="67">
        <f>'Inputs_NT INM'!R146</f>
        <v>0.4</v>
      </c>
      <c r="L188" s="67">
        <f>'Inputs_NT INM'!S146</f>
        <v>0.4</v>
      </c>
      <c r="M188" s="67">
        <f>'Inputs_NT INM'!T146</f>
        <v>0.4</v>
      </c>
      <c r="N188" s="67">
        <f>'Inputs_NT INM'!U146</f>
        <v>0.4</v>
      </c>
      <c r="O188" s="67">
        <f>'Inputs_NT INM'!V146</f>
        <v>0.4</v>
      </c>
      <c r="P188" s="67">
        <f>'Inputs_NT INM'!W146</f>
        <v>0.4</v>
      </c>
      <c r="Q188" s="67">
        <f>'Inputs_NT INM'!X146</f>
        <v>0.4</v>
      </c>
      <c r="R188" s="67">
        <f>'Inputs_NT INM'!Y146</f>
        <v>0.4</v>
      </c>
      <c r="S188" s="67">
        <f>'Inputs_NT INM'!Z146</f>
        <v>0.4</v>
      </c>
      <c r="T188" s="67">
        <f>'Inputs_NT INM'!AA146</f>
        <v>0.4</v>
      </c>
      <c r="U188" s="67">
        <f>'Inputs_NT INM'!AB146</f>
        <v>0.4</v>
      </c>
      <c r="V188" s="67">
        <f>'Inputs_NT INM'!AC146</f>
        <v>0.4</v>
      </c>
      <c r="W188" s="67">
        <f>'Inputs_NT INM'!AD146</f>
        <v>0.4</v>
      </c>
      <c r="X188" s="67">
        <f>'Inputs_NT INM'!AE146</f>
        <v>0.4</v>
      </c>
      <c r="Y188" s="67">
        <f>'Inputs_NT INM'!AF146</f>
        <v>0.4</v>
      </c>
      <c r="Z188" s="67">
        <f>'Inputs_NT INM'!AG146</f>
        <v>0.4</v>
      </c>
      <c r="AA188" s="67">
        <f>'Inputs_NT INM'!AH146</f>
        <v>0.4</v>
      </c>
      <c r="AB188" s="67">
        <f>'Inputs_NT INM'!AI146</f>
        <v>0.4</v>
      </c>
      <c r="AC188" s="67">
        <f>'Inputs_NT INM'!AJ146</f>
        <v>0.4</v>
      </c>
      <c r="AD188" s="67">
        <f>'Inputs_NT INM'!AK146</f>
        <v>0.4</v>
      </c>
      <c r="AE188" s="67">
        <f>'Inputs_NT INM'!AL146</f>
        <v>0.4</v>
      </c>
      <c r="AF188" s="67">
        <f>'Inputs_NT INM'!AM146</f>
        <v>0.4</v>
      </c>
      <c r="AG188" s="67">
        <f>'Inputs_NT INM'!AN146</f>
        <v>0.4</v>
      </c>
      <c r="AH188" s="67"/>
      <c r="AI188" s="67"/>
      <c r="AJ188" s="67"/>
    </row>
    <row r="189" spans="1:38" x14ac:dyDescent="0.25">
      <c r="A189" s="9" t="str">
        <f>IF(COUNTIF(A$20:A$60,'Inputs_NT INM'!A147)=0,"*",'Inputs_NT INM'!A147)</f>
        <v>I-NM-LTH_BIO01</v>
      </c>
      <c r="B189" s="9" t="s">
        <v>962</v>
      </c>
      <c r="C189" s="9" t="s">
        <v>304</v>
      </c>
      <c r="D189" s="9">
        <f>'Inputs_NT INM'!H147</f>
        <v>2020</v>
      </c>
      <c r="E189" s="9" t="s">
        <v>460</v>
      </c>
      <c r="F189" s="67">
        <f>'Inputs_NT INM'!M147</f>
        <v>0.4</v>
      </c>
      <c r="G189" s="67">
        <f>'Inputs_NT INM'!N147</f>
        <v>0.4</v>
      </c>
      <c r="H189" s="67">
        <f>'Inputs_NT INM'!O147</f>
        <v>0.4</v>
      </c>
      <c r="I189" s="67">
        <f>'Inputs_NT INM'!P147</f>
        <v>0.4</v>
      </c>
      <c r="J189" s="67">
        <f>'Inputs_NT INM'!Q147</f>
        <v>0.4</v>
      </c>
      <c r="K189" s="67">
        <f>'Inputs_NT INM'!R147</f>
        <v>0.4</v>
      </c>
      <c r="L189" s="67">
        <f>'Inputs_NT INM'!S147</f>
        <v>0.4</v>
      </c>
      <c r="M189" s="67">
        <f>'Inputs_NT INM'!T147</f>
        <v>0.4</v>
      </c>
      <c r="N189" s="67">
        <f>'Inputs_NT INM'!U147</f>
        <v>0.4</v>
      </c>
      <c r="O189" s="67">
        <f>'Inputs_NT INM'!V147</f>
        <v>0.4</v>
      </c>
      <c r="P189" s="67">
        <f>'Inputs_NT INM'!W147</f>
        <v>0.4</v>
      </c>
      <c r="Q189" s="67">
        <f>'Inputs_NT INM'!X147</f>
        <v>0.4</v>
      </c>
      <c r="R189" s="67">
        <f>'Inputs_NT INM'!Y147</f>
        <v>0.4</v>
      </c>
      <c r="S189" s="67">
        <f>'Inputs_NT INM'!Z147</f>
        <v>0.4</v>
      </c>
      <c r="T189" s="67">
        <f>'Inputs_NT INM'!AA147</f>
        <v>0.4</v>
      </c>
      <c r="U189" s="67">
        <f>'Inputs_NT INM'!AB147</f>
        <v>0.4</v>
      </c>
      <c r="V189" s="67">
        <f>'Inputs_NT INM'!AC147</f>
        <v>0.4</v>
      </c>
      <c r="W189" s="67">
        <f>'Inputs_NT INM'!AD147</f>
        <v>0.4</v>
      </c>
      <c r="X189" s="67">
        <f>'Inputs_NT INM'!AE147</f>
        <v>0.4</v>
      </c>
      <c r="Y189" s="67">
        <f>'Inputs_NT INM'!AF147</f>
        <v>0.4</v>
      </c>
      <c r="Z189" s="67">
        <f>'Inputs_NT INM'!AG147</f>
        <v>0.4</v>
      </c>
      <c r="AA189" s="67">
        <f>'Inputs_NT INM'!AH147</f>
        <v>0.4</v>
      </c>
      <c r="AB189" s="67">
        <f>'Inputs_NT INM'!AI147</f>
        <v>0.4</v>
      </c>
      <c r="AC189" s="67">
        <f>'Inputs_NT INM'!AJ147</f>
        <v>0.4</v>
      </c>
      <c r="AD189" s="67">
        <f>'Inputs_NT INM'!AK147</f>
        <v>0.4</v>
      </c>
      <c r="AE189" s="67">
        <f>'Inputs_NT INM'!AL147</f>
        <v>0.4</v>
      </c>
      <c r="AF189" s="67">
        <f>'Inputs_NT INM'!AM147</f>
        <v>0.4</v>
      </c>
      <c r="AG189" s="67">
        <f>'Inputs_NT INM'!AN147</f>
        <v>0.4</v>
      </c>
      <c r="AH189" s="67"/>
      <c r="AI189" s="67"/>
      <c r="AJ189" s="67"/>
    </row>
    <row r="190" spans="1:38" x14ac:dyDescent="0.25">
      <c r="A190" s="9" t="str">
        <f>IF(COUNTIF(A$20:A$60,'Inputs_NT INM'!A148)=0,"*",'Inputs_NT INM'!A148)</f>
        <v>I-NM-LTH_ELC02</v>
      </c>
      <c r="B190" s="9" t="s">
        <v>963</v>
      </c>
      <c r="C190" s="9" t="s">
        <v>304</v>
      </c>
      <c r="D190" s="9">
        <f>'Inputs_NT INM'!H148</f>
        <v>2025</v>
      </c>
      <c r="E190" s="9" t="s">
        <v>460</v>
      </c>
      <c r="F190" s="67">
        <f>'Inputs_NT INM'!M148</f>
        <v>0.8</v>
      </c>
      <c r="G190" s="67">
        <f>'Inputs_NT INM'!N148</f>
        <v>0.8</v>
      </c>
      <c r="H190" s="67">
        <f>'Inputs_NT INM'!O148</f>
        <v>0.8</v>
      </c>
      <c r="I190" s="67">
        <f>'Inputs_NT INM'!P148</f>
        <v>0.8</v>
      </c>
      <c r="J190" s="67">
        <f>'Inputs_NT INM'!Q148</f>
        <v>0.8</v>
      </c>
      <c r="K190" s="67">
        <f>'Inputs_NT INM'!R148</f>
        <v>0.8</v>
      </c>
      <c r="L190" s="67">
        <f>'Inputs_NT INM'!S148</f>
        <v>0.8</v>
      </c>
      <c r="M190" s="67">
        <f>'Inputs_NT INM'!T148</f>
        <v>0.8</v>
      </c>
      <c r="N190" s="67">
        <f>'Inputs_NT INM'!U148</f>
        <v>0.8</v>
      </c>
      <c r="O190" s="67">
        <f>'Inputs_NT INM'!V148</f>
        <v>0.8</v>
      </c>
      <c r="P190" s="67">
        <f>'Inputs_NT INM'!W148</f>
        <v>0.8</v>
      </c>
      <c r="Q190" s="67">
        <f>'Inputs_NT INM'!X148</f>
        <v>0.8</v>
      </c>
      <c r="R190" s="67">
        <f>'Inputs_NT INM'!Y148</f>
        <v>0.8</v>
      </c>
      <c r="S190" s="67">
        <f>'Inputs_NT INM'!Z148</f>
        <v>0.8</v>
      </c>
      <c r="T190" s="67">
        <f>'Inputs_NT INM'!AA148</f>
        <v>0.8</v>
      </c>
      <c r="U190" s="67">
        <f>'Inputs_NT INM'!AB148</f>
        <v>0.8</v>
      </c>
      <c r="V190" s="67">
        <f>'Inputs_NT INM'!AC148</f>
        <v>0.8</v>
      </c>
      <c r="W190" s="67">
        <f>'Inputs_NT INM'!AD148</f>
        <v>0.8</v>
      </c>
      <c r="X190" s="67">
        <f>'Inputs_NT INM'!AE148</f>
        <v>0.8</v>
      </c>
      <c r="Y190" s="67">
        <f>'Inputs_NT INM'!AF148</f>
        <v>0.8</v>
      </c>
      <c r="Z190" s="67">
        <f>'Inputs_NT INM'!AG148</f>
        <v>0.8</v>
      </c>
      <c r="AA190" s="67">
        <f>'Inputs_NT INM'!AH148</f>
        <v>0.8</v>
      </c>
      <c r="AB190" s="67">
        <f>'Inputs_NT INM'!AI148</f>
        <v>0.8</v>
      </c>
      <c r="AC190" s="67">
        <f>'Inputs_NT INM'!AJ148</f>
        <v>0.8</v>
      </c>
      <c r="AD190" s="67">
        <f>'Inputs_NT INM'!AK148</f>
        <v>0.8</v>
      </c>
      <c r="AE190" s="67">
        <f>'Inputs_NT INM'!AL148</f>
        <v>0.8</v>
      </c>
      <c r="AF190" s="67">
        <f>'Inputs_NT INM'!AM148</f>
        <v>0.8</v>
      </c>
      <c r="AG190" s="67">
        <f>'Inputs_NT INM'!AN148</f>
        <v>0.8</v>
      </c>
      <c r="AH190" s="67"/>
      <c r="AI190" s="67"/>
      <c r="AJ190" s="67"/>
    </row>
    <row r="191" spans="1:38" x14ac:dyDescent="0.25">
      <c r="A191" s="9" t="str">
        <f>IF(COUNTIF(A$20:A$60,'Inputs_NT INM'!A149)=0,"*",'Inputs_NT INM'!A149)</f>
        <v>I-NM-LTH_GAS02</v>
      </c>
      <c r="B191" s="9" t="s">
        <v>964</v>
      </c>
      <c r="C191" s="9" t="s">
        <v>304</v>
      </c>
      <c r="D191" s="9">
        <f>'Inputs_NT INM'!H149</f>
        <v>2025</v>
      </c>
      <c r="E191" s="9" t="s">
        <v>460</v>
      </c>
      <c r="F191" s="67">
        <f>'Inputs_NT INM'!M149</f>
        <v>0.6</v>
      </c>
      <c r="G191" s="67">
        <f>'Inputs_NT INM'!N149</f>
        <v>0.6</v>
      </c>
      <c r="H191" s="67">
        <f>'Inputs_NT INM'!O149</f>
        <v>0.6</v>
      </c>
      <c r="I191" s="67">
        <f>'Inputs_NT INM'!P149</f>
        <v>0.6</v>
      </c>
      <c r="J191" s="67">
        <f>'Inputs_NT INM'!Q149</f>
        <v>0.6</v>
      </c>
      <c r="K191" s="67">
        <f>'Inputs_NT INM'!R149</f>
        <v>0.6</v>
      </c>
      <c r="L191" s="67">
        <f>'Inputs_NT INM'!S149</f>
        <v>0.6</v>
      </c>
      <c r="M191" s="67">
        <f>'Inputs_NT INM'!T149</f>
        <v>0.6</v>
      </c>
      <c r="N191" s="67">
        <f>'Inputs_NT INM'!U149</f>
        <v>0.6</v>
      </c>
      <c r="O191" s="67">
        <f>'Inputs_NT INM'!V149</f>
        <v>0.6</v>
      </c>
      <c r="P191" s="67">
        <f>'Inputs_NT INM'!W149</f>
        <v>0.6</v>
      </c>
      <c r="Q191" s="67">
        <f>'Inputs_NT INM'!X149</f>
        <v>0.6</v>
      </c>
      <c r="R191" s="67">
        <f>'Inputs_NT INM'!Y149</f>
        <v>0.6</v>
      </c>
      <c r="S191" s="67">
        <f>'Inputs_NT INM'!Z149</f>
        <v>0.6</v>
      </c>
      <c r="T191" s="67">
        <f>'Inputs_NT INM'!AA149</f>
        <v>0.6</v>
      </c>
      <c r="U191" s="67">
        <f>'Inputs_NT INM'!AB149</f>
        <v>0.6</v>
      </c>
      <c r="V191" s="67">
        <f>'Inputs_NT INM'!AC149</f>
        <v>0.6</v>
      </c>
      <c r="W191" s="67">
        <f>'Inputs_NT INM'!AD149</f>
        <v>0.6</v>
      </c>
      <c r="X191" s="67">
        <f>'Inputs_NT INM'!AE149</f>
        <v>0.6</v>
      </c>
      <c r="Y191" s="67">
        <f>'Inputs_NT INM'!AF149</f>
        <v>0.6</v>
      </c>
      <c r="Z191" s="67">
        <f>'Inputs_NT INM'!AG149</f>
        <v>0.6</v>
      </c>
      <c r="AA191" s="67">
        <f>'Inputs_NT INM'!AH149</f>
        <v>0.6</v>
      </c>
      <c r="AB191" s="67">
        <f>'Inputs_NT INM'!AI149</f>
        <v>0.6</v>
      </c>
      <c r="AC191" s="67">
        <f>'Inputs_NT INM'!AJ149</f>
        <v>0.6</v>
      </c>
      <c r="AD191" s="67">
        <f>'Inputs_NT INM'!AK149</f>
        <v>0.6</v>
      </c>
      <c r="AE191" s="67">
        <f>'Inputs_NT INM'!AL149</f>
        <v>0.6</v>
      </c>
      <c r="AF191" s="67">
        <f>'Inputs_NT INM'!AM149</f>
        <v>0.6</v>
      </c>
      <c r="AG191" s="67">
        <f>'Inputs_NT INM'!AN149</f>
        <v>0.6</v>
      </c>
      <c r="AH191" s="67"/>
      <c r="AI191" s="67"/>
      <c r="AJ191" s="67"/>
    </row>
    <row r="192" spans="1:38" x14ac:dyDescent="0.25">
      <c r="A192" s="9" t="str">
        <f>IF(COUNTIF(A$20:A$60,'Inputs_NT INM'!A150)=0,"*",'Inputs_NT INM'!A150)</f>
        <v>I-NM-LTH_HET02</v>
      </c>
      <c r="B192" s="9" t="s">
        <v>965</v>
      </c>
      <c r="C192" s="9" t="s">
        <v>304</v>
      </c>
      <c r="D192" s="9">
        <f>'Inputs_NT INM'!H150</f>
        <v>2025</v>
      </c>
      <c r="E192" s="9" t="s">
        <v>460</v>
      </c>
      <c r="F192" s="67">
        <f>'Inputs_NT INM'!M150</f>
        <v>1</v>
      </c>
      <c r="G192" s="67">
        <f>'Inputs_NT INM'!N150</f>
        <v>1</v>
      </c>
      <c r="H192" s="67">
        <f>'Inputs_NT INM'!O150</f>
        <v>1</v>
      </c>
      <c r="I192" s="67">
        <f>'Inputs_NT INM'!P150</f>
        <v>1</v>
      </c>
      <c r="J192" s="67">
        <f>'Inputs_NT INM'!Q150</f>
        <v>1</v>
      </c>
      <c r="K192" s="67">
        <f>'Inputs_NT INM'!R150</f>
        <v>1</v>
      </c>
      <c r="L192" s="67">
        <f>'Inputs_NT INM'!S150</f>
        <v>1</v>
      </c>
      <c r="M192" s="67">
        <f>'Inputs_NT INM'!T150</f>
        <v>1</v>
      </c>
      <c r="N192" s="67">
        <f>'Inputs_NT INM'!U150</f>
        <v>1</v>
      </c>
      <c r="O192" s="67">
        <f>'Inputs_NT INM'!V150</f>
        <v>1</v>
      </c>
      <c r="P192" s="67">
        <f>'Inputs_NT INM'!W150</f>
        <v>1</v>
      </c>
      <c r="Q192" s="67">
        <f>'Inputs_NT INM'!X150</f>
        <v>1</v>
      </c>
      <c r="R192" s="67">
        <f>'Inputs_NT INM'!Y150</f>
        <v>1</v>
      </c>
      <c r="S192" s="67">
        <f>'Inputs_NT INM'!Z150</f>
        <v>1</v>
      </c>
      <c r="T192" s="67">
        <f>'Inputs_NT INM'!AA150</f>
        <v>1</v>
      </c>
      <c r="U192" s="67">
        <f>'Inputs_NT INM'!AB150</f>
        <v>1</v>
      </c>
      <c r="V192" s="67">
        <f>'Inputs_NT INM'!AC150</f>
        <v>1</v>
      </c>
      <c r="W192" s="67">
        <f>'Inputs_NT INM'!AD150</f>
        <v>1</v>
      </c>
      <c r="X192" s="67">
        <f>'Inputs_NT INM'!AE150</f>
        <v>1</v>
      </c>
      <c r="Y192" s="67">
        <f>'Inputs_NT INM'!AF150</f>
        <v>1</v>
      </c>
      <c r="Z192" s="67">
        <f>'Inputs_NT INM'!AG150</f>
        <v>1</v>
      </c>
      <c r="AA192" s="67">
        <f>'Inputs_NT INM'!AH150</f>
        <v>1</v>
      </c>
      <c r="AB192" s="67">
        <f>'Inputs_NT INM'!AI150</f>
        <v>1</v>
      </c>
      <c r="AC192" s="67">
        <f>'Inputs_NT INM'!AJ150</f>
        <v>1</v>
      </c>
      <c r="AD192" s="67">
        <f>'Inputs_NT INM'!AK150</f>
        <v>1</v>
      </c>
      <c r="AE192" s="67">
        <f>'Inputs_NT INM'!AL150</f>
        <v>1</v>
      </c>
      <c r="AF192" s="67">
        <f>'Inputs_NT INM'!AM150</f>
        <v>1</v>
      </c>
      <c r="AG192" s="67">
        <f>'Inputs_NT INM'!AN150</f>
        <v>1</v>
      </c>
      <c r="AH192" s="67"/>
      <c r="AI192" s="67"/>
      <c r="AJ192" s="67"/>
    </row>
    <row r="193" spans="1:36" x14ac:dyDescent="0.25">
      <c r="A193" s="9" t="str">
        <f>IF(COUNTIF(A$20:A$60,'Inputs_NT INM'!A151)=0,"*",'Inputs_NT INM'!A151)</f>
        <v>I-NM-LTH_OIL02</v>
      </c>
      <c r="B193" s="9" t="s">
        <v>966</v>
      </c>
      <c r="C193" s="9" t="s">
        <v>304</v>
      </c>
      <c r="D193" s="9">
        <f>'Inputs_NT INM'!H151</f>
        <v>2025</v>
      </c>
      <c r="E193" s="9" t="s">
        <v>460</v>
      </c>
      <c r="F193" s="67">
        <f>'Inputs_NT INM'!M151</f>
        <v>0.4</v>
      </c>
      <c r="G193" s="67">
        <f>'Inputs_NT INM'!N151</f>
        <v>0.4</v>
      </c>
      <c r="H193" s="67">
        <f>'Inputs_NT INM'!O151</f>
        <v>0.4</v>
      </c>
      <c r="I193" s="67">
        <f>'Inputs_NT INM'!P151</f>
        <v>0.4</v>
      </c>
      <c r="J193" s="67">
        <f>'Inputs_NT INM'!Q151</f>
        <v>0.4</v>
      </c>
      <c r="K193" s="67">
        <f>'Inputs_NT INM'!R151</f>
        <v>0.4</v>
      </c>
      <c r="L193" s="67">
        <f>'Inputs_NT INM'!S151</f>
        <v>0.4</v>
      </c>
      <c r="M193" s="67">
        <f>'Inputs_NT INM'!T151</f>
        <v>0.4</v>
      </c>
      <c r="N193" s="67">
        <f>'Inputs_NT INM'!U151</f>
        <v>0.4</v>
      </c>
      <c r="O193" s="67">
        <f>'Inputs_NT INM'!V151</f>
        <v>0.4</v>
      </c>
      <c r="P193" s="67">
        <f>'Inputs_NT INM'!W151</f>
        <v>0.4</v>
      </c>
      <c r="Q193" s="67">
        <f>'Inputs_NT INM'!X151</f>
        <v>0.4</v>
      </c>
      <c r="R193" s="67">
        <f>'Inputs_NT INM'!Y151</f>
        <v>0.4</v>
      </c>
      <c r="S193" s="67">
        <f>'Inputs_NT INM'!Z151</f>
        <v>0.4</v>
      </c>
      <c r="T193" s="67">
        <f>'Inputs_NT INM'!AA151</f>
        <v>0.4</v>
      </c>
      <c r="U193" s="67">
        <f>'Inputs_NT INM'!AB151</f>
        <v>0.4</v>
      </c>
      <c r="V193" s="67">
        <f>'Inputs_NT INM'!AC151</f>
        <v>0.4</v>
      </c>
      <c r="W193" s="67">
        <f>'Inputs_NT INM'!AD151</f>
        <v>0.4</v>
      </c>
      <c r="X193" s="67">
        <f>'Inputs_NT INM'!AE151</f>
        <v>0.4</v>
      </c>
      <c r="Y193" s="67">
        <f>'Inputs_NT INM'!AF151</f>
        <v>0.4</v>
      </c>
      <c r="Z193" s="67">
        <f>'Inputs_NT INM'!AG151</f>
        <v>0.4</v>
      </c>
      <c r="AA193" s="67">
        <f>'Inputs_NT INM'!AH151</f>
        <v>0.4</v>
      </c>
      <c r="AB193" s="67">
        <f>'Inputs_NT INM'!AI151</f>
        <v>0.4</v>
      </c>
      <c r="AC193" s="67">
        <f>'Inputs_NT INM'!AJ151</f>
        <v>0.4</v>
      </c>
      <c r="AD193" s="67">
        <f>'Inputs_NT INM'!AK151</f>
        <v>0.4</v>
      </c>
      <c r="AE193" s="67">
        <f>'Inputs_NT INM'!AL151</f>
        <v>0.4</v>
      </c>
      <c r="AF193" s="67">
        <f>'Inputs_NT INM'!AM151</f>
        <v>0.4</v>
      </c>
      <c r="AG193" s="67">
        <f>'Inputs_NT INM'!AN151</f>
        <v>0.4</v>
      </c>
      <c r="AH193" s="67"/>
      <c r="AI193" s="67"/>
      <c r="AJ193" s="67"/>
    </row>
    <row r="194" spans="1:36" x14ac:dyDescent="0.25">
      <c r="A194" s="9" t="str">
        <f>IF(COUNTIF(A$20:A$60,'Inputs_NT INM'!A152)=0,"*",'Inputs_NT INM'!A152)</f>
        <v>I-NM-LTH_COA02</v>
      </c>
      <c r="B194" s="9" t="s">
        <v>967</v>
      </c>
      <c r="C194" s="9" t="s">
        <v>304</v>
      </c>
      <c r="D194" s="9">
        <f>'Inputs_NT INM'!H152</f>
        <v>2025</v>
      </c>
      <c r="E194" s="9" t="s">
        <v>460</v>
      </c>
      <c r="F194" s="67">
        <f>'Inputs_NT INM'!M152</f>
        <v>0.4</v>
      </c>
      <c r="G194" s="67">
        <f>'Inputs_NT INM'!N152</f>
        <v>0.4</v>
      </c>
      <c r="H194" s="67">
        <f>'Inputs_NT INM'!O152</f>
        <v>0.4</v>
      </c>
      <c r="I194" s="67">
        <f>'Inputs_NT INM'!P152</f>
        <v>0.4</v>
      </c>
      <c r="J194" s="67">
        <f>'Inputs_NT INM'!Q152</f>
        <v>0.4</v>
      </c>
      <c r="K194" s="67">
        <f>'Inputs_NT INM'!R152</f>
        <v>0.4</v>
      </c>
      <c r="L194" s="67">
        <f>'Inputs_NT INM'!S152</f>
        <v>0.4</v>
      </c>
      <c r="M194" s="67">
        <f>'Inputs_NT INM'!T152</f>
        <v>0.4</v>
      </c>
      <c r="N194" s="67">
        <f>'Inputs_NT INM'!U152</f>
        <v>0.4</v>
      </c>
      <c r="O194" s="67">
        <f>'Inputs_NT INM'!V152</f>
        <v>0.4</v>
      </c>
      <c r="P194" s="67">
        <f>'Inputs_NT INM'!W152</f>
        <v>0.4</v>
      </c>
      <c r="Q194" s="67">
        <f>'Inputs_NT INM'!X152</f>
        <v>0.4</v>
      </c>
      <c r="R194" s="67">
        <f>'Inputs_NT INM'!Y152</f>
        <v>0.4</v>
      </c>
      <c r="S194" s="67">
        <f>'Inputs_NT INM'!Z152</f>
        <v>0.4</v>
      </c>
      <c r="T194" s="67">
        <f>'Inputs_NT INM'!AA152</f>
        <v>0.4</v>
      </c>
      <c r="U194" s="67">
        <f>'Inputs_NT INM'!AB152</f>
        <v>0.4</v>
      </c>
      <c r="V194" s="67">
        <f>'Inputs_NT INM'!AC152</f>
        <v>0.4</v>
      </c>
      <c r="W194" s="67">
        <f>'Inputs_NT INM'!AD152</f>
        <v>0.4</v>
      </c>
      <c r="X194" s="67">
        <f>'Inputs_NT INM'!AE152</f>
        <v>0.4</v>
      </c>
      <c r="Y194" s="67">
        <f>'Inputs_NT INM'!AF152</f>
        <v>0.4</v>
      </c>
      <c r="Z194" s="67">
        <f>'Inputs_NT INM'!AG152</f>
        <v>0.4</v>
      </c>
      <c r="AA194" s="67">
        <f>'Inputs_NT INM'!AH152</f>
        <v>0.4</v>
      </c>
      <c r="AB194" s="67">
        <f>'Inputs_NT INM'!AI152</f>
        <v>0.4</v>
      </c>
      <c r="AC194" s="67">
        <f>'Inputs_NT INM'!AJ152</f>
        <v>0.4</v>
      </c>
      <c r="AD194" s="67">
        <f>'Inputs_NT INM'!AK152</f>
        <v>0.4</v>
      </c>
      <c r="AE194" s="67">
        <f>'Inputs_NT INM'!AL152</f>
        <v>0.4</v>
      </c>
      <c r="AF194" s="67">
        <f>'Inputs_NT INM'!AM152</f>
        <v>0.4</v>
      </c>
      <c r="AG194" s="67">
        <f>'Inputs_NT INM'!AN152</f>
        <v>0.4</v>
      </c>
      <c r="AH194" s="67"/>
      <c r="AI194" s="67"/>
      <c r="AJ194" s="67"/>
    </row>
    <row r="195" spans="1:36" x14ac:dyDescent="0.25">
      <c r="A195" s="9" t="str">
        <f>IF(COUNTIF(A$20:A$60,'Inputs_NT INM'!A153)=0,"*",'Inputs_NT INM'!A153)</f>
        <v>I-NM-LTH_BIO02</v>
      </c>
      <c r="B195" s="9" t="s">
        <v>968</v>
      </c>
      <c r="C195" s="9" t="s">
        <v>304</v>
      </c>
      <c r="D195" s="9">
        <f>'Inputs_NT INM'!H153</f>
        <v>2025</v>
      </c>
      <c r="E195" s="9" t="s">
        <v>460</v>
      </c>
      <c r="F195" s="67">
        <f>'Inputs_NT INM'!M153</f>
        <v>0.4</v>
      </c>
      <c r="G195" s="67">
        <f>'Inputs_NT INM'!N153</f>
        <v>0.4</v>
      </c>
      <c r="H195" s="67">
        <f>'Inputs_NT INM'!O153</f>
        <v>0.4</v>
      </c>
      <c r="I195" s="67">
        <f>'Inputs_NT INM'!P153</f>
        <v>0.4</v>
      </c>
      <c r="J195" s="67">
        <f>'Inputs_NT INM'!Q153</f>
        <v>0.4</v>
      </c>
      <c r="K195" s="67">
        <f>'Inputs_NT INM'!R153</f>
        <v>0.4</v>
      </c>
      <c r="L195" s="67">
        <f>'Inputs_NT INM'!S153</f>
        <v>0.4</v>
      </c>
      <c r="M195" s="67">
        <f>'Inputs_NT INM'!T153</f>
        <v>0.4</v>
      </c>
      <c r="N195" s="67">
        <f>'Inputs_NT INM'!U153</f>
        <v>0.4</v>
      </c>
      <c r="O195" s="67">
        <f>'Inputs_NT INM'!V153</f>
        <v>0.4</v>
      </c>
      <c r="P195" s="67">
        <f>'Inputs_NT INM'!W153</f>
        <v>0.4</v>
      </c>
      <c r="Q195" s="67">
        <f>'Inputs_NT INM'!X153</f>
        <v>0.4</v>
      </c>
      <c r="R195" s="67">
        <f>'Inputs_NT INM'!Y153</f>
        <v>0.4</v>
      </c>
      <c r="S195" s="67">
        <f>'Inputs_NT INM'!Z153</f>
        <v>0.4</v>
      </c>
      <c r="T195" s="67">
        <f>'Inputs_NT INM'!AA153</f>
        <v>0.4</v>
      </c>
      <c r="U195" s="67">
        <f>'Inputs_NT INM'!AB153</f>
        <v>0.4</v>
      </c>
      <c r="V195" s="67">
        <f>'Inputs_NT INM'!AC153</f>
        <v>0.4</v>
      </c>
      <c r="W195" s="67">
        <f>'Inputs_NT INM'!AD153</f>
        <v>0.4</v>
      </c>
      <c r="X195" s="67">
        <f>'Inputs_NT INM'!AE153</f>
        <v>0.4</v>
      </c>
      <c r="Y195" s="67">
        <f>'Inputs_NT INM'!AF153</f>
        <v>0.4</v>
      </c>
      <c r="Z195" s="67">
        <f>'Inputs_NT INM'!AG153</f>
        <v>0.4</v>
      </c>
      <c r="AA195" s="67">
        <f>'Inputs_NT INM'!AH153</f>
        <v>0.4</v>
      </c>
      <c r="AB195" s="67">
        <f>'Inputs_NT INM'!AI153</f>
        <v>0.4</v>
      </c>
      <c r="AC195" s="67">
        <f>'Inputs_NT INM'!AJ153</f>
        <v>0.4</v>
      </c>
      <c r="AD195" s="67">
        <f>'Inputs_NT INM'!AK153</f>
        <v>0.4</v>
      </c>
      <c r="AE195" s="67">
        <f>'Inputs_NT INM'!AL153</f>
        <v>0.4</v>
      </c>
      <c r="AF195" s="67">
        <f>'Inputs_NT INM'!AM153</f>
        <v>0.4</v>
      </c>
      <c r="AG195" s="67">
        <f>'Inputs_NT INM'!AN153</f>
        <v>0.4</v>
      </c>
      <c r="AH195" s="67"/>
      <c r="AI195" s="67"/>
      <c r="AJ195" s="67"/>
    </row>
    <row r="196" spans="1:36" x14ac:dyDescent="0.25">
      <c r="A196" s="9" t="str">
        <f>IF(COUNTIF(A$20:A$60,'Inputs_NT INM'!A154)=0,"*",'Inputs_NT INM'!A154)</f>
        <v>I-NM-LTH_ELC02</v>
      </c>
      <c r="B196" s="9" t="s">
        <v>963</v>
      </c>
      <c r="C196" s="9" t="s">
        <v>304</v>
      </c>
      <c r="D196" s="9">
        <f>'Inputs_NT INM'!H154</f>
        <v>2030</v>
      </c>
      <c r="E196" s="9" t="s">
        <v>460</v>
      </c>
      <c r="F196" s="67">
        <f>'Inputs_NT INM'!M154</f>
        <v>0.81800000000000006</v>
      </c>
      <c r="G196" s="67">
        <f>'Inputs_NT INM'!N154</f>
        <v>0.81800000000000006</v>
      </c>
      <c r="H196" s="67">
        <f>'Inputs_NT INM'!O154</f>
        <v>0.81800000000000006</v>
      </c>
      <c r="I196" s="67">
        <f>'Inputs_NT INM'!P154</f>
        <v>0.81800000000000006</v>
      </c>
      <c r="J196" s="67">
        <f>'Inputs_NT INM'!Q154</f>
        <v>0.81800000000000006</v>
      </c>
      <c r="K196" s="67">
        <f>'Inputs_NT INM'!R154</f>
        <v>0.81800000000000006</v>
      </c>
      <c r="L196" s="67">
        <f>'Inputs_NT INM'!S154</f>
        <v>0.81800000000000006</v>
      </c>
      <c r="M196" s="67">
        <f>'Inputs_NT INM'!T154</f>
        <v>0.81800000000000006</v>
      </c>
      <c r="N196" s="67">
        <f>'Inputs_NT INM'!U154</f>
        <v>0.81800000000000006</v>
      </c>
      <c r="O196" s="67">
        <f>'Inputs_NT INM'!V154</f>
        <v>0.81800000000000006</v>
      </c>
      <c r="P196" s="67">
        <f>'Inputs_NT INM'!W154</f>
        <v>0.81800000000000006</v>
      </c>
      <c r="Q196" s="67">
        <f>'Inputs_NT INM'!X154</f>
        <v>0.81800000000000006</v>
      </c>
      <c r="R196" s="67">
        <f>'Inputs_NT INM'!Y154</f>
        <v>0.81800000000000006</v>
      </c>
      <c r="S196" s="67">
        <f>'Inputs_NT INM'!Z154</f>
        <v>0.81800000000000006</v>
      </c>
      <c r="T196" s="67">
        <f>'Inputs_NT INM'!AA154</f>
        <v>0.81800000000000006</v>
      </c>
      <c r="U196" s="67">
        <f>'Inputs_NT INM'!AB154</f>
        <v>0.81800000000000006</v>
      </c>
      <c r="V196" s="67">
        <f>'Inputs_NT INM'!AC154</f>
        <v>0.81800000000000006</v>
      </c>
      <c r="W196" s="67">
        <f>'Inputs_NT INM'!AD154</f>
        <v>0.81800000000000006</v>
      </c>
      <c r="X196" s="67">
        <f>'Inputs_NT INM'!AE154</f>
        <v>0.81800000000000006</v>
      </c>
      <c r="Y196" s="67">
        <f>'Inputs_NT INM'!AF154</f>
        <v>0.81800000000000006</v>
      </c>
      <c r="Z196" s="67">
        <f>'Inputs_NT INM'!AG154</f>
        <v>0.81800000000000006</v>
      </c>
      <c r="AA196" s="67">
        <f>'Inputs_NT INM'!AH154</f>
        <v>0.81800000000000006</v>
      </c>
      <c r="AB196" s="67">
        <f>'Inputs_NT INM'!AI154</f>
        <v>0.81800000000000006</v>
      </c>
      <c r="AC196" s="67">
        <f>'Inputs_NT INM'!AJ154</f>
        <v>0.81800000000000006</v>
      </c>
      <c r="AD196" s="67">
        <f>'Inputs_NT INM'!AK154</f>
        <v>0.81800000000000006</v>
      </c>
      <c r="AE196" s="67">
        <f>'Inputs_NT INM'!AL154</f>
        <v>0.81800000000000006</v>
      </c>
      <c r="AF196" s="67">
        <f>'Inputs_NT INM'!AM154</f>
        <v>0.81800000000000006</v>
      </c>
      <c r="AG196" s="67">
        <f>'Inputs_NT INM'!AN154</f>
        <v>0.81800000000000006</v>
      </c>
      <c r="AH196" s="67"/>
      <c r="AI196" s="67"/>
      <c r="AJ196" s="67"/>
    </row>
    <row r="197" spans="1:36" x14ac:dyDescent="0.25">
      <c r="A197" s="9" t="str">
        <f>IF(COUNTIF(A$20:A$60,'Inputs_NT INM'!A155)=0,"*",'Inputs_NT INM'!A155)</f>
        <v>I-NM-LTH_GAS02</v>
      </c>
      <c r="B197" s="9" t="s">
        <v>964</v>
      </c>
      <c r="C197" s="9" t="s">
        <v>304</v>
      </c>
      <c r="D197" s="9">
        <f>'Inputs_NT INM'!H155</f>
        <v>2030</v>
      </c>
      <c r="E197" s="9" t="s">
        <v>460</v>
      </c>
      <c r="F197" s="67">
        <f>'Inputs_NT INM'!M155</f>
        <v>0.61349999999999993</v>
      </c>
      <c r="G197" s="67">
        <f>'Inputs_NT INM'!N155</f>
        <v>0.61349999999999993</v>
      </c>
      <c r="H197" s="67">
        <f>'Inputs_NT INM'!O155</f>
        <v>0.61349999999999993</v>
      </c>
      <c r="I197" s="67">
        <f>'Inputs_NT INM'!P155</f>
        <v>0.61349999999999993</v>
      </c>
      <c r="J197" s="67">
        <f>'Inputs_NT INM'!Q155</f>
        <v>0.61349999999999993</v>
      </c>
      <c r="K197" s="67">
        <f>'Inputs_NT INM'!R155</f>
        <v>0.61349999999999993</v>
      </c>
      <c r="L197" s="67">
        <f>'Inputs_NT INM'!S155</f>
        <v>0.61349999999999993</v>
      </c>
      <c r="M197" s="67">
        <f>'Inputs_NT INM'!T155</f>
        <v>0.61349999999999993</v>
      </c>
      <c r="N197" s="67">
        <f>'Inputs_NT INM'!U155</f>
        <v>0.61349999999999993</v>
      </c>
      <c r="O197" s="67">
        <f>'Inputs_NT INM'!V155</f>
        <v>0.61349999999999993</v>
      </c>
      <c r="P197" s="67">
        <f>'Inputs_NT INM'!W155</f>
        <v>0.61349999999999993</v>
      </c>
      <c r="Q197" s="67">
        <f>'Inputs_NT INM'!X155</f>
        <v>0.61349999999999993</v>
      </c>
      <c r="R197" s="67">
        <f>'Inputs_NT INM'!Y155</f>
        <v>0.61349999999999993</v>
      </c>
      <c r="S197" s="67">
        <f>'Inputs_NT INM'!Z155</f>
        <v>0.61349999999999993</v>
      </c>
      <c r="T197" s="67">
        <f>'Inputs_NT INM'!AA155</f>
        <v>0.61349999999999993</v>
      </c>
      <c r="U197" s="67">
        <f>'Inputs_NT INM'!AB155</f>
        <v>0.61349999999999993</v>
      </c>
      <c r="V197" s="67">
        <f>'Inputs_NT INM'!AC155</f>
        <v>0.61349999999999993</v>
      </c>
      <c r="W197" s="67">
        <f>'Inputs_NT INM'!AD155</f>
        <v>0.61349999999999993</v>
      </c>
      <c r="X197" s="67">
        <f>'Inputs_NT INM'!AE155</f>
        <v>0.61349999999999993</v>
      </c>
      <c r="Y197" s="67">
        <f>'Inputs_NT INM'!AF155</f>
        <v>0.61349999999999993</v>
      </c>
      <c r="Z197" s="67">
        <f>'Inputs_NT INM'!AG155</f>
        <v>0.61349999999999993</v>
      </c>
      <c r="AA197" s="67">
        <f>'Inputs_NT INM'!AH155</f>
        <v>0.61349999999999993</v>
      </c>
      <c r="AB197" s="67">
        <f>'Inputs_NT INM'!AI155</f>
        <v>0.61349999999999993</v>
      </c>
      <c r="AC197" s="67">
        <f>'Inputs_NT INM'!AJ155</f>
        <v>0.61349999999999993</v>
      </c>
      <c r="AD197" s="67">
        <f>'Inputs_NT INM'!AK155</f>
        <v>0.61349999999999993</v>
      </c>
      <c r="AE197" s="67">
        <f>'Inputs_NT INM'!AL155</f>
        <v>0.61349999999999993</v>
      </c>
      <c r="AF197" s="67">
        <f>'Inputs_NT INM'!AM155</f>
        <v>0.61349999999999993</v>
      </c>
      <c r="AG197" s="67">
        <f>'Inputs_NT INM'!AN155</f>
        <v>0.61349999999999993</v>
      </c>
      <c r="AH197" s="67"/>
      <c r="AI197" s="67"/>
      <c r="AJ197" s="67"/>
    </row>
    <row r="198" spans="1:36" x14ac:dyDescent="0.25">
      <c r="A198" s="9" t="str">
        <f>IF(COUNTIF(A$20:A$60,'Inputs_NT INM'!A156)=0,"*",'Inputs_NT INM'!A156)</f>
        <v>I-NM-LTH_HET02</v>
      </c>
      <c r="B198" s="9" t="s">
        <v>965</v>
      </c>
      <c r="C198" s="9" t="s">
        <v>304</v>
      </c>
      <c r="D198" s="9">
        <f>'Inputs_NT INM'!H156</f>
        <v>2030</v>
      </c>
      <c r="E198" s="9" t="s">
        <v>460</v>
      </c>
      <c r="F198" s="67">
        <f>'Inputs_NT INM'!M156</f>
        <v>1.0225</v>
      </c>
      <c r="G198" s="67">
        <f>'Inputs_NT INM'!N156</f>
        <v>1.0225</v>
      </c>
      <c r="H198" s="67">
        <f>'Inputs_NT INM'!O156</f>
        <v>1.0225</v>
      </c>
      <c r="I198" s="67">
        <f>'Inputs_NT INM'!P156</f>
        <v>1.0225</v>
      </c>
      <c r="J198" s="67">
        <f>'Inputs_NT INM'!Q156</f>
        <v>1.0225</v>
      </c>
      <c r="K198" s="67">
        <f>'Inputs_NT INM'!R156</f>
        <v>1.0225</v>
      </c>
      <c r="L198" s="67">
        <f>'Inputs_NT INM'!S156</f>
        <v>1.0225</v>
      </c>
      <c r="M198" s="67">
        <f>'Inputs_NT INM'!T156</f>
        <v>1.0225</v>
      </c>
      <c r="N198" s="67">
        <f>'Inputs_NT INM'!U156</f>
        <v>1.0225</v>
      </c>
      <c r="O198" s="67">
        <f>'Inputs_NT INM'!V156</f>
        <v>1.0225</v>
      </c>
      <c r="P198" s="67">
        <f>'Inputs_NT INM'!W156</f>
        <v>1.0225</v>
      </c>
      <c r="Q198" s="67">
        <f>'Inputs_NT INM'!X156</f>
        <v>1.0225</v>
      </c>
      <c r="R198" s="67">
        <f>'Inputs_NT INM'!Y156</f>
        <v>1.0225</v>
      </c>
      <c r="S198" s="67">
        <f>'Inputs_NT INM'!Z156</f>
        <v>1.0225</v>
      </c>
      <c r="T198" s="67">
        <f>'Inputs_NT INM'!AA156</f>
        <v>1.0225</v>
      </c>
      <c r="U198" s="67">
        <f>'Inputs_NT INM'!AB156</f>
        <v>1.0225</v>
      </c>
      <c r="V198" s="67">
        <f>'Inputs_NT INM'!AC156</f>
        <v>1.0225</v>
      </c>
      <c r="W198" s="67">
        <f>'Inputs_NT INM'!AD156</f>
        <v>1.0225</v>
      </c>
      <c r="X198" s="67">
        <f>'Inputs_NT INM'!AE156</f>
        <v>1.0225</v>
      </c>
      <c r="Y198" s="67">
        <f>'Inputs_NT INM'!AF156</f>
        <v>1.0225</v>
      </c>
      <c r="Z198" s="67">
        <f>'Inputs_NT INM'!AG156</f>
        <v>1.0225</v>
      </c>
      <c r="AA198" s="67">
        <f>'Inputs_NT INM'!AH156</f>
        <v>1.0225</v>
      </c>
      <c r="AB198" s="67">
        <f>'Inputs_NT INM'!AI156</f>
        <v>1.0225</v>
      </c>
      <c r="AC198" s="67">
        <f>'Inputs_NT INM'!AJ156</f>
        <v>1.0225</v>
      </c>
      <c r="AD198" s="67">
        <f>'Inputs_NT INM'!AK156</f>
        <v>1.0225</v>
      </c>
      <c r="AE198" s="67">
        <f>'Inputs_NT INM'!AL156</f>
        <v>1.0225</v>
      </c>
      <c r="AF198" s="67">
        <f>'Inputs_NT INM'!AM156</f>
        <v>1.0225</v>
      </c>
      <c r="AG198" s="67">
        <f>'Inputs_NT INM'!AN156</f>
        <v>1.0225</v>
      </c>
      <c r="AH198" s="67"/>
      <c r="AI198" s="67"/>
      <c r="AJ198" s="67"/>
    </row>
    <row r="199" spans="1:36" x14ac:dyDescent="0.25">
      <c r="A199" s="9" t="str">
        <f>IF(COUNTIF(A$20:A$60,'Inputs_NT INM'!A157)=0,"*",'Inputs_NT INM'!A157)</f>
        <v>I-NM-LTH_OIL02</v>
      </c>
      <c r="B199" s="9" t="s">
        <v>966</v>
      </c>
      <c r="C199" s="9" t="s">
        <v>304</v>
      </c>
      <c r="D199" s="9">
        <f>'Inputs_NT INM'!H157</f>
        <v>2030</v>
      </c>
      <c r="E199" s="9" t="s">
        <v>460</v>
      </c>
      <c r="F199" s="67">
        <f>'Inputs_NT INM'!M157</f>
        <v>0.40900000000000003</v>
      </c>
      <c r="G199" s="67">
        <f>'Inputs_NT INM'!N157</f>
        <v>0.40900000000000003</v>
      </c>
      <c r="H199" s="67">
        <f>'Inputs_NT INM'!O157</f>
        <v>0.40900000000000003</v>
      </c>
      <c r="I199" s="67">
        <f>'Inputs_NT INM'!P157</f>
        <v>0.40900000000000003</v>
      </c>
      <c r="J199" s="67">
        <f>'Inputs_NT INM'!Q157</f>
        <v>0.40900000000000003</v>
      </c>
      <c r="K199" s="67">
        <f>'Inputs_NT INM'!R157</f>
        <v>0.40900000000000003</v>
      </c>
      <c r="L199" s="67">
        <f>'Inputs_NT INM'!S157</f>
        <v>0.40900000000000003</v>
      </c>
      <c r="M199" s="67">
        <f>'Inputs_NT INM'!T157</f>
        <v>0.40900000000000003</v>
      </c>
      <c r="N199" s="67">
        <f>'Inputs_NT INM'!U157</f>
        <v>0.40900000000000003</v>
      </c>
      <c r="O199" s="67">
        <f>'Inputs_NT INM'!V157</f>
        <v>0.40900000000000003</v>
      </c>
      <c r="P199" s="67">
        <f>'Inputs_NT INM'!W157</f>
        <v>0.40900000000000003</v>
      </c>
      <c r="Q199" s="67">
        <f>'Inputs_NT INM'!X157</f>
        <v>0.40900000000000003</v>
      </c>
      <c r="R199" s="67">
        <f>'Inputs_NT INM'!Y157</f>
        <v>0.40900000000000003</v>
      </c>
      <c r="S199" s="67">
        <f>'Inputs_NT INM'!Z157</f>
        <v>0.40900000000000003</v>
      </c>
      <c r="T199" s="67">
        <f>'Inputs_NT INM'!AA157</f>
        <v>0.40900000000000003</v>
      </c>
      <c r="U199" s="67">
        <f>'Inputs_NT INM'!AB157</f>
        <v>0.40900000000000003</v>
      </c>
      <c r="V199" s="67">
        <f>'Inputs_NT INM'!AC157</f>
        <v>0.40900000000000003</v>
      </c>
      <c r="W199" s="67">
        <f>'Inputs_NT INM'!AD157</f>
        <v>0.40900000000000003</v>
      </c>
      <c r="X199" s="67">
        <f>'Inputs_NT INM'!AE157</f>
        <v>0.40900000000000003</v>
      </c>
      <c r="Y199" s="67">
        <f>'Inputs_NT INM'!AF157</f>
        <v>0.40900000000000003</v>
      </c>
      <c r="Z199" s="67">
        <f>'Inputs_NT INM'!AG157</f>
        <v>0.40900000000000003</v>
      </c>
      <c r="AA199" s="67">
        <f>'Inputs_NT INM'!AH157</f>
        <v>0.40900000000000003</v>
      </c>
      <c r="AB199" s="67">
        <f>'Inputs_NT INM'!AI157</f>
        <v>0.40900000000000003</v>
      </c>
      <c r="AC199" s="67">
        <f>'Inputs_NT INM'!AJ157</f>
        <v>0.40900000000000003</v>
      </c>
      <c r="AD199" s="67">
        <f>'Inputs_NT INM'!AK157</f>
        <v>0.40900000000000003</v>
      </c>
      <c r="AE199" s="67">
        <f>'Inputs_NT INM'!AL157</f>
        <v>0.40900000000000003</v>
      </c>
      <c r="AF199" s="67">
        <f>'Inputs_NT INM'!AM157</f>
        <v>0.40900000000000003</v>
      </c>
      <c r="AG199" s="67">
        <f>'Inputs_NT INM'!AN157</f>
        <v>0.40900000000000003</v>
      </c>
      <c r="AH199" s="67"/>
      <c r="AI199" s="67"/>
      <c r="AJ199" s="67"/>
    </row>
    <row r="200" spans="1:36" x14ac:dyDescent="0.25">
      <c r="A200" s="9" t="str">
        <f>IF(COUNTIF(A$20:A$60,'Inputs_NT INM'!A158)=0,"*",'Inputs_NT INM'!A158)</f>
        <v>I-NM-LTH_COA02</v>
      </c>
      <c r="B200" s="9" t="s">
        <v>967</v>
      </c>
      <c r="C200" s="9" t="s">
        <v>304</v>
      </c>
      <c r="D200" s="9">
        <f>'Inputs_NT INM'!H158</f>
        <v>2030</v>
      </c>
      <c r="E200" s="9" t="s">
        <v>460</v>
      </c>
      <c r="F200" s="67">
        <f>'Inputs_NT INM'!M158</f>
        <v>0.40900000000000003</v>
      </c>
      <c r="G200" s="67">
        <f>'Inputs_NT INM'!N158</f>
        <v>0.40900000000000003</v>
      </c>
      <c r="H200" s="67">
        <f>'Inputs_NT INM'!O158</f>
        <v>0.40900000000000003</v>
      </c>
      <c r="I200" s="67">
        <f>'Inputs_NT INM'!P158</f>
        <v>0.40900000000000003</v>
      </c>
      <c r="J200" s="67">
        <f>'Inputs_NT INM'!Q158</f>
        <v>0.40900000000000003</v>
      </c>
      <c r="K200" s="67">
        <f>'Inputs_NT INM'!R158</f>
        <v>0.40900000000000003</v>
      </c>
      <c r="L200" s="67">
        <f>'Inputs_NT INM'!S158</f>
        <v>0.40900000000000003</v>
      </c>
      <c r="M200" s="67">
        <f>'Inputs_NT INM'!T158</f>
        <v>0.40900000000000003</v>
      </c>
      <c r="N200" s="67">
        <f>'Inputs_NT INM'!U158</f>
        <v>0.40900000000000003</v>
      </c>
      <c r="O200" s="67">
        <f>'Inputs_NT INM'!V158</f>
        <v>0.40900000000000003</v>
      </c>
      <c r="P200" s="67">
        <f>'Inputs_NT INM'!W158</f>
        <v>0.40900000000000003</v>
      </c>
      <c r="Q200" s="67">
        <f>'Inputs_NT INM'!X158</f>
        <v>0.40900000000000003</v>
      </c>
      <c r="R200" s="67">
        <f>'Inputs_NT INM'!Y158</f>
        <v>0.40900000000000003</v>
      </c>
      <c r="S200" s="67">
        <f>'Inputs_NT INM'!Z158</f>
        <v>0.40900000000000003</v>
      </c>
      <c r="T200" s="67">
        <f>'Inputs_NT INM'!AA158</f>
        <v>0.40900000000000003</v>
      </c>
      <c r="U200" s="67">
        <f>'Inputs_NT INM'!AB158</f>
        <v>0.40900000000000003</v>
      </c>
      <c r="V200" s="67">
        <f>'Inputs_NT INM'!AC158</f>
        <v>0.40900000000000003</v>
      </c>
      <c r="W200" s="67">
        <f>'Inputs_NT INM'!AD158</f>
        <v>0.40900000000000003</v>
      </c>
      <c r="X200" s="67">
        <f>'Inputs_NT INM'!AE158</f>
        <v>0.40900000000000003</v>
      </c>
      <c r="Y200" s="67">
        <f>'Inputs_NT INM'!AF158</f>
        <v>0.40900000000000003</v>
      </c>
      <c r="Z200" s="67">
        <f>'Inputs_NT INM'!AG158</f>
        <v>0.40900000000000003</v>
      </c>
      <c r="AA200" s="67">
        <f>'Inputs_NT INM'!AH158</f>
        <v>0.40900000000000003</v>
      </c>
      <c r="AB200" s="67">
        <f>'Inputs_NT INM'!AI158</f>
        <v>0.40900000000000003</v>
      </c>
      <c r="AC200" s="67">
        <f>'Inputs_NT INM'!AJ158</f>
        <v>0.40900000000000003</v>
      </c>
      <c r="AD200" s="67">
        <f>'Inputs_NT INM'!AK158</f>
        <v>0.40900000000000003</v>
      </c>
      <c r="AE200" s="67">
        <f>'Inputs_NT INM'!AL158</f>
        <v>0.40900000000000003</v>
      </c>
      <c r="AF200" s="67">
        <f>'Inputs_NT INM'!AM158</f>
        <v>0.40900000000000003</v>
      </c>
      <c r="AG200" s="67">
        <f>'Inputs_NT INM'!AN158</f>
        <v>0.40900000000000003</v>
      </c>
      <c r="AH200" s="67"/>
      <c r="AI200" s="67"/>
      <c r="AJ200" s="67"/>
    </row>
    <row r="201" spans="1:36" x14ac:dyDescent="0.25">
      <c r="A201" s="9" t="str">
        <f>IF(COUNTIF(A$20:A$60,'Inputs_NT INM'!A159)=0,"*",'Inputs_NT INM'!A159)</f>
        <v>I-NM-LTH_BIO02</v>
      </c>
      <c r="B201" s="9" t="s">
        <v>968</v>
      </c>
      <c r="C201" s="9" t="s">
        <v>304</v>
      </c>
      <c r="D201" s="9">
        <f>'Inputs_NT INM'!H159</f>
        <v>2030</v>
      </c>
      <c r="E201" s="9" t="s">
        <v>460</v>
      </c>
      <c r="F201" s="67">
        <f>'Inputs_NT INM'!M159</f>
        <v>0.40900000000000003</v>
      </c>
      <c r="G201" s="67">
        <f>'Inputs_NT INM'!N159</f>
        <v>0.40900000000000003</v>
      </c>
      <c r="H201" s="67">
        <f>'Inputs_NT INM'!O159</f>
        <v>0.40900000000000003</v>
      </c>
      <c r="I201" s="67">
        <f>'Inputs_NT INM'!P159</f>
        <v>0.40900000000000003</v>
      </c>
      <c r="J201" s="67">
        <f>'Inputs_NT INM'!Q159</f>
        <v>0.40900000000000003</v>
      </c>
      <c r="K201" s="67">
        <f>'Inputs_NT INM'!R159</f>
        <v>0.40900000000000003</v>
      </c>
      <c r="L201" s="67">
        <f>'Inputs_NT INM'!S159</f>
        <v>0.40900000000000003</v>
      </c>
      <c r="M201" s="67">
        <f>'Inputs_NT INM'!T159</f>
        <v>0.40900000000000003</v>
      </c>
      <c r="N201" s="67">
        <f>'Inputs_NT INM'!U159</f>
        <v>0.40900000000000003</v>
      </c>
      <c r="O201" s="67">
        <f>'Inputs_NT INM'!V159</f>
        <v>0.40900000000000003</v>
      </c>
      <c r="P201" s="67">
        <f>'Inputs_NT INM'!W159</f>
        <v>0.40900000000000003</v>
      </c>
      <c r="Q201" s="67">
        <f>'Inputs_NT INM'!X159</f>
        <v>0.40900000000000003</v>
      </c>
      <c r="R201" s="67">
        <f>'Inputs_NT INM'!Y159</f>
        <v>0.40900000000000003</v>
      </c>
      <c r="S201" s="67">
        <f>'Inputs_NT INM'!Z159</f>
        <v>0.40900000000000003</v>
      </c>
      <c r="T201" s="67">
        <f>'Inputs_NT INM'!AA159</f>
        <v>0.40900000000000003</v>
      </c>
      <c r="U201" s="67">
        <f>'Inputs_NT INM'!AB159</f>
        <v>0.40900000000000003</v>
      </c>
      <c r="V201" s="67">
        <f>'Inputs_NT INM'!AC159</f>
        <v>0.40900000000000003</v>
      </c>
      <c r="W201" s="67">
        <f>'Inputs_NT INM'!AD159</f>
        <v>0.40900000000000003</v>
      </c>
      <c r="X201" s="67">
        <f>'Inputs_NT INM'!AE159</f>
        <v>0.40900000000000003</v>
      </c>
      <c r="Y201" s="67">
        <f>'Inputs_NT INM'!AF159</f>
        <v>0.40900000000000003</v>
      </c>
      <c r="Z201" s="67">
        <f>'Inputs_NT INM'!AG159</f>
        <v>0.40900000000000003</v>
      </c>
      <c r="AA201" s="67">
        <f>'Inputs_NT INM'!AH159</f>
        <v>0.40900000000000003</v>
      </c>
      <c r="AB201" s="67">
        <f>'Inputs_NT INM'!AI159</f>
        <v>0.40900000000000003</v>
      </c>
      <c r="AC201" s="67">
        <f>'Inputs_NT INM'!AJ159</f>
        <v>0.40900000000000003</v>
      </c>
      <c r="AD201" s="67">
        <f>'Inputs_NT INM'!AK159</f>
        <v>0.40900000000000003</v>
      </c>
      <c r="AE201" s="67">
        <f>'Inputs_NT INM'!AL159</f>
        <v>0.40900000000000003</v>
      </c>
      <c r="AF201" s="67">
        <f>'Inputs_NT INM'!AM159</f>
        <v>0.40900000000000003</v>
      </c>
      <c r="AG201" s="67">
        <f>'Inputs_NT INM'!AN159</f>
        <v>0.40900000000000003</v>
      </c>
      <c r="AH201" s="67"/>
      <c r="AI201" s="67"/>
      <c r="AJ201" s="67"/>
    </row>
    <row r="202" spans="1:36" x14ac:dyDescent="0.25">
      <c r="A202" s="9" t="str">
        <f>IF(COUNTIF(A$20:A$60,'Inputs_NT INM'!A160)=0,"*",'Inputs_NT INM'!A160)</f>
        <v>I-NM-LTH_ELC02</v>
      </c>
      <c r="B202" s="9" t="s">
        <v>963</v>
      </c>
      <c r="C202" s="9" t="s">
        <v>304</v>
      </c>
      <c r="D202" s="9">
        <f>'Inputs_NT INM'!H160</f>
        <v>2050</v>
      </c>
      <c r="E202" s="9" t="s">
        <v>460</v>
      </c>
      <c r="F202" s="67">
        <f>'Inputs_NT INM'!M160</f>
        <v>0.8306</v>
      </c>
      <c r="G202" s="67">
        <f>'Inputs_NT INM'!N160</f>
        <v>0.8306</v>
      </c>
      <c r="H202" s="67">
        <f>'Inputs_NT INM'!O160</f>
        <v>0.8306</v>
      </c>
      <c r="I202" s="67">
        <f>'Inputs_NT INM'!P160</f>
        <v>0.8306</v>
      </c>
      <c r="J202" s="67">
        <f>'Inputs_NT INM'!Q160</f>
        <v>0.8306</v>
      </c>
      <c r="K202" s="67">
        <f>'Inputs_NT INM'!R160</f>
        <v>0.8306</v>
      </c>
      <c r="L202" s="67">
        <f>'Inputs_NT INM'!S160</f>
        <v>0.8306</v>
      </c>
      <c r="M202" s="67">
        <f>'Inputs_NT INM'!T160</f>
        <v>0.8306</v>
      </c>
      <c r="N202" s="67">
        <f>'Inputs_NT INM'!U160</f>
        <v>0.8306</v>
      </c>
      <c r="O202" s="67">
        <f>'Inputs_NT INM'!V160</f>
        <v>0.8306</v>
      </c>
      <c r="P202" s="67">
        <f>'Inputs_NT INM'!W160</f>
        <v>0.8306</v>
      </c>
      <c r="Q202" s="67">
        <f>'Inputs_NT INM'!X160</f>
        <v>0.8306</v>
      </c>
      <c r="R202" s="67">
        <f>'Inputs_NT INM'!Y160</f>
        <v>0.8306</v>
      </c>
      <c r="S202" s="67">
        <f>'Inputs_NT INM'!Z160</f>
        <v>0.8306</v>
      </c>
      <c r="T202" s="67">
        <f>'Inputs_NT INM'!AA160</f>
        <v>0.8306</v>
      </c>
      <c r="U202" s="67">
        <f>'Inputs_NT INM'!AB160</f>
        <v>0.8306</v>
      </c>
      <c r="V202" s="67">
        <f>'Inputs_NT INM'!AC160</f>
        <v>0.8306</v>
      </c>
      <c r="W202" s="67">
        <f>'Inputs_NT INM'!AD160</f>
        <v>0.8306</v>
      </c>
      <c r="X202" s="67">
        <f>'Inputs_NT INM'!AE160</f>
        <v>0.8306</v>
      </c>
      <c r="Y202" s="67">
        <f>'Inputs_NT INM'!AF160</f>
        <v>0.8306</v>
      </c>
      <c r="Z202" s="67">
        <f>'Inputs_NT INM'!AG160</f>
        <v>0.8306</v>
      </c>
      <c r="AA202" s="67">
        <f>'Inputs_NT INM'!AH160</f>
        <v>0.8306</v>
      </c>
      <c r="AB202" s="67">
        <f>'Inputs_NT INM'!AI160</f>
        <v>0.8306</v>
      </c>
      <c r="AC202" s="67">
        <f>'Inputs_NT INM'!AJ160</f>
        <v>0.8306</v>
      </c>
      <c r="AD202" s="67">
        <f>'Inputs_NT INM'!AK160</f>
        <v>0.8306</v>
      </c>
      <c r="AE202" s="67">
        <f>'Inputs_NT INM'!AL160</f>
        <v>0.8306</v>
      </c>
      <c r="AF202" s="67">
        <f>'Inputs_NT INM'!AM160</f>
        <v>0.8306</v>
      </c>
      <c r="AG202" s="67">
        <f>'Inputs_NT INM'!AN160</f>
        <v>0.8306</v>
      </c>
      <c r="AH202" s="67"/>
      <c r="AI202" s="67"/>
      <c r="AJ202" s="67"/>
    </row>
    <row r="203" spans="1:36" x14ac:dyDescent="0.25">
      <c r="A203" s="9" t="str">
        <f>IF(COUNTIF(A$20:A$60,'Inputs_NT INM'!A161)=0,"*",'Inputs_NT INM'!A161)</f>
        <v>I-NM-LTH_GAS02</v>
      </c>
      <c r="B203" s="9" t="s">
        <v>964</v>
      </c>
      <c r="C203" s="9" t="s">
        <v>304</v>
      </c>
      <c r="D203" s="9">
        <f>'Inputs_NT INM'!H161</f>
        <v>2050</v>
      </c>
      <c r="E203" s="9" t="s">
        <v>460</v>
      </c>
      <c r="F203" s="67">
        <f>'Inputs_NT INM'!M161</f>
        <v>0.62294999999999989</v>
      </c>
      <c r="G203" s="67">
        <f>'Inputs_NT INM'!N161</f>
        <v>0.62294999999999989</v>
      </c>
      <c r="H203" s="67">
        <f>'Inputs_NT INM'!O161</f>
        <v>0.62294999999999989</v>
      </c>
      <c r="I203" s="67">
        <f>'Inputs_NT INM'!P161</f>
        <v>0.62294999999999989</v>
      </c>
      <c r="J203" s="67">
        <f>'Inputs_NT INM'!Q161</f>
        <v>0.62294999999999989</v>
      </c>
      <c r="K203" s="67">
        <f>'Inputs_NT INM'!R161</f>
        <v>0.62294999999999989</v>
      </c>
      <c r="L203" s="67">
        <f>'Inputs_NT INM'!S161</f>
        <v>0.62294999999999989</v>
      </c>
      <c r="M203" s="67">
        <f>'Inputs_NT INM'!T161</f>
        <v>0.62294999999999989</v>
      </c>
      <c r="N203" s="67">
        <f>'Inputs_NT INM'!U161</f>
        <v>0.62294999999999989</v>
      </c>
      <c r="O203" s="67">
        <f>'Inputs_NT INM'!V161</f>
        <v>0.62294999999999989</v>
      </c>
      <c r="P203" s="67">
        <f>'Inputs_NT INM'!W161</f>
        <v>0.62294999999999989</v>
      </c>
      <c r="Q203" s="67">
        <f>'Inputs_NT INM'!X161</f>
        <v>0.62294999999999989</v>
      </c>
      <c r="R203" s="67">
        <f>'Inputs_NT INM'!Y161</f>
        <v>0.62294999999999989</v>
      </c>
      <c r="S203" s="67">
        <f>'Inputs_NT INM'!Z161</f>
        <v>0.62294999999999989</v>
      </c>
      <c r="T203" s="67">
        <f>'Inputs_NT INM'!AA161</f>
        <v>0.62294999999999989</v>
      </c>
      <c r="U203" s="67">
        <f>'Inputs_NT INM'!AB161</f>
        <v>0.62294999999999989</v>
      </c>
      <c r="V203" s="67">
        <f>'Inputs_NT INM'!AC161</f>
        <v>0.62294999999999989</v>
      </c>
      <c r="W203" s="67">
        <f>'Inputs_NT INM'!AD161</f>
        <v>0.62294999999999989</v>
      </c>
      <c r="X203" s="67">
        <f>'Inputs_NT INM'!AE161</f>
        <v>0.62294999999999989</v>
      </c>
      <c r="Y203" s="67">
        <f>'Inputs_NT INM'!AF161</f>
        <v>0.62294999999999989</v>
      </c>
      <c r="Z203" s="67">
        <f>'Inputs_NT INM'!AG161</f>
        <v>0.62294999999999989</v>
      </c>
      <c r="AA203" s="67">
        <f>'Inputs_NT INM'!AH161</f>
        <v>0.62294999999999989</v>
      </c>
      <c r="AB203" s="67">
        <f>'Inputs_NT INM'!AI161</f>
        <v>0.62294999999999989</v>
      </c>
      <c r="AC203" s="67">
        <f>'Inputs_NT INM'!AJ161</f>
        <v>0.62294999999999989</v>
      </c>
      <c r="AD203" s="67">
        <f>'Inputs_NT INM'!AK161</f>
        <v>0.62294999999999989</v>
      </c>
      <c r="AE203" s="67">
        <f>'Inputs_NT INM'!AL161</f>
        <v>0.62294999999999989</v>
      </c>
      <c r="AF203" s="67">
        <f>'Inputs_NT INM'!AM161</f>
        <v>0.62294999999999989</v>
      </c>
      <c r="AG203" s="67">
        <f>'Inputs_NT INM'!AN161</f>
        <v>0.62294999999999989</v>
      </c>
      <c r="AH203" s="67"/>
      <c r="AI203" s="67"/>
      <c r="AJ203" s="67"/>
    </row>
    <row r="204" spans="1:36" x14ac:dyDescent="0.25">
      <c r="A204" s="9" t="str">
        <f>IF(COUNTIF(A$20:A$60,'Inputs_NT INM'!A162)=0,"*",'Inputs_NT INM'!A162)</f>
        <v>I-NM-LTH_HET02</v>
      </c>
      <c r="B204" s="9" t="s">
        <v>965</v>
      </c>
      <c r="C204" s="9" t="s">
        <v>304</v>
      </c>
      <c r="D204" s="9">
        <f>'Inputs_NT INM'!H162</f>
        <v>2050</v>
      </c>
      <c r="E204" s="9" t="s">
        <v>460</v>
      </c>
      <c r="F204" s="67">
        <f>'Inputs_NT INM'!M162</f>
        <v>1.0382499999999999</v>
      </c>
      <c r="G204" s="67">
        <f>'Inputs_NT INM'!N162</f>
        <v>1.0382499999999999</v>
      </c>
      <c r="H204" s="67">
        <f>'Inputs_NT INM'!O162</f>
        <v>1.0382499999999999</v>
      </c>
      <c r="I204" s="67">
        <f>'Inputs_NT INM'!P162</f>
        <v>1.0382499999999999</v>
      </c>
      <c r="J204" s="67">
        <f>'Inputs_NT INM'!Q162</f>
        <v>1.0382499999999999</v>
      </c>
      <c r="K204" s="67">
        <f>'Inputs_NT INM'!R162</f>
        <v>1.0382499999999999</v>
      </c>
      <c r="L204" s="67">
        <f>'Inputs_NT INM'!S162</f>
        <v>1.0382499999999999</v>
      </c>
      <c r="M204" s="67">
        <f>'Inputs_NT INM'!T162</f>
        <v>1.0382499999999999</v>
      </c>
      <c r="N204" s="67">
        <f>'Inputs_NT INM'!U162</f>
        <v>1.0382499999999999</v>
      </c>
      <c r="O204" s="67">
        <f>'Inputs_NT INM'!V162</f>
        <v>1.0382499999999999</v>
      </c>
      <c r="P204" s="67">
        <f>'Inputs_NT INM'!W162</f>
        <v>1.0382499999999999</v>
      </c>
      <c r="Q204" s="67">
        <f>'Inputs_NT INM'!X162</f>
        <v>1.0382499999999999</v>
      </c>
      <c r="R204" s="67">
        <f>'Inputs_NT INM'!Y162</f>
        <v>1.0382499999999999</v>
      </c>
      <c r="S204" s="67">
        <f>'Inputs_NT INM'!Z162</f>
        <v>1.0382499999999999</v>
      </c>
      <c r="T204" s="67">
        <f>'Inputs_NT INM'!AA162</f>
        <v>1.0382499999999999</v>
      </c>
      <c r="U204" s="67">
        <f>'Inputs_NT INM'!AB162</f>
        <v>1.0382499999999999</v>
      </c>
      <c r="V204" s="67">
        <f>'Inputs_NT INM'!AC162</f>
        <v>1.0382499999999999</v>
      </c>
      <c r="W204" s="67">
        <f>'Inputs_NT INM'!AD162</f>
        <v>1.0382499999999999</v>
      </c>
      <c r="X204" s="67">
        <f>'Inputs_NT INM'!AE162</f>
        <v>1.0382499999999999</v>
      </c>
      <c r="Y204" s="67">
        <f>'Inputs_NT INM'!AF162</f>
        <v>1.0382499999999999</v>
      </c>
      <c r="Z204" s="67">
        <f>'Inputs_NT INM'!AG162</f>
        <v>1.0382499999999999</v>
      </c>
      <c r="AA204" s="67">
        <f>'Inputs_NT INM'!AH162</f>
        <v>1.0382499999999999</v>
      </c>
      <c r="AB204" s="67">
        <f>'Inputs_NT INM'!AI162</f>
        <v>1.0382499999999999</v>
      </c>
      <c r="AC204" s="67">
        <f>'Inputs_NT INM'!AJ162</f>
        <v>1.0382499999999999</v>
      </c>
      <c r="AD204" s="67">
        <f>'Inputs_NT INM'!AK162</f>
        <v>1.0382499999999999</v>
      </c>
      <c r="AE204" s="67">
        <f>'Inputs_NT INM'!AL162</f>
        <v>1.0382499999999999</v>
      </c>
      <c r="AF204" s="67">
        <f>'Inputs_NT INM'!AM162</f>
        <v>1.0382499999999999</v>
      </c>
      <c r="AG204" s="67">
        <f>'Inputs_NT INM'!AN162</f>
        <v>1.0382499999999999</v>
      </c>
      <c r="AH204" s="67"/>
      <c r="AI204" s="67"/>
      <c r="AJ204" s="67"/>
    </row>
    <row r="205" spans="1:36" x14ac:dyDescent="0.25">
      <c r="A205" s="9" t="str">
        <f>IF(COUNTIF(A$20:A$60,'Inputs_NT INM'!A163)=0,"*",'Inputs_NT INM'!A163)</f>
        <v>I-NM-LTH_OIL02</v>
      </c>
      <c r="B205" s="9" t="s">
        <v>966</v>
      </c>
      <c r="C205" s="9" t="s">
        <v>304</v>
      </c>
      <c r="D205" s="9">
        <f>'Inputs_NT INM'!H163</f>
        <v>2050</v>
      </c>
      <c r="E205" s="9" t="s">
        <v>460</v>
      </c>
      <c r="F205" s="67">
        <f>'Inputs_NT INM'!M163</f>
        <v>0.4153</v>
      </c>
      <c r="G205" s="67">
        <f>'Inputs_NT INM'!N163</f>
        <v>0.4153</v>
      </c>
      <c r="H205" s="67">
        <f>'Inputs_NT INM'!O163</f>
        <v>0.4153</v>
      </c>
      <c r="I205" s="67">
        <f>'Inputs_NT INM'!P163</f>
        <v>0.4153</v>
      </c>
      <c r="J205" s="67">
        <f>'Inputs_NT INM'!Q163</f>
        <v>0.4153</v>
      </c>
      <c r="K205" s="67">
        <f>'Inputs_NT INM'!R163</f>
        <v>0.4153</v>
      </c>
      <c r="L205" s="67">
        <f>'Inputs_NT INM'!S163</f>
        <v>0.4153</v>
      </c>
      <c r="M205" s="67">
        <f>'Inputs_NT INM'!T163</f>
        <v>0.4153</v>
      </c>
      <c r="N205" s="67">
        <f>'Inputs_NT INM'!U163</f>
        <v>0.4153</v>
      </c>
      <c r="O205" s="67">
        <f>'Inputs_NT INM'!V163</f>
        <v>0.4153</v>
      </c>
      <c r="P205" s="67">
        <f>'Inputs_NT INM'!W163</f>
        <v>0.4153</v>
      </c>
      <c r="Q205" s="67">
        <f>'Inputs_NT INM'!X163</f>
        <v>0.4153</v>
      </c>
      <c r="R205" s="67">
        <f>'Inputs_NT INM'!Y163</f>
        <v>0.4153</v>
      </c>
      <c r="S205" s="67">
        <f>'Inputs_NT INM'!Z163</f>
        <v>0.4153</v>
      </c>
      <c r="T205" s="67">
        <f>'Inputs_NT INM'!AA163</f>
        <v>0.4153</v>
      </c>
      <c r="U205" s="67">
        <f>'Inputs_NT INM'!AB163</f>
        <v>0.4153</v>
      </c>
      <c r="V205" s="67">
        <f>'Inputs_NT INM'!AC163</f>
        <v>0.4153</v>
      </c>
      <c r="W205" s="67">
        <f>'Inputs_NT INM'!AD163</f>
        <v>0.4153</v>
      </c>
      <c r="X205" s="67">
        <f>'Inputs_NT INM'!AE163</f>
        <v>0.4153</v>
      </c>
      <c r="Y205" s="67">
        <f>'Inputs_NT INM'!AF163</f>
        <v>0.4153</v>
      </c>
      <c r="Z205" s="67">
        <f>'Inputs_NT INM'!AG163</f>
        <v>0.4153</v>
      </c>
      <c r="AA205" s="67">
        <f>'Inputs_NT INM'!AH163</f>
        <v>0.4153</v>
      </c>
      <c r="AB205" s="67">
        <f>'Inputs_NT INM'!AI163</f>
        <v>0.4153</v>
      </c>
      <c r="AC205" s="67">
        <f>'Inputs_NT INM'!AJ163</f>
        <v>0.4153</v>
      </c>
      <c r="AD205" s="67">
        <f>'Inputs_NT INM'!AK163</f>
        <v>0.4153</v>
      </c>
      <c r="AE205" s="67">
        <f>'Inputs_NT INM'!AL163</f>
        <v>0.4153</v>
      </c>
      <c r="AF205" s="67">
        <f>'Inputs_NT INM'!AM163</f>
        <v>0.4153</v>
      </c>
      <c r="AG205" s="67">
        <f>'Inputs_NT INM'!AN163</f>
        <v>0.4153</v>
      </c>
      <c r="AH205" s="67"/>
      <c r="AI205" s="67"/>
      <c r="AJ205" s="67"/>
    </row>
    <row r="206" spans="1:36" x14ac:dyDescent="0.25">
      <c r="A206" s="9" t="str">
        <f>IF(COUNTIF(A$20:A$60,'Inputs_NT INM'!A164)=0,"*",'Inputs_NT INM'!A164)</f>
        <v>I-NM-LTH_COA02</v>
      </c>
      <c r="B206" s="9" t="s">
        <v>967</v>
      </c>
      <c r="C206" s="9" t="s">
        <v>304</v>
      </c>
      <c r="D206" s="9">
        <f>'Inputs_NT INM'!H164</f>
        <v>2050</v>
      </c>
      <c r="E206" s="9" t="s">
        <v>460</v>
      </c>
      <c r="F206" s="67">
        <f>'Inputs_NT INM'!M164</f>
        <v>0.4153</v>
      </c>
      <c r="G206" s="67">
        <f>'Inputs_NT INM'!N164</f>
        <v>0.4153</v>
      </c>
      <c r="H206" s="67">
        <f>'Inputs_NT INM'!O164</f>
        <v>0.4153</v>
      </c>
      <c r="I206" s="67">
        <f>'Inputs_NT INM'!P164</f>
        <v>0.4153</v>
      </c>
      <c r="J206" s="67">
        <f>'Inputs_NT INM'!Q164</f>
        <v>0.4153</v>
      </c>
      <c r="K206" s="67">
        <f>'Inputs_NT INM'!R164</f>
        <v>0.4153</v>
      </c>
      <c r="L206" s="67">
        <f>'Inputs_NT INM'!S164</f>
        <v>0.4153</v>
      </c>
      <c r="M206" s="67">
        <f>'Inputs_NT INM'!T164</f>
        <v>0.4153</v>
      </c>
      <c r="N206" s="67">
        <f>'Inputs_NT INM'!U164</f>
        <v>0.4153</v>
      </c>
      <c r="O206" s="67">
        <f>'Inputs_NT INM'!V164</f>
        <v>0.4153</v>
      </c>
      <c r="P206" s="67">
        <f>'Inputs_NT INM'!W164</f>
        <v>0.4153</v>
      </c>
      <c r="Q206" s="67">
        <f>'Inputs_NT INM'!X164</f>
        <v>0.4153</v>
      </c>
      <c r="R206" s="67">
        <f>'Inputs_NT INM'!Y164</f>
        <v>0.4153</v>
      </c>
      <c r="S206" s="67">
        <f>'Inputs_NT INM'!Z164</f>
        <v>0.4153</v>
      </c>
      <c r="T206" s="67">
        <f>'Inputs_NT INM'!AA164</f>
        <v>0.4153</v>
      </c>
      <c r="U206" s="67">
        <f>'Inputs_NT INM'!AB164</f>
        <v>0.4153</v>
      </c>
      <c r="V206" s="67">
        <f>'Inputs_NT INM'!AC164</f>
        <v>0.4153</v>
      </c>
      <c r="W206" s="67">
        <f>'Inputs_NT INM'!AD164</f>
        <v>0.4153</v>
      </c>
      <c r="X206" s="67">
        <f>'Inputs_NT INM'!AE164</f>
        <v>0.4153</v>
      </c>
      <c r="Y206" s="67">
        <f>'Inputs_NT INM'!AF164</f>
        <v>0.4153</v>
      </c>
      <c r="Z206" s="67">
        <f>'Inputs_NT INM'!AG164</f>
        <v>0.4153</v>
      </c>
      <c r="AA206" s="67">
        <f>'Inputs_NT INM'!AH164</f>
        <v>0.4153</v>
      </c>
      <c r="AB206" s="67">
        <f>'Inputs_NT INM'!AI164</f>
        <v>0.4153</v>
      </c>
      <c r="AC206" s="67">
        <f>'Inputs_NT INM'!AJ164</f>
        <v>0.4153</v>
      </c>
      <c r="AD206" s="67">
        <f>'Inputs_NT INM'!AK164</f>
        <v>0.4153</v>
      </c>
      <c r="AE206" s="67">
        <f>'Inputs_NT INM'!AL164</f>
        <v>0.4153</v>
      </c>
      <c r="AF206" s="67">
        <f>'Inputs_NT INM'!AM164</f>
        <v>0.4153</v>
      </c>
      <c r="AG206" s="67">
        <f>'Inputs_NT INM'!AN164</f>
        <v>0.4153</v>
      </c>
      <c r="AH206" s="67"/>
      <c r="AI206" s="67"/>
      <c r="AJ206" s="67"/>
    </row>
    <row r="207" spans="1:36" x14ac:dyDescent="0.25">
      <c r="A207" s="9" t="str">
        <f>IF(COUNTIF(A$20:A$60,'Inputs_NT INM'!A165)=0,"*",'Inputs_NT INM'!A165)</f>
        <v>I-NM-LTH_BIO02</v>
      </c>
      <c r="B207" s="9" t="s">
        <v>968</v>
      </c>
      <c r="C207" s="9" t="s">
        <v>304</v>
      </c>
      <c r="D207" s="9">
        <f>'Inputs_NT INM'!H165</f>
        <v>2050</v>
      </c>
      <c r="E207" s="9" t="s">
        <v>460</v>
      </c>
      <c r="F207" s="67">
        <f>'Inputs_NT INM'!M165</f>
        <v>0.4153</v>
      </c>
      <c r="G207" s="67">
        <f>'Inputs_NT INM'!N165</f>
        <v>0.4153</v>
      </c>
      <c r="H207" s="67">
        <f>'Inputs_NT INM'!O165</f>
        <v>0.4153</v>
      </c>
      <c r="I207" s="67">
        <f>'Inputs_NT INM'!P165</f>
        <v>0.4153</v>
      </c>
      <c r="J207" s="67">
        <f>'Inputs_NT INM'!Q165</f>
        <v>0.4153</v>
      </c>
      <c r="K207" s="67">
        <f>'Inputs_NT INM'!R165</f>
        <v>0.4153</v>
      </c>
      <c r="L207" s="67">
        <f>'Inputs_NT INM'!S165</f>
        <v>0.4153</v>
      </c>
      <c r="M207" s="67">
        <f>'Inputs_NT INM'!T165</f>
        <v>0.4153</v>
      </c>
      <c r="N207" s="67">
        <f>'Inputs_NT INM'!U165</f>
        <v>0.4153</v>
      </c>
      <c r="O207" s="67">
        <f>'Inputs_NT INM'!V165</f>
        <v>0.4153</v>
      </c>
      <c r="P207" s="67">
        <f>'Inputs_NT INM'!W165</f>
        <v>0.4153</v>
      </c>
      <c r="Q207" s="67">
        <f>'Inputs_NT INM'!X165</f>
        <v>0.4153</v>
      </c>
      <c r="R207" s="67">
        <f>'Inputs_NT INM'!Y165</f>
        <v>0.4153</v>
      </c>
      <c r="S207" s="67">
        <f>'Inputs_NT INM'!Z165</f>
        <v>0.4153</v>
      </c>
      <c r="T207" s="67">
        <f>'Inputs_NT INM'!AA165</f>
        <v>0.4153</v>
      </c>
      <c r="U207" s="67">
        <f>'Inputs_NT INM'!AB165</f>
        <v>0.4153</v>
      </c>
      <c r="V207" s="67">
        <f>'Inputs_NT INM'!AC165</f>
        <v>0.4153</v>
      </c>
      <c r="W207" s="67">
        <f>'Inputs_NT INM'!AD165</f>
        <v>0.4153</v>
      </c>
      <c r="X207" s="67">
        <f>'Inputs_NT INM'!AE165</f>
        <v>0.4153</v>
      </c>
      <c r="Y207" s="67">
        <f>'Inputs_NT INM'!AF165</f>
        <v>0.4153</v>
      </c>
      <c r="Z207" s="67">
        <f>'Inputs_NT INM'!AG165</f>
        <v>0.4153</v>
      </c>
      <c r="AA207" s="67">
        <f>'Inputs_NT INM'!AH165</f>
        <v>0.4153</v>
      </c>
      <c r="AB207" s="67">
        <f>'Inputs_NT INM'!AI165</f>
        <v>0.4153</v>
      </c>
      <c r="AC207" s="67">
        <f>'Inputs_NT INM'!AJ165</f>
        <v>0.4153</v>
      </c>
      <c r="AD207" s="67">
        <f>'Inputs_NT INM'!AK165</f>
        <v>0.4153</v>
      </c>
      <c r="AE207" s="67">
        <f>'Inputs_NT INM'!AL165</f>
        <v>0.4153</v>
      </c>
      <c r="AF207" s="67">
        <f>'Inputs_NT INM'!AM165</f>
        <v>0.4153</v>
      </c>
      <c r="AG207" s="67">
        <f>'Inputs_NT INM'!AN165</f>
        <v>0.4153</v>
      </c>
      <c r="AH207" s="67"/>
      <c r="AI207" s="67"/>
      <c r="AJ207" s="67"/>
    </row>
    <row r="208" spans="1:36" x14ac:dyDescent="0.25">
      <c r="A208" s="9" t="str">
        <f>IF(COUNTIF(A$20:A$60,'Inputs_NT INM'!A166)=0,"*",'Inputs_NT INM'!A166)</f>
        <v>I-NM-LTH_ELC03</v>
      </c>
      <c r="B208" s="9" t="s">
        <v>969</v>
      </c>
      <c r="C208" s="9" t="s">
        <v>304</v>
      </c>
      <c r="D208" s="9">
        <f>'Inputs_NT INM'!H166</f>
        <v>2030</v>
      </c>
      <c r="E208" s="9" t="s">
        <v>460</v>
      </c>
      <c r="F208" s="67">
        <f>'Inputs_NT INM'!M166</f>
        <v>0.876</v>
      </c>
      <c r="G208" s="67">
        <f>'Inputs_NT INM'!N166</f>
        <v>0.876</v>
      </c>
      <c r="H208" s="67">
        <f>'Inputs_NT INM'!O166</f>
        <v>0.876</v>
      </c>
      <c r="I208" s="67">
        <f>'Inputs_NT INM'!P166</f>
        <v>0.876</v>
      </c>
      <c r="J208" s="67">
        <f>'Inputs_NT INM'!Q166</f>
        <v>0.876</v>
      </c>
      <c r="K208" s="67">
        <f>'Inputs_NT INM'!R166</f>
        <v>0.876</v>
      </c>
      <c r="L208" s="67">
        <f>'Inputs_NT INM'!S166</f>
        <v>0.876</v>
      </c>
      <c r="M208" s="67">
        <f>'Inputs_NT INM'!T166</f>
        <v>0.876</v>
      </c>
      <c r="N208" s="67">
        <f>'Inputs_NT INM'!U166</f>
        <v>0.876</v>
      </c>
      <c r="O208" s="67">
        <f>'Inputs_NT INM'!V166</f>
        <v>0.876</v>
      </c>
      <c r="P208" s="67">
        <f>'Inputs_NT INM'!W166</f>
        <v>0.876</v>
      </c>
      <c r="Q208" s="67">
        <f>'Inputs_NT INM'!X166</f>
        <v>0.876</v>
      </c>
      <c r="R208" s="67">
        <f>'Inputs_NT INM'!Y166</f>
        <v>0.876</v>
      </c>
      <c r="S208" s="67">
        <f>'Inputs_NT INM'!Z166</f>
        <v>0.876</v>
      </c>
      <c r="T208" s="67">
        <f>'Inputs_NT INM'!AA166</f>
        <v>0.876</v>
      </c>
      <c r="U208" s="67">
        <f>'Inputs_NT INM'!AB166</f>
        <v>0.876</v>
      </c>
      <c r="V208" s="67">
        <f>'Inputs_NT INM'!AC166</f>
        <v>0.876</v>
      </c>
      <c r="W208" s="67">
        <f>'Inputs_NT INM'!AD166</f>
        <v>0.876</v>
      </c>
      <c r="X208" s="67">
        <f>'Inputs_NT INM'!AE166</f>
        <v>0.876</v>
      </c>
      <c r="Y208" s="67">
        <f>'Inputs_NT INM'!AF166</f>
        <v>0.876</v>
      </c>
      <c r="Z208" s="67">
        <f>'Inputs_NT INM'!AG166</f>
        <v>0.876</v>
      </c>
      <c r="AA208" s="67">
        <f>'Inputs_NT INM'!AH166</f>
        <v>0.876</v>
      </c>
      <c r="AB208" s="67">
        <f>'Inputs_NT INM'!AI166</f>
        <v>0.876</v>
      </c>
      <c r="AC208" s="67">
        <f>'Inputs_NT INM'!AJ166</f>
        <v>0.876</v>
      </c>
      <c r="AD208" s="67">
        <f>'Inputs_NT INM'!AK166</f>
        <v>0.876</v>
      </c>
      <c r="AE208" s="67">
        <f>'Inputs_NT INM'!AL166</f>
        <v>0.876</v>
      </c>
      <c r="AF208" s="67">
        <f>'Inputs_NT INM'!AM166</f>
        <v>0.876</v>
      </c>
      <c r="AG208" s="67">
        <f>'Inputs_NT INM'!AN166</f>
        <v>0.876</v>
      </c>
      <c r="AH208" s="67"/>
      <c r="AI208" s="67"/>
      <c r="AJ208" s="67"/>
    </row>
    <row r="209" spans="1:36" x14ac:dyDescent="0.25">
      <c r="A209" s="9" t="str">
        <f>IF(COUNTIF(A$20:A$60,'Inputs_NT INM'!A167)=0,"*",'Inputs_NT INM'!A167)</f>
        <v>I-NM-LTH_GAS03</v>
      </c>
      <c r="B209" s="9" t="s">
        <v>970</v>
      </c>
      <c r="C209" s="9" t="s">
        <v>304</v>
      </c>
      <c r="D209" s="9">
        <f>'Inputs_NT INM'!H167</f>
        <v>2030</v>
      </c>
      <c r="E209" s="9" t="s">
        <v>460</v>
      </c>
      <c r="F209" s="67">
        <f>'Inputs_NT INM'!M167</f>
        <v>0.65699999999999992</v>
      </c>
      <c r="G209" s="67">
        <f>'Inputs_NT INM'!N167</f>
        <v>0.65699999999999992</v>
      </c>
      <c r="H209" s="67">
        <f>'Inputs_NT INM'!O167</f>
        <v>0.65699999999999992</v>
      </c>
      <c r="I209" s="67">
        <f>'Inputs_NT INM'!P167</f>
        <v>0.65699999999999992</v>
      </c>
      <c r="J209" s="67">
        <f>'Inputs_NT INM'!Q167</f>
        <v>0.65699999999999992</v>
      </c>
      <c r="K209" s="67">
        <f>'Inputs_NT INM'!R167</f>
        <v>0.65699999999999992</v>
      </c>
      <c r="L209" s="67">
        <f>'Inputs_NT INM'!S167</f>
        <v>0.65699999999999992</v>
      </c>
      <c r="M209" s="67">
        <f>'Inputs_NT INM'!T167</f>
        <v>0.65699999999999992</v>
      </c>
      <c r="N209" s="67">
        <f>'Inputs_NT INM'!U167</f>
        <v>0.65699999999999992</v>
      </c>
      <c r="O209" s="67">
        <f>'Inputs_NT INM'!V167</f>
        <v>0.65699999999999992</v>
      </c>
      <c r="P209" s="67">
        <f>'Inputs_NT INM'!W167</f>
        <v>0.65699999999999992</v>
      </c>
      <c r="Q209" s="67">
        <f>'Inputs_NT INM'!X167</f>
        <v>0.65699999999999992</v>
      </c>
      <c r="R209" s="67">
        <f>'Inputs_NT INM'!Y167</f>
        <v>0.65699999999999992</v>
      </c>
      <c r="S209" s="67">
        <f>'Inputs_NT INM'!Z167</f>
        <v>0.65699999999999992</v>
      </c>
      <c r="T209" s="67">
        <f>'Inputs_NT INM'!AA167</f>
        <v>0.65699999999999992</v>
      </c>
      <c r="U209" s="67">
        <f>'Inputs_NT INM'!AB167</f>
        <v>0.65699999999999992</v>
      </c>
      <c r="V209" s="67">
        <f>'Inputs_NT INM'!AC167</f>
        <v>0.65699999999999992</v>
      </c>
      <c r="W209" s="67">
        <f>'Inputs_NT INM'!AD167</f>
        <v>0.65699999999999992</v>
      </c>
      <c r="X209" s="67">
        <f>'Inputs_NT INM'!AE167</f>
        <v>0.65699999999999992</v>
      </c>
      <c r="Y209" s="67">
        <f>'Inputs_NT INM'!AF167</f>
        <v>0.65699999999999992</v>
      </c>
      <c r="Z209" s="67">
        <f>'Inputs_NT INM'!AG167</f>
        <v>0.65699999999999992</v>
      </c>
      <c r="AA209" s="67">
        <f>'Inputs_NT INM'!AH167</f>
        <v>0.65699999999999992</v>
      </c>
      <c r="AB209" s="67">
        <f>'Inputs_NT INM'!AI167</f>
        <v>0.65699999999999992</v>
      </c>
      <c r="AC209" s="67">
        <f>'Inputs_NT INM'!AJ167</f>
        <v>0.65699999999999992</v>
      </c>
      <c r="AD209" s="67">
        <f>'Inputs_NT INM'!AK167</f>
        <v>0.65699999999999992</v>
      </c>
      <c r="AE209" s="67">
        <f>'Inputs_NT INM'!AL167</f>
        <v>0.65699999999999992</v>
      </c>
      <c r="AF209" s="67">
        <f>'Inputs_NT INM'!AM167</f>
        <v>0.65699999999999992</v>
      </c>
      <c r="AG209" s="67">
        <f>'Inputs_NT INM'!AN167</f>
        <v>0.65699999999999992</v>
      </c>
      <c r="AH209" s="67"/>
      <c r="AI209" s="67"/>
      <c r="AJ209" s="67"/>
    </row>
    <row r="210" spans="1:36" x14ac:dyDescent="0.25">
      <c r="A210" s="9" t="str">
        <f>IF(COUNTIF(A$20:A$60,'Inputs_NT INM'!A168)=0,"*",'Inputs_NT INM'!A168)</f>
        <v>I-NM-LTH_HET03</v>
      </c>
      <c r="B210" s="9" t="s">
        <v>971</v>
      </c>
      <c r="C210" s="9" t="s">
        <v>304</v>
      </c>
      <c r="D210" s="9">
        <f>'Inputs_NT INM'!H168</f>
        <v>2030</v>
      </c>
      <c r="E210" s="9" t="s">
        <v>460</v>
      </c>
      <c r="F210" s="67">
        <f>'Inputs_NT INM'!M168</f>
        <v>1.095</v>
      </c>
      <c r="G210" s="67">
        <f>'Inputs_NT INM'!N168</f>
        <v>1.095</v>
      </c>
      <c r="H210" s="67">
        <f>'Inputs_NT INM'!O168</f>
        <v>1.095</v>
      </c>
      <c r="I210" s="67">
        <f>'Inputs_NT INM'!P168</f>
        <v>1.095</v>
      </c>
      <c r="J210" s="67">
        <f>'Inputs_NT INM'!Q168</f>
        <v>1.095</v>
      </c>
      <c r="K210" s="67">
        <f>'Inputs_NT INM'!R168</f>
        <v>1.095</v>
      </c>
      <c r="L210" s="67">
        <f>'Inputs_NT INM'!S168</f>
        <v>1.095</v>
      </c>
      <c r="M210" s="67">
        <f>'Inputs_NT INM'!T168</f>
        <v>1.095</v>
      </c>
      <c r="N210" s="67">
        <f>'Inputs_NT INM'!U168</f>
        <v>1.095</v>
      </c>
      <c r="O210" s="67">
        <f>'Inputs_NT INM'!V168</f>
        <v>1.095</v>
      </c>
      <c r="P210" s="67">
        <f>'Inputs_NT INM'!W168</f>
        <v>1.095</v>
      </c>
      <c r="Q210" s="67">
        <f>'Inputs_NT INM'!X168</f>
        <v>1.095</v>
      </c>
      <c r="R210" s="67">
        <f>'Inputs_NT INM'!Y168</f>
        <v>1.095</v>
      </c>
      <c r="S210" s="67">
        <f>'Inputs_NT INM'!Z168</f>
        <v>1.095</v>
      </c>
      <c r="T210" s="67">
        <f>'Inputs_NT INM'!AA168</f>
        <v>1.095</v>
      </c>
      <c r="U210" s="67">
        <f>'Inputs_NT INM'!AB168</f>
        <v>1.095</v>
      </c>
      <c r="V210" s="67">
        <f>'Inputs_NT INM'!AC168</f>
        <v>1.095</v>
      </c>
      <c r="W210" s="67">
        <f>'Inputs_NT INM'!AD168</f>
        <v>1.095</v>
      </c>
      <c r="X210" s="67">
        <f>'Inputs_NT INM'!AE168</f>
        <v>1.095</v>
      </c>
      <c r="Y210" s="67">
        <f>'Inputs_NT INM'!AF168</f>
        <v>1.095</v>
      </c>
      <c r="Z210" s="67">
        <f>'Inputs_NT INM'!AG168</f>
        <v>1.095</v>
      </c>
      <c r="AA210" s="67">
        <f>'Inputs_NT INM'!AH168</f>
        <v>1.095</v>
      </c>
      <c r="AB210" s="67">
        <f>'Inputs_NT INM'!AI168</f>
        <v>1.095</v>
      </c>
      <c r="AC210" s="67">
        <f>'Inputs_NT INM'!AJ168</f>
        <v>1.095</v>
      </c>
      <c r="AD210" s="67">
        <f>'Inputs_NT INM'!AK168</f>
        <v>1.095</v>
      </c>
      <c r="AE210" s="67">
        <f>'Inputs_NT INM'!AL168</f>
        <v>1.095</v>
      </c>
      <c r="AF210" s="67">
        <f>'Inputs_NT INM'!AM168</f>
        <v>1.095</v>
      </c>
      <c r="AG210" s="67">
        <f>'Inputs_NT INM'!AN168</f>
        <v>1.095</v>
      </c>
      <c r="AH210" s="67"/>
      <c r="AI210" s="67"/>
      <c r="AJ210" s="67"/>
    </row>
    <row r="211" spans="1:36" x14ac:dyDescent="0.25">
      <c r="A211" s="9" t="str">
        <f>IF(COUNTIF(A$20:A$60,'Inputs_NT INM'!A169)=0,"*",'Inputs_NT INM'!A169)</f>
        <v>I-NM-LTH_OIL03</v>
      </c>
      <c r="B211" s="9" t="s">
        <v>972</v>
      </c>
      <c r="C211" s="9" t="s">
        <v>304</v>
      </c>
      <c r="D211" s="9">
        <f>'Inputs_NT INM'!H169</f>
        <v>2030</v>
      </c>
      <c r="E211" s="9" t="s">
        <v>460</v>
      </c>
      <c r="F211" s="67">
        <f>'Inputs_NT INM'!M169</f>
        <v>0.438</v>
      </c>
      <c r="G211" s="67">
        <f>'Inputs_NT INM'!N169</f>
        <v>0.438</v>
      </c>
      <c r="H211" s="67">
        <f>'Inputs_NT INM'!O169</f>
        <v>0.438</v>
      </c>
      <c r="I211" s="67">
        <f>'Inputs_NT INM'!P169</f>
        <v>0.438</v>
      </c>
      <c r="J211" s="67">
        <f>'Inputs_NT INM'!Q169</f>
        <v>0.438</v>
      </c>
      <c r="K211" s="67">
        <f>'Inputs_NT INM'!R169</f>
        <v>0.438</v>
      </c>
      <c r="L211" s="67">
        <f>'Inputs_NT INM'!S169</f>
        <v>0.438</v>
      </c>
      <c r="M211" s="67">
        <f>'Inputs_NT INM'!T169</f>
        <v>0.438</v>
      </c>
      <c r="N211" s="67">
        <f>'Inputs_NT INM'!U169</f>
        <v>0.438</v>
      </c>
      <c r="O211" s="67">
        <f>'Inputs_NT INM'!V169</f>
        <v>0.438</v>
      </c>
      <c r="P211" s="67">
        <f>'Inputs_NT INM'!W169</f>
        <v>0.438</v>
      </c>
      <c r="Q211" s="67">
        <f>'Inputs_NT INM'!X169</f>
        <v>0.438</v>
      </c>
      <c r="R211" s="67">
        <f>'Inputs_NT INM'!Y169</f>
        <v>0.438</v>
      </c>
      <c r="S211" s="67">
        <f>'Inputs_NT INM'!Z169</f>
        <v>0.438</v>
      </c>
      <c r="T211" s="67">
        <f>'Inputs_NT INM'!AA169</f>
        <v>0.438</v>
      </c>
      <c r="U211" s="67">
        <f>'Inputs_NT INM'!AB169</f>
        <v>0.438</v>
      </c>
      <c r="V211" s="67">
        <f>'Inputs_NT INM'!AC169</f>
        <v>0.438</v>
      </c>
      <c r="W211" s="67">
        <f>'Inputs_NT INM'!AD169</f>
        <v>0.438</v>
      </c>
      <c r="X211" s="67">
        <f>'Inputs_NT INM'!AE169</f>
        <v>0.438</v>
      </c>
      <c r="Y211" s="67">
        <f>'Inputs_NT INM'!AF169</f>
        <v>0.438</v>
      </c>
      <c r="Z211" s="67">
        <f>'Inputs_NT INM'!AG169</f>
        <v>0.438</v>
      </c>
      <c r="AA211" s="67">
        <f>'Inputs_NT INM'!AH169</f>
        <v>0.438</v>
      </c>
      <c r="AB211" s="67">
        <f>'Inputs_NT INM'!AI169</f>
        <v>0.438</v>
      </c>
      <c r="AC211" s="67">
        <f>'Inputs_NT INM'!AJ169</f>
        <v>0.438</v>
      </c>
      <c r="AD211" s="67">
        <f>'Inputs_NT INM'!AK169</f>
        <v>0.438</v>
      </c>
      <c r="AE211" s="67">
        <f>'Inputs_NT INM'!AL169</f>
        <v>0.438</v>
      </c>
      <c r="AF211" s="67">
        <f>'Inputs_NT INM'!AM169</f>
        <v>0.438</v>
      </c>
      <c r="AG211" s="67">
        <f>'Inputs_NT INM'!AN169</f>
        <v>0.438</v>
      </c>
      <c r="AH211" s="67"/>
      <c r="AI211" s="67"/>
      <c r="AJ211" s="67"/>
    </row>
    <row r="212" spans="1:36" x14ac:dyDescent="0.25">
      <c r="A212" s="9" t="str">
        <f>IF(COUNTIF(A$20:A$60,'Inputs_NT INM'!A170)=0,"*",'Inputs_NT INM'!A170)</f>
        <v>I-NM-LTH_COA03</v>
      </c>
      <c r="B212" s="9" t="s">
        <v>973</v>
      </c>
      <c r="C212" s="9" t="s">
        <v>304</v>
      </c>
      <c r="D212" s="9">
        <f>'Inputs_NT INM'!H170</f>
        <v>2030</v>
      </c>
      <c r="E212" s="9" t="s">
        <v>460</v>
      </c>
      <c r="F212" s="67">
        <f>'Inputs_NT INM'!M170</f>
        <v>0.438</v>
      </c>
      <c r="G212" s="67">
        <f>'Inputs_NT INM'!N170</f>
        <v>0.438</v>
      </c>
      <c r="H212" s="67">
        <f>'Inputs_NT INM'!O170</f>
        <v>0.438</v>
      </c>
      <c r="I212" s="67">
        <f>'Inputs_NT INM'!P170</f>
        <v>0.438</v>
      </c>
      <c r="J212" s="67">
        <f>'Inputs_NT INM'!Q170</f>
        <v>0.438</v>
      </c>
      <c r="K212" s="67">
        <f>'Inputs_NT INM'!R170</f>
        <v>0.438</v>
      </c>
      <c r="L212" s="67">
        <f>'Inputs_NT INM'!S170</f>
        <v>0.438</v>
      </c>
      <c r="M212" s="67">
        <f>'Inputs_NT INM'!T170</f>
        <v>0.438</v>
      </c>
      <c r="N212" s="67">
        <f>'Inputs_NT INM'!U170</f>
        <v>0.438</v>
      </c>
      <c r="O212" s="67">
        <f>'Inputs_NT INM'!V170</f>
        <v>0.438</v>
      </c>
      <c r="P212" s="67">
        <f>'Inputs_NT INM'!W170</f>
        <v>0.438</v>
      </c>
      <c r="Q212" s="67">
        <f>'Inputs_NT INM'!X170</f>
        <v>0.438</v>
      </c>
      <c r="R212" s="67">
        <f>'Inputs_NT INM'!Y170</f>
        <v>0.438</v>
      </c>
      <c r="S212" s="67">
        <f>'Inputs_NT INM'!Z170</f>
        <v>0.438</v>
      </c>
      <c r="T212" s="67">
        <f>'Inputs_NT INM'!AA170</f>
        <v>0.438</v>
      </c>
      <c r="U212" s="67">
        <f>'Inputs_NT INM'!AB170</f>
        <v>0.438</v>
      </c>
      <c r="V212" s="67">
        <f>'Inputs_NT INM'!AC170</f>
        <v>0.438</v>
      </c>
      <c r="W212" s="67">
        <f>'Inputs_NT INM'!AD170</f>
        <v>0.438</v>
      </c>
      <c r="X212" s="67">
        <f>'Inputs_NT INM'!AE170</f>
        <v>0.438</v>
      </c>
      <c r="Y212" s="67">
        <f>'Inputs_NT INM'!AF170</f>
        <v>0.438</v>
      </c>
      <c r="Z212" s="67">
        <f>'Inputs_NT INM'!AG170</f>
        <v>0.438</v>
      </c>
      <c r="AA212" s="67">
        <f>'Inputs_NT INM'!AH170</f>
        <v>0.438</v>
      </c>
      <c r="AB212" s="67">
        <f>'Inputs_NT INM'!AI170</f>
        <v>0.438</v>
      </c>
      <c r="AC212" s="67">
        <f>'Inputs_NT INM'!AJ170</f>
        <v>0.438</v>
      </c>
      <c r="AD212" s="67">
        <f>'Inputs_NT INM'!AK170</f>
        <v>0.438</v>
      </c>
      <c r="AE212" s="67">
        <f>'Inputs_NT INM'!AL170</f>
        <v>0.438</v>
      </c>
      <c r="AF212" s="67">
        <f>'Inputs_NT INM'!AM170</f>
        <v>0.438</v>
      </c>
      <c r="AG212" s="67">
        <f>'Inputs_NT INM'!AN170</f>
        <v>0.438</v>
      </c>
      <c r="AH212" s="67"/>
      <c r="AI212" s="67"/>
      <c r="AJ212" s="67"/>
    </row>
    <row r="213" spans="1:36" x14ac:dyDescent="0.25">
      <c r="A213" s="9" t="str">
        <f>IF(COUNTIF(A$20:A$60,'Inputs_NT INM'!A171)=0,"*",'Inputs_NT INM'!A171)</f>
        <v>I-NM-LTH_BIO03</v>
      </c>
      <c r="B213" s="9" t="s">
        <v>974</v>
      </c>
      <c r="C213" s="9" t="s">
        <v>304</v>
      </c>
      <c r="D213" s="9">
        <f>'Inputs_NT INM'!H171</f>
        <v>2030</v>
      </c>
      <c r="E213" s="9" t="s">
        <v>460</v>
      </c>
      <c r="F213" s="67">
        <f>'Inputs_NT INM'!M171</f>
        <v>0.438</v>
      </c>
      <c r="G213" s="67">
        <f>'Inputs_NT INM'!N171</f>
        <v>0.438</v>
      </c>
      <c r="H213" s="67">
        <f>'Inputs_NT INM'!O171</f>
        <v>0.438</v>
      </c>
      <c r="I213" s="67">
        <f>'Inputs_NT INM'!P171</f>
        <v>0.438</v>
      </c>
      <c r="J213" s="67">
        <f>'Inputs_NT INM'!Q171</f>
        <v>0.438</v>
      </c>
      <c r="K213" s="67">
        <f>'Inputs_NT INM'!R171</f>
        <v>0.438</v>
      </c>
      <c r="L213" s="67">
        <f>'Inputs_NT INM'!S171</f>
        <v>0.438</v>
      </c>
      <c r="M213" s="67">
        <f>'Inputs_NT INM'!T171</f>
        <v>0.438</v>
      </c>
      <c r="N213" s="67">
        <f>'Inputs_NT INM'!U171</f>
        <v>0.438</v>
      </c>
      <c r="O213" s="67">
        <f>'Inputs_NT INM'!V171</f>
        <v>0.438</v>
      </c>
      <c r="P213" s="67">
        <f>'Inputs_NT INM'!W171</f>
        <v>0.438</v>
      </c>
      <c r="Q213" s="67">
        <f>'Inputs_NT INM'!X171</f>
        <v>0.438</v>
      </c>
      <c r="R213" s="67">
        <f>'Inputs_NT INM'!Y171</f>
        <v>0.438</v>
      </c>
      <c r="S213" s="67">
        <f>'Inputs_NT INM'!Z171</f>
        <v>0.438</v>
      </c>
      <c r="T213" s="67">
        <f>'Inputs_NT INM'!AA171</f>
        <v>0.438</v>
      </c>
      <c r="U213" s="67">
        <f>'Inputs_NT INM'!AB171</f>
        <v>0.438</v>
      </c>
      <c r="V213" s="67">
        <f>'Inputs_NT INM'!AC171</f>
        <v>0.438</v>
      </c>
      <c r="W213" s="67">
        <f>'Inputs_NT INM'!AD171</f>
        <v>0.438</v>
      </c>
      <c r="X213" s="67">
        <f>'Inputs_NT INM'!AE171</f>
        <v>0.438</v>
      </c>
      <c r="Y213" s="67">
        <f>'Inputs_NT INM'!AF171</f>
        <v>0.438</v>
      </c>
      <c r="Z213" s="67">
        <f>'Inputs_NT INM'!AG171</f>
        <v>0.438</v>
      </c>
      <c r="AA213" s="67">
        <f>'Inputs_NT INM'!AH171</f>
        <v>0.438</v>
      </c>
      <c r="AB213" s="67">
        <f>'Inputs_NT INM'!AI171</f>
        <v>0.438</v>
      </c>
      <c r="AC213" s="67">
        <f>'Inputs_NT INM'!AJ171</f>
        <v>0.438</v>
      </c>
      <c r="AD213" s="67">
        <f>'Inputs_NT INM'!AK171</f>
        <v>0.438</v>
      </c>
      <c r="AE213" s="67">
        <f>'Inputs_NT INM'!AL171</f>
        <v>0.438</v>
      </c>
      <c r="AF213" s="67">
        <f>'Inputs_NT INM'!AM171</f>
        <v>0.438</v>
      </c>
      <c r="AG213" s="67">
        <f>'Inputs_NT INM'!AN171</f>
        <v>0.438</v>
      </c>
      <c r="AH213" s="67"/>
      <c r="AI213" s="67"/>
      <c r="AJ213" s="67"/>
    </row>
    <row r="214" spans="1:36" x14ac:dyDescent="0.25">
      <c r="A214" s="9" t="str">
        <f>IF(COUNTIF(A$20:A$60,'Inputs_NT INM'!A172)=0,"*",'Inputs_NT INM'!A172)</f>
        <v>I-NM-LTH_H2G03</v>
      </c>
      <c r="B214" s="9" t="s">
        <v>975</v>
      </c>
      <c r="C214" s="9" t="s">
        <v>304</v>
      </c>
      <c r="D214" s="9">
        <f>'Inputs_NT INM'!H172</f>
        <v>2050</v>
      </c>
      <c r="E214" s="9" t="s">
        <v>460</v>
      </c>
      <c r="F214" s="67">
        <f>'Inputs_NT INM'!M172</f>
        <v>0.68399999999999994</v>
      </c>
      <c r="G214" s="67">
        <f>'Inputs_NT INM'!N172</f>
        <v>0.68399999999999994</v>
      </c>
      <c r="H214" s="67">
        <f>'Inputs_NT INM'!O172</f>
        <v>0.68399999999999994</v>
      </c>
      <c r="I214" s="67">
        <f>'Inputs_NT INM'!P172</f>
        <v>0.68399999999999994</v>
      </c>
      <c r="J214" s="67">
        <f>'Inputs_NT INM'!Q172</f>
        <v>0.68399999999999994</v>
      </c>
      <c r="K214" s="67">
        <f>'Inputs_NT INM'!R172</f>
        <v>0.68399999999999994</v>
      </c>
      <c r="L214" s="67">
        <f>'Inputs_NT INM'!S172</f>
        <v>0.68399999999999994</v>
      </c>
      <c r="M214" s="67">
        <f>'Inputs_NT INM'!T172</f>
        <v>0.68399999999999994</v>
      </c>
      <c r="N214" s="67">
        <f>'Inputs_NT INM'!U172</f>
        <v>0.68399999999999994</v>
      </c>
      <c r="O214" s="67">
        <f>'Inputs_NT INM'!V172</f>
        <v>0.68399999999999994</v>
      </c>
      <c r="P214" s="67">
        <f>'Inputs_NT INM'!W172</f>
        <v>0.68399999999999994</v>
      </c>
      <c r="Q214" s="67">
        <f>'Inputs_NT INM'!X172</f>
        <v>0.68399999999999994</v>
      </c>
      <c r="R214" s="67">
        <f>'Inputs_NT INM'!Y172</f>
        <v>0.68399999999999994</v>
      </c>
      <c r="S214" s="67">
        <f>'Inputs_NT INM'!Z172</f>
        <v>0.68399999999999994</v>
      </c>
      <c r="T214" s="67">
        <f>'Inputs_NT INM'!AA172</f>
        <v>0.68399999999999994</v>
      </c>
      <c r="U214" s="67">
        <f>'Inputs_NT INM'!AB172</f>
        <v>0.68399999999999994</v>
      </c>
      <c r="V214" s="67">
        <f>'Inputs_NT INM'!AC172</f>
        <v>0.68399999999999994</v>
      </c>
      <c r="W214" s="67">
        <f>'Inputs_NT INM'!AD172</f>
        <v>0.68399999999999994</v>
      </c>
      <c r="X214" s="67">
        <f>'Inputs_NT INM'!AE172</f>
        <v>0.68399999999999994</v>
      </c>
      <c r="Y214" s="67">
        <f>'Inputs_NT INM'!AF172</f>
        <v>0.68399999999999994</v>
      </c>
      <c r="Z214" s="67">
        <f>'Inputs_NT INM'!AG172</f>
        <v>0.68399999999999994</v>
      </c>
      <c r="AA214" s="67">
        <f>'Inputs_NT INM'!AH172</f>
        <v>0.68399999999999994</v>
      </c>
      <c r="AB214" s="67">
        <f>'Inputs_NT INM'!AI172</f>
        <v>0.68399999999999994</v>
      </c>
      <c r="AC214" s="67">
        <f>'Inputs_NT INM'!AJ172</f>
        <v>0.68399999999999994</v>
      </c>
      <c r="AD214" s="67">
        <f>'Inputs_NT INM'!AK172</f>
        <v>0.68399999999999994</v>
      </c>
      <c r="AE214" s="67">
        <f>'Inputs_NT INM'!AL172</f>
        <v>0.68399999999999994</v>
      </c>
      <c r="AF214" s="67">
        <f>'Inputs_NT INM'!AM172</f>
        <v>0.68399999999999994</v>
      </c>
      <c r="AG214" s="67">
        <f>'Inputs_NT INM'!AN172</f>
        <v>0.68399999999999994</v>
      </c>
      <c r="AH214" s="67"/>
      <c r="AI214" s="67"/>
      <c r="AJ214" s="67"/>
    </row>
    <row r="215" spans="1:36" x14ac:dyDescent="0.25">
      <c r="A215" s="9" t="str">
        <f>IF(COUNTIF(A$20:A$60,'Inputs_NT INM'!A173)=0,"*",'Inputs_NT INM'!A173)</f>
        <v>I-NM-LTH_ELC03</v>
      </c>
      <c r="B215" s="9" t="s">
        <v>969</v>
      </c>
      <c r="C215" s="9" t="s">
        <v>304</v>
      </c>
      <c r="D215" s="9">
        <f>'Inputs_NT INM'!H173</f>
        <v>2050</v>
      </c>
      <c r="E215" s="9" t="s">
        <v>460</v>
      </c>
      <c r="F215" s="67">
        <f>'Inputs_NT INM'!M173</f>
        <v>0.91199999999999992</v>
      </c>
      <c r="G215" s="67">
        <f>'Inputs_NT INM'!N173</f>
        <v>0.91199999999999992</v>
      </c>
      <c r="H215" s="67">
        <f>'Inputs_NT INM'!O173</f>
        <v>0.91199999999999992</v>
      </c>
      <c r="I215" s="67">
        <f>'Inputs_NT INM'!P173</f>
        <v>0.91199999999999992</v>
      </c>
      <c r="J215" s="67">
        <f>'Inputs_NT INM'!Q173</f>
        <v>0.91199999999999992</v>
      </c>
      <c r="K215" s="67">
        <f>'Inputs_NT INM'!R173</f>
        <v>0.91199999999999992</v>
      </c>
      <c r="L215" s="67">
        <f>'Inputs_NT INM'!S173</f>
        <v>0.91199999999999992</v>
      </c>
      <c r="M215" s="67">
        <f>'Inputs_NT INM'!T173</f>
        <v>0.91199999999999992</v>
      </c>
      <c r="N215" s="67">
        <f>'Inputs_NT INM'!U173</f>
        <v>0.91199999999999992</v>
      </c>
      <c r="O215" s="67">
        <f>'Inputs_NT INM'!V173</f>
        <v>0.91199999999999992</v>
      </c>
      <c r="P215" s="67">
        <f>'Inputs_NT INM'!W173</f>
        <v>0.91199999999999992</v>
      </c>
      <c r="Q215" s="67">
        <f>'Inputs_NT INM'!X173</f>
        <v>0.91199999999999992</v>
      </c>
      <c r="R215" s="67">
        <f>'Inputs_NT INM'!Y173</f>
        <v>0.91199999999999992</v>
      </c>
      <c r="S215" s="67">
        <f>'Inputs_NT INM'!Z173</f>
        <v>0.91199999999999992</v>
      </c>
      <c r="T215" s="67">
        <f>'Inputs_NT INM'!AA173</f>
        <v>0.91199999999999992</v>
      </c>
      <c r="U215" s="67">
        <f>'Inputs_NT INM'!AB173</f>
        <v>0.91199999999999992</v>
      </c>
      <c r="V215" s="67">
        <f>'Inputs_NT INM'!AC173</f>
        <v>0.91199999999999992</v>
      </c>
      <c r="W215" s="67">
        <f>'Inputs_NT INM'!AD173</f>
        <v>0.91199999999999992</v>
      </c>
      <c r="X215" s="67">
        <f>'Inputs_NT INM'!AE173</f>
        <v>0.91199999999999992</v>
      </c>
      <c r="Y215" s="67">
        <f>'Inputs_NT INM'!AF173</f>
        <v>0.91199999999999992</v>
      </c>
      <c r="Z215" s="67">
        <f>'Inputs_NT INM'!AG173</f>
        <v>0.91199999999999992</v>
      </c>
      <c r="AA215" s="67">
        <f>'Inputs_NT INM'!AH173</f>
        <v>0.91199999999999992</v>
      </c>
      <c r="AB215" s="67">
        <f>'Inputs_NT INM'!AI173</f>
        <v>0.91199999999999992</v>
      </c>
      <c r="AC215" s="67">
        <f>'Inputs_NT INM'!AJ173</f>
        <v>0.91199999999999992</v>
      </c>
      <c r="AD215" s="67">
        <f>'Inputs_NT INM'!AK173</f>
        <v>0.91199999999999992</v>
      </c>
      <c r="AE215" s="67">
        <f>'Inputs_NT INM'!AL173</f>
        <v>0.91199999999999992</v>
      </c>
      <c r="AF215" s="67">
        <f>'Inputs_NT INM'!AM173</f>
        <v>0.91199999999999992</v>
      </c>
      <c r="AG215" s="67">
        <f>'Inputs_NT INM'!AN173</f>
        <v>0.91199999999999992</v>
      </c>
      <c r="AH215" s="67"/>
      <c r="AI215" s="67"/>
      <c r="AJ215" s="67"/>
    </row>
    <row r="216" spans="1:36" x14ac:dyDescent="0.25">
      <c r="A216" s="9" t="str">
        <f>IF(COUNTIF(A$20:A$60,'Inputs_NT INM'!A174)=0,"*",'Inputs_NT INM'!A174)</f>
        <v>I-NM-LTH_GAS03</v>
      </c>
      <c r="B216" s="9" t="s">
        <v>970</v>
      </c>
      <c r="C216" s="9" t="s">
        <v>304</v>
      </c>
      <c r="D216" s="9">
        <f>'Inputs_NT INM'!H174</f>
        <v>2050</v>
      </c>
      <c r="E216" s="9" t="s">
        <v>460</v>
      </c>
      <c r="F216" s="67">
        <f>'Inputs_NT INM'!M174</f>
        <v>0.68399999999999994</v>
      </c>
      <c r="G216" s="67">
        <f>'Inputs_NT INM'!N174</f>
        <v>0.68399999999999994</v>
      </c>
      <c r="H216" s="67">
        <f>'Inputs_NT INM'!O174</f>
        <v>0.68399999999999994</v>
      </c>
      <c r="I216" s="67">
        <f>'Inputs_NT INM'!P174</f>
        <v>0.68399999999999994</v>
      </c>
      <c r="J216" s="67">
        <f>'Inputs_NT INM'!Q174</f>
        <v>0.68399999999999994</v>
      </c>
      <c r="K216" s="67">
        <f>'Inputs_NT INM'!R174</f>
        <v>0.68399999999999994</v>
      </c>
      <c r="L216" s="67">
        <f>'Inputs_NT INM'!S174</f>
        <v>0.68399999999999994</v>
      </c>
      <c r="M216" s="67">
        <f>'Inputs_NT INM'!T174</f>
        <v>0.68399999999999994</v>
      </c>
      <c r="N216" s="67">
        <f>'Inputs_NT INM'!U174</f>
        <v>0.68399999999999994</v>
      </c>
      <c r="O216" s="67">
        <f>'Inputs_NT INM'!V174</f>
        <v>0.68399999999999994</v>
      </c>
      <c r="P216" s="67">
        <f>'Inputs_NT INM'!W174</f>
        <v>0.68399999999999994</v>
      </c>
      <c r="Q216" s="67">
        <f>'Inputs_NT INM'!X174</f>
        <v>0.68399999999999994</v>
      </c>
      <c r="R216" s="67">
        <f>'Inputs_NT INM'!Y174</f>
        <v>0.68399999999999994</v>
      </c>
      <c r="S216" s="67">
        <f>'Inputs_NT INM'!Z174</f>
        <v>0.68399999999999994</v>
      </c>
      <c r="T216" s="67">
        <f>'Inputs_NT INM'!AA174</f>
        <v>0.68399999999999994</v>
      </c>
      <c r="U216" s="67">
        <f>'Inputs_NT INM'!AB174</f>
        <v>0.68399999999999994</v>
      </c>
      <c r="V216" s="67">
        <f>'Inputs_NT INM'!AC174</f>
        <v>0.68399999999999994</v>
      </c>
      <c r="W216" s="67">
        <f>'Inputs_NT INM'!AD174</f>
        <v>0.68399999999999994</v>
      </c>
      <c r="X216" s="67">
        <f>'Inputs_NT INM'!AE174</f>
        <v>0.68399999999999994</v>
      </c>
      <c r="Y216" s="67">
        <f>'Inputs_NT INM'!AF174</f>
        <v>0.68399999999999994</v>
      </c>
      <c r="Z216" s="67">
        <f>'Inputs_NT INM'!AG174</f>
        <v>0.68399999999999994</v>
      </c>
      <c r="AA216" s="67">
        <f>'Inputs_NT INM'!AH174</f>
        <v>0.68399999999999994</v>
      </c>
      <c r="AB216" s="67">
        <f>'Inputs_NT INM'!AI174</f>
        <v>0.68399999999999994</v>
      </c>
      <c r="AC216" s="67">
        <f>'Inputs_NT INM'!AJ174</f>
        <v>0.68399999999999994</v>
      </c>
      <c r="AD216" s="67">
        <f>'Inputs_NT INM'!AK174</f>
        <v>0.68399999999999994</v>
      </c>
      <c r="AE216" s="67">
        <f>'Inputs_NT INM'!AL174</f>
        <v>0.68399999999999994</v>
      </c>
      <c r="AF216" s="67">
        <f>'Inputs_NT INM'!AM174</f>
        <v>0.68399999999999994</v>
      </c>
      <c r="AG216" s="67">
        <f>'Inputs_NT INM'!AN174</f>
        <v>0.68399999999999994</v>
      </c>
      <c r="AH216" s="67"/>
      <c r="AI216" s="67"/>
      <c r="AJ216" s="67"/>
    </row>
    <row r="217" spans="1:36" x14ac:dyDescent="0.25">
      <c r="A217" s="9" t="str">
        <f>IF(COUNTIF(A$20:A$60,'Inputs_NT INM'!A175)=0,"*",'Inputs_NT INM'!A175)</f>
        <v>I-NM-LTH_HET03</v>
      </c>
      <c r="B217" s="9" t="s">
        <v>971</v>
      </c>
      <c r="C217" s="9" t="s">
        <v>304</v>
      </c>
      <c r="D217" s="9">
        <f>'Inputs_NT INM'!H175</f>
        <v>2050</v>
      </c>
      <c r="E217" s="9" t="s">
        <v>460</v>
      </c>
      <c r="F217" s="67">
        <f>'Inputs_NT INM'!M175</f>
        <v>1.1399999999999999</v>
      </c>
      <c r="G217" s="67">
        <f>'Inputs_NT INM'!N175</f>
        <v>1.1399999999999999</v>
      </c>
      <c r="H217" s="67">
        <f>'Inputs_NT INM'!O175</f>
        <v>1.1399999999999999</v>
      </c>
      <c r="I217" s="67">
        <f>'Inputs_NT INM'!P175</f>
        <v>1.1399999999999999</v>
      </c>
      <c r="J217" s="67">
        <f>'Inputs_NT INM'!Q175</f>
        <v>1.1399999999999999</v>
      </c>
      <c r="K217" s="67">
        <f>'Inputs_NT INM'!R175</f>
        <v>1.1399999999999999</v>
      </c>
      <c r="L217" s="67">
        <f>'Inputs_NT INM'!S175</f>
        <v>1.1399999999999999</v>
      </c>
      <c r="M217" s="67">
        <f>'Inputs_NT INM'!T175</f>
        <v>1.1399999999999999</v>
      </c>
      <c r="N217" s="67">
        <f>'Inputs_NT INM'!U175</f>
        <v>1.1399999999999999</v>
      </c>
      <c r="O217" s="67">
        <f>'Inputs_NT INM'!V175</f>
        <v>1.1399999999999999</v>
      </c>
      <c r="P217" s="67">
        <f>'Inputs_NT INM'!W175</f>
        <v>1.1399999999999999</v>
      </c>
      <c r="Q217" s="67">
        <f>'Inputs_NT INM'!X175</f>
        <v>1.1399999999999999</v>
      </c>
      <c r="R217" s="67">
        <f>'Inputs_NT INM'!Y175</f>
        <v>1.1399999999999999</v>
      </c>
      <c r="S217" s="67">
        <f>'Inputs_NT INM'!Z175</f>
        <v>1.1399999999999999</v>
      </c>
      <c r="T217" s="67">
        <f>'Inputs_NT INM'!AA175</f>
        <v>1.1399999999999999</v>
      </c>
      <c r="U217" s="67">
        <f>'Inputs_NT INM'!AB175</f>
        <v>1.1399999999999999</v>
      </c>
      <c r="V217" s="67">
        <f>'Inputs_NT INM'!AC175</f>
        <v>1.1399999999999999</v>
      </c>
      <c r="W217" s="67">
        <f>'Inputs_NT INM'!AD175</f>
        <v>1.1399999999999999</v>
      </c>
      <c r="X217" s="67">
        <f>'Inputs_NT INM'!AE175</f>
        <v>1.1399999999999999</v>
      </c>
      <c r="Y217" s="67">
        <f>'Inputs_NT INM'!AF175</f>
        <v>1.1399999999999999</v>
      </c>
      <c r="Z217" s="67">
        <f>'Inputs_NT INM'!AG175</f>
        <v>1.1399999999999999</v>
      </c>
      <c r="AA217" s="67">
        <f>'Inputs_NT INM'!AH175</f>
        <v>1.1399999999999999</v>
      </c>
      <c r="AB217" s="67">
        <f>'Inputs_NT INM'!AI175</f>
        <v>1.1399999999999999</v>
      </c>
      <c r="AC217" s="67">
        <f>'Inputs_NT INM'!AJ175</f>
        <v>1.1399999999999999</v>
      </c>
      <c r="AD217" s="67">
        <f>'Inputs_NT INM'!AK175</f>
        <v>1.1399999999999999</v>
      </c>
      <c r="AE217" s="67">
        <f>'Inputs_NT INM'!AL175</f>
        <v>1.1399999999999999</v>
      </c>
      <c r="AF217" s="67">
        <f>'Inputs_NT INM'!AM175</f>
        <v>1.1399999999999999</v>
      </c>
      <c r="AG217" s="67">
        <f>'Inputs_NT INM'!AN175</f>
        <v>1.1399999999999999</v>
      </c>
      <c r="AH217" s="67"/>
      <c r="AI217" s="67"/>
      <c r="AJ217" s="67"/>
    </row>
    <row r="218" spans="1:36" x14ac:dyDescent="0.25">
      <c r="A218" s="9" t="str">
        <f>IF(COUNTIF(A$20:A$60,'Inputs_NT INM'!A176)=0,"*",'Inputs_NT INM'!A176)</f>
        <v>I-NM-LTH_OIL03</v>
      </c>
      <c r="B218" s="9" t="s">
        <v>972</v>
      </c>
      <c r="C218" s="9" t="s">
        <v>304</v>
      </c>
      <c r="D218" s="9">
        <f>'Inputs_NT INM'!H176</f>
        <v>2050</v>
      </c>
      <c r="E218" s="9" t="s">
        <v>460</v>
      </c>
      <c r="F218" s="67">
        <f>'Inputs_NT INM'!M176</f>
        <v>0.45599999999999996</v>
      </c>
      <c r="G218" s="67">
        <f>'Inputs_NT INM'!N176</f>
        <v>0.45599999999999996</v>
      </c>
      <c r="H218" s="67">
        <f>'Inputs_NT INM'!O176</f>
        <v>0.45599999999999996</v>
      </c>
      <c r="I218" s="67">
        <f>'Inputs_NT INM'!P176</f>
        <v>0.45599999999999996</v>
      </c>
      <c r="J218" s="67">
        <f>'Inputs_NT INM'!Q176</f>
        <v>0.45599999999999996</v>
      </c>
      <c r="K218" s="67">
        <f>'Inputs_NT INM'!R176</f>
        <v>0.45599999999999996</v>
      </c>
      <c r="L218" s="67">
        <f>'Inputs_NT INM'!S176</f>
        <v>0.45599999999999996</v>
      </c>
      <c r="M218" s="67">
        <f>'Inputs_NT INM'!T176</f>
        <v>0.45599999999999996</v>
      </c>
      <c r="N218" s="67">
        <f>'Inputs_NT INM'!U176</f>
        <v>0.45599999999999996</v>
      </c>
      <c r="O218" s="67">
        <f>'Inputs_NT INM'!V176</f>
        <v>0.45599999999999996</v>
      </c>
      <c r="P218" s="67">
        <f>'Inputs_NT INM'!W176</f>
        <v>0.45599999999999996</v>
      </c>
      <c r="Q218" s="67">
        <f>'Inputs_NT INM'!X176</f>
        <v>0.45599999999999996</v>
      </c>
      <c r="R218" s="67">
        <f>'Inputs_NT INM'!Y176</f>
        <v>0.45599999999999996</v>
      </c>
      <c r="S218" s="67">
        <f>'Inputs_NT INM'!Z176</f>
        <v>0.45599999999999996</v>
      </c>
      <c r="T218" s="67">
        <f>'Inputs_NT INM'!AA176</f>
        <v>0.45599999999999996</v>
      </c>
      <c r="U218" s="67">
        <f>'Inputs_NT INM'!AB176</f>
        <v>0.45599999999999996</v>
      </c>
      <c r="V218" s="67">
        <f>'Inputs_NT INM'!AC176</f>
        <v>0.45599999999999996</v>
      </c>
      <c r="W218" s="67">
        <f>'Inputs_NT INM'!AD176</f>
        <v>0.45599999999999996</v>
      </c>
      <c r="X218" s="67">
        <f>'Inputs_NT INM'!AE176</f>
        <v>0.45599999999999996</v>
      </c>
      <c r="Y218" s="67">
        <f>'Inputs_NT INM'!AF176</f>
        <v>0.45599999999999996</v>
      </c>
      <c r="Z218" s="67">
        <f>'Inputs_NT INM'!AG176</f>
        <v>0.45599999999999996</v>
      </c>
      <c r="AA218" s="67">
        <f>'Inputs_NT INM'!AH176</f>
        <v>0.45599999999999996</v>
      </c>
      <c r="AB218" s="67">
        <f>'Inputs_NT INM'!AI176</f>
        <v>0.45599999999999996</v>
      </c>
      <c r="AC218" s="67">
        <f>'Inputs_NT INM'!AJ176</f>
        <v>0.45599999999999996</v>
      </c>
      <c r="AD218" s="67">
        <f>'Inputs_NT INM'!AK176</f>
        <v>0.45599999999999996</v>
      </c>
      <c r="AE218" s="67">
        <f>'Inputs_NT INM'!AL176</f>
        <v>0.45599999999999996</v>
      </c>
      <c r="AF218" s="67">
        <f>'Inputs_NT INM'!AM176</f>
        <v>0.45599999999999996</v>
      </c>
      <c r="AG218" s="67">
        <f>'Inputs_NT INM'!AN176</f>
        <v>0.45599999999999996</v>
      </c>
      <c r="AH218" s="67"/>
      <c r="AI218" s="67"/>
      <c r="AJ218" s="67"/>
    </row>
    <row r="219" spans="1:36" x14ac:dyDescent="0.25">
      <c r="A219" s="9" t="str">
        <f>IF(COUNTIF(A$20:A$60,'Inputs_NT INM'!A177)=0,"*",'Inputs_NT INM'!A177)</f>
        <v>I-NM-LTH_COA03</v>
      </c>
      <c r="B219" s="9" t="s">
        <v>973</v>
      </c>
      <c r="C219" s="9" t="s">
        <v>304</v>
      </c>
      <c r="D219" s="9">
        <f>'Inputs_NT INM'!H177</f>
        <v>2050</v>
      </c>
      <c r="E219" s="9" t="s">
        <v>460</v>
      </c>
      <c r="F219" s="67">
        <f>'Inputs_NT INM'!M177</f>
        <v>0.45599999999999996</v>
      </c>
      <c r="G219" s="67">
        <f>'Inputs_NT INM'!N177</f>
        <v>0.45599999999999996</v>
      </c>
      <c r="H219" s="67">
        <f>'Inputs_NT INM'!O177</f>
        <v>0.45599999999999996</v>
      </c>
      <c r="I219" s="67">
        <f>'Inputs_NT INM'!P177</f>
        <v>0.45599999999999996</v>
      </c>
      <c r="J219" s="67">
        <f>'Inputs_NT INM'!Q177</f>
        <v>0.45599999999999996</v>
      </c>
      <c r="K219" s="67">
        <f>'Inputs_NT INM'!R177</f>
        <v>0.45599999999999996</v>
      </c>
      <c r="L219" s="67">
        <f>'Inputs_NT INM'!S177</f>
        <v>0.45599999999999996</v>
      </c>
      <c r="M219" s="67">
        <f>'Inputs_NT INM'!T177</f>
        <v>0.45599999999999996</v>
      </c>
      <c r="N219" s="67">
        <f>'Inputs_NT INM'!U177</f>
        <v>0.45599999999999996</v>
      </c>
      <c r="O219" s="67">
        <f>'Inputs_NT INM'!V177</f>
        <v>0.45599999999999996</v>
      </c>
      <c r="P219" s="67">
        <f>'Inputs_NT INM'!W177</f>
        <v>0.45599999999999996</v>
      </c>
      <c r="Q219" s="67">
        <f>'Inputs_NT INM'!X177</f>
        <v>0.45599999999999996</v>
      </c>
      <c r="R219" s="67">
        <f>'Inputs_NT INM'!Y177</f>
        <v>0.45599999999999996</v>
      </c>
      <c r="S219" s="67">
        <f>'Inputs_NT INM'!Z177</f>
        <v>0.45599999999999996</v>
      </c>
      <c r="T219" s="67">
        <f>'Inputs_NT INM'!AA177</f>
        <v>0.45599999999999996</v>
      </c>
      <c r="U219" s="67">
        <f>'Inputs_NT INM'!AB177</f>
        <v>0.45599999999999996</v>
      </c>
      <c r="V219" s="67">
        <f>'Inputs_NT INM'!AC177</f>
        <v>0.45599999999999996</v>
      </c>
      <c r="W219" s="67">
        <f>'Inputs_NT INM'!AD177</f>
        <v>0.45599999999999996</v>
      </c>
      <c r="X219" s="67">
        <f>'Inputs_NT INM'!AE177</f>
        <v>0.45599999999999996</v>
      </c>
      <c r="Y219" s="67">
        <f>'Inputs_NT INM'!AF177</f>
        <v>0.45599999999999996</v>
      </c>
      <c r="Z219" s="67">
        <f>'Inputs_NT INM'!AG177</f>
        <v>0.45599999999999996</v>
      </c>
      <c r="AA219" s="67">
        <f>'Inputs_NT INM'!AH177</f>
        <v>0.45599999999999996</v>
      </c>
      <c r="AB219" s="67">
        <f>'Inputs_NT INM'!AI177</f>
        <v>0.45599999999999996</v>
      </c>
      <c r="AC219" s="67">
        <f>'Inputs_NT INM'!AJ177</f>
        <v>0.45599999999999996</v>
      </c>
      <c r="AD219" s="67">
        <f>'Inputs_NT INM'!AK177</f>
        <v>0.45599999999999996</v>
      </c>
      <c r="AE219" s="67">
        <f>'Inputs_NT INM'!AL177</f>
        <v>0.45599999999999996</v>
      </c>
      <c r="AF219" s="67">
        <f>'Inputs_NT INM'!AM177</f>
        <v>0.45599999999999996</v>
      </c>
      <c r="AG219" s="67">
        <f>'Inputs_NT INM'!AN177</f>
        <v>0.45599999999999996</v>
      </c>
      <c r="AH219" s="67"/>
      <c r="AI219" s="67"/>
      <c r="AJ219" s="67"/>
    </row>
    <row r="220" spans="1:36" x14ac:dyDescent="0.25">
      <c r="A220" s="9" t="str">
        <f>IF(COUNTIF(A$20:A$60,'Inputs_NT INM'!A178)=0,"*",'Inputs_NT INM'!A178)</f>
        <v>I-NM-LTH_BIO03</v>
      </c>
      <c r="B220" s="9" t="s">
        <v>974</v>
      </c>
      <c r="C220" s="9" t="s">
        <v>304</v>
      </c>
      <c r="D220" s="9">
        <f>'Inputs_NT INM'!H178</f>
        <v>2050</v>
      </c>
      <c r="E220" s="9" t="s">
        <v>460</v>
      </c>
      <c r="F220" s="67">
        <f>'Inputs_NT INM'!M178</f>
        <v>0.45599999999999996</v>
      </c>
      <c r="G220" s="67">
        <f>'Inputs_NT INM'!N178</f>
        <v>0.45599999999999996</v>
      </c>
      <c r="H220" s="67">
        <f>'Inputs_NT INM'!O178</f>
        <v>0.45599999999999996</v>
      </c>
      <c r="I220" s="67">
        <f>'Inputs_NT INM'!P178</f>
        <v>0.45599999999999996</v>
      </c>
      <c r="J220" s="67">
        <f>'Inputs_NT INM'!Q178</f>
        <v>0.45599999999999996</v>
      </c>
      <c r="K220" s="67">
        <f>'Inputs_NT INM'!R178</f>
        <v>0.45599999999999996</v>
      </c>
      <c r="L220" s="67">
        <f>'Inputs_NT INM'!S178</f>
        <v>0.45599999999999996</v>
      </c>
      <c r="M220" s="67">
        <f>'Inputs_NT INM'!T178</f>
        <v>0.45599999999999996</v>
      </c>
      <c r="N220" s="67">
        <f>'Inputs_NT INM'!U178</f>
        <v>0.45599999999999996</v>
      </c>
      <c r="O220" s="67">
        <f>'Inputs_NT INM'!V178</f>
        <v>0.45599999999999996</v>
      </c>
      <c r="P220" s="67">
        <f>'Inputs_NT INM'!W178</f>
        <v>0.45599999999999996</v>
      </c>
      <c r="Q220" s="67">
        <f>'Inputs_NT INM'!X178</f>
        <v>0.45599999999999996</v>
      </c>
      <c r="R220" s="67">
        <f>'Inputs_NT INM'!Y178</f>
        <v>0.45599999999999996</v>
      </c>
      <c r="S220" s="67">
        <f>'Inputs_NT INM'!Z178</f>
        <v>0.45599999999999996</v>
      </c>
      <c r="T220" s="67">
        <f>'Inputs_NT INM'!AA178</f>
        <v>0.45599999999999996</v>
      </c>
      <c r="U220" s="67">
        <f>'Inputs_NT INM'!AB178</f>
        <v>0.45599999999999996</v>
      </c>
      <c r="V220" s="67">
        <f>'Inputs_NT INM'!AC178</f>
        <v>0.45599999999999996</v>
      </c>
      <c r="W220" s="67">
        <f>'Inputs_NT INM'!AD178</f>
        <v>0.45599999999999996</v>
      </c>
      <c r="X220" s="67">
        <f>'Inputs_NT INM'!AE178</f>
        <v>0.45599999999999996</v>
      </c>
      <c r="Y220" s="67">
        <f>'Inputs_NT INM'!AF178</f>
        <v>0.45599999999999996</v>
      </c>
      <c r="Z220" s="67">
        <f>'Inputs_NT INM'!AG178</f>
        <v>0.45599999999999996</v>
      </c>
      <c r="AA220" s="67">
        <f>'Inputs_NT INM'!AH178</f>
        <v>0.45599999999999996</v>
      </c>
      <c r="AB220" s="67">
        <f>'Inputs_NT INM'!AI178</f>
        <v>0.45599999999999996</v>
      </c>
      <c r="AC220" s="67">
        <f>'Inputs_NT INM'!AJ178</f>
        <v>0.45599999999999996</v>
      </c>
      <c r="AD220" s="67">
        <f>'Inputs_NT INM'!AK178</f>
        <v>0.45599999999999996</v>
      </c>
      <c r="AE220" s="67">
        <f>'Inputs_NT INM'!AL178</f>
        <v>0.45599999999999996</v>
      </c>
      <c r="AF220" s="67">
        <f>'Inputs_NT INM'!AM178</f>
        <v>0.45599999999999996</v>
      </c>
      <c r="AG220" s="67">
        <f>'Inputs_NT INM'!AN178</f>
        <v>0.45599999999999996</v>
      </c>
      <c r="AH220" s="67"/>
      <c r="AI220" s="67"/>
      <c r="AJ220" s="67"/>
    </row>
    <row r="221" spans="1:36" x14ac:dyDescent="0.25">
      <c r="A221" s="9" t="str">
        <f>IF(COUNTIF(A$20:A$60,'Inputs_NT INM'!A179)=0,"*",'Inputs_NT INM'!A179)</f>
        <v>I-NM-LTH_H2G03</v>
      </c>
      <c r="B221" s="9" t="s">
        <v>975</v>
      </c>
      <c r="C221" s="9" t="s">
        <v>304</v>
      </c>
      <c r="D221" s="9">
        <f>'Inputs_NT INM'!H179</f>
        <v>2050</v>
      </c>
      <c r="E221" s="9" t="s">
        <v>460</v>
      </c>
      <c r="F221" s="67">
        <f>'Inputs_NT INM'!M179</f>
        <v>0.68399999999999994</v>
      </c>
      <c r="G221" s="67">
        <f>'Inputs_NT INM'!N179</f>
        <v>0.68399999999999994</v>
      </c>
      <c r="H221" s="67">
        <f>'Inputs_NT INM'!O179</f>
        <v>0.68399999999999994</v>
      </c>
      <c r="I221" s="67">
        <f>'Inputs_NT INM'!P179</f>
        <v>0.68399999999999994</v>
      </c>
      <c r="J221" s="67">
        <f>'Inputs_NT INM'!Q179</f>
        <v>0.68399999999999994</v>
      </c>
      <c r="K221" s="67">
        <f>'Inputs_NT INM'!R179</f>
        <v>0.68399999999999994</v>
      </c>
      <c r="L221" s="67">
        <f>'Inputs_NT INM'!S179</f>
        <v>0.68399999999999994</v>
      </c>
      <c r="M221" s="67">
        <f>'Inputs_NT INM'!T179</f>
        <v>0.68399999999999994</v>
      </c>
      <c r="N221" s="67">
        <f>'Inputs_NT INM'!U179</f>
        <v>0.68399999999999994</v>
      </c>
      <c r="O221" s="67">
        <f>'Inputs_NT INM'!V179</f>
        <v>0.68399999999999994</v>
      </c>
      <c r="P221" s="67">
        <f>'Inputs_NT INM'!W179</f>
        <v>0.68399999999999994</v>
      </c>
      <c r="Q221" s="67">
        <f>'Inputs_NT INM'!X179</f>
        <v>0.68399999999999994</v>
      </c>
      <c r="R221" s="67">
        <f>'Inputs_NT INM'!Y179</f>
        <v>0.68399999999999994</v>
      </c>
      <c r="S221" s="67">
        <f>'Inputs_NT INM'!Z179</f>
        <v>0.68399999999999994</v>
      </c>
      <c r="T221" s="67">
        <f>'Inputs_NT INM'!AA179</f>
        <v>0.68399999999999994</v>
      </c>
      <c r="U221" s="67">
        <f>'Inputs_NT INM'!AB179</f>
        <v>0.68399999999999994</v>
      </c>
      <c r="V221" s="67">
        <f>'Inputs_NT INM'!AC179</f>
        <v>0.68399999999999994</v>
      </c>
      <c r="W221" s="67">
        <f>'Inputs_NT INM'!AD179</f>
        <v>0.68399999999999994</v>
      </c>
      <c r="X221" s="67">
        <f>'Inputs_NT INM'!AE179</f>
        <v>0.68399999999999994</v>
      </c>
      <c r="Y221" s="67">
        <f>'Inputs_NT INM'!AF179</f>
        <v>0.68399999999999994</v>
      </c>
      <c r="Z221" s="67">
        <f>'Inputs_NT INM'!AG179</f>
        <v>0.68399999999999994</v>
      </c>
      <c r="AA221" s="67">
        <f>'Inputs_NT INM'!AH179</f>
        <v>0.68399999999999994</v>
      </c>
      <c r="AB221" s="67">
        <f>'Inputs_NT INM'!AI179</f>
        <v>0.68399999999999994</v>
      </c>
      <c r="AC221" s="67">
        <f>'Inputs_NT INM'!AJ179</f>
        <v>0.68399999999999994</v>
      </c>
      <c r="AD221" s="67">
        <f>'Inputs_NT INM'!AK179</f>
        <v>0.68399999999999994</v>
      </c>
      <c r="AE221" s="67">
        <f>'Inputs_NT INM'!AL179</f>
        <v>0.68399999999999994</v>
      </c>
      <c r="AF221" s="67">
        <f>'Inputs_NT INM'!AM179</f>
        <v>0.68399999999999994</v>
      </c>
      <c r="AG221" s="67">
        <f>'Inputs_NT INM'!AN179</f>
        <v>0.68399999999999994</v>
      </c>
      <c r="AH221" s="67"/>
      <c r="AI221" s="67"/>
      <c r="AJ221" s="67"/>
    </row>
    <row r="222" spans="1:36" x14ac:dyDescent="0.25">
      <c r="A222" s="9" t="str">
        <f>IF(COUNTIF(A$20:A$60,'Inputs_NT INM'!A180)=0,"*",'Inputs_NT INM'!A180)</f>
        <v>I-NM-MDR_ELC01</v>
      </c>
      <c r="B222" s="9" t="s">
        <v>976</v>
      </c>
      <c r="C222" s="9" t="s">
        <v>304</v>
      </c>
      <c r="D222" s="9">
        <f>'Inputs_NT INM'!H180</f>
        <v>2020</v>
      </c>
      <c r="E222" s="9" t="s">
        <v>460</v>
      </c>
      <c r="F222" s="67">
        <f>'Inputs_NT INM'!M180</f>
        <v>0.8</v>
      </c>
      <c r="G222" s="67">
        <f>'Inputs_NT INM'!N180</f>
        <v>0.8</v>
      </c>
      <c r="H222" s="67">
        <f>'Inputs_NT INM'!O180</f>
        <v>0.8</v>
      </c>
      <c r="I222" s="67">
        <f>'Inputs_NT INM'!P180</f>
        <v>0.8</v>
      </c>
      <c r="J222" s="67">
        <f>'Inputs_NT INM'!Q180</f>
        <v>0.8</v>
      </c>
      <c r="K222" s="67">
        <f>'Inputs_NT INM'!R180</f>
        <v>0.8</v>
      </c>
      <c r="L222" s="67">
        <f>'Inputs_NT INM'!S180</f>
        <v>0.8</v>
      </c>
      <c r="M222" s="67">
        <f>'Inputs_NT INM'!T180</f>
        <v>0.8</v>
      </c>
      <c r="N222" s="67">
        <f>'Inputs_NT INM'!U180</f>
        <v>0.8</v>
      </c>
      <c r="O222" s="67">
        <f>'Inputs_NT INM'!V180</f>
        <v>0.8</v>
      </c>
      <c r="P222" s="67">
        <f>'Inputs_NT INM'!W180</f>
        <v>0.8</v>
      </c>
      <c r="Q222" s="67">
        <f>'Inputs_NT INM'!X180</f>
        <v>0.8</v>
      </c>
      <c r="R222" s="67">
        <f>'Inputs_NT INM'!Y180</f>
        <v>0.8</v>
      </c>
      <c r="S222" s="67">
        <f>'Inputs_NT INM'!Z180</f>
        <v>0.8</v>
      </c>
      <c r="T222" s="67">
        <f>'Inputs_NT INM'!AA180</f>
        <v>0.8</v>
      </c>
      <c r="U222" s="67">
        <f>'Inputs_NT INM'!AB180</f>
        <v>0.8</v>
      </c>
      <c r="V222" s="67">
        <f>'Inputs_NT INM'!AC180</f>
        <v>0.8</v>
      </c>
      <c r="W222" s="67">
        <f>'Inputs_NT INM'!AD180</f>
        <v>0.8</v>
      </c>
      <c r="X222" s="67">
        <f>'Inputs_NT INM'!AE180</f>
        <v>0.8</v>
      </c>
      <c r="Y222" s="67">
        <f>'Inputs_NT INM'!AF180</f>
        <v>0.8</v>
      </c>
      <c r="Z222" s="67">
        <f>'Inputs_NT INM'!AG180</f>
        <v>0.8</v>
      </c>
      <c r="AA222" s="67">
        <f>'Inputs_NT INM'!AH180</f>
        <v>0.8</v>
      </c>
      <c r="AB222" s="67">
        <f>'Inputs_NT INM'!AI180</f>
        <v>0.8</v>
      </c>
      <c r="AC222" s="67">
        <f>'Inputs_NT INM'!AJ180</f>
        <v>0.8</v>
      </c>
      <c r="AD222" s="67">
        <f>'Inputs_NT INM'!AK180</f>
        <v>0.8</v>
      </c>
      <c r="AE222" s="67">
        <f>'Inputs_NT INM'!AL180</f>
        <v>0.8</v>
      </c>
      <c r="AF222" s="67">
        <f>'Inputs_NT INM'!AM180</f>
        <v>0.8</v>
      </c>
      <c r="AG222" s="67">
        <f>'Inputs_NT INM'!AN180</f>
        <v>0.8</v>
      </c>
      <c r="AH222" s="67"/>
      <c r="AI222" s="67"/>
      <c r="AJ222" s="67"/>
    </row>
    <row r="223" spans="1:36" x14ac:dyDescent="0.25">
      <c r="A223" s="9" t="str">
        <f>IF(COUNTIF(A$20:A$60,'Inputs_NT INM'!A181)=0,"*",'Inputs_NT INM'!A181)</f>
        <v>I-NM-MDR_ELC02</v>
      </c>
      <c r="B223" s="9" t="s">
        <v>977</v>
      </c>
      <c r="C223" s="9" t="s">
        <v>304</v>
      </c>
      <c r="D223" s="9">
        <f>'Inputs_NT INM'!H181</f>
        <v>2025</v>
      </c>
      <c r="E223" s="9" t="s">
        <v>460</v>
      </c>
      <c r="F223" s="67">
        <f>'Inputs_NT INM'!M181</f>
        <v>0.8</v>
      </c>
      <c r="G223" s="67">
        <f>'Inputs_NT INM'!N181</f>
        <v>0.8</v>
      </c>
      <c r="H223" s="67">
        <f>'Inputs_NT INM'!O181</f>
        <v>0.8</v>
      </c>
      <c r="I223" s="67">
        <f>'Inputs_NT INM'!P181</f>
        <v>0.8</v>
      </c>
      <c r="J223" s="67">
        <f>'Inputs_NT INM'!Q181</f>
        <v>0.8</v>
      </c>
      <c r="K223" s="67">
        <f>'Inputs_NT INM'!R181</f>
        <v>0.8</v>
      </c>
      <c r="L223" s="67">
        <f>'Inputs_NT INM'!S181</f>
        <v>0.8</v>
      </c>
      <c r="M223" s="67">
        <f>'Inputs_NT INM'!T181</f>
        <v>0.8</v>
      </c>
      <c r="N223" s="67">
        <f>'Inputs_NT INM'!U181</f>
        <v>0.8</v>
      </c>
      <c r="O223" s="67">
        <f>'Inputs_NT INM'!V181</f>
        <v>0.8</v>
      </c>
      <c r="P223" s="67">
        <f>'Inputs_NT INM'!W181</f>
        <v>0.8</v>
      </c>
      <c r="Q223" s="67">
        <f>'Inputs_NT INM'!X181</f>
        <v>0.8</v>
      </c>
      <c r="R223" s="67">
        <f>'Inputs_NT INM'!Y181</f>
        <v>0.8</v>
      </c>
      <c r="S223" s="67">
        <f>'Inputs_NT INM'!Z181</f>
        <v>0.8</v>
      </c>
      <c r="T223" s="67">
        <f>'Inputs_NT INM'!AA181</f>
        <v>0.8</v>
      </c>
      <c r="U223" s="67">
        <f>'Inputs_NT INM'!AB181</f>
        <v>0.8</v>
      </c>
      <c r="V223" s="67">
        <f>'Inputs_NT INM'!AC181</f>
        <v>0.8</v>
      </c>
      <c r="W223" s="67">
        <f>'Inputs_NT INM'!AD181</f>
        <v>0.8</v>
      </c>
      <c r="X223" s="67">
        <f>'Inputs_NT INM'!AE181</f>
        <v>0.8</v>
      </c>
      <c r="Y223" s="67">
        <f>'Inputs_NT INM'!AF181</f>
        <v>0.8</v>
      </c>
      <c r="Z223" s="67">
        <f>'Inputs_NT INM'!AG181</f>
        <v>0.8</v>
      </c>
      <c r="AA223" s="67">
        <f>'Inputs_NT INM'!AH181</f>
        <v>0.8</v>
      </c>
      <c r="AB223" s="67">
        <f>'Inputs_NT INM'!AI181</f>
        <v>0.8</v>
      </c>
      <c r="AC223" s="67">
        <f>'Inputs_NT INM'!AJ181</f>
        <v>0.8</v>
      </c>
      <c r="AD223" s="67">
        <f>'Inputs_NT INM'!AK181</f>
        <v>0.8</v>
      </c>
      <c r="AE223" s="67">
        <f>'Inputs_NT INM'!AL181</f>
        <v>0.8</v>
      </c>
      <c r="AF223" s="67">
        <f>'Inputs_NT INM'!AM181</f>
        <v>0.8</v>
      </c>
      <c r="AG223" s="67">
        <f>'Inputs_NT INM'!AN181</f>
        <v>0.8</v>
      </c>
      <c r="AH223" s="67"/>
      <c r="AI223" s="67"/>
      <c r="AJ223" s="67"/>
    </row>
    <row r="224" spans="1:36" x14ac:dyDescent="0.25">
      <c r="A224" s="9" t="str">
        <f>IF(COUNTIF(A$20:A$60,'Inputs_NT INM'!A182)=0,"*",'Inputs_NT INM'!A182)</f>
        <v>I-NM-MDR_ELC02</v>
      </c>
      <c r="B224" s="9" t="s">
        <v>977</v>
      </c>
      <c r="C224" s="9" t="s">
        <v>304</v>
      </c>
      <c r="D224" s="9">
        <f>'Inputs_NT INM'!H182</f>
        <v>2030</v>
      </c>
      <c r="E224" s="9" t="s">
        <v>460</v>
      </c>
      <c r="F224" s="67">
        <f>'Inputs_NT INM'!M182</f>
        <v>0.82600000000000007</v>
      </c>
      <c r="G224" s="67">
        <f>'Inputs_NT INM'!N182</f>
        <v>0.82600000000000007</v>
      </c>
      <c r="H224" s="67">
        <f>'Inputs_NT INM'!O182</f>
        <v>0.82600000000000007</v>
      </c>
      <c r="I224" s="67">
        <f>'Inputs_NT INM'!P182</f>
        <v>0.82600000000000007</v>
      </c>
      <c r="J224" s="67">
        <f>'Inputs_NT INM'!Q182</f>
        <v>0.82600000000000007</v>
      </c>
      <c r="K224" s="67">
        <f>'Inputs_NT INM'!R182</f>
        <v>0.82600000000000007</v>
      </c>
      <c r="L224" s="67">
        <f>'Inputs_NT INM'!S182</f>
        <v>0.82600000000000007</v>
      </c>
      <c r="M224" s="67">
        <f>'Inputs_NT INM'!T182</f>
        <v>0.82600000000000007</v>
      </c>
      <c r="N224" s="67">
        <f>'Inputs_NT INM'!U182</f>
        <v>0.82600000000000007</v>
      </c>
      <c r="O224" s="67">
        <f>'Inputs_NT INM'!V182</f>
        <v>0.82600000000000007</v>
      </c>
      <c r="P224" s="67">
        <f>'Inputs_NT INM'!W182</f>
        <v>0.82600000000000007</v>
      </c>
      <c r="Q224" s="67">
        <f>'Inputs_NT INM'!X182</f>
        <v>0.82600000000000007</v>
      </c>
      <c r="R224" s="67">
        <f>'Inputs_NT INM'!Y182</f>
        <v>0.82600000000000007</v>
      </c>
      <c r="S224" s="67">
        <f>'Inputs_NT INM'!Z182</f>
        <v>0.82600000000000007</v>
      </c>
      <c r="T224" s="67">
        <f>'Inputs_NT INM'!AA182</f>
        <v>0.82600000000000007</v>
      </c>
      <c r="U224" s="67">
        <f>'Inputs_NT INM'!AB182</f>
        <v>0.82600000000000007</v>
      </c>
      <c r="V224" s="67">
        <f>'Inputs_NT INM'!AC182</f>
        <v>0.82600000000000007</v>
      </c>
      <c r="W224" s="67">
        <f>'Inputs_NT INM'!AD182</f>
        <v>0.82600000000000007</v>
      </c>
      <c r="X224" s="67">
        <f>'Inputs_NT INM'!AE182</f>
        <v>0.82600000000000007</v>
      </c>
      <c r="Y224" s="67">
        <f>'Inputs_NT INM'!AF182</f>
        <v>0.82600000000000007</v>
      </c>
      <c r="Z224" s="67">
        <f>'Inputs_NT INM'!AG182</f>
        <v>0.82600000000000007</v>
      </c>
      <c r="AA224" s="67">
        <f>'Inputs_NT INM'!AH182</f>
        <v>0.82600000000000007</v>
      </c>
      <c r="AB224" s="67">
        <f>'Inputs_NT INM'!AI182</f>
        <v>0.82600000000000007</v>
      </c>
      <c r="AC224" s="67">
        <f>'Inputs_NT INM'!AJ182</f>
        <v>0.82600000000000007</v>
      </c>
      <c r="AD224" s="67">
        <f>'Inputs_NT INM'!AK182</f>
        <v>0.82600000000000007</v>
      </c>
      <c r="AE224" s="67">
        <f>'Inputs_NT INM'!AL182</f>
        <v>0.82600000000000007</v>
      </c>
      <c r="AF224" s="67">
        <f>'Inputs_NT INM'!AM182</f>
        <v>0.82600000000000007</v>
      </c>
      <c r="AG224" s="67">
        <f>'Inputs_NT INM'!AN182</f>
        <v>0.82600000000000007</v>
      </c>
      <c r="AH224" s="67"/>
      <c r="AI224" s="67"/>
      <c r="AJ224" s="67"/>
    </row>
    <row r="225" spans="1:36" x14ac:dyDescent="0.25">
      <c r="A225" s="9" t="str">
        <f>IF(COUNTIF(A$20:A$60,'Inputs_NT INM'!A183)=0,"*",'Inputs_NT INM'!A183)</f>
        <v>I-NM-MDR_ELC02</v>
      </c>
      <c r="B225" s="9" t="s">
        <v>977</v>
      </c>
      <c r="C225" s="9" t="s">
        <v>304</v>
      </c>
      <c r="D225" s="9">
        <f>'Inputs_NT INM'!H183</f>
        <v>2050</v>
      </c>
      <c r="E225" s="9" t="s">
        <v>460</v>
      </c>
      <c r="F225" s="67">
        <f>'Inputs_NT INM'!M183</f>
        <v>0.84419999999999984</v>
      </c>
      <c r="G225" s="67">
        <f>'Inputs_NT INM'!N183</f>
        <v>0.84419999999999984</v>
      </c>
      <c r="H225" s="67">
        <f>'Inputs_NT INM'!O183</f>
        <v>0.84419999999999984</v>
      </c>
      <c r="I225" s="67">
        <f>'Inputs_NT INM'!P183</f>
        <v>0.84419999999999984</v>
      </c>
      <c r="J225" s="67">
        <f>'Inputs_NT INM'!Q183</f>
        <v>0.84419999999999984</v>
      </c>
      <c r="K225" s="67">
        <f>'Inputs_NT INM'!R183</f>
        <v>0.84419999999999984</v>
      </c>
      <c r="L225" s="67">
        <f>'Inputs_NT INM'!S183</f>
        <v>0.84419999999999984</v>
      </c>
      <c r="M225" s="67">
        <f>'Inputs_NT INM'!T183</f>
        <v>0.84419999999999984</v>
      </c>
      <c r="N225" s="67">
        <f>'Inputs_NT INM'!U183</f>
        <v>0.84419999999999984</v>
      </c>
      <c r="O225" s="67">
        <f>'Inputs_NT INM'!V183</f>
        <v>0.84419999999999984</v>
      </c>
      <c r="P225" s="67">
        <f>'Inputs_NT INM'!W183</f>
        <v>0.84419999999999984</v>
      </c>
      <c r="Q225" s="67">
        <f>'Inputs_NT INM'!X183</f>
        <v>0.84419999999999984</v>
      </c>
      <c r="R225" s="67">
        <f>'Inputs_NT INM'!Y183</f>
        <v>0.84419999999999984</v>
      </c>
      <c r="S225" s="67">
        <f>'Inputs_NT INM'!Z183</f>
        <v>0.84419999999999984</v>
      </c>
      <c r="T225" s="67">
        <f>'Inputs_NT INM'!AA183</f>
        <v>0.84419999999999984</v>
      </c>
      <c r="U225" s="67">
        <f>'Inputs_NT INM'!AB183</f>
        <v>0.84419999999999984</v>
      </c>
      <c r="V225" s="67">
        <f>'Inputs_NT INM'!AC183</f>
        <v>0.84419999999999984</v>
      </c>
      <c r="W225" s="67">
        <f>'Inputs_NT INM'!AD183</f>
        <v>0.84419999999999984</v>
      </c>
      <c r="X225" s="67">
        <f>'Inputs_NT INM'!AE183</f>
        <v>0.84419999999999984</v>
      </c>
      <c r="Y225" s="67">
        <f>'Inputs_NT INM'!AF183</f>
        <v>0.84419999999999984</v>
      </c>
      <c r="Z225" s="67">
        <f>'Inputs_NT INM'!AG183</f>
        <v>0.84419999999999984</v>
      </c>
      <c r="AA225" s="67">
        <f>'Inputs_NT INM'!AH183</f>
        <v>0.84419999999999984</v>
      </c>
      <c r="AB225" s="67">
        <f>'Inputs_NT INM'!AI183</f>
        <v>0.84419999999999984</v>
      </c>
      <c r="AC225" s="67">
        <f>'Inputs_NT INM'!AJ183</f>
        <v>0.84419999999999984</v>
      </c>
      <c r="AD225" s="67">
        <f>'Inputs_NT INM'!AK183</f>
        <v>0.84419999999999984</v>
      </c>
      <c r="AE225" s="67">
        <f>'Inputs_NT INM'!AL183</f>
        <v>0.84419999999999984</v>
      </c>
      <c r="AF225" s="67">
        <f>'Inputs_NT INM'!AM183</f>
        <v>0.84419999999999984</v>
      </c>
      <c r="AG225" s="67">
        <f>'Inputs_NT INM'!AN183</f>
        <v>0.84419999999999984</v>
      </c>
      <c r="AH225" s="67"/>
      <c r="AI225" s="67"/>
      <c r="AJ225" s="67"/>
    </row>
    <row r="226" spans="1:36" x14ac:dyDescent="0.25">
      <c r="A226" s="9" t="str">
        <f>IF(COUNTIF(A$20:A$60,'Inputs_NT INM'!A184)=0,"*",'Inputs_NT INM'!A184)</f>
        <v>I-NM-MDR_ELC03</v>
      </c>
      <c r="B226" s="9" t="s">
        <v>978</v>
      </c>
      <c r="C226" s="9" t="s">
        <v>304</v>
      </c>
      <c r="D226" s="9">
        <f>'Inputs_NT INM'!H184</f>
        <v>2030</v>
      </c>
      <c r="E226" s="9" t="s">
        <v>460</v>
      </c>
      <c r="F226" s="67">
        <f>'Inputs_NT INM'!M184</f>
        <v>0.89600000000000013</v>
      </c>
      <c r="G226" s="67">
        <f>'Inputs_NT INM'!N184</f>
        <v>0.89600000000000013</v>
      </c>
      <c r="H226" s="67">
        <f>'Inputs_NT INM'!O184</f>
        <v>0.89600000000000013</v>
      </c>
      <c r="I226" s="67">
        <f>'Inputs_NT INM'!P184</f>
        <v>0.89600000000000013</v>
      </c>
      <c r="J226" s="67">
        <f>'Inputs_NT INM'!Q184</f>
        <v>0.89600000000000013</v>
      </c>
      <c r="K226" s="67">
        <f>'Inputs_NT INM'!R184</f>
        <v>0.89600000000000013</v>
      </c>
      <c r="L226" s="67">
        <f>'Inputs_NT INM'!S184</f>
        <v>0.89600000000000013</v>
      </c>
      <c r="M226" s="67">
        <f>'Inputs_NT INM'!T184</f>
        <v>0.89600000000000013</v>
      </c>
      <c r="N226" s="67">
        <f>'Inputs_NT INM'!U184</f>
        <v>0.89600000000000013</v>
      </c>
      <c r="O226" s="67">
        <f>'Inputs_NT INM'!V184</f>
        <v>0.89600000000000013</v>
      </c>
      <c r="P226" s="67">
        <f>'Inputs_NT INM'!W184</f>
        <v>0.89600000000000013</v>
      </c>
      <c r="Q226" s="67">
        <f>'Inputs_NT INM'!X184</f>
        <v>0.89600000000000013</v>
      </c>
      <c r="R226" s="67">
        <f>'Inputs_NT INM'!Y184</f>
        <v>0.89600000000000013</v>
      </c>
      <c r="S226" s="67">
        <f>'Inputs_NT INM'!Z184</f>
        <v>0.89600000000000013</v>
      </c>
      <c r="T226" s="67">
        <f>'Inputs_NT INM'!AA184</f>
        <v>0.89600000000000013</v>
      </c>
      <c r="U226" s="67">
        <f>'Inputs_NT INM'!AB184</f>
        <v>0.89600000000000013</v>
      </c>
      <c r="V226" s="67">
        <f>'Inputs_NT INM'!AC184</f>
        <v>0.89600000000000013</v>
      </c>
      <c r="W226" s="67">
        <f>'Inputs_NT INM'!AD184</f>
        <v>0.89600000000000013</v>
      </c>
      <c r="X226" s="67">
        <f>'Inputs_NT INM'!AE184</f>
        <v>0.89600000000000013</v>
      </c>
      <c r="Y226" s="67">
        <f>'Inputs_NT INM'!AF184</f>
        <v>0.89600000000000013</v>
      </c>
      <c r="Z226" s="67">
        <f>'Inputs_NT INM'!AG184</f>
        <v>0.89600000000000013</v>
      </c>
      <c r="AA226" s="67">
        <f>'Inputs_NT INM'!AH184</f>
        <v>0.89600000000000013</v>
      </c>
      <c r="AB226" s="67">
        <f>'Inputs_NT INM'!AI184</f>
        <v>0.89600000000000013</v>
      </c>
      <c r="AC226" s="67">
        <f>'Inputs_NT INM'!AJ184</f>
        <v>0.89600000000000013</v>
      </c>
      <c r="AD226" s="67">
        <f>'Inputs_NT INM'!AK184</f>
        <v>0.89600000000000013</v>
      </c>
      <c r="AE226" s="67">
        <f>'Inputs_NT INM'!AL184</f>
        <v>0.89600000000000013</v>
      </c>
      <c r="AF226" s="67">
        <f>'Inputs_NT INM'!AM184</f>
        <v>0.89600000000000013</v>
      </c>
      <c r="AG226" s="67">
        <f>'Inputs_NT INM'!AN184</f>
        <v>0.89600000000000013</v>
      </c>
      <c r="AH226" s="67"/>
      <c r="AI226" s="67"/>
      <c r="AJ226" s="67"/>
    </row>
    <row r="227" spans="1:36" x14ac:dyDescent="0.25">
      <c r="A227" s="9" t="str">
        <f>IF(COUNTIF(A$20:A$60,'Inputs_NT INM'!A185)=0,"*",'Inputs_NT INM'!A185)</f>
        <v>I-NM-MDR_ELC03</v>
      </c>
      <c r="B227" s="9" t="s">
        <v>978</v>
      </c>
      <c r="C227" s="9" t="s">
        <v>304</v>
      </c>
      <c r="D227" s="9">
        <f>'Inputs_NT INM'!H185</f>
        <v>2050</v>
      </c>
      <c r="E227" s="9" t="s">
        <v>460</v>
      </c>
      <c r="F227" s="67">
        <f>'Inputs_NT INM'!M185</f>
        <v>1.016</v>
      </c>
      <c r="G227" s="67">
        <f>'Inputs_NT INM'!N185</f>
        <v>1.016</v>
      </c>
      <c r="H227" s="67">
        <f>'Inputs_NT INM'!O185</f>
        <v>1.016</v>
      </c>
      <c r="I227" s="67">
        <f>'Inputs_NT INM'!P185</f>
        <v>1.016</v>
      </c>
      <c r="J227" s="67">
        <f>'Inputs_NT INM'!Q185</f>
        <v>1.016</v>
      </c>
      <c r="K227" s="67">
        <f>'Inputs_NT INM'!R185</f>
        <v>1.016</v>
      </c>
      <c r="L227" s="67">
        <f>'Inputs_NT INM'!S185</f>
        <v>1.016</v>
      </c>
      <c r="M227" s="67">
        <f>'Inputs_NT INM'!T185</f>
        <v>1.016</v>
      </c>
      <c r="N227" s="67">
        <f>'Inputs_NT INM'!U185</f>
        <v>1.016</v>
      </c>
      <c r="O227" s="67">
        <f>'Inputs_NT INM'!V185</f>
        <v>1.016</v>
      </c>
      <c r="P227" s="67">
        <f>'Inputs_NT INM'!W185</f>
        <v>1.016</v>
      </c>
      <c r="Q227" s="67">
        <f>'Inputs_NT INM'!X185</f>
        <v>1.016</v>
      </c>
      <c r="R227" s="67">
        <f>'Inputs_NT INM'!Y185</f>
        <v>1.016</v>
      </c>
      <c r="S227" s="67">
        <f>'Inputs_NT INM'!Z185</f>
        <v>1.016</v>
      </c>
      <c r="T227" s="67">
        <f>'Inputs_NT INM'!AA185</f>
        <v>1.016</v>
      </c>
      <c r="U227" s="67">
        <f>'Inputs_NT INM'!AB185</f>
        <v>1.016</v>
      </c>
      <c r="V227" s="67">
        <f>'Inputs_NT INM'!AC185</f>
        <v>1.016</v>
      </c>
      <c r="W227" s="67">
        <f>'Inputs_NT INM'!AD185</f>
        <v>1.016</v>
      </c>
      <c r="X227" s="67">
        <f>'Inputs_NT INM'!AE185</f>
        <v>1.016</v>
      </c>
      <c r="Y227" s="67">
        <f>'Inputs_NT INM'!AF185</f>
        <v>1.016</v>
      </c>
      <c r="Z227" s="67">
        <f>'Inputs_NT INM'!AG185</f>
        <v>1.016</v>
      </c>
      <c r="AA227" s="67">
        <f>'Inputs_NT INM'!AH185</f>
        <v>1.016</v>
      </c>
      <c r="AB227" s="67">
        <f>'Inputs_NT INM'!AI185</f>
        <v>1.016</v>
      </c>
      <c r="AC227" s="67">
        <f>'Inputs_NT INM'!AJ185</f>
        <v>1.016</v>
      </c>
      <c r="AD227" s="67">
        <f>'Inputs_NT INM'!AK185</f>
        <v>1.016</v>
      </c>
      <c r="AE227" s="67">
        <f>'Inputs_NT INM'!AL185</f>
        <v>1.016</v>
      </c>
      <c r="AF227" s="67">
        <f>'Inputs_NT INM'!AM185</f>
        <v>1.016</v>
      </c>
      <c r="AG227" s="67">
        <f>'Inputs_NT INM'!AN185</f>
        <v>1.016</v>
      </c>
      <c r="AH227" s="67"/>
      <c r="AI227" s="67"/>
      <c r="AJ227" s="67"/>
    </row>
    <row r="228" spans="1:36" x14ac:dyDescent="0.25">
      <c r="A228" s="9" t="str">
        <f>IF(COUNTIF(A$20:A$60,'Inputs_NT INM'!A186)=0,"*",'Inputs_NT INM'!A186)</f>
        <v>I-NM-OTS_ELC01</v>
      </c>
      <c r="B228" s="9" t="s">
        <v>979</v>
      </c>
      <c r="C228" s="9" t="s">
        <v>304</v>
      </c>
      <c r="D228" s="9">
        <f>'Inputs_NT INM'!H186</f>
        <v>2020</v>
      </c>
      <c r="E228" s="9" t="s">
        <v>460</v>
      </c>
      <c r="F228" s="67">
        <f>'Inputs_NT INM'!M186</f>
        <v>0.8</v>
      </c>
      <c r="G228" s="67">
        <f>'Inputs_NT INM'!N186</f>
        <v>0.8</v>
      </c>
      <c r="H228" s="67">
        <f>'Inputs_NT INM'!O186</f>
        <v>0.8</v>
      </c>
      <c r="I228" s="67">
        <f>'Inputs_NT INM'!P186</f>
        <v>0.8</v>
      </c>
      <c r="J228" s="67">
        <f>'Inputs_NT INM'!Q186</f>
        <v>0.8</v>
      </c>
      <c r="K228" s="67">
        <f>'Inputs_NT INM'!R186</f>
        <v>0.8</v>
      </c>
      <c r="L228" s="67">
        <f>'Inputs_NT INM'!S186</f>
        <v>0.8</v>
      </c>
      <c r="M228" s="67">
        <f>'Inputs_NT INM'!T186</f>
        <v>0.8</v>
      </c>
      <c r="N228" s="67">
        <f>'Inputs_NT INM'!U186</f>
        <v>0.8</v>
      </c>
      <c r="O228" s="67">
        <f>'Inputs_NT INM'!V186</f>
        <v>0.8</v>
      </c>
      <c r="P228" s="67">
        <f>'Inputs_NT INM'!W186</f>
        <v>0.8</v>
      </c>
      <c r="Q228" s="67">
        <f>'Inputs_NT INM'!X186</f>
        <v>0.8</v>
      </c>
      <c r="R228" s="67">
        <f>'Inputs_NT INM'!Y186</f>
        <v>0.8</v>
      </c>
      <c r="S228" s="67">
        <f>'Inputs_NT INM'!Z186</f>
        <v>0.8</v>
      </c>
      <c r="T228" s="67">
        <f>'Inputs_NT INM'!AA186</f>
        <v>0.8</v>
      </c>
      <c r="U228" s="67">
        <f>'Inputs_NT INM'!AB186</f>
        <v>0.8</v>
      </c>
      <c r="V228" s="67">
        <f>'Inputs_NT INM'!AC186</f>
        <v>0.8</v>
      </c>
      <c r="W228" s="67">
        <f>'Inputs_NT INM'!AD186</f>
        <v>0.8</v>
      </c>
      <c r="X228" s="67">
        <f>'Inputs_NT INM'!AE186</f>
        <v>0.8</v>
      </c>
      <c r="Y228" s="67">
        <f>'Inputs_NT INM'!AF186</f>
        <v>0.8</v>
      </c>
      <c r="Z228" s="67">
        <f>'Inputs_NT INM'!AG186</f>
        <v>0.8</v>
      </c>
      <c r="AA228" s="67">
        <f>'Inputs_NT INM'!AH186</f>
        <v>0.8</v>
      </c>
      <c r="AB228" s="67">
        <f>'Inputs_NT INM'!AI186</f>
        <v>0.8</v>
      </c>
      <c r="AC228" s="67">
        <f>'Inputs_NT INM'!AJ186</f>
        <v>0.8</v>
      </c>
      <c r="AD228" s="67">
        <f>'Inputs_NT INM'!AK186</f>
        <v>0.8</v>
      </c>
      <c r="AE228" s="67">
        <f>'Inputs_NT INM'!AL186</f>
        <v>0.8</v>
      </c>
      <c r="AF228" s="67">
        <f>'Inputs_NT INM'!AM186</f>
        <v>0.8</v>
      </c>
      <c r="AG228" s="67">
        <f>'Inputs_NT INM'!AN186</f>
        <v>0.8</v>
      </c>
      <c r="AH228" s="67"/>
      <c r="AI228" s="67"/>
      <c r="AJ228" s="67"/>
    </row>
    <row r="229" spans="1:36" x14ac:dyDescent="0.25">
      <c r="A229" s="9" t="str">
        <f>IF(COUNTIF(A$20:A$60,'Inputs_NT INM'!A187)=0,"*",'Inputs_NT INM'!A187)</f>
        <v>*</v>
      </c>
      <c r="B229" s="9" t="s">
        <v>558</v>
      </c>
      <c r="C229" s="9" t="s">
        <v>558</v>
      </c>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row>
    <row r="230" spans="1:36" x14ac:dyDescent="0.25">
      <c r="A230" s="9" t="str">
        <f>IF(COUNTIF(A$20:A$60,'Inputs_NT INM'!A188)=0,"*",'Inputs_NT INM'!A188)</f>
        <v>*</v>
      </c>
      <c r="B230" s="9" t="s">
        <v>558</v>
      </c>
      <c r="C230" s="9" t="s">
        <v>558</v>
      </c>
      <c r="F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row>
    <row r="231" spans="1:36" x14ac:dyDescent="0.25">
      <c r="A231" s="9" t="str">
        <f>IF(COUNTIF(A$20:A$60,'Inputs_NT INM'!A189)=0,"*",'Inputs_NT INM'!A189)</f>
        <v>*</v>
      </c>
      <c r="B231" s="9" t="s">
        <v>558</v>
      </c>
      <c r="C231" s="9" t="s">
        <v>558</v>
      </c>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row>
    <row r="232" spans="1:36" x14ac:dyDescent="0.25">
      <c r="A232" s="9" t="str">
        <f>IF(COUNTIF(A$20:A$60,'Inputs_NT INM'!A190)=0,"*",'Inputs_NT INM'!A190)</f>
        <v>*</v>
      </c>
      <c r="B232" s="9" t="s">
        <v>558</v>
      </c>
      <c r="C232" s="9" t="s">
        <v>558</v>
      </c>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row>
    <row r="233" spans="1:36" x14ac:dyDescent="0.25">
      <c r="A233" s="9" t="str">
        <f>IF(COUNTIF(A$20:A$60,'Inputs_NT INM'!A191)=0,"*",'Inputs_NT INM'!A191)</f>
        <v>*</v>
      </c>
      <c r="B233" s="9" t="s">
        <v>558</v>
      </c>
      <c r="C233" s="9" t="s">
        <v>558</v>
      </c>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row>
    <row r="234" spans="1:36" x14ac:dyDescent="0.25">
      <c r="A234" s="9" t="str">
        <f>IF(COUNTIF(A$20:A$60,'Inputs_NT INM'!A192)=0,"*",'Inputs_NT INM'!A192)</f>
        <v>I-NM-OTS_ELC02</v>
      </c>
      <c r="B234" s="9" t="s">
        <v>980</v>
      </c>
      <c r="C234" s="9" t="s">
        <v>304</v>
      </c>
      <c r="D234" s="9">
        <f>'Inputs_NT INM'!H192</f>
        <v>2025</v>
      </c>
      <c r="E234" s="9" t="s">
        <v>460</v>
      </c>
      <c r="F234" s="67">
        <f>'Inputs_NT INM'!M192</f>
        <v>0.8</v>
      </c>
      <c r="G234" s="67">
        <f>'Inputs_NT INM'!N192</f>
        <v>0.8</v>
      </c>
      <c r="H234" s="67">
        <f>'Inputs_NT INM'!O192</f>
        <v>0.8</v>
      </c>
      <c r="I234" s="67">
        <f>'Inputs_NT INM'!P192</f>
        <v>0.8</v>
      </c>
      <c r="J234" s="67">
        <f>'Inputs_NT INM'!Q192</f>
        <v>0.8</v>
      </c>
      <c r="K234" s="67">
        <f>'Inputs_NT INM'!R192</f>
        <v>0.8</v>
      </c>
      <c r="L234" s="67">
        <f>'Inputs_NT INM'!S192</f>
        <v>0.8</v>
      </c>
      <c r="M234" s="67">
        <f>'Inputs_NT INM'!T192</f>
        <v>0.8</v>
      </c>
      <c r="N234" s="67">
        <f>'Inputs_NT INM'!U192</f>
        <v>0.8</v>
      </c>
      <c r="O234" s="67">
        <f>'Inputs_NT INM'!V192</f>
        <v>0.8</v>
      </c>
      <c r="P234" s="67">
        <f>'Inputs_NT INM'!W192</f>
        <v>0.8</v>
      </c>
      <c r="Q234" s="67">
        <f>'Inputs_NT INM'!X192</f>
        <v>0.8</v>
      </c>
      <c r="R234" s="67">
        <f>'Inputs_NT INM'!Y192</f>
        <v>0.8</v>
      </c>
      <c r="S234" s="67">
        <f>'Inputs_NT INM'!Z192</f>
        <v>0.8</v>
      </c>
      <c r="T234" s="67">
        <f>'Inputs_NT INM'!AA192</f>
        <v>0.8</v>
      </c>
      <c r="U234" s="67">
        <f>'Inputs_NT INM'!AB192</f>
        <v>0.8</v>
      </c>
      <c r="V234" s="67">
        <f>'Inputs_NT INM'!AC192</f>
        <v>0.8</v>
      </c>
      <c r="W234" s="67">
        <f>'Inputs_NT INM'!AD192</f>
        <v>0.8</v>
      </c>
      <c r="X234" s="67">
        <f>'Inputs_NT INM'!AE192</f>
        <v>0.8</v>
      </c>
      <c r="Y234" s="67">
        <f>'Inputs_NT INM'!AF192</f>
        <v>0.8</v>
      </c>
      <c r="Z234" s="67">
        <f>'Inputs_NT INM'!AG192</f>
        <v>0.8</v>
      </c>
      <c r="AA234" s="67">
        <f>'Inputs_NT INM'!AH192</f>
        <v>0.8</v>
      </c>
      <c r="AB234" s="67">
        <f>'Inputs_NT INM'!AI192</f>
        <v>0.8</v>
      </c>
      <c r="AC234" s="67">
        <f>'Inputs_NT INM'!AJ192</f>
        <v>0.8</v>
      </c>
      <c r="AD234" s="67">
        <f>'Inputs_NT INM'!AK192</f>
        <v>0.8</v>
      </c>
      <c r="AE234" s="67">
        <f>'Inputs_NT INM'!AL192</f>
        <v>0.8</v>
      </c>
      <c r="AF234" s="67">
        <f>'Inputs_NT INM'!AM192</f>
        <v>0.8</v>
      </c>
      <c r="AG234" s="67">
        <f>'Inputs_NT INM'!AN192</f>
        <v>0.8</v>
      </c>
      <c r="AH234" s="67"/>
      <c r="AI234" s="67"/>
      <c r="AJ234" s="67"/>
    </row>
    <row r="235" spans="1:36" x14ac:dyDescent="0.25">
      <c r="A235" s="9" t="str">
        <f>IF(COUNTIF(A$20:A$60,'Inputs_NT INM'!A193)=0,"*",'Inputs_NT INM'!A193)</f>
        <v>*</v>
      </c>
      <c r="B235" s="9" t="s">
        <v>558</v>
      </c>
      <c r="C235" s="9" t="s">
        <v>558</v>
      </c>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row>
    <row r="236" spans="1:36" x14ac:dyDescent="0.25">
      <c r="A236" s="9" t="str">
        <f>IF(COUNTIF(A$20:A$60,'Inputs_NT INM'!A194)=0,"*",'Inputs_NT INM'!A194)</f>
        <v>*</v>
      </c>
      <c r="B236" s="9" t="s">
        <v>558</v>
      </c>
      <c r="C236" s="9" t="s">
        <v>558</v>
      </c>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row>
    <row r="237" spans="1:36" x14ac:dyDescent="0.25">
      <c r="A237" s="9" t="str">
        <f>IF(COUNTIF(A$20:A$60,'Inputs_NT INM'!A195)=0,"*",'Inputs_NT INM'!A195)</f>
        <v>*</v>
      </c>
      <c r="B237" s="9" t="s">
        <v>558</v>
      </c>
      <c r="C237" s="9" t="s">
        <v>558</v>
      </c>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row>
    <row r="238" spans="1:36" x14ac:dyDescent="0.25">
      <c r="A238" s="9" t="str">
        <f>IF(COUNTIF(A$20:A$60,'Inputs_NT INM'!A196)=0,"*",'Inputs_NT INM'!A196)</f>
        <v>*</v>
      </c>
      <c r="B238" s="9" t="s">
        <v>558</v>
      </c>
      <c r="C238" s="9" t="s">
        <v>558</v>
      </c>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row>
    <row r="239" spans="1:36" x14ac:dyDescent="0.25">
      <c r="A239" s="9" t="str">
        <f>IF(COUNTIF(A$20:A$60,'Inputs_NT INM'!A197)=0,"*",'Inputs_NT INM'!A197)</f>
        <v>*</v>
      </c>
      <c r="B239" s="9" t="s">
        <v>558</v>
      </c>
      <c r="C239" s="9" t="s">
        <v>558</v>
      </c>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row>
    <row r="240" spans="1:36" x14ac:dyDescent="0.25">
      <c r="A240" s="9" t="str">
        <f>IF(COUNTIF(A$20:A$60,'Inputs_NT INM'!A198)=0,"*",'Inputs_NT INM'!A198)</f>
        <v>I-NM-OTS_ELC02</v>
      </c>
      <c r="B240" s="9" t="s">
        <v>980</v>
      </c>
      <c r="C240" s="9" t="s">
        <v>304</v>
      </c>
      <c r="D240" s="9">
        <f>'Inputs_NT INM'!H198</f>
        <v>2030</v>
      </c>
      <c r="E240" s="9" t="s">
        <v>460</v>
      </c>
      <c r="F240" s="67">
        <f>'Inputs_NT INM'!M198</f>
        <v>0.82600000000000007</v>
      </c>
      <c r="G240" s="67">
        <f>'Inputs_NT INM'!N198</f>
        <v>0.82600000000000007</v>
      </c>
      <c r="H240" s="67">
        <f>'Inputs_NT INM'!O198</f>
        <v>0.82600000000000007</v>
      </c>
      <c r="I240" s="67">
        <f>'Inputs_NT INM'!P198</f>
        <v>0.82600000000000007</v>
      </c>
      <c r="J240" s="67">
        <f>'Inputs_NT INM'!Q198</f>
        <v>0.82600000000000007</v>
      </c>
      <c r="K240" s="67">
        <f>'Inputs_NT INM'!R198</f>
        <v>0.82600000000000007</v>
      </c>
      <c r="L240" s="67">
        <f>'Inputs_NT INM'!S198</f>
        <v>0.82600000000000007</v>
      </c>
      <c r="M240" s="67">
        <f>'Inputs_NT INM'!T198</f>
        <v>0.82600000000000007</v>
      </c>
      <c r="N240" s="67">
        <f>'Inputs_NT INM'!U198</f>
        <v>0.82600000000000007</v>
      </c>
      <c r="O240" s="67">
        <f>'Inputs_NT INM'!V198</f>
        <v>0.82600000000000007</v>
      </c>
      <c r="P240" s="67">
        <f>'Inputs_NT INM'!W198</f>
        <v>0.82600000000000007</v>
      </c>
      <c r="Q240" s="67">
        <f>'Inputs_NT INM'!X198</f>
        <v>0.82600000000000007</v>
      </c>
      <c r="R240" s="67">
        <f>'Inputs_NT INM'!Y198</f>
        <v>0.82600000000000007</v>
      </c>
      <c r="S240" s="67">
        <f>'Inputs_NT INM'!Z198</f>
        <v>0.82600000000000007</v>
      </c>
      <c r="T240" s="67">
        <f>'Inputs_NT INM'!AA198</f>
        <v>0.82600000000000007</v>
      </c>
      <c r="U240" s="67">
        <f>'Inputs_NT INM'!AB198</f>
        <v>0.82600000000000007</v>
      </c>
      <c r="V240" s="67">
        <f>'Inputs_NT INM'!AC198</f>
        <v>0.82600000000000007</v>
      </c>
      <c r="W240" s="67">
        <f>'Inputs_NT INM'!AD198</f>
        <v>0.82600000000000007</v>
      </c>
      <c r="X240" s="67">
        <f>'Inputs_NT INM'!AE198</f>
        <v>0.82600000000000007</v>
      </c>
      <c r="Y240" s="67">
        <f>'Inputs_NT INM'!AF198</f>
        <v>0.82600000000000007</v>
      </c>
      <c r="Z240" s="67">
        <f>'Inputs_NT INM'!AG198</f>
        <v>0.82600000000000007</v>
      </c>
      <c r="AA240" s="67">
        <f>'Inputs_NT INM'!AH198</f>
        <v>0.82600000000000007</v>
      </c>
      <c r="AB240" s="67">
        <f>'Inputs_NT INM'!AI198</f>
        <v>0.82600000000000007</v>
      </c>
      <c r="AC240" s="67">
        <f>'Inputs_NT INM'!AJ198</f>
        <v>0.82600000000000007</v>
      </c>
      <c r="AD240" s="67">
        <f>'Inputs_NT INM'!AK198</f>
        <v>0.82600000000000007</v>
      </c>
      <c r="AE240" s="67">
        <f>'Inputs_NT INM'!AL198</f>
        <v>0.82600000000000007</v>
      </c>
      <c r="AF240" s="67">
        <f>'Inputs_NT INM'!AM198</f>
        <v>0.82600000000000007</v>
      </c>
      <c r="AG240" s="67">
        <f>'Inputs_NT INM'!AN198</f>
        <v>0.82600000000000007</v>
      </c>
      <c r="AH240" s="67"/>
      <c r="AI240" s="67"/>
      <c r="AJ240" s="67"/>
    </row>
    <row r="241" spans="1:36" x14ac:dyDescent="0.25">
      <c r="A241" s="9" t="str">
        <f>IF(COUNTIF(A$20:A$60,'Inputs_NT INM'!A199)=0,"*",'Inputs_NT INM'!A199)</f>
        <v>*</v>
      </c>
      <c r="B241" s="9" t="s">
        <v>558</v>
      </c>
      <c r="C241" s="9" t="s">
        <v>558</v>
      </c>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row>
    <row r="242" spans="1:36" x14ac:dyDescent="0.25">
      <c r="A242" s="9" t="str">
        <f>IF(COUNTIF(A$20:A$60,'Inputs_NT INM'!A200)=0,"*",'Inputs_NT INM'!A200)</f>
        <v>*</v>
      </c>
      <c r="B242" s="9" t="s">
        <v>558</v>
      </c>
      <c r="C242" s="9" t="s">
        <v>558</v>
      </c>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row>
    <row r="243" spans="1:36" x14ac:dyDescent="0.25">
      <c r="A243" s="9" t="str">
        <f>IF(COUNTIF(A$20:A$60,'Inputs_NT INM'!A201)=0,"*",'Inputs_NT INM'!A201)</f>
        <v>*</v>
      </c>
      <c r="B243" s="9" t="s">
        <v>558</v>
      </c>
      <c r="C243" s="9" t="s">
        <v>558</v>
      </c>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row>
    <row r="244" spans="1:36" x14ac:dyDescent="0.25">
      <c r="A244" s="9" t="str">
        <f>IF(COUNTIF(A$20:A$60,'Inputs_NT INM'!A202)=0,"*",'Inputs_NT INM'!A202)</f>
        <v>*</v>
      </c>
      <c r="B244" s="9" t="s">
        <v>558</v>
      </c>
      <c r="C244" s="9" t="s">
        <v>558</v>
      </c>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row>
    <row r="245" spans="1:36" x14ac:dyDescent="0.25">
      <c r="A245" s="9" t="str">
        <f>IF(COUNTIF(A$20:A$60,'Inputs_NT INM'!A203)=0,"*",'Inputs_NT INM'!A203)</f>
        <v>*</v>
      </c>
      <c r="B245" s="9" t="s">
        <v>558</v>
      </c>
      <c r="C245" s="9" t="s">
        <v>558</v>
      </c>
      <c r="F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row>
    <row r="246" spans="1:36" x14ac:dyDescent="0.25">
      <c r="A246" s="9" t="str">
        <f>IF(COUNTIF(A$20:A$60,'Inputs_NT INM'!A204)=0,"*",'Inputs_NT INM'!A204)</f>
        <v>I-NM-OTS_ELC02</v>
      </c>
      <c r="B246" s="9" t="s">
        <v>980</v>
      </c>
      <c r="C246" s="9" t="s">
        <v>304</v>
      </c>
      <c r="D246" s="9">
        <f>'Inputs_NT INM'!H204</f>
        <v>2050</v>
      </c>
      <c r="E246" s="9" t="s">
        <v>460</v>
      </c>
      <c r="F246" s="67">
        <f>'Inputs_NT INM'!M204</f>
        <v>0.84419999999999984</v>
      </c>
      <c r="G246" s="67">
        <f>'Inputs_NT INM'!N204</f>
        <v>0.84419999999999984</v>
      </c>
      <c r="H246" s="67">
        <f>'Inputs_NT INM'!O204</f>
        <v>0.84419999999999984</v>
      </c>
      <c r="I246" s="67">
        <f>'Inputs_NT INM'!P204</f>
        <v>0.84419999999999984</v>
      </c>
      <c r="J246" s="67">
        <f>'Inputs_NT INM'!Q204</f>
        <v>0.84419999999999984</v>
      </c>
      <c r="K246" s="67">
        <f>'Inputs_NT INM'!R204</f>
        <v>0.84419999999999984</v>
      </c>
      <c r="L246" s="67">
        <f>'Inputs_NT INM'!S204</f>
        <v>0.84419999999999984</v>
      </c>
      <c r="M246" s="67">
        <f>'Inputs_NT INM'!T204</f>
        <v>0.84419999999999984</v>
      </c>
      <c r="N246" s="67">
        <f>'Inputs_NT INM'!U204</f>
        <v>0.84419999999999984</v>
      </c>
      <c r="O246" s="67">
        <f>'Inputs_NT INM'!V204</f>
        <v>0.84419999999999984</v>
      </c>
      <c r="P246" s="67">
        <f>'Inputs_NT INM'!W204</f>
        <v>0.84419999999999984</v>
      </c>
      <c r="Q246" s="67">
        <f>'Inputs_NT INM'!X204</f>
        <v>0.84419999999999984</v>
      </c>
      <c r="R246" s="67">
        <f>'Inputs_NT INM'!Y204</f>
        <v>0.84419999999999984</v>
      </c>
      <c r="S246" s="67">
        <f>'Inputs_NT INM'!Z204</f>
        <v>0.84419999999999984</v>
      </c>
      <c r="T246" s="67">
        <f>'Inputs_NT INM'!AA204</f>
        <v>0.84419999999999984</v>
      </c>
      <c r="U246" s="67">
        <f>'Inputs_NT INM'!AB204</f>
        <v>0.84419999999999984</v>
      </c>
      <c r="V246" s="67">
        <f>'Inputs_NT INM'!AC204</f>
        <v>0.84419999999999984</v>
      </c>
      <c r="W246" s="67">
        <f>'Inputs_NT INM'!AD204</f>
        <v>0.84419999999999984</v>
      </c>
      <c r="X246" s="67">
        <f>'Inputs_NT INM'!AE204</f>
        <v>0.84419999999999984</v>
      </c>
      <c r="Y246" s="67">
        <f>'Inputs_NT INM'!AF204</f>
        <v>0.84419999999999984</v>
      </c>
      <c r="Z246" s="67">
        <f>'Inputs_NT INM'!AG204</f>
        <v>0.84419999999999984</v>
      </c>
      <c r="AA246" s="67">
        <f>'Inputs_NT INM'!AH204</f>
        <v>0.84419999999999984</v>
      </c>
      <c r="AB246" s="67">
        <f>'Inputs_NT INM'!AI204</f>
        <v>0.84419999999999984</v>
      </c>
      <c r="AC246" s="67">
        <f>'Inputs_NT INM'!AJ204</f>
        <v>0.84419999999999984</v>
      </c>
      <c r="AD246" s="67">
        <f>'Inputs_NT INM'!AK204</f>
        <v>0.84419999999999984</v>
      </c>
      <c r="AE246" s="67">
        <f>'Inputs_NT INM'!AL204</f>
        <v>0.84419999999999984</v>
      </c>
      <c r="AF246" s="67">
        <f>'Inputs_NT INM'!AM204</f>
        <v>0.84419999999999984</v>
      </c>
      <c r="AG246" s="67">
        <f>'Inputs_NT INM'!AN204</f>
        <v>0.84419999999999984</v>
      </c>
      <c r="AH246" s="67"/>
      <c r="AI246" s="67"/>
      <c r="AJ246" s="67"/>
    </row>
    <row r="247" spans="1:36" x14ac:dyDescent="0.25">
      <c r="A247" s="9" t="str">
        <f>IF(COUNTIF(A$20:A$60,'Inputs_NT INM'!A205)=0,"*",'Inputs_NT INM'!A205)</f>
        <v>*</v>
      </c>
      <c r="B247" s="9" t="s">
        <v>558</v>
      </c>
      <c r="C247" s="9" t="s">
        <v>558</v>
      </c>
      <c r="F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row>
    <row r="248" spans="1:36" x14ac:dyDescent="0.25">
      <c r="A248" s="9" t="str">
        <f>IF(COUNTIF(A$20:A$60,'Inputs_NT INM'!A206)=0,"*",'Inputs_NT INM'!A206)</f>
        <v>*</v>
      </c>
      <c r="B248" s="9" t="s">
        <v>558</v>
      </c>
      <c r="C248" s="9" t="s">
        <v>558</v>
      </c>
      <c r="F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row>
    <row r="249" spans="1:36" x14ac:dyDescent="0.25">
      <c r="A249" s="9" t="str">
        <f>IF(COUNTIF(A$20:A$60,'Inputs_NT INM'!A207)=0,"*",'Inputs_NT INM'!A207)</f>
        <v>*</v>
      </c>
      <c r="B249" s="9" t="s">
        <v>558</v>
      </c>
      <c r="C249" s="9" t="s">
        <v>558</v>
      </c>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row>
    <row r="250" spans="1:36" x14ac:dyDescent="0.25">
      <c r="A250" s="9" t="str">
        <f>IF(COUNTIF(A$20:A$60,'Inputs_NT INM'!A208)=0,"*",'Inputs_NT INM'!A208)</f>
        <v>*</v>
      </c>
      <c r="B250" s="9" t="s">
        <v>558</v>
      </c>
      <c r="C250" s="9" t="s">
        <v>558</v>
      </c>
      <c r="F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row>
    <row r="251" spans="1:36" x14ac:dyDescent="0.25">
      <c r="A251" s="9" t="str">
        <f>IF(COUNTIF(A$20:A$60,'Inputs_NT INM'!A209)=0,"*",'Inputs_NT INM'!A209)</f>
        <v>*</v>
      </c>
      <c r="B251" s="9" t="s">
        <v>558</v>
      </c>
      <c r="C251" s="9" t="s">
        <v>558</v>
      </c>
      <c r="F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row>
    <row r="252" spans="1:36" x14ac:dyDescent="0.25">
      <c r="A252" s="9" t="str">
        <f>IF(COUNTIF(A$20:A$60,'Inputs_NT INM'!A210)=0,"*",'Inputs_NT INM'!A210)</f>
        <v>I-NM-OTS_ELC03</v>
      </c>
      <c r="B252" s="9" t="s">
        <v>981</v>
      </c>
      <c r="C252" s="9" t="s">
        <v>304</v>
      </c>
      <c r="D252" s="9">
        <f>'Inputs_NT INM'!H210</f>
        <v>2030</v>
      </c>
      <c r="E252" s="9" t="s">
        <v>460</v>
      </c>
      <c r="F252" s="67">
        <f>'Inputs_NT INM'!M210</f>
        <v>0.89600000000000013</v>
      </c>
      <c r="G252" s="67">
        <f>'Inputs_NT INM'!N210</f>
        <v>0.89600000000000013</v>
      </c>
      <c r="H252" s="67">
        <f>'Inputs_NT INM'!O210</f>
        <v>0.89600000000000013</v>
      </c>
      <c r="I252" s="67">
        <f>'Inputs_NT INM'!P210</f>
        <v>0.89600000000000013</v>
      </c>
      <c r="J252" s="67">
        <f>'Inputs_NT INM'!Q210</f>
        <v>0.89600000000000013</v>
      </c>
      <c r="K252" s="67">
        <f>'Inputs_NT INM'!R210</f>
        <v>0.89600000000000013</v>
      </c>
      <c r="L252" s="67">
        <f>'Inputs_NT INM'!S210</f>
        <v>0.89600000000000013</v>
      </c>
      <c r="M252" s="67">
        <f>'Inputs_NT INM'!T210</f>
        <v>0.89600000000000013</v>
      </c>
      <c r="N252" s="67">
        <f>'Inputs_NT INM'!U210</f>
        <v>0.89600000000000013</v>
      </c>
      <c r="O252" s="67">
        <f>'Inputs_NT INM'!V210</f>
        <v>0.89600000000000013</v>
      </c>
      <c r="P252" s="67">
        <f>'Inputs_NT INM'!W210</f>
        <v>0.89600000000000013</v>
      </c>
      <c r="Q252" s="67">
        <f>'Inputs_NT INM'!X210</f>
        <v>0.89600000000000013</v>
      </c>
      <c r="R252" s="67">
        <f>'Inputs_NT INM'!Y210</f>
        <v>0.89600000000000013</v>
      </c>
      <c r="S252" s="67">
        <f>'Inputs_NT INM'!Z210</f>
        <v>0.89600000000000013</v>
      </c>
      <c r="T252" s="67">
        <f>'Inputs_NT INM'!AA210</f>
        <v>0.89600000000000013</v>
      </c>
      <c r="U252" s="67">
        <f>'Inputs_NT INM'!AB210</f>
        <v>0.89600000000000013</v>
      </c>
      <c r="V252" s="67">
        <f>'Inputs_NT INM'!AC210</f>
        <v>0.89600000000000013</v>
      </c>
      <c r="W252" s="67">
        <f>'Inputs_NT INM'!AD210</f>
        <v>0.89600000000000013</v>
      </c>
      <c r="X252" s="67">
        <f>'Inputs_NT INM'!AE210</f>
        <v>0.89600000000000013</v>
      </c>
      <c r="Y252" s="67">
        <f>'Inputs_NT INM'!AF210</f>
        <v>0.89600000000000013</v>
      </c>
      <c r="Z252" s="67">
        <f>'Inputs_NT INM'!AG210</f>
        <v>0.89600000000000013</v>
      </c>
      <c r="AA252" s="67">
        <f>'Inputs_NT INM'!AH210</f>
        <v>0.89600000000000013</v>
      </c>
      <c r="AB252" s="67">
        <f>'Inputs_NT INM'!AI210</f>
        <v>0.89600000000000013</v>
      </c>
      <c r="AC252" s="67">
        <f>'Inputs_NT INM'!AJ210</f>
        <v>0.89600000000000013</v>
      </c>
      <c r="AD252" s="67">
        <f>'Inputs_NT INM'!AK210</f>
        <v>0.89600000000000013</v>
      </c>
      <c r="AE252" s="67">
        <f>'Inputs_NT INM'!AL210</f>
        <v>0.89600000000000013</v>
      </c>
      <c r="AF252" s="67">
        <f>'Inputs_NT INM'!AM210</f>
        <v>0.89600000000000013</v>
      </c>
      <c r="AG252" s="67">
        <f>'Inputs_NT INM'!AN210</f>
        <v>0.89600000000000013</v>
      </c>
      <c r="AH252" s="67"/>
      <c r="AI252" s="67"/>
      <c r="AJ252" s="67"/>
    </row>
    <row r="253" spans="1:36" x14ac:dyDescent="0.25">
      <c r="A253" s="9" t="str">
        <f>IF(COUNTIF(A$20:A$60,'Inputs_NT INM'!A211)=0,"*",'Inputs_NT INM'!A211)</f>
        <v>*</v>
      </c>
      <c r="B253" s="9" t="s">
        <v>558</v>
      </c>
      <c r="C253" s="9" t="s">
        <v>558</v>
      </c>
      <c r="F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row>
    <row r="254" spans="1:36" x14ac:dyDescent="0.25">
      <c r="A254" s="9" t="str">
        <f>IF(COUNTIF(A$20:A$60,'Inputs_NT INM'!A212)=0,"*",'Inputs_NT INM'!A212)</f>
        <v>*</v>
      </c>
      <c r="B254" s="9" t="s">
        <v>558</v>
      </c>
      <c r="C254" s="9" t="s">
        <v>558</v>
      </c>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row>
    <row r="255" spans="1:36" x14ac:dyDescent="0.25">
      <c r="A255" s="9" t="str">
        <f>IF(COUNTIF(A$20:A$60,'Inputs_NT INM'!A213)=0,"*",'Inputs_NT INM'!A213)</f>
        <v>*</v>
      </c>
      <c r="B255" s="9" t="s">
        <v>558</v>
      </c>
      <c r="C255" s="9" t="s">
        <v>558</v>
      </c>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row>
    <row r="256" spans="1:36" x14ac:dyDescent="0.25">
      <c r="A256" s="9" t="str">
        <f>IF(COUNTIF(A$20:A$60,'Inputs_NT INM'!A214)=0,"*",'Inputs_NT INM'!A214)</f>
        <v>*</v>
      </c>
      <c r="B256" s="9" t="s">
        <v>558</v>
      </c>
      <c r="C256" s="9" t="s">
        <v>558</v>
      </c>
      <c r="F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row>
    <row r="257" spans="1:36" x14ac:dyDescent="0.25">
      <c r="A257" s="9" t="str">
        <f>IF(COUNTIF(A$20:A$60,'Inputs_NT INM'!A215)=0,"*",'Inputs_NT INM'!A215)</f>
        <v>*</v>
      </c>
      <c r="B257" s="9" t="s">
        <v>558</v>
      </c>
      <c r="C257" s="9" t="s">
        <v>558</v>
      </c>
      <c r="F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row>
    <row r="258" spans="1:36" x14ac:dyDescent="0.25">
      <c r="A258" s="9" t="str">
        <f>IF(COUNTIF(A$20:A$60,'Inputs_NT INM'!A216)=0,"*",'Inputs_NT INM'!A216)</f>
        <v>I-NM-OTS_ELC03</v>
      </c>
      <c r="B258" s="9" t="s">
        <v>981</v>
      </c>
      <c r="C258" s="9" t="s">
        <v>304</v>
      </c>
      <c r="D258" s="9">
        <f>'Inputs_NT INM'!H216</f>
        <v>2050</v>
      </c>
      <c r="E258" s="9" t="s">
        <v>460</v>
      </c>
      <c r="F258" s="67">
        <f>'Inputs_NT INM'!M216</f>
        <v>1.016</v>
      </c>
      <c r="G258" s="67">
        <f>'Inputs_NT INM'!N216</f>
        <v>1.016</v>
      </c>
      <c r="H258" s="67">
        <f>'Inputs_NT INM'!O216</f>
        <v>1.016</v>
      </c>
      <c r="I258" s="67">
        <f>'Inputs_NT INM'!P216</f>
        <v>1.016</v>
      </c>
      <c r="J258" s="67">
        <f>'Inputs_NT INM'!Q216</f>
        <v>1.016</v>
      </c>
      <c r="K258" s="67">
        <f>'Inputs_NT INM'!R216</f>
        <v>1.016</v>
      </c>
      <c r="L258" s="67">
        <f>'Inputs_NT INM'!S216</f>
        <v>1.016</v>
      </c>
      <c r="M258" s="67">
        <f>'Inputs_NT INM'!T216</f>
        <v>1.016</v>
      </c>
      <c r="N258" s="67">
        <f>'Inputs_NT INM'!U216</f>
        <v>1.016</v>
      </c>
      <c r="O258" s="67">
        <f>'Inputs_NT INM'!V216</f>
        <v>1.016</v>
      </c>
      <c r="P258" s="67">
        <f>'Inputs_NT INM'!W216</f>
        <v>1.016</v>
      </c>
      <c r="Q258" s="67">
        <f>'Inputs_NT INM'!X216</f>
        <v>1.016</v>
      </c>
      <c r="R258" s="67">
        <f>'Inputs_NT INM'!Y216</f>
        <v>1.016</v>
      </c>
      <c r="S258" s="67">
        <f>'Inputs_NT INM'!Z216</f>
        <v>1.016</v>
      </c>
      <c r="T258" s="67">
        <f>'Inputs_NT INM'!AA216</f>
        <v>1.016</v>
      </c>
      <c r="U258" s="67">
        <f>'Inputs_NT INM'!AB216</f>
        <v>1.016</v>
      </c>
      <c r="V258" s="67">
        <f>'Inputs_NT INM'!AC216</f>
        <v>1.016</v>
      </c>
      <c r="W258" s="67">
        <f>'Inputs_NT INM'!AD216</f>
        <v>1.016</v>
      </c>
      <c r="X258" s="67">
        <f>'Inputs_NT INM'!AE216</f>
        <v>1.016</v>
      </c>
      <c r="Y258" s="67">
        <f>'Inputs_NT INM'!AF216</f>
        <v>1.016</v>
      </c>
      <c r="Z258" s="67">
        <f>'Inputs_NT INM'!AG216</f>
        <v>1.016</v>
      </c>
      <c r="AA258" s="67">
        <f>'Inputs_NT INM'!AH216</f>
        <v>1.016</v>
      </c>
      <c r="AB258" s="67">
        <f>'Inputs_NT INM'!AI216</f>
        <v>1.016</v>
      </c>
      <c r="AC258" s="67">
        <f>'Inputs_NT INM'!AJ216</f>
        <v>1.016</v>
      </c>
      <c r="AD258" s="67">
        <f>'Inputs_NT INM'!AK216</f>
        <v>1.016</v>
      </c>
      <c r="AE258" s="67">
        <f>'Inputs_NT INM'!AL216</f>
        <v>1.016</v>
      </c>
      <c r="AF258" s="67">
        <f>'Inputs_NT INM'!AM216</f>
        <v>1.016</v>
      </c>
      <c r="AG258" s="67">
        <f>'Inputs_NT INM'!AN216</f>
        <v>1.016</v>
      </c>
      <c r="AH258" s="67"/>
      <c r="AI258" s="67"/>
      <c r="AJ258" s="67"/>
    </row>
    <row r="259" spans="1:36" x14ac:dyDescent="0.25">
      <c r="A259" s="9" t="str">
        <f>IF(COUNTIF(A$20:A$60,'Inputs_NT INM'!A217)=0,"*",'Inputs_NT INM'!A217)</f>
        <v>*</v>
      </c>
      <c r="B259" s="9" t="s">
        <v>558</v>
      </c>
      <c r="C259" s="9" t="s">
        <v>558</v>
      </c>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row>
    <row r="260" spans="1:36" x14ac:dyDescent="0.25">
      <c r="A260" s="9" t="str">
        <f>IF(COUNTIF(A$20:A$60,'Inputs_NT INM'!A218)=0,"*",'Inputs_NT INM'!A218)</f>
        <v>*</v>
      </c>
      <c r="B260" s="9" t="s">
        <v>558</v>
      </c>
      <c r="C260" s="9" t="s">
        <v>558</v>
      </c>
      <c r="F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row>
    <row r="261" spans="1:36" x14ac:dyDescent="0.25">
      <c r="A261" s="9" t="str">
        <f>IF(COUNTIF(A$20:A$60,'Inputs_NT INM'!A219)=0,"*",'Inputs_NT INM'!A219)</f>
        <v>*</v>
      </c>
      <c r="B261" s="9" t="s">
        <v>558</v>
      </c>
      <c r="C261" s="9" t="s">
        <v>558</v>
      </c>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row>
    <row r="262" spans="1:36" x14ac:dyDescent="0.25">
      <c r="A262" s="9" t="str">
        <f>IF(COUNTIF(A$20:A$60,'Inputs_NT INM'!A220)=0,"*",'Inputs_NT INM'!A220)</f>
        <v>*</v>
      </c>
      <c r="B262" s="9" t="s">
        <v>558</v>
      </c>
      <c r="C262" s="9" t="s">
        <v>558</v>
      </c>
      <c r="F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row>
    <row r="263" spans="1:36" x14ac:dyDescent="0.25">
      <c r="A263" s="9" t="str">
        <f>IF(COUNTIF(A$20:A$60,'Inputs_NT INM'!A221)=0,"*",'Inputs_NT INM'!A221)</f>
        <v>*</v>
      </c>
      <c r="B263" s="9" t="s">
        <v>558</v>
      </c>
      <c r="C263" s="9" t="s">
        <v>558</v>
      </c>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row>
    <row r="264" spans="1:36" x14ac:dyDescent="0.25">
      <c r="A264" s="455" t="s">
        <v>994</v>
      </c>
      <c r="B264" s="59"/>
      <c r="C264" s="59"/>
      <c r="D264" s="59"/>
      <c r="E264" s="59"/>
      <c r="F264" s="456"/>
      <c r="G264" s="457"/>
      <c r="H264" s="457"/>
      <c r="I264" s="457"/>
      <c r="J264" s="458"/>
      <c r="K264" s="458"/>
      <c r="L264" s="458"/>
      <c r="M264" s="458"/>
      <c r="N264" s="458"/>
      <c r="O264" s="458"/>
      <c r="P264" s="458"/>
      <c r="Q264" s="458"/>
      <c r="R264" s="458"/>
      <c r="S264" s="458"/>
      <c r="T264" s="458"/>
      <c r="U264" s="458"/>
      <c r="V264" s="458"/>
      <c r="W264" s="458"/>
      <c r="X264" s="458"/>
      <c r="Y264" s="458"/>
      <c r="Z264" s="458"/>
      <c r="AA264" s="458"/>
      <c r="AB264" s="458"/>
      <c r="AC264" s="458"/>
      <c r="AD264" s="458"/>
      <c r="AE264" s="458"/>
      <c r="AF264" s="458"/>
      <c r="AG264" s="458"/>
      <c r="AH264" s="458"/>
      <c r="AI264" s="68"/>
      <c r="AJ264" s="68"/>
    </row>
    <row r="265" spans="1:36" x14ac:dyDescent="0.25">
      <c r="A265" s="9" t="s">
        <v>575</v>
      </c>
      <c r="B265" s="9" t="s">
        <v>558</v>
      </c>
      <c r="C265" s="9" t="s">
        <v>558</v>
      </c>
      <c r="D265" s="9" t="s">
        <v>558</v>
      </c>
      <c r="E265" s="9" t="s">
        <v>558</v>
      </c>
      <c r="F265" s="459" t="s">
        <v>558</v>
      </c>
      <c r="G265" s="459" t="s">
        <v>558</v>
      </c>
      <c r="H265" s="459" t="s">
        <v>558</v>
      </c>
      <c r="I265" s="459" t="s">
        <v>558</v>
      </c>
      <c r="J265" s="459" t="s">
        <v>558</v>
      </c>
      <c r="K265" s="459" t="s">
        <v>558</v>
      </c>
      <c r="L265" s="459" t="s">
        <v>558</v>
      </c>
      <c r="M265" s="459" t="s">
        <v>558</v>
      </c>
      <c r="N265" s="459" t="s">
        <v>558</v>
      </c>
      <c r="O265" s="459" t="s">
        <v>558</v>
      </c>
      <c r="P265" s="459" t="s">
        <v>558</v>
      </c>
      <c r="Q265" s="459" t="s">
        <v>558</v>
      </c>
      <c r="R265" s="459" t="s">
        <v>558</v>
      </c>
      <c r="S265" s="459" t="s">
        <v>558</v>
      </c>
      <c r="T265" s="459" t="s">
        <v>558</v>
      </c>
      <c r="U265" s="459" t="s">
        <v>558</v>
      </c>
      <c r="V265" s="459" t="s">
        <v>558</v>
      </c>
      <c r="W265" s="459" t="s">
        <v>558</v>
      </c>
      <c r="X265" s="459" t="s">
        <v>558</v>
      </c>
      <c r="Y265" s="459" t="s">
        <v>558</v>
      </c>
      <c r="Z265" s="459" t="s">
        <v>558</v>
      </c>
      <c r="AA265" s="459" t="s">
        <v>558</v>
      </c>
      <c r="AB265" s="459" t="s">
        <v>558</v>
      </c>
      <c r="AC265" s="459" t="s">
        <v>558</v>
      </c>
      <c r="AD265" s="459" t="s">
        <v>558</v>
      </c>
      <c r="AE265" s="459" t="s">
        <v>558</v>
      </c>
      <c r="AF265" s="459" t="s">
        <v>558</v>
      </c>
      <c r="AG265" s="459" t="s">
        <v>558</v>
      </c>
      <c r="AH265" s="459"/>
      <c r="AI265" s="459"/>
      <c r="AJ265" s="459"/>
    </row>
    <row r="266" spans="1:36" x14ac:dyDescent="0.25">
      <c r="A266" s="9" t="s">
        <v>814</v>
      </c>
      <c r="B266" s="9" t="s">
        <v>938</v>
      </c>
      <c r="C266" s="9" t="s">
        <v>624</v>
      </c>
      <c r="D266" s="9">
        <v>2020</v>
      </c>
      <c r="E266" s="9" t="s">
        <v>995</v>
      </c>
      <c r="F266" s="459">
        <f>'Inputs_NT INM'!M263</f>
        <v>289.24807172406372</v>
      </c>
      <c r="G266" s="459">
        <f>'Inputs_NT INM'!N263</f>
        <v>289.24807172406372</v>
      </c>
      <c r="H266" s="459">
        <f>'Inputs_NT INM'!O263</f>
        <v>289.24807172406372</v>
      </c>
      <c r="I266" s="459">
        <f>'Inputs_NT INM'!P263</f>
        <v>289.24807172406372</v>
      </c>
      <c r="J266" s="459">
        <f>'Inputs_NT INM'!Q263</f>
        <v>289.24807172406372</v>
      </c>
      <c r="K266" s="459">
        <f>'Inputs_NT INM'!R263</f>
        <v>289.24807172406372</v>
      </c>
      <c r="L266" s="459">
        <f>'Inputs_NT INM'!S263</f>
        <v>289.24807172406372</v>
      </c>
      <c r="M266" s="459">
        <f>'Inputs_NT INM'!T263</f>
        <v>289.24807172406372</v>
      </c>
      <c r="N266" s="459">
        <f>'Inputs_NT INM'!U263</f>
        <v>289.24807172406372</v>
      </c>
      <c r="O266" s="459">
        <f>'Inputs_NT INM'!V263</f>
        <v>289.24807172406372</v>
      </c>
      <c r="P266" s="459">
        <f>'Inputs_NT INM'!W263</f>
        <v>289.24807172406372</v>
      </c>
      <c r="Q266" s="459">
        <f>'Inputs_NT INM'!X263</f>
        <v>289.24807172406372</v>
      </c>
      <c r="R266" s="459">
        <f>'Inputs_NT INM'!Y263</f>
        <v>289.24807172406372</v>
      </c>
      <c r="S266" s="459">
        <f>'Inputs_NT INM'!Z263</f>
        <v>289.24807172406372</v>
      </c>
      <c r="T266" s="459">
        <f>'Inputs_NT INM'!AA263</f>
        <v>289.24807172406372</v>
      </c>
      <c r="U266" s="459">
        <f>'Inputs_NT INM'!AB263</f>
        <v>289.24807172406372</v>
      </c>
      <c r="V266" s="459">
        <f>'Inputs_NT INM'!AC263</f>
        <v>289.24807172406372</v>
      </c>
      <c r="W266" s="459">
        <f>'Inputs_NT INM'!AD263</f>
        <v>289.24807172406372</v>
      </c>
      <c r="X266" s="459">
        <f>'Inputs_NT INM'!AE263</f>
        <v>289.24807172406372</v>
      </c>
      <c r="Y266" s="459">
        <f>'Inputs_NT INM'!AF263</f>
        <v>289.24807172406372</v>
      </c>
      <c r="Z266" s="459">
        <f>'Inputs_NT INM'!AG263</f>
        <v>289.24807172406372</v>
      </c>
      <c r="AA266" s="459">
        <f>'Inputs_NT INM'!AH263</f>
        <v>289.24807172406372</v>
      </c>
      <c r="AB266" s="459">
        <f>'Inputs_NT INM'!AI263</f>
        <v>289.24807172406372</v>
      </c>
      <c r="AC266" s="459">
        <f>'Inputs_NT INM'!AJ263</f>
        <v>289.24807172406372</v>
      </c>
      <c r="AD266" s="459">
        <f>'Inputs_NT INM'!AK263</f>
        <v>289.24807172406372</v>
      </c>
      <c r="AE266" s="459">
        <f>'Inputs_NT INM'!AL263</f>
        <v>289.24807172406372</v>
      </c>
      <c r="AF266" s="459">
        <f>'Inputs_NT INM'!AM263</f>
        <v>289.24807172406372</v>
      </c>
      <c r="AG266" s="459">
        <f>'Inputs_NT INM'!AN263</f>
        <v>289.24807172406372</v>
      </c>
      <c r="AH266" s="459"/>
      <c r="AI266" s="459"/>
      <c r="AJ266" s="459"/>
    </row>
    <row r="267" spans="1:36" x14ac:dyDescent="0.25">
      <c r="A267" s="9" t="s">
        <v>815</v>
      </c>
      <c r="B267" s="9" t="s">
        <v>940</v>
      </c>
      <c r="C267" s="9" t="s">
        <v>624</v>
      </c>
      <c r="D267" s="9">
        <v>2020</v>
      </c>
      <c r="E267" s="9" t="s">
        <v>995</v>
      </c>
      <c r="F267" s="459">
        <f>'Inputs_NT INM'!M264</f>
        <v>289.24807172406372</v>
      </c>
      <c r="G267" s="459">
        <f>'Inputs_NT INM'!N264</f>
        <v>289.24807172406372</v>
      </c>
      <c r="H267" s="459">
        <f>'Inputs_NT INM'!O264</f>
        <v>289.24807172406372</v>
      </c>
      <c r="I267" s="459">
        <f>'Inputs_NT INM'!P264</f>
        <v>289.24807172406372</v>
      </c>
      <c r="J267" s="459">
        <f>'Inputs_NT INM'!Q264</f>
        <v>289.24807172406372</v>
      </c>
      <c r="K267" s="459">
        <f>'Inputs_NT INM'!R264</f>
        <v>289.24807172406372</v>
      </c>
      <c r="L267" s="459">
        <f>'Inputs_NT INM'!S264</f>
        <v>289.24807172406372</v>
      </c>
      <c r="M267" s="459">
        <f>'Inputs_NT INM'!T264</f>
        <v>289.24807172406372</v>
      </c>
      <c r="N267" s="459">
        <f>'Inputs_NT INM'!U264</f>
        <v>289.24807172406372</v>
      </c>
      <c r="O267" s="459">
        <f>'Inputs_NT INM'!V264</f>
        <v>289.24807172406372</v>
      </c>
      <c r="P267" s="459">
        <f>'Inputs_NT INM'!W264</f>
        <v>289.24807172406372</v>
      </c>
      <c r="Q267" s="459">
        <f>'Inputs_NT INM'!X264</f>
        <v>289.24807172406372</v>
      </c>
      <c r="R267" s="459">
        <f>'Inputs_NT INM'!Y264</f>
        <v>289.24807172406372</v>
      </c>
      <c r="S267" s="459">
        <f>'Inputs_NT INM'!Z264</f>
        <v>289.24807172406372</v>
      </c>
      <c r="T267" s="459">
        <f>'Inputs_NT INM'!AA264</f>
        <v>289.24807172406372</v>
      </c>
      <c r="U267" s="459">
        <f>'Inputs_NT INM'!AB264</f>
        <v>289.24807172406372</v>
      </c>
      <c r="V267" s="459">
        <f>'Inputs_NT INM'!AC264</f>
        <v>289.24807172406372</v>
      </c>
      <c r="W267" s="459">
        <f>'Inputs_NT INM'!AD264</f>
        <v>289.24807172406372</v>
      </c>
      <c r="X267" s="459">
        <f>'Inputs_NT INM'!AE264</f>
        <v>289.24807172406372</v>
      </c>
      <c r="Y267" s="459">
        <f>'Inputs_NT INM'!AF264</f>
        <v>289.24807172406372</v>
      </c>
      <c r="Z267" s="459">
        <f>'Inputs_NT INM'!AG264</f>
        <v>289.24807172406372</v>
      </c>
      <c r="AA267" s="459">
        <f>'Inputs_NT INM'!AH264</f>
        <v>289.24807172406372</v>
      </c>
      <c r="AB267" s="459">
        <f>'Inputs_NT INM'!AI264</f>
        <v>289.24807172406372</v>
      </c>
      <c r="AC267" s="459">
        <f>'Inputs_NT INM'!AJ264</f>
        <v>289.24807172406372</v>
      </c>
      <c r="AD267" s="459">
        <f>'Inputs_NT INM'!AK264</f>
        <v>289.24807172406372</v>
      </c>
      <c r="AE267" s="459">
        <f>'Inputs_NT INM'!AL264</f>
        <v>289.24807172406372</v>
      </c>
      <c r="AF267" s="459">
        <f>'Inputs_NT INM'!AM264</f>
        <v>289.24807172406372</v>
      </c>
      <c r="AG267" s="459">
        <f>'Inputs_NT INM'!AN264</f>
        <v>289.24807172406372</v>
      </c>
      <c r="AH267" s="459"/>
      <c r="AI267" s="459"/>
      <c r="AJ267" s="459"/>
    </row>
    <row r="268" spans="1:36" x14ac:dyDescent="0.25">
      <c r="A268" s="9" t="s">
        <v>816</v>
      </c>
      <c r="B268" s="9" t="s">
        <v>942</v>
      </c>
      <c r="C268" s="9" t="s">
        <v>624</v>
      </c>
      <c r="D268" s="9">
        <v>2020</v>
      </c>
      <c r="E268" s="9" t="s">
        <v>995</v>
      </c>
      <c r="F268" s="459">
        <f>'Inputs_NT INM'!M265</f>
        <v>289.24807172406372</v>
      </c>
      <c r="G268" s="459">
        <f>'Inputs_NT INM'!N265</f>
        <v>289.24807172406372</v>
      </c>
      <c r="H268" s="459">
        <f>'Inputs_NT INM'!O265</f>
        <v>289.24807172406372</v>
      </c>
      <c r="I268" s="459">
        <f>'Inputs_NT INM'!P265</f>
        <v>289.24807172406372</v>
      </c>
      <c r="J268" s="459">
        <f>'Inputs_NT INM'!Q265</f>
        <v>289.24807172406372</v>
      </c>
      <c r="K268" s="459">
        <f>'Inputs_NT INM'!R265</f>
        <v>289.24807172406372</v>
      </c>
      <c r="L268" s="459">
        <f>'Inputs_NT INM'!S265</f>
        <v>289.24807172406372</v>
      </c>
      <c r="M268" s="459">
        <f>'Inputs_NT INM'!T265</f>
        <v>289.24807172406372</v>
      </c>
      <c r="N268" s="459">
        <f>'Inputs_NT INM'!U265</f>
        <v>289.24807172406372</v>
      </c>
      <c r="O268" s="459">
        <f>'Inputs_NT INM'!V265</f>
        <v>289.24807172406372</v>
      </c>
      <c r="P268" s="459">
        <f>'Inputs_NT INM'!W265</f>
        <v>289.24807172406372</v>
      </c>
      <c r="Q268" s="459">
        <f>'Inputs_NT INM'!X265</f>
        <v>289.24807172406372</v>
      </c>
      <c r="R268" s="459">
        <f>'Inputs_NT INM'!Y265</f>
        <v>289.24807172406372</v>
      </c>
      <c r="S268" s="459">
        <f>'Inputs_NT INM'!Z265</f>
        <v>289.24807172406372</v>
      </c>
      <c r="T268" s="459">
        <f>'Inputs_NT INM'!AA265</f>
        <v>289.24807172406372</v>
      </c>
      <c r="U268" s="459">
        <f>'Inputs_NT INM'!AB265</f>
        <v>289.24807172406372</v>
      </c>
      <c r="V268" s="459">
        <f>'Inputs_NT INM'!AC265</f>
        <v>289.24807172406372</v>
      </c>
      <c r="W268" s="459">
        <f>'Inputs_NT INM'!AD265</f>
        <v>289.24807172406372</v>
      </c>
      <c r="X268" s="459">
        <f>'Inputs_NT INM'!AE265</f>
        <v>289.24807172406372</v>
      </c>
      <c r="Y268" s="459">
        <f>'Inputs_NT INM'!AF265</f>
        <v>289.24807172406372</v>
      </c>
      <c r="Z268" s="459">
        <f>'Inputs_NT INM'!AG265</f>
        <v>289.24807172406372</v>
      </c>
      <c r="AA268" s="459">
        <f>'Inputs_NT INM'!AH265</f>
        <v>289.24807172406372</v>
      </c>
      <c r="AB268" s="459">
        <f>'Inputs_NT INM'!AI265</f>
        <v>289.24807172406372</v>
      </c>
      <c r="AC268" s="459">
        <f>'Inputs_NT INM'!AJ265</f>
        <v>289.24807172406372</v>
      </c>
      <c r="AD268" s="459">
        <f>'Inputs_NT INM'!AK265</f>
        <v>289.24807172406372</v>
      </c>
      <c r="AE268" s="459">
        <f>'Inputs_NT INM'!AL265</f>
        <v>289.24807172406372</v>
      </c>
      <c r="AF268" s="459">
        <f>'Inputs_NT INM'!AM265</f>
        <v>289.24807172406372</v>
      </c>
      <c r="AG268" s="459">
        <f>'Inputs_NT INM'!AN265</f>
        <v>289.24807172406372</v>
      </c>
      <c r="AH268" s="459"/>
      <c r="AI268" s="459"/>
      <c r="AJ268" s="459"/>
    </row>
    <row r="269" spans="1:36" x14ac:dyDescent="0.25">
      <c r="A269" s="9" t="s">
        <v>817</v>
      </c>
      <c r="B269" s="9" t="s">
        <v>943</v>
      </c>
      <c r="C269" s="9" t="s">
        <v>624</v>
      </c>
      <c r="D269" s="9">
        <v>2020</v>
      </c>
      <c r="E269" s="9" t="s">
        <v>995</v>
      </c>
      <c r="F269" s="459">
        <f>'Inputs_NT INM'!M266</f>
        <v>289.24807172406372</v>
      </c>
      <c r="G269" s="459">
        <f>'Inputs_NT INM'!N266</f>
        <v>289.24807172406372</v>
      </c>
      <c r="H269" s="459">
        <f>'Inputs_NT INM'!O266</f>
        <v>289.24807172406372</v>
      </c>
      <c r="I269" s="459">
        <f>'Inputs_NT INM'!P266</f>
        <v>289.24807172406372</v>
      </c>
      <c r="J269" s="459">
        <f>'Inputs_NT INM'!Q266</f>
        <v>289.24807172406372</v>
      </c>
      <c r="K269" s="459">
        <f>'Inputs_NT INM'!R266</f>
        <v>289.24807172406372</v>
      </c>
      <c r="L269" s="459">
        <f>'Inputs_NT INM'!S266</f>
        <v>289.24807172406372</v>
      </c>
      <c r="M269" s="459">
        <f>'Inputs_NT INM'!T266</f>
        <v>289.24807172406372</v>
      </c>
      <c r="N269" s="459">
        <f>'Inputs_NT INM'!U266</f>
        <v>289.24807172406372</v>
      </c>
      <c r="O269" s="459">
        <f>'Inputs_NT INM'!V266</f>
        <v>289.24807172406372</v>
      </c>
      <c r="P269" s="459">
        <f>'Inputs_NT INM'!W266</f>
        <v>289.24807172406372</v>
      </c>
      <c r="Q269" s="459">
        <f>'Inputs_NT INM'!X266</f>
        <v>289.24807172406372</v>
      </c>
      <c r="R269" s="459">
        <f>'Inputs_NT INM'!Y266</f>
        <v>289.24807172406372</v>
      </c>
      <c r="S269" s="459">
        <f>'Inputs_NT INM'!Z266</f>
        <v>289.24807172406372</v>
      </c>
      <c r="T269" s="459">
        <f>'Inputs_NT INM'!AA266</f>
        <v>289.24807172406372</v>
      </c>
      <c r="U269" s="459">
        <f>'Inputs_NT INM'!AB266</f>
        <v>289.24807172406372</v>
      </c>
      <c r="V269" s="459">
        <f>'Inputs_NT INM'!AC266</f>
        <v>289.24807172406372</v>
      </c>
      <c r="W269" s="459">
        <f>'Inputs_NT INM'!AD266</f>
        <v>289.24807172406372</v>
      </c>
      <c r="X269" s="459">
        <f>'Inputs_NT INM'!AE266</f>
        <v>289.24807172406372</v>
      </c>
      <c r="Y269" s="459">
        <f>'Inputs_NT INM'!AF266</f>
        <v>289.24807172406372</v>
      </c>
      <c r="Z269" s="459">
        <f>'Inputs_NT INM'!AG266</f>
        <v>289.24807172406372</v>
      </c>
      <c r="AA269" s="459">
        <f>'Inputs_NT INM'!AH266</f>
        <v>289.24807172406372</v>
      </c>
      <c r="AB269" s="459">
        <f>'Inputs_NT INM'!AI266</f>
        <v>289.24807172406372</v>
      </c>
      <c r="AC269" s="459">
        <f>'Inputs_NT INM'!AJ266</f>
        <v>289.24807172406372</v>
      </c>
      <c r="AD269" s="459">
        <f>'Inputs_NT INM'!AK266</f>
        <v>289.24807172406372</v>
      </c>
      <c r="AE269" s="459">
        <f>'Inputs_NT INM'!AL266</f>
        <v>289.24807172406372</v>
      </c>
      <c r="AF269" s="459">
        <f>'Inputs_NT INM'!AM266</f>
        <v>289.24807172406372</v>
      </c>
      <c r="AG269" s="459">
        <f>'Inputs_NT INM'!AN266</f>
        <v>289.24807172406372</v>
      </c>
      <c r="AH269" s="459"/>
      <c r="AI269" s="459"/>
      <c r="AJ269" s="459"/>
    </row>
    <row r="270" spans="1:36" x14ac:dyDescent="0.25">
      <c r="A270" s="9" t="s">
        <v>575</v>
      </c>
      <c r="B270" s="9" t="s">
        <v>558</v>
      </c>
      <c r="C270" s="9" t="s">
        <v>558</v>
      </c>
      <c r="D270" s="9" t="s">
        <v>558</v>
      </c>
      <c r="E270" s="9" t="s">
        <v>558</v>
      </c>
      <c r="F270" s="459">
        <f>'Inputs_NT INM'!M267</f>
        <v>289.24807172406372</v>
      </c>
      <c r="G270" s="459">
        <f>'Inputs_NT INM'!N267</f>
        <v>289.24807172406372</v>
      </c>
      <c r="H270" s="459">
        <f>'Inputs_NT INM'!O267</f>
        <v>289.24807172406372</v>
      </c>
      <c r="I270" s="459">
        <f>'Inputs_NT INM'!P267</f>
        <v>289.24807172406372</v>
      </c>
      <c r="J270" s="459">
        <f>'Inputs_NT INM'!Q267</f>
        <v>289.24807172406372</v>
      </c>
      <c r="K270" s="459">
        <f>'Inputs_NT INM'!R267</f>
        <v>289.24807172406372</v>
      </c>
      <c r="L270" s="459">
        <f>'Inputs_NT INM'!S267</f>
        <v>289.24807172406372</v>
      </c>
      <c r="M270" s="459">
        <f>'Inputs_NT INM'!T267</f>
        <v>289.24807172406372</v>
      </c>
      <c r="N270" s="459">
        <f>'Inputs_NT INM'!U267</f>
        <v>289.24807172406372</v>
      </c>
      <c r="O270" s="459">
        <f>'Inputs_NT INM'!V267</f>
        <v>289.24807172406372</v>
      </c>
      <c r="P270" s="459">
        <f>'Inputs_NT INM'!W267</f>
        <v>289.24807172406372</v>
      </c>
      <c r="Q270" s="459">
        <f>'Inputs_NT INM'!X267</f>
        <v>289.24807172406372</v>
      </c>
      <c r="R270" s="459">
        <f>'Inputs_NT INM'!Y267</f>
        <v>289.24807172406372</v>
      </c>
      <c r="S270" s="459">
        <f>'Inputs_NT INM'!Z267</f>
        <v>289.24807172406372</v>
      </c>
      <c r="T270" s="459">
        <f>'Inputs_NT INM'!AA267</f>
        <v>289.24807172406372</v>
      </c>
      <c r="U270" s="459">
        <f>'Inputs_NT INM'!AB267</f>
        <v>289.24807172406372</v>
      </c>
      <c r="V270" s="459">
        <f>'Inputs_NT INM'!AC267</f>
        <v>289.24807172406372</v>
      </c>
      <c r="W270" s="459">
        <f>'Inputs_NT INM'!AD267</f>
        <v>289.24807172406372</v>
      </c>
      <c r="X270" s="459">
        <f>'Inputs_NT INM'!AE267</f>
        <v>289.24807172406372</v>
      </c>
      <c r="Y270" s="459">
        <f>'Inputs_NT INM'!AF267</f>
        <v>289.24807172406372</v>
      </c>
      <c r="Z270" s="459">
        <f>'Inputs_NT INM'!AG267</f>
        <v>289.24807172406372</v>
      </c>
      <c r="AA270" s="459">
        <f>'Inputs_NT INM'!AH267</f>
        <v>289.24807172406372</v>
      </c>
      <c r="AB270" s="459">
        <f>'Inputs_NT INM'!AI267</f>
        <v>289.24807172406372</v>
      </c>
      <c r="AC270" s="459">
        <f>'Inputs_NT INM'!AJ267</f>
        <v>289.24807172406372</v>
      </c>
      <c r="AD270" s="459">
        <f>'Inputs_NT INM'!AK267</f>
        <v>289.24807172406372</v>
      </c>
      <c r="AE270" s="459">
        <f>'Inputs_NT INM'!AL267</f>
        <v>289.24807172406372</v>
      </c>
      <c r="AF270" s="459">
        <f>'Inputs_NT INM'!AM267</f>
        <v>289.24807172406372</v>
      </c>
      <c r="AG270" s="459">
        <f>'Inputs_NT INM'!AN267</f>
        <v>289.24807172406372</v>
      </c>
      <c r="AH270" s="459"/>
      <c r="AI270" s="459"/>
      <c r="AJ270" s="459"/>
    </row>
    <row r="271" spans="1:36" x14ac:dyDescent="0.25">
      <c r="A271" s="9" t="s">
        <v>575</v>
      </c>
      <c r="B271" s="9" t="s">
        <v>558</v>
      </c>
      <c r="C271" s="9" t="s">
        <v>558</v>
      </c>
      <c r="D271" s="9" t="s">
        <v>558</v>
      </c>
      <c r="E271" s="9" t="s">
        <v>558</v>
      </c>
      <c r="F271" s="459">
        <f>'Inputs_NT INM'!M268</f>
        <v>289.24807172406372</v>
      </c>
      <c r="G271" s="459">
        <f>'Inputs_NT INM'!N268</f>
        <v>289.24807172406372</v>
      </c>
      <c r="H271" s="459">
        <f>'Inputs_NT INM'!O268</f>
        <v>289.24807172406372</v>
      </c>
      <c r="I271" s="459">
        <f>'Inputs_NT INM'!P268</f>
        <v>289.24807172406372</v>
      </c>
      <c r="J271" s="459">
        <f>'Inputs_NT INM'!Q268</f>
        <v>289.24807172406372</v>
      </c>
      <c r="K271" s="459">
        <f>'Inputs_NT INM'!R268</f>
        <v>289.24807172406372</v>
      </c>
      <c r="L271" s="459">
        <f>'Inputs_NT INM'!S268</f>
        <v>289.24807172406372</v>
      </c>
      <c r="M271" s="459">
        <f>'Inputs_NT INM'!T268</f>
        <v>289.24807172406372</v>
      </c>
      <c r="N271" s="459">
        <f>'Inputs_NT INM'!U268</f>
        <v>289.24807172406372</v>
      </c>
      <c r="O271" s="459">
        <f>'Inputs_NT INM'!V268</f>
        <v>289.24807172406372</v>
      </c>
      <c r="P271" s="459">
        <f>'Inputs_NT INM'!W268</f>
        <v>289.24807172406372</v>
      </c>
      <c r="Q271" s="459">
        <f>'Inputs_NT INM'!X268</f>
        <v>289.24807172406372</v>
      </c>
      <c r="R271" s="459">
        <f>'Inputs_NT INM'!Y268</f>
        <v>289.24807172406372</v>
      </c>
      <c r="S271" s="459">
        <f>'Inputs_NT INM'!Z268</f>
        <v>289.24807172406372</v>
      </c>
      <c r="T271" s="459">
        <f>'Inputs_NT INM'!AA268</f>
        <v>289.24807172406372</v>
      </c>
      <c r="U271" s="459">
        <f>'Inputs_NT INM'!AB268</f>
        <v>289.24807172406372</v>
      </c>
      <c r="V271" s="459">
        <f>'Inputs_NT INM'!AC268</f>
        <v>289.24807172406372</v>
      </c>
      <c r="W271" s="459">
        <f>'Inputs_NT INM'!AD268</f>
        <v>289.24807172406372</v>
      </c>
      <c r="X271" s="459">
        <f>'Inputs_NT INM'!AE268</f>
        <v>289.24807172406372</v>
      </c>
      <c r="Y271" s="459">
        <f>'Inputs_NT INM'!AF268</f>
        <v>289.24807172406372</v>
      </c>
      <c r="Z271" s="459">
        <f>'Inputs_NT INM'!AG268</f>
        <v>289.24807172406372</v>
      </c>
      <c r="AA271" s="459">
        <f>'Inputs_NT INM'!AH268</f>
        <v>289.24807172406372</v>
      </c>
      <c r="AB271" s="459">
        <f>'Inputs_NT INM'!AI268</f>
        <v>289.24807172406372</v>
      </c>
      <c r="AC271" s="459">
        <f>'Inputs_NT INM'!AJ268</f>
        <v>289.24807172406372</v>
      </c>
      <c r="AD271" s="459">
        <f>'Inputs_NT INM'!AK268</f>
        <v>289.24807172406372</v>
      </c>
      <c r="AE271" s="459">
        <f>'Inputs_NT INM'!AL268</f>
        <v>289.24807172406372</v>
      </c>
      <c r="AF271" s="459">
        <f>'Inputs_NT INM'!AM268</f>
        <v>289.24807172406372</v>
      </c>
      <c r="AG271" s="459">
        <f>'Inputs_NT INM'!AN268</f>
        <v>289.24807172406372</v>
      </c>
      <c r="AH271" s="459"/>
      <c r="AI271" s="459"/>
      <c r="AJ271" s="459"/>
    </row>
    <row r="272" spans="1:36" x14ac:dyDescent="0.25">
      <c r="A272" s="9" t="s">
        <v>820</v>
      </c>
      <c r="B272" s="9" t="s">
        <v>944</v>
      </c>
      <c r="C272" s="9" t="s">
        <v>624</v>
      </c>
      <c r="D272" s="9">
        <v>2025</v>
      </c>
      <c r="E272" s="9" t="s">
        <v>995</v>
      </c>
      <c r="F272" s="459">
        <f>'Inputs_NT INM'!M269</f>
        <v>289.24807172406372</v>
      </c>
      <c r="G272" s="459">
        <f>'Inputs_NT INM'!N269</f>
        <v>289.24807172406372</v>
      </c>
      <c r="H272" s="459">
        <f>'Inputs_NT INM'!O269</f>
        <v>289.24807172406372</v>
      </c>
      <c r="I272" s="459">
        <f>'Inputs_NT INM'!P269</f>
        <v>289.24807172406372</v>
      </c>
      <c r="J272" s="459">
        <f>'Inputs_NT INM'!Q269</f>
        <v>289.24807172406372</v>
      </c>
      <c r="K272" s="459">
        <f>'Inputs_NT INM'!R269</f>
        <v>289.24807172406372</v>
      </c>
      <c r="L272" s="459">
        <f>'Inputs_NT INM'!S269</f>
        <v>289.24807172406372</v>
      </c>
      <c r="M272" s="459">
        <f>'Inputs_NT INM'!T269</f>
        <v>289.24807172406372</v>
      </c>
      <c r="N272" s="459">
        <f>'Inputs_NT INM'!U269</f>
        <v>289.24807172406372</v>
      </c>
      <c r="O272" s="459">
        <f>'Inputs_NT INM'!V269</f>
        <v>289.24807172406372</v>
      </c>
      <c r="P272" s="459">
        <f>'Inputs_NT INM'!W269</f>
        <v>289.24807172406372</v>
      </c>
      <c r="Q272" s="459">
        <f>'Inputs_NT INM'!X269</f>
        <v>289.24807172406372</v>
      </c>
      <c r="R272" s="459">
        <f>'Inputs_NT INM'!Y269</f>
        <v>289.24807172406372</v>
      </c>
      <c r="S272" s="459">
        <f>'Inputs_NT INM'!Z269</f>
        <v>289.24807172406372</v>
      </c>
      <c r="T272" s="459">
        <f>'Inputs_NT INM'!AA269</f>
        <v>289.24807172406372</v>
      </c>
      <c r="U272" s="459">
        <f>'Inputs_NT INM'!AB269</f>
        <v>289.24807172406372</v>
      </c>
      <c r="V272" s="459">
        <f>'Inputs_NT INM'!AC269</f>
        <v>289.24807172406372</v>
      </c>
      <c r="W272" s="459">
        <f>'Inputs_NT INM'!AD269</f>
        <v>289.24807172406372</v>
      </c>
      <c r="X272" s="459">
        <f>'Inputs_NT INM'!AE269</f>
        <v>289.24807172406372</v>
      </c>
      <c r="Y272" s="459">
        <f>'Inputs_NT INM'!AF269</f>
        <v>289.24807172406372</v>
      </c>
      <c r="Z272" s="459">
        <f>'Inputs_NT INM'!AG269</f>
        <v>289.24807172406372</v>
      </c>
      <c r="AA272" s="459">
        <f>'Inputs_NT INM'!AH269</f>
        <v>289.24807172406372</v>
      </c>
      <c r="AB272" s="459">
        <f>'Inputs_NT INM'!AI269</f>
        <v>289.24807172406372</v>
      </c>
      <c r="AC272" s="459">
        <f>'Inputs_NT INM'!AJ269</f>
        <v>289.24807172406372</v>
      </c>
      <c r="AD272" s="459">
        <f>'Inputs_NT INM'!AK269</f>
        <v>289.24807172406372</v>
      </c>
      <c r="AE272" s="459">
        <f>'Inputs_NT INM'!AL269</f>
        <v>289.24807172406372</v>
      </c>
      <c r="AF272" s="459">
        <f>'Inputs_NT INM'!AM269</f>
        <v>289.24807172406372</v>
      </c>
      <c r="AG272" s="459">
        <f>'Inputs_NT INM'!AN269</f>
        <v>289.24807172406372</v>
      </c>
      <c r="AH272" s="459"/>
      <c r="AI272" s="459"/>
      <c r="AJ272" s="459"/>
    </row>
    <row r="273" spans="1:36" x14ac:dyDescent="0.25">
      <c r="A273" s="9" t="s">
        <v>821</v>
      </c>
      <c r="B273" s="9" t="s">
        <v>945</v>
      </c>
      <c r="C273" s="9" t="s">
        <v>624</v>
      </c>
      <c r="D273" s="9">
        <v>2025</v>
      </c>
      <c r="E273" s="9" t="s">
        <v>995</v>
      </c>
      <c r="F273" s="459">
        <f>'Inputs_NT INM'!M270</f>
        <v>289.24807172406372</v>
      </c>
      <c r="G273" s="459">
        <f>'Inputs_NT INM'!N270</f>
        <v>289.24807172406372</v>
      </c>
      <c r="H273" s="459">
        <f>'Inputs_NT INM'!O270</f>
        <v>289.24807172406372</v>
      </c>
      <c r="I273" s="459">
        <f>'Inputs_NT INM'!P270</f>
        <v>289.24807172406372</v>
      </c>
      <c r="J273" s="459">
        <f>'Inputs_NT INM'!Q270</f>
        <v>289.24807172406372</v>
      </c>
      <c r="K273" s="459">
        <f>'Inputs_NT INM'!R270</f>
        <v>289.24807172406372</v>
      </c>
      <c r="L273" s="459">
        <f>'Inputs_NT INM'!S270</f>
        <v>289.24807172406372</v>
      </c>
      <c r="M273" s="459">
        <f>'Inputs_NT INM'!T270</f>
        <v>289.24807172406372</v>
      </c>
      <c r="N273" s="459">
        <f>'Inputs_NT INM'!U270</f>
        <v>289.24807172406372</v>
      </c>
      <c r="O273" s="459">
        <f>'Inputs_NT INM'!V270</f>
        <v>289.24807172406372</v>
      </c>
      <c r="P273" s="459">
        <f>'Inputs_NT INM'!W270</f>
        <v>289.24807172406372</v>
      </c>
      <c r="Q273" s="459">
        <f>'Inputs_NT INM'!X270</f>
        <v>289.24807172406372</v>
      </c>
      <c r="R273" s="459">
        <f>'Inputs_NT INM'!Y270</f>
        <v>289.24807172406372</v>
      </c>
      <c r="S273" s="459">
        <f>'Inputs_NT INM'!Z270</f>
        <v>289.24807172406372</v>
      </c>
      <c r="T273" s="459">
        <f>'Inputs_NT INM'!AA270</f>
        <v>289.24807172406372</v>
      </c>
      <c r="U273" s="459">
        <f>'Inputs_NT INM'!AB270</f>
        <v>289.24807172406372</v>
      </c>
      <c r="V273" s="459">
        <f>'Inputs_NT INM'!AC270</f>
        <v>289.24807172406372</v>
      </c>
      <c r="W273" s="459">
        <f>'Inputs_NT INM'!AD270</f>
        <v>289.24807172406372</v>
      </c>
      <c r="X273" s="459">
        <f>'Inputs_NT INM'!AE270</f>
        <v>289.24807172406372</v>
      </c>
      <c r="Y273" s="459">
        <f>'Inputs_NT INM'!AF270</f>
        <v>289.24807172406372</v>
      </c>
      <c r="Z273" s="459">
        <f>'Inputs_NT INM'!AG270</f>
        <v>289.24807172406372</v>
      </c>
      <c r="AA273" s="459">
        <f>'Inputs_NT INM'!AH270</f>
        <v>289.24807172406372</v>
      </c>
      <c r="AB273" s="459">
        <f>'Inputs_NT INM'!AI270</f>
        <v>289.24807172406372</v>
      </c>
      <c r="AC273" s="459">
        <f>'Inputs_NT INM'!AJ270</f>
        <v>289.24807172406372</v>
      </c>
      <c r="AD273" s="459">
        <f>'Inputs_NT INM'!AK270</f>
        <v>289.24807172406372</v>
      </c>
      <c r="AE273" s="459">
        <f>'Inputs_NT INM'!AL270</f>
        <v>289.24807172406372</v>
      </c>
      <c r="AF273" s="459">
        <f>'Inputs_NT INM'!AM270</f>
        <v>289.24807172406372</v>
      </c>
      <c r="AG273" s="459">
        <f>'Inputs_NT INM'!AN270</f>
        <v>289.24807172406372</v>
      </c>
      <c r="AH273" s="459"/>
      <c r="AI273" s="459"/>
      <c r="AJ273" s="459"/>
    </row>
    <row r="274" spans="1:36" x14ac:dyDescent="0.25">
      <c r="A274" s="9" t="s">
        <v>822</v>
      </c>
      <c r="B274" s="9" t="s">
        <v>946</v>
      </c>
      <c r="C274" s="9" t="s">
        <v>624</v>
      </c>
      <c r="D274" s="9">
        <v>2025</v>
      </c>
      <c r="E274" s="9" t="s">
        <v>995</v>
      </c>
      <c r="F274" s="459">
        <f>'Inputs_NT INM'!M271</f>
        <v>289.24807172406372</v>
      </c>
      <c r="G274" s="459">
        <f>'Inputs_NT INM'!N271</f>
        <v>289.24807172406372</v>
      </c>
      <c r="H274" s="459">
        <f>'Inputs_NT INM'!O271</f>
        <v>289.24807172406372</v>
      </c>
      <c r="I274" s="459">
        <f>'Inputs_NT INM'!P271</f>
        <v>289.24807172406372</v>
      </c>
      <c r="J274" s="459">
        <f>'Inputs_NT INM'!Q271</f>
        <v>289.24807172406372</v>
      </c>
      <c r="K274" s="459">
        <f>'Inputs_NT INM'!R271</f>
        <v>289.24807172406372</v>
      </c>
      <c r="L274" s="459">
        <f>'Inputs_NT INM'!S271</f>
        <v>289.24807172406372</v>
      </c>
      <c r="M274" s="459">
        <f>'Inputs_NT INM'!T271</f>
        <v>289.24807172406372</v>
      </c>
      <c r="N274" s="459">
        <f>'Inputs_NT INM'!U271</f>
        <v>289.24807172406372</v>
      </c>
      <c r="O274" s="459">
        <f>'Inputs_NT INM'!V271</f>
        <v>289.24807172406372</v>
      </c>
      <c r="P274" s="459">
        <f>'Inputs_NT INM'!W271</f>
        <v>289.24807172406372</v>
      </c>
      <c r="Q274" s="459">
        <f>'Inputs_NT INM'!X271</f>
        <v>289.24807172406372</v>
      </c>
      <c r="R274" s="459">
        <f>'Inputs_NT INM'!Y271</f>
        <v>289.24807172406372</v>
      </c>
      <c r="S274" s="459">
        <f>'Inputs_NT INM'!Z271</f>
        <v>289.24807172406372</v>
      </c>
      <c r="T274" s="459">
        <f>'Inputs_NT INM'!AA271</f>
        <v>289.24807172406372</v>
      </c>
      <c r="U274" s="459">
        <f>'Inputs_NT INM'!AB271</f>
        <v>289.24807172406372</v>
      </c>
      <c r="V274" s="459">
        <f>'Inputs_NT INM'!AC271</f>
        <v>289.24807172406372</v>
      </c>
      <c r="W274" s="459">
        <f>'Inputs_NT INM'!AD271</f>
        <v>289.24807172406372</v>
      </c>
      <c r="X274" s="459">
        <f>'Inputs_NT INM'!AE271</f>
        <v>289.24807172406372</v>
      </c>
      <c r="Y274" s="459">
        <f>'Inputs_NT INM'!AF271</f>
        <v>289.24807172406372</v>
      </c>
      <c r="Z274" s="459">
        <f>'Inputs_NT INM'!AG271</f>
        <v>289.24807172406372</v>
      </c>
      <c r="AA274" s="459">
        <f>'Inputs_NT INM'!AH271</f>
        <v>289.24807172406372</v>
      </c>
      <c r="AB274" s="459">
        <f>'Inputs_NT INM'!AI271</f>
        <v>289.24807172406372</v>
      </c>
      <c r="AC274" s="459">
        <f>'Inputs_NT INM'!AJ271</f>
        <v>289.24807172406372</v>
      </c>
      <c r="AD274" s="459">
        <f>'Inputs_NT INM'!AK271</f>
        <v>289.24807172406372</v>
      </c>
      <c r="AE274" s="459">
        <f>'Inputs_NT INM'!AL271</f>
        <v>289.24807172406372</v>
      </c>
      <c r="AF274" s="459">
        <f>'Inputs_NT INM'!AM271</f>
        <v>289.24807172406372</v>
      </c>
      <c r="AG274" s="459">
        <f>'Inputs_NT INM'!AN271</f>
        <v>289.24807172406372</v>
      </c>
      <c r="AH274" s="459"/>
      <c r="AI274" s="459"/>
      <c r="AJ274" s="459"/>
    </row>
    <row r="275" spans="1:36" x14ac:dyDescent="0.25">
      <c r="A275" s="9" t="s">
        <v>823</v>
      </c>
      <c r="B275" s="9" t="s">
        <v>947</v>
      </c>
      <c r="C275" s="9" t="s">
        <v>624</v>
      </c>
      <c r="D275" s="9">
        <v>2025</v>
      </c>
      <c r="E275" s="9" t="s">
        <v>995</v>
      </c>
      <c r="F275" s="459">
        <f>'Inputs_NT INM'!M272</f>
        <v>289.24807172406372</v>
      </c>
      <c r="G275" s="459">
        <f>'Inputs_NT INM'!N272</f>
        <v>289.24807172406372</v>
      </c>
      <c r="H275" s="459">
        <f>'Inputs_NT INM'!O272</f>
        <v>289.24807172406372</v>
      </c>
      <c r="I275" s="459">
        <f>'Inputs_NT INM'!P272</f>
        <v>289.24807172406372</v>
      </c>
      <c r="J275" s="459">
        <f>'Inputs_NT INM'!Q272</f>
        <v>289.24807172406372</v>
      </c>
      <c r="K275" s="459">
        <f>'Inputs_NT INM'!R272</f>
        <v>289.24807172406372</v>
      </c>
      <c r="L275" s="459">
        <f>'Inputs_NT INM'!S272</f>
        <v>289.24807172406372</v>
      </c>
      <c r="M275" s="459">
        <f>'Inputs_NT INM'!T272</f>
        <v>289.24807172406372</v>
      </c>
      <c r="N275" s="459">
        <f>'Inputs_NT INM'!U272</f>
        <v>289.24807172406372</v>
      </c>
      <c r="O275" s="459">
        <f>'Inputs_NT INM'!V272</f>
        <v>289.24807172406372</v>
      </c>
      <c r="P275" s="459">
        <f>'Inputs_NT INM'!W272</f>
        <v>289.24807172406372</v>
      </c>
      <c r="Q275" s="459">
        <f>'Inputs_NT INM'!X272</f>
        <v>289.24807172406372</v>
      </c>
      <c r="R275" s="459">
        <f>'Inputs_NT INM'!Y272</f>
        <v>289.24807172406372</v>
      </c>
      <c r="S275" s="459">
        <f>'Inputs_NT INM'!Z272</f>
        <v>289.24807172406372</v>
      </c>
      <c r="T275" s="459">
        <f>'Inputs_NT INM'!AA272</f>
        <v>289.24807172406372</v>
      </c>
      <c r="U275" s="459">
        <f>'Inputs_NT INM'!AB272</f>
        <v>289.24807172406372</v>
      </c>
      <c r="V275" s="459">
        <f>'Inputs_NT INM'!AC272</f>
        <v>289.24807172406372</v>
      </c>
      <c r="W275" s="459">
        <f>'Inputs_NT INM'!AD272</f>
        <v>289.24807172406372</v>
      </c>
      <c r="X275" s="459">
        <f>'Inputs_NT INM'!AE272</f>
        <v>289.24807172406372</v>
      </c>
      <c r="Y275" s="459">
        <f>'Inputs_NT INM'!AF272</f>
        <v>289.24807172406372</v>
      </c>
      <c r="Z275" s="459">
        <f>'Inputs_NT INM'!AG272</f>
        <v>289.24807172406372</v>
      </c>
      <c r="AA275" s="459">
        <f>'Inputs_NT INM'!AH272</f>
        <v>289.24807172406372</v>
      </c>
      <c r="AB275" s="459">
        <f>'Inputs_NT INM'!AI272</f>
        <v>289.24807172406372</v>
      </c>
      <c r="AC275" s="459">
        <f>'Inputs_NT INM'!AJ272</f>
        <v>289.24807172406372</v>
      </c>
      <c r="AD275" s="459">
        <f>'Inputs_NT INM'!AK272</f>
        <v>289.24807172406372</v>
      </c>
      <c r="AE275" s="459">
        <f>'Inputs_NT INM'!AL272</f>
        <v>289.24807172406372</v>
      </c>
      <c r="AF275" s="459">
        <f>'Inputs_NT INM'!AM272</f>
        <v>289.24807172406372</v>
      </c>
      <c r="AG275" s="459">
        <f>'Inputs_NT INM'!AN272</f>
        <v>289.24807172406372</v>
      </c>
      <c r="AH275" s="459"/>
      <c r="AI275" s="459"/>
      <c r="AJ275" s="459"/>
    </row>
    <row r="276" spans="1:36" x14ac:dyDescent="0.25">
      <c r="A276" s="9" t="s">
        <v>575</v>
      </c>
      <c r="B276" s="9" t="s">
        <v>558</v>
      </c>
      <c r="C276" s="9" t="s">
        <v>558</v>
      </c>
      <c r="D276" s="9" t="s">
        <v>558</v>
      </c>
      <c r="E276" s="9" t="s">
        <v>558</v>
      </c>
      <c r="F276" s="459">
        <f>'Inputs_NT INM'!M273</f>
        <v>289.24807172406372</v>
      </c>
      <c r="G276" s="459">
        <f>'Inputs_NT INM'!N273</f>
        <v>289.24807172406372</v>
      </c>
      <c r="H276" s="459">
        <f>'Inputs_NT INM'!O273</f>
        <v>289.24807172406372</v>
      </c>
      <c r="I276" s="459">
        <f>'Inputs_NT INM'!P273</f>
        <v>289.24807172406372</v>
      </c>
      <c r="J276" s="459">
        <f>'Inputs_NT INM'!Q273</f>
        <v>289.24807172406372</v>
      </c>
      <c r="K276" s="459">
        <f>'Inputs_NT INM'!R273</f>
        <v>289.24807172406372</v>
      </c>
      <c r="L276" s="459">
        <f>'Inputs_NT INM'!S273</f>
        <v>289.24807172406372</v>
      </c>
      <c r="M276" s="459">
        <f>'Inputs_NT INM'!T273</f>
        <v>289.24807172406372</v>
      </c>
      <c r="N276" s="459">
        <f>'Inputs_NT INM'!U273</f>
        <v>289.24807172406372</v>
      </c>
      <c r="O276" s="459">
        <f>'Inputs_NT INM'!V273</f>
        <v>289.24807172406372</v>
      </c>
      <c r="P276" s="459">
        <f>'Inputs_NT INM'!W273</f>
        <v>289.24807172406372</v>
      </c>
      <c r="Q276" s="459">
        <f>'Inputs_NT INM'!X273</f>
        <v>289.24807172406372</v>
      </c>
      <c r="R276" s="459">
        <f>'Inputs_NT INM'!Y273</f>
        <v>289.24807172406372</v>
      </c>
      <c r="S276" s="459">
        <f>'Inputs_NT INM'!Z273</f>
        <v>289.24807172406372</v>
      </c>
      <c r="T276" s="459">
        <f>'Inputs_NT INM'!AA273</f>
        <v>289.24807172406372</v>
      </c>
      <c r="U276" s="459">
        <f>'Inputs_NT INM'!AB273</f>
        <v>289.24807172406372</v>
      </c>
      <c r="V276" s="459">
        <f>'Inputs_NT INM'!AC273</f>
        <v>289.24807172406372</v>
      </c>
      <c r="W276" s="459">
        <f>'Inputs_NT INM'!AD273</f>
        <v>289.24807172406372</v>
      </c>
      <c r="X276" s="459">
        <f>'Inputs_NT INM'!AE273</f>
        <v>289.24807172406372</v>
      </c>
      <c r="Y276" s="459">
        <f>'Inputs_NT INM'!AF273</f>
        <v>289.24807172406372</v>
      </c>
      <c r="Z276" s="459">
        <f>'Inputs_NT INM'!AG273</f>
        <v>289.24807172406372</v>
      </c>
      <c r="AA276" s="459">
        <f>'Inputs_NT INM'!AH273</f>
        <v>289.24807172406372</v>
      </c>
      <c r="AB276" s="459">
        <f>'Inputs_NT INM'!AI273</f>
        <v>289.24807172406372</v>
      </c>
      <c r="AC276" s="459">
        <f>'Inputs_NT INM'!AJ273</f>
        <v>289.24807172406372</v>
      </c>
      <c r="AD276" s="459">
        <f>'Inputs_NT INM'!AK273</f>
        <v>289.24807172406372</v>
      </c>
      <c r="AE276" s="459">
        <f>'Inputs_NT INM'!AL273</f>
        <v>289.24807172406372</v>
      </c>
      <c r="AF276" s="459">
        <f>'Inputs_NT INM'!AM273</f>
        <v>289.24807172406372</v>
      </c>
      <c r="AG276" s="459">
        <f>'Inputs_NT INM'!AN273</f>
        <v>289.24807172406372</v>
      </c>
      <c r="AH276" s="459"/>
      <c r="AI276" s="459"/>
      <c r="AJ276" s="459"/>
    </row>
    <row r="277" spans="1:36" x14ac:dyDescent="0.25">
      <c r="A277" s="9" t="s">
        <v>575</v>
      </c>
      <c r="B277" s="9" t="s">
        <v>558</v>
      </c>
      <c r="C277" s="9" t="s">
        <v>558</v>
      </c>
      <c r="D277" s="9" t="s">
        <v>558</v>
      </c>
      <c r="E277" s="9" t="s">
        <v>558</v>
      </c>
      <c r="F277" s="459">
        <f>'Inputs_NT INM'!M274</f>
        <v>260.32326455165736</v>
      </c>
      <c r="G277" s="459">
        <f>'Inputs_NT INM'!N274</f>
        <v>260.32326455165736</v>
      </c>
      <c r="H277" s="459">
        <f>'Inputs_NT INM'!O274</f>
        <v>260.32326455165736</v>
      </c>
      <c r="I277" s="459">
        <f>'Inputs_NT INM'!P274</f>
        <v>260.32326455165736</v>
      </c>
      <c r="J277" s="459">
        <f>'Inputs_NT INM'!Q274</f>
        <v>260.32326455165736</v>
      </c>
      <c r="K277" s="459">
        <f>'Inputs_NT INM'!R274</f>
        <v>260.32326455165736</v>
      </c>
      <c r="L277" s="459">
        <f>'Inputs_NT INM'!S274</f>
        <v>260.32326455165736</v>
      </c>
      <c r="M277" s="459">
        <f>'Inputs_NT INM'!T274</f>
        <v>260.32326455165736</v>
      </c>
      <c r="N277" s="459">
        <f>'Inputs_NT INM'!U274</f>
        <v>260.32326455165736</v>
      </c>
      <c r="O277" s="459">
        <f>'Inputs_NT INM'!V274</f>
        <v>260.32326455165736</v>
      </c>
      <c r="P277" s="459">
        <f>'Inputs_NT INM'!W274</f>
        <v>260.32326455165736</v>
      </c>
      <c r="Q277" s="459">
        <f>'Inputs_NT INM'!X274</f>
        <v>260.32326455165736</v>
      </c>
      <c r="R277" s="459">
        <f>'Inputs_NT INM'!Y274</f>
        <v>260.32326455165736</v>
      </c>
      <c r="S277" s="459">
        <f>'Inputs_NT INM'!Z274</f>
        <v>260.32326455165736</v>
      </c>
      <c r="T277" s="459">
        <f>'Inputs_NT INM'!AA274</f>
        <v>260.32326455165736</v>
      </c>
      <c r="U277" s="459">
        <f>'Inputs_NT INM'!AB274</f>
        <v>260.32326455165736</v>
      </c>
      <c r="V277" s="459">
        <f>'Inputs_NT INM'!AC274</f>
        <v>260.32326455165736</v>
      </c>
      <c r="W277" s="459">
        <f>'Inputs_NT INM'!AD274</f>
        <v>260.32326455165736</v>
      </c>
      <c r="X277" s="459">
        <f>'Inputs_NT INM'!AE274</f>
        <v>260.32326455165736</v>
      </c>
      <c r="Y277" s="459">
        <f>'Inputs_NT INM'!AF274</f>
        <v>260.32326455165736</v>
      </c>
      <c r="Z277" s="459">
        <f>'Inputs_NT INM'!AG274</f>
        <v>260.32326455165736</v>
      </c>
      <c r="AA277" s="459">
        <f>'Inputs_NT INM'!AH274</f>
        <v>260.32326455165736</v>
      </c>
      <c r="AB277" s="459">
        <f>'Inputs_NT INM'!AI274</f>
        <v>260.32326455165736</v>
      </c>
      <c r="AC277" s="459">
        <f>'Inputs_NT INM'!AJ274</f>
        <v>260.32326455165736</v>
      </c>
      <c r="AD277" s="459">
        <f>'Inputs_NT INM'!AK274</f>
        <v>260.32326455165736</v>
      </c>
      <c r="AE277" s="459">
        <f>'Inputs_NT INM'!AL274</f>
        <v>260.32326455165736</v>
      </c>
      <c r="AF277" s="459">
        <f>'Inputs_NT INM'!AM274</f>
        <v>260.32326455165736</v>
      </c>
      <c r="AG277" s="459">
        <f>'Inputs_NT INM'!AN274</f>
        <v>260.32326455165736</v>
      </c>
      <c r="AH277" s="459"/>
      <c r="AI277" s="459"/>
      <c r="AJ277" s="459"/>
    </row>
    <row r="278" spans="1:36" x14ac:dyDescent="0.25">
      <c r="A278" s="9" t="s">
        <v>820</v>
      </c>
      <c r="B278" s="9" t="s">
        <v>944</v>
      </c>
      <c r="C278" s="9" t="s">
        <v>624</v>
      </c>
      <c r="D278" s="9">
        <v>2030</v>
      </c>
      <c r="E278" s="9" t="s">
        <v>995</v>
      </c>
      <c r="F278" s="459">
        <f>'Inputs_NT INM'!M275</f>
        <v>260.32326455165736</v>
      </c>
      <c r="G278" s="459">
        <f>'Inputs_NT INM'!N275</f>
        <v>260.32326455165736</v>
      </c>
      <c r="H278" s="459">
        <f>'Inputs_NT INM'!O275</f>
        <v>260.32326455165736</v>
      </c>
      <c r="I278" s="459">
        <f>'Inputs_NT INM'!P275</f>
        <v>260.32326455165736</v>
      </c>
      <c r="J278" s="459">
        <f>'Inputs_NT INM'!Q275</f>
        <v>260.32326455165736</v>
      </c>
      <c r="K278" s="459">
        <f>'Inputs_NT INM'!R275</f>
        <v>260.32326455165736</v>
      </c>
      <c r="L278" s="459">
        <f>'Inputs_NT INM'!S275</f>
        <v>260.32326455165736</v>
      </c>
      <c r="M278" s="459">
        <f>'Inputs_NT INM'!T275</f>
        <v>260.32326455165736</v>
      </c>
      <c r="N278" s="459">
        <f>'Inputs_NT INM'!U275</f>
        <v>260.32326455165736</v>
      </c>
      <c r="O278" s="459">
        <f>'Inputs_NT INM'!V275</f>
        <v>260.32326455165736</v>
      </c>
      <c r="P278" s="459">
        <f>'Inputs_NT INM'!W275</f>
        <v>260.32326455165736</v>
      </c>
      <c r="Q278" s="459">
        <f>'Inputs_NT INM'!X275</f>
        <v>260.32326455165736</v>
      </c>
      <c r="R278" s="459">
        <f>'Inputs_NT INM'!Y275</f>
        <v>260.32326455165736</v>
      </c>
      <c r="S278" s="459">
        <f>'Inputs_NT INM'!Z275</f>
        <v>260.32326455165736</v>
      </c>
      <c r="T278" s="459">
        <f>'Inputs_NT INM'!AA275</f>
        <v>260.32326455165736</v>
      </c>
      <c r="U278" s="459">
        <f>'Inputs_NT INM'!AB275</f>
        <v>260.32326455165736</v>
      </c>
      <c r="V278" s="459">
        <f>'Inputs_NT INM'!AC275</f>
        <v>260.32326455165736</v>
      </c>
      <c r="W278" s="459">
        <f>'Inputs_NT INM'!AD275</f>
        <v>260.32326455165736</v>
      </c>
      <c r="X278" s="459">
        <f>'Inputs_NT INM'!AE275</f>
        <v>260.32326455165736</v>
      </c>
      <c r="Y278" s="459">
        <f>'Inputs_NT INM'!AF275</f>
        <v>260.32326455165736</v>
      </c>
      <c r="Z278" s="459">
        <f>'Inputs_NT INM'!AG275</f>
        <v>260.32326455165736</v>
      </c>
      <c r="AA278" s="459">
        <f>'Inputs_NT INM'!AH275</f>
        <v>260.32326455165736</v>
      </c>
      <c r="AB278" s="459">
        <f>'Inputs_NT INM'!AI275</f>
        <v>260.32326455165736</v>
      </c>
      <c r="AC278" s="459">
        <f>'Inputs_NT INM'!AJ275</f>
        <v>260.32326455165736</v>
      </c>
      <c r="AD278" s="459">
        <f>'Inputs_NT INM'!AK275</f>
        <v>260.32326455165736</v>
      </c>
      <c r="AE278" s="459">
        <f>'Inputs_NT INM'!AL275</f>
        <v>260.32326455165736</v>
      </c>
      <c r="AF278" s="459">
        <f>'Inputs_NT INM'!AM275</f>
        <v>260.32326455165736</v>
      </c>
      <c r="AG278" s="459">
        <f>'Inputs_NT INM'!AN275</f>
        <v>260.32326455165736</v>
      </c>
      <c r="AH278" s="459"/>
      <c r="AI278" s="459"/>
      <c r="AJ278" s="459"/>
    </row>
    <row r="279" spans="1:36" x14ac:dyDescent="0.25">
      <c r="A279" s="9" t="s">
        <v>821</v>
      </c>
      <c r="B279" s="9" t="s">
        <v>945</v>
      </c>
      <c r="C279" s="9" t="s">
        <v>624</v>
      </c>
      <c r="D279" s="9">
        <v>2030</v>
      </c>
      <c r="E279" s="9" t="s">
        <v>995</v>
      </c>
      <c r="F279" s="459">
        <f>'Inputs_NT INM'!M276</f>
        <v>260.32326455165736</v>
      </c>
      <c r="G279" s="459">
        <f>'Inputs_NT INM'!N276</f>
        <v>260.32326455165736</v>
      </c>
      <c r="H279" s="459">
        <f>'Inputs_NT INM'!O276</f>
        <v>260.32326455165736</v>
      </c>
      <c r="I279" s="459">
        <f>'Inputs_NT INM'!P276</f>
        <v>260.32326455165736</v>
      </c>
      <c r="J279" s="459">
        <f>'Inputs_NT INM'!Q276</f>
        <v>260.32326455165736</v>
      </c>
      <c r="K279" s="459">
        <f>'Inputs_NT INM'!R276</f>
        <v>260.32326455165736</v>
      </c>
      <c r="L279" s="459">
        <f>'Inputs_NT INM'!S276</f>
        <v>260.32326455165736</v>
      </c>
      <c r="M279" s="459">
        <f>'Inputs_NT INM'!T276</f>
        <v>260.32326455165736</v>
      </c>
      <c r="N279" s="459">
        <f>'Inputs_NT INM'!U276</f>
        <v>260.32326455165736</v>
      </c>
      <c r="O279" s="459">
        <f>'Inputs_NT INM'!V276</f>
        <v>260.32326455165736</v>
      </c>
      <c r="P279" s="459">
        <f>'Inputs_NT INM'!W276</f>
        <v>260.32326455165736</v>
      </c>
      <c r="Q279" s="459">
        <f>'Inputs_NT INM'!X276</f>
        <v>260.32326455165736</v>
      </c>
      <c r="R279" s="459">
        <f>'Inputs_NT INM'!Y276</f>
        <v>260.32326455165736</v>
      </c>
      <c r="S279" s="459">
        <f>'Inputs_NT INM'!Z276</f>
        <v>260.32326455165736</v>
      </c>
      <c r="T279" s="459">
        <f>'Inputs_NT INM'!AA276</f>
        <v>260.32326455165736</v>
      </c>
      <c r="U279" s="459">
        <f>'Inputs_NT INM'!AB276</f>
        <v>260.32326455165736</v>
      </c>
      <c r="V279" s="459">
        <f>'Inputs_NT INM'!AC276</f>
        <v>260.32326455165736</v>
      </c>
      <c r="W279" s="459">
        <f>'Inputs_NT INM'!AD276</f>
        <v>260.32326455165736</v>
      </c>
      <c r="X279" s="459">
        <f>'Inputs_NT INM'!AE276</f>
        <v>260.32326455165736</v>
      </c>
      <c r="Y279" s="459">
        <f>'Inputs_NT INM'!AF276</f>
        <v>260.32326455165736</v>
      </c>
      <c r="Z279" s="459">
        <f>'Inputs_NT INM'!AG276</f>
        <v>260.32326455165736</v>
      </c>
      <c r="AA279" s="459">
        <f>'Inputs_NT INM'!AH276</f>
        <v>260.32326455165736</v>
      </c>
      <c r="AB279" s="459">
        <f>'Inputs_NT INM'!AI276</f>
        <v>260.32326455165736</v>
      </c>
      <c r="AC279" s="459">
        <f>'Inputs_NT INM'!AJ276</f>
        <v>260.32326455165736</v>
      </c>
      <c r="AD279" s="459">
        <f>'Inputs_NT INM'!AK276</f>
        <v>260.32326455165736</v>
      </c>
      <c r="AE279" s="459">
        <f>'Inputs_NT INM'!AL276</f>
        <v>260.32326455165736</v>
      </c>
      <c r="AF279" s="459">
        <f>'Inputs_NT INM'!AM276</f>
        <v>260.32326455165736</v>
      </c>
      <c r="AG279" s="459">
        <f>'Inputs_NT INM'!AN276</f>
        <v>260.32326455165736</v>
      </c>
      <c r="AH279" s="459"/>
      <c r="AI279" s="459"/>
      <c r="AJ279" s="459"/>
    </row>
    <row r="280" spans="1:36" x14ac:dyDescent="0.25">
      <c r="A280" s="9" t="s">
        <v>822</v>
      </c>
      <c r="B280" s="9" t="s">
        <v>946</v>
      </c>
      <c r="C280" s="9" t="s">
        <v>624</v>
      </c>
      <c r="D280" s="9">
        <v>2030</v>
      </c>
      <c r="E280" s="9" t="s">
        <v>995</v>
      </c>
      <c r="F280" s="459">
        <f>'Inputs_NT INM'!M277</f>
        <v>260.32326455165736</v>
      </c>
      <c r="G280" s="459">
        <f>'Inputs_NT INM'!N277</f>
        <v>260.32326455165736</v>
      </c>
      <c r="H280" s="459">
        <f>'Inputs_NT INM'!O277</f>
        <v>260.32326455165736</v>
      </c>
      <c r="I280" s="459">
        <f>'Inputs_NT INM'!P277</f>
        <v>260.32326455165736</v>
      </c>
      <c r="J280" s="459">
        <f>'Inputs_NT INM'!Q277</f>
        <v>260.32326455165736</v>
      </c>
      <c r="K280" s="459">
        <f>'Inputs_NT INM'!R277</f>
        <v>260.32326455165736</v>
      </c>
      <c r="L280" s="459">
        <f>'Inputs_NT INM'!S277</f>
        <v>260.32326455165736</v>
      </c>
      <c r="M280" s="459">
        <f>'Inputs_NT INM'!T277</f>
        <v>260.32326455165736</v>
      </c>
      <c r="N280" s="459">
        <f>'Inputs_NT INM'!U277</f>
        <v>260.32326455165736</v>
      </c>
      <c r="O280" s="459">
        <f>'Inputs_NT INM'!V277</f>
        <v>260.32326455165736</v>
      </c>
      <c r="P280" s="459">
        <f>'Inputs_NT INM'!W277</f>
        <v>260.32326455165736</v>
      </c>
      <c r="Q280" s="459">
        <f>'Inputs_NT INM'!X277</f>
        <v>260.32326455165736</v>
      </c>
      <c r="R280" s="459">
        <f>'Inputs_NT INM'!Y277</f>
        <v>260.32326455165736</v>
      </c>
      <c r="S280" s="459">
        <f>'Inputs_NT INM'!Z277</f>
        <v>260.32326455165736</v>
      </c>
      <c r="T280" s="459">
        <f>'Inputs_NT INM'!AA277</f>
        <v>260.32326455165736</v>
      </c>
      <c r="U280" s="459">
        <f>'Inputs_NT INM'!AB277</f>
        <v>260.32326455165736</v>
      </c>
      <c r="V280" s="459">
        <f>'Inputs_NT INM'!AC277</f>
        <v>260.32326455165736</v>
      </c>
      <c r="W280" s="459">
        <f>'Inputs_NT INM'!AD277</f>
        <v>260.32326455165736</v>
      </c>
      <c r="X280" s="459">
        <f>'Inputs_NT INM'!AE277</f>
        <v>260.32326455165736</v>
      </c>
      <c r="Y280" s="459">
        <f>'Inputs_NT INM'!AF277</f>
        <v>260.32326455165736</v>
      </c>
      <c r="Z280" s="459">
        <f>'Inputs_NT INM'!AG277</f>
        <v>260.32326455165736</v>
      </c>
      <c r="AA280" s="459">
        <f>'Inputs_NT INM'!AH277</f>
        <v>260.32326455165736</v>
      </c>
      <c r="AB280" s="459">
        <f>'Inputs_NT INM'!AI277</f>
        <v>260.32326455165736</v>
      </c>
      <c r="AC280" s="459">
        <f>'Inputs_NT INM'!AJ277</f>
        <v>260.32326455165736</v>
      </c>
      <c r="AD280" s="459">
        <f>'Inputs_NT INM'!AK277</f>
        <v>260.32326455165736</v>
      </c>
      <c r="AE280" s="459">
        <f>'Inputs_NT INM'!AL277</f>
        <v>260.32326455165736</v>
      </c>
      <c r="AF280" s="459">
        <f>'Inputs_NT INM'!AM277</f>
        <v>260.32326455165736</v>
      </c>
      <c r="AG280" s="459">
        <f>'Inputs_NT INM'!AN277</f>
        <v>260.32326455165736</v>
      </c>
      <c r="AH280" s="459"/>
      <c r="AI280" s="459"/>
      <c r="AJ280" s="459"/>
    </row>
    <row r="281" spans="1:36" x14ac:dyDescent="0.25">
      <c r="A281" s="9" t="s">
        <v>823</v>
      </c>
      <c r="B281" s="9" t="s">
        <v>947</v>
      </c>
      <c r="C281" s="9" t="s">
        <v>624</v>
      </c>
      <c r="D281" s="9">
        <v>2030</v>
      </c>
      <c r="E281" s="9" t="s">
        <v>995</v>
      </c>
      <c r="F281" s="459">
        <f>'Inputs_NT INM'!M278</f>
        <v>260.32326455165736</v>
      </c>
      <c r="G281" s="459">
        <f>'Inputs_NT INM'!N278</f>
        <v>260.32326455165736</v>
      </c>
      <c r="H281" s="459">
        <f>'Inputs_NT INM'!O278</f>
        <v>260.32326455165736</v>
      </c>
      <c r="I281" s="459">
        <f>'Inputs_NT INM'!P278</f>
        <v>260.32326455165736</v>
      </c>
      <c r="J281" s="459">
        <f>'Inputs_NT INM'!Q278</f>
        <v>260.32326455165736</v>
      </c>
      <c r="K281" s="459">
        <f>'Inputs_NT INM'!R278</f>
        <v>260.32326455165736</v>
      </c>
      <c r="L281" s="459">
        <f>'Inputs_NT INM'!S278</f>
        <v>260.32326455165736</v>
      </c>
      <c r="M281" s="459">
        <f>'Inputs_NT INM'!T278</f>
        <v>260.32326455165736</v>
      </c>
      <c r="N281" s="459">
        <f>'Inputs_NT INM'!U278</f>
        <v>260.32326455165736</v>
      </c>
      <c r="O281" s="459">
        <f>'Inputs_NT INM'!V278</f>
        <v>260.32326455165736</v>
      </c>
      <c r="P281" s="459">
        <f>'Inputs_NT INM'!W278</f>
        <v>260.32326455165736</v>
      </c>
      <c r="Q281" s="459">
        <f>'Inputs_NT INM'!X278</f>
        <v>260.32326455165736</v>
      </c>
      <c r="R281" s="459">
        <f>'Inputs_NT INM'!Y278</f>
        <v>260.32326455165736</v>
      </c>
      <c r="S281" s="459">
        <f>'Inputs_NT INM'!Z278</f>
        <v>260.32326455165736</v>
      </c>
      <c r="T281" s="459">
        <f>'Inputs_NT INM'!AA278</f>
        <v>260.32326455165736</v>
      </c>
      <c r="U281" s="459">
        <f>'Inputs_NT INM'!AB278</f>
        <v>260.32326455165736</v>
      </c>
      <c r="V281" s="459">
        <f>'Inputs_NT INM'!AC278</f>
        <v>260.32326455165736</v>
      </c>
      <c r="W281" s="459">
        <f>'Inputs_NT INM'!AD278</f>
        <v>260.32326455165736</v>
      </c>
      <c r="X281" s="459">
        <f>'Inputs_NT INM'!AE278</f>
        <v>260.32326455165736</v>
      </c>
      <c r="Y281" s="459">
        <f>'Inputs_NT INM'!AF278</f>
        <v>260.32326455165736</v>
      </c>
      <c r="Z281" s="459">
        <f>'Inputs_NT INM'!AG278</f>
        <v>260.32326455165736</v>
      </c>
      <c r="AA281" s="459">
        <f>'Inputs_NT INM'!AH278</f>
        <v>260.32326455165736</v>
      </c>
      <c r="AB281" s="459">
        <f>'Inputs_NT INM'!AI278</f>
        <v>260.32326455165736</v>
      </c>
      <c r="AC281" s="459">
        <f>'Inputs_NT INM'!AJ278</f>
        <v>260.32326455165736</v>
      </c>
      <c r="AD281" s="459">
        <f>'Inputs_NT INM'!AK278</f>
        <v>260.32326455165736</v>
      </c>
      <c r="AE281" s="459">
        <f>'Inputs_NT INM'!AL278</f>
        <v>260.32326455165736</v>
      </c>
      <c r="AF281" s="459">
        <f>'Inputs_NT INM'!AM278</f>
        <v>260.32326455165736</v>
      </c>
      <c r="AG281" s="459">
        <f>'Inputs_NT INM'!AN278</f>
        <v>260.32326455165736</v>
      </c>
      <c r="AH281" s="459"/>
      <c r="AI281" s="459"/>
      <c r="AJ281" s="459"/>
    </row>
    <row r="282" spans="1:36" x14ac:dyDescent="0.25">
      <c r="A282" s="9" t="s">
        <v>575</v>
      </c>
      <c r="B282" s="9" t="s">
        <v>558</v>
      </c>
      <c r="C282" s="9" t="s">
        <v>558</v>
      </c>
      <c r="D282" s="9" t="s">
        <v>558</v>
      </c>
      <c r="E282" s="9" t="s">
        <v>558</v>
      </c>
      <c r="F282" s="459">
        <f>'Inputs_NT INM'!M279</f>
        <v>260.32326455165736</v>
      </c>
      <c r="G282" s="459">
        <f>'Inputs_NT INM'!N279</f>
        <v>260.32326455165736</v>
      </c>
      <c r="H282" s="459">
        <f>'Inputs_NT INM'!O279</f>
        <v>260.32326455165736</v>
      </c>
      <c r="I282" s="459">
        <f>'Inputs_NT INM'!P279</f>
        <v>260.32326455165736</v>
      </c>
      <c r="J282" s="459">
        <f>'Inputs_NT INM'!Q279</f>
        <v>260.32326455165736</v>
      </c>
      <c r="K282" s="459">
        <f>'Inputs_NT INM'!R279</f>
        <v>260.32326455165736</v>
      </c>
      <c r="L282" s="459">
        <f>'Inputs_NT INM'!S279</f>
        <v>260.32326455165736</v>
      </c>
      <c r="M282" s="459">
        <f>'Inputs_NT INM'!T279</f>
        <v>260.32326455165736</v>
      </c>
      <c r="N282" s="459">
        <f>'Inputs_NT INM'!U279</f>
        <v>260.32326455165736</v>
      </c>
      <c r="O282" s="459">
        <f>'Inputs_NT INM'!V279</f>
        <v>260.32326455165736</v>
      </c>
      <c r="P282" s="459">
        <f>'Inputs_NT INM'!W279</f>
        <v>260.32326455165736</v>
      </c>
      <c r="Q282" s="459">
        <f>'Inputs_NT INM'!X279</f>
        <v>260.32326455165736</v>
      </c>
      <c r="R282" s="459">
        <f>'Inputs_NT INM'!Y279</f>
        <v>260.32326455165736</v>
      </c>
      <c r="S282" s="459">
        <f>'Inputs_NT INM'!Z279</f>
        <v>260.32326455165736</v>
      </c>
      <c r="T282" s="459">
        <f>'Inputs_NT INM'!AA279</f>
        <v>260.32326455165736</v>
      </c>
      <c r="U282" s="459">
        <f>'Inputs_NT INM'!AB279</f>
        <v>260.32326455165736</v>
      </c>
      <c r="V282" s="459">
        <f>'Inputs_NT INM'!AC279</f>
        <v>260.32326455165736</v>
      </c>
      <c r="W282" s="459">
        <f>'Inputs_NT INM'!AD279</f>
        <v>260.32326455165736</v>
      </c>
      <c r="X282" s="459">
        <f>'Inputs_NT INM'!AE279</f>
        <v>260.32326455165736</v>
      </c>
      <c r="Y282" s="459">
        <f>'Inputs_NT INM'!AF279</f>
        <v>260.32326455165736</v>
      </c>
      <c r="Z282" s="459">
        <f>'Inputs_NT INM'!AG279</f>
        <v>260.32326455165736</v>
      </c>
      <c r="AA282" s="459">
        <f>'Inputs_NT INM'!AH279</f>
        <v>260.32326455165736</v>
      </c>
      <c r="AB282" s="459">
        <f>'Inputs_NT INM'!AI279</f>
        <v>260.32326455165736</v>
      </c>
      <c r="AC282" s="459">
        <f>'Inputs_NT INM'!AJ279</f>
        <v>260.32326455165736</v>
      </c>
      <c r="AD282" s="459">
        <f>'Inputs_NT INM'!AK279</f>
        <v>260.32326455165736</v>
      </c>
      <c r="AE282" s="459">
        <f>'Inputs_NT INM'!AL279</f>
        <v>260.32326455165736</v>
      </c>
      <c r="AF282" s="459">
        <f>'Inputs_NT INM'!AM279</f>
        <v>260.32326455165736</v>
      </c>
      <c r="AG282" s="459">
        <f>'Inputs_NT INM'!AN279</f>
        <v>260.32326455165736</v>
      </c>
      <c r="AH282" s="459"/>
      <c r="AI282" s="459"/>
      <c r="AJ282" s="459"/>
    </row>
    <row r="283" spans="1:36" x14ac:dyDescent="0.25">
      <c r="A283" s="9" t="s">
        <v>575</v>
      </c>
      <c r="B283" s="9" t="s">
        <v>558</v>
      </c>
      <c r="C283" s="9" t="s">
        <v>558</v>
      </c>
      <c r="D283" s="9" t="s">
        <v>558</v>
      </c>
      <c r="E283" s="9" t="s">
        <v>558</v>
      </c>
      <c r="F283" s="459">
        <f>'Inputs_NT INM'!M280</f>
        <v>231.398457379251</v>
      </c>
      <c r="G283" s="459">
        <f>'Inputs_NT INM'!N280</f>
        <v>231.398457379251</v>
      </c>
      <c r="H283" s="459">
        <f>'Inputs_NT INM'!O280</f>
        <v>231.398457379251</v>
      </c>
      <c r="I283" s="459">
        <f>'Inputs_NT INM'!P280</f>
        <v>231.398457379251</v>
      </c>
      <c r="J283" s="459">
        <f>'Inputs_NT INM'!Q280</f>
        <v>231.398457379251</v>
      </c>
      <c r="K283" s="459">
        <f>'Inputs_NT INM'!R280</f>
        <v>231.398457379251</v>
      </c>
      <c r="L283" s="459">
        <f>'Inputs_NT INM'!S280</f>
        <v>231.398457379251</v>
      </c>
      <c r="M283" s="459">
        <f>'Inputs_NT INM'!T280</f>
        <v>231.398457379251</v>
      </c>
      <c r="N283" s="459">
        <f>'Inputs_NT INM'!U280</f>
        <v>231.398457379251</v>
      </c>
      <c r="O283" s="459">
        <f>'Inputs_NT INM'!V280</f>
        <v>231.398457379251</v>
      </c>
      <c r="P283" s="459">
        <f>'Inputs_NT INM'!W280</f>
        <v>231.398457379251</v>
      </c>
      <c r="Q283" s="459">
        <f>'Inputs_NT INM'!X280</f>
        <v>231.398457379251</v>
      </c>
      <c r="R283" s="459">
        <f>'Inputs_NT INM'!Y280</f>
        <v>231.398457379251</v>
      </c>
      <c r="S283" s="459">
        <f>'Inputs_NT INM'!Z280</f>
        <v>231.398457379251</v>
      </c>
      <c r="T283" s="459">
        <f>'Inputs_NT INM'!AA280</f>
        <v>231.398457379251</v>
      </c>
      <c r="U283" s="459">
        <f>'Inputs_NT INM'!AB280</f>
        <v>231.398457379251</v>
      </c>
      <c r="V283" s="459">
        <f>'Inputs_NT INM'!AC280</f>
        <v>231.398457379251</v>
      </c>
      <c r="W283" s="459">
        <f>'Inputs_NT INM'!AD280</f>
        <v>231.398457379251</v>
      </c>
      <c r="X283" s="459">
        <f>'Inputs_NT INM'!AE280</f>
        <v>231.398457379251</v>
      </c>
      <c r="Y283" s="459">
        <f>'Inputs_NT INM'!AF280</f>
        <v>231.398457379251</v>
      </c>
      <c r="Z283" s="459">
        <f>'Inputs_NT INM'!AG280</f>
        <v>231.398457379251</v>
      </c>
      <c r="AA283" s="459">
        <f>'Inputs_NT INM'!AH280</f>
        <v>231.398457379251</v>
      </c>
      <c r="AB283" s="459">
        <f>'Inputs_NT INM'!AI280</f>
        <v>231.398457379251</v>
      </c>
      <c r="AC283" s="459">
        <f>'Inputs_NT INM'!AJ280</f>
        <v>231.398457379251</v>
      </c>
      <c r="AD283" s="459">
        <f>'Inputs_NT INM'!AK280</f>
        <v>231.398457379251</v>
      </c>
      <c r="AE283" s="459">
        <f>'Inputs_NT INM'!AL280</f>
        <v>231.398457379251</v>
      </c>
      <c r="AF283" s="459">
        <f>'Inputs_NT INM'!AM280</f>
        <v>231.398457379251</v>
      </c>
      <c r="AG283" s="459">
        <f>'Inputs_NT INM'!AN280</f>
        <v>231.398457379251</v>
      </c>
      <c r="AH283" s="459"/>
      <c r="AI283" s="459"/>
      <c r="AJ283" s="459"/>
    </row>
    <row r="284" spans="1:36" x14ac:dyDescent="0.25">
      <c r="A284" s="9" t="s">
        <v>820</v>
      </c>
      <c r="B284" s="9" t="s">
        <v>944</v>
      </c>
      <c r="C284" s="9" t="s">
        <v>624</v>
      </c>
      <c r="D284" s="9">
        <v>2050</v>
      </c>
      <c r="E284" s="9" t="s">
        <v>995</v>
      </c>
      <c r="F284" s="459">
        <f>'Inputs_NT INM'!M281</f>
        <v>231.398457379251</v>
      </c>
      <c r="G284" s="459">
        <f>'Inputs_NT INM'!N281</f>
        <v>231.398457379251</v>
      </c>
      <c r="H284" s="459">
        <f>'Inputs_NT INM'!O281</f>
        <v>231.398457379251</v>
      </c>
      <c r="I284" s="459">
        <f>'Inputs_NT INM'!P281</f>
        <v>231.398457379251</v>
      </c>
      <c r="J284" s="459">
        <f>'Inputs_NT INM'!Q281</f>
        <v>231.398457379251</v>
      </c>
      <c r="K284" s="459">
        <f>'Inputs_NT INM'!R281</f>
        <v>231.398457379251</v>
      </c>
      <c r="L284" s="459">
        <f>'Inputs_NT INM'!S281</f>
        <v>231.398457379251</v>
      </c>
      <c r="M284" s="459">
        <f>'Inputs_NT INM'!T281</f>
        <v>231.398457379251</v>
      </c>
      <c r="N284" s="459">
        <f>'Inputs_NT INM'!U281</f>
        <v>231.398457379251</v>
      </c>
      <c r="O284" s="459">
        <f>'Inputs_NT INM'!V281</f>
        <v>231.398457379251</v>
      </c>
      <c r="P284" s="459">
        <f>'Inputs_NT INM'!W281</f>
        <v>231.398457379251</v>
      </c>
      <c r="Q284" s="459">
        <f>'Inputs_NT INM'!X281</f>
        <v>231.398457379251</v>
      </c>
      <c r="R284" s="459">
        <f>'Inputs_NT INM'!Y281</f>
        <v>231.398457379251</v>
      </c>
      <c r="S284" s="459">
        <f>'Inputs_NT INM'!Z281</f>
        <v>231.398457379251</v>
      </c>
      <c r="T284" s="459">
        <f>'Inputs_NT INM'!AA281</f>
        <v>231.398457379251</v>
      </c>
      <c r="U284" s="459">
        <f>'Inputs_NT INM'!AB281</f>
        <v>231.398457379251</v>
      </c>
      <c r="V284" s="459">
        <f>'Inputs_NT INM'!AC281</f>
        <v>231.398457379251</v>
      </c>
      <c r="W284" s="459">
        <f>'Inputs_NT INM'!AD281</f>
        <v>231.398457379251</v>
      </c>
      <c r="X284" s="459">
        <f>'Inputs_NT INM'!AE281</f>
        <v>231.398457379251</v>
      </c>
      <c r="Y284" s="459">
        <f>'Inputs_NT INM'!AF281</f>
        <v>231.398457379251</v>
      </c>
      <c r="Z284" s="459">
        <f>'Inputs_NT INM'!AG281</f>
        <v>231.398457379251</v>
      </c>
      <c r="AA284" s="459">
        <f>'Inputs_NT INM'!AH281</f>
        <v>231.398457379251</v>
      </c>
      <c r="AB284" s="459">
        <f>'Inputs_NT INM'!AI281</f>
        <v>231.398457379251</v>
      </c>
      <c r="AC284" s="459">
        <f>'Inputs_NT INM'!AJ281</f>
        <v>231.398457379251</v>
      </c>
      <c r="AD284" s="459">
        <f>'Inputs_NT INM'!AK281</f>
        <v>231.398457379251</v>
      </c>
      <c r="AE284" s="459">
        <f>'Inputs_NT INM'!AL281</f>
        <v>231.398457379251</v>
      </c>
      <c r="AF284" s="459">
        <f>'Inputs_NT INM'!AM281</f>
        <v>231.398457379251</v>
      </c>
      <c r="AG284" s="459">
        <f>'Inputs_NT INM'!AN281</f>
        <v>231.398457379251</v>
      </c>
      <c r="AH284" s="459"/>
      <c r="AI284" s="459"/>
      <c r="AJ284" s="459"/>
    </row>
    <row r="285" spans="1:36" x14ac:dyDescent="0.25">
      <c r="A285" s="9" t="s">
        <v>821</v>
      </c>
      <c r="B285" s="9" t="s">
        <v>945</v>
      </c>
      <c r="C285" s="9" t="s">
        <v>624</v>
      </c>
      <c r="D285" s="9">
        <v>2050</v>
      </c>
      <c r="E285" s="9" t="s">
        <v>995</v>
      </c>
      <c r="F285" s="459">
        <f>'Inputs_NT INM'!M282</f>
        <v>231.398457379251</v>
      </c>
      <c r="G285" s="459">
        <f>'Inputs_NT INM'!N282</f>
        <v>231.398457379251</v>
      </c>
      <c r="H285" s="459">
        <f>'Inputs_NT INM'!O282</f>
        <v>231.398457379251</v>
      </c>
      <c r="I285" s="459">
        <f>'Inputs_NT INM'!P282</f>
        <v>231.398457379251</v>
      </c>
      <c r="J285" s="459">
        <f>'Inputs_NT INM'!Q282</f>
        <v>231.398457379251</v>
      </c>
      <c r="K285" s="459">
        <f>'Inputs_NT INM'!R282</f>
        <v>231.398457379251</v>
      </c>
      <c r="L285" s="459">
        <f>'Inputs_NT INM'!S282</f>
        <v>231.398457379251</v>
      </c>
      <c r="M285" s="459">
        <f>'Inputs_NT INM'!T282</f>
        <v>231.398457379251</v>
      </c>
      <c r="N285" s="459">
        <f>'Inputs_NT INM'!U282</f>
        <v>231.398457379251</v>
      </c>
      <c r="O285" s="459">
        <f>'Inputs_NT INM'!V282</f>
        <v>231.398457379251</v>
      </c>
      <c r="P285" s="459">
        <f>'Inputs_NT INM'!W282</f>
        <v>231.398457379251</v>
      </c>
      <c r="Q285" s="459">
        <f>'Inputs_NT INM'!X282</f>
        <v>231.398457379251</v>
      </c>
      <c r="R285" s="459">
        <f>'Inputs_NT INM'!Y282</f>
        <v>231.398457379251</v>
      </c>
      <c r="S285" s="459">
        <f>'Inputs_NT INM'!Z282</f>
        <v>231.398457379251</v>
      </c>
      <c r="T285" s="459">
        <f>'Inputs_NT INM'!AA282</f>
        <v>231.398457379251</v>
      </c>
      <c r="U285" s="459">
        <f>'Inputs_NT INM'!AB282</f>
        <v>231.398457379251</v>
      </c>
      <c r="V285" s="459">
        <f>'Inputs_NT INM'!AC282</f>
        <v>231.398457379251</v>
      </c>
      <c r="W285" s="459">
        <f>'Inputs_NT INM'!AD282</f>
        <v>231.398457379251</v>
      </c>
      <c r="X285" s="459">
        <f>'Inputs_NT INM'!AE282</f>
        <v>231.398457379251</v>
      </c>
      <c r="Y285" s="459">
        <f>'Inputs_NT INM'!AF282</f>
        <v>231.398457379251</v>
      </c>
      <c r="Z285" s="459">
        <f>'Inputs_NT INM'!AG282</f>
        <v>231.398457379251</v>
      </c>
      <c r="AA285" s="459">
        <f>'Inputs_NT INM'!AH282</f>
        <v>231.398457379251</v>
      </c>
      <c r="AB285" s="459">
        <f>'Inputs_NT INM'!AI282</f>
        <v>231.398457379251</v>
      </c>
      <c r="AC285" s="459">
        <f>'Inputs_NT INM'!AJ282</f>
        <v>231.398457379251</v>
      </c>
      <c r="AD285" s="459">
        <f>'Inputs_NT INM'!AK282</f>
        <v>231.398457379251</v>
      </c>
      <c r="AE285" s="459">
        <f>'Inputs_NT INM'!AL282</f>
        <v>231.398457379251</v>
      </c>
      <c r="AF285" s="459">
        <f>'Inputs_NT INM'!AM282</f>
        <v>231.398457379251</v>
      </c>
      <c r="AG285" s="459">
        <f>'Inputs_NT INM'!AN282</f>
        <v>231.398457379251</v>
      </c>
      <c r="AH285" s="459"/>
      <c r="AI285" s="459"/>
      <c r="AJ285" s="459"/>
    </row>
    <row r="286" spans="1:36" x14ac:dyDescent="0.25">
      <c r="A286" s="9" t="s">
        <v>822</v>
      </c>
      <c r="B286" s="9" t="s">
        <v>946</v>
      </c>
      <c r="C286" s="9" t="s">
        <v>624</v>
      </c>
      <c r="D286" s="9">
        <v>2050</v>
      </c>
      <c r="E286" s="9" t="s">
        <v>995</v>
      </c>
      <c r="F286" s="459">
        <f>'Inputs_NT INM'!M283</f>
        <v>231.398457379251</v>
      </c>
      <c r="G286" s="459">
        <f>'Inputs_NT INM'!N283</f>
        <v>231.398457379251</v>
      </c>
      <c r="H286" s="459">
        <f>'Inputs_NT INM'!O283</f>
        <v>231.398457379251</v>
      </c>
      <c r="I286" s="459">
        <f>'Inputs_NT INM'!P283</f>
        <v>231.398457379251</v>
      </c>
      <c r="J286" s="459">
        <f>'Inputs_NT INM'!Q283</f>
        <v>231.398457379251</v>
      </c>
      <c r="K286" s="459">
        <f>'Inputs_NT INM'!R283</f>
        <v>231.398457379251</v>
      </c>
      <c r="L286" s="459">
        <f>'Inputs_NT INM'!S283</f>
        <v>231.398457379251</v>
      </c>
      <c r="M286" s="459">
        <f>'Inputs_NT INM'!T283</f>
        <v>231.398457379251</v>
      </c>
      <c r="N286" s="459">
        <f>'Inputs_NT INM'!U283</f>
        <v>231.398457379251</v>
      </c>
      <c r="O286" s="459">
        <f>'Inputs_NT INM'!V283</f>
        <v>231.398457379251</v>
      </c>
      <c r="P286" s="459">
        <f>'Inputs_NT INM'!W283</f>
        <v>231.398457379251</v>
      </c>
      <c r="Q286" s="459">
        <f>'Inputs_NT INM'!X283</f>
        <v>231.398457379251</v>
      </c>
      <c r="R286" s="459">
        <f>'Inputs_NT INM'!Y283</f>
        <v>231.398457379251</v>
      </c>
      <c r="S286" s="459">
        <f>'Inputs_NT INM'!Z283</f>
        <v>231.398457379251</v>
      </c>
      <c r="T286" s="459">
        <f>'Inputs_NT INM'!AA283</f>
        <v>231.398457379251</v>
      </c>
      <c r="U286" s="459">
        <f>'Inputs_NT INM'!AB283</f>
        <v>231.398457379251</v>
      </c>
      <c r="V286" s="459">
        <f>'Inputs_NT INM'!AC283</f>
        <v>231.398457379251</v>
      </c>
      <c r="W286" s="459">
        <f>'Inputs_NT INM'!AD283</f>
        <v>231.398457379251</v>
      </c>
      <c r="X286" s="459">
        <f>'Inputs_NT INM'!AE283</f>
        <v>231.398457379251</v>
      </c>
      <c r="Y286" s="459">
        <f>'Inputs_NT INM'!AF283</f>
        <v>231.398457379251</v>
      </c>
      <c r="Z286" s="459">
        <f>'Inputs_NT INM'!AG283</f>
        <v>231.398457379251</v>
      </c>
      <c r="AA286" s="459">
        <f>'Inputs_NT INM'!AH283</f>
        <v>231.398457379251</v>
      </c>
      <c r="AB286" s="459">
        <f>'Inputs_NT INM'!AI283</f>
        <v>231.398457379251</v>
      </c>
      <c r="AC286" s="459">
        <f>'Inputs_NT INM'!AJ283</f>
        <v>231.398457379251</v>
      </c>
      <c r="AD286" s="459">
        <f>'Inputs_NT INM'!AK283</f>
        <v>231.398457379251</v>
      </c>
      <c r="AE286" s="459">
        <f>'Inputs_NT INM'!AL283</f>
        <v>231.398457379251</v>
      </c>
      <c r="AF286" s="459">
        <f>'Inputs_NT INM'!AM283</f>
        <v>231.398457379251</v>
      </c>
      <c r="AG286" s="459">
        <f>'Inputs_NT INM'!AN283</f>
        <v>231.398457379251</v>
      </c>
      <c r="AH286" s="459"/>
      <c r="AI286" s="459"/>
      <c r="AJ286" s="459"/>
    </row>
    <row r="287" spans="1:36" x14ac:dyDescent="0.25">
      <c r="A287" s="9" t="s">
        <v>823</v>
      </c>
      <c r="B287" s="9" t="s">
        <v>947</v>
      </c>
      <c r="C287" s="9" t="s">
        <v>624</v>
      </c>
      <c r="D287" s="9">
        <v>2050</v>
      </c>
      <c r="E287" s="9" t="s">
        <v>995</v>
      </c>
      <c r="F287" s="459">
        <f>'Inputs_NT INM'!M284</f>
        <v>231.398457379251</v>
      </c>
      <c r="G287" s="459">
        <f>'Inputs_NT INM'!N284</f>
        <v>231.398457379251</v>
      </c>
      <c r="H287" s="459">
        <f>'Inputs_NT INM'!O284</f>
        <v>231.398457379251</v>
      </c>
      <c r="I287" s="459">
        <f>'Inputs_NT INM'!P284</f>
        <v>231.398457379251</v>
      </c>
      <c r="J287" s="459">
        <f>'Inputs_NT INM'!Q284</f>
        <v>231.398457379251</v>
      </c>
      <c r="K287" s="459">
        <f>'Inputs_NT INM'!R284</f>
        <v>231.398457379251</v>
      </c>
      <c r="L287" s="459">
        <f>'Inputs_NT INM'!S284</f>
        <v>231.398457379251</v>
      </c>
      <c r="M287" s="459">
        <f>'Inputs_NT INM'!T284</f>
        <v>231.398457379251</v>
      </c>
      <c r="N287" s="459">
        <f>'Inputs_NT INM'!U284</f>
        <v>231.398457379251</v>
      </c>
      <c r="O287" s="459">
        <f>'Inputs_NT INM'!V284</f>
        <v>231.398457379251</v>
      </c>
      <c r="P287" s="459">
        <f>'Inputs_NT INM'!W284</f>
        <v>231.398457379251</v>
      </c>
      <c r="Q287" s="459">
        <f>'Inputs_NT INM'!X284</f>
        <v>231.398457379251</v>
      </c>
      <c r="R287" s="459">
        <f>'Inputs_NT INM'!Y284</f>
        <v>231.398457379251</v>
      </c>
      <c r="S287" s="459">
        <f>'Inputs_NT INM'!Z284</f>
        <v>231.398457379251</v>
      </c>
      <c r="T287" s="459">
        <f>'Inputs_NT INM'!AA284</f>
        <v>231.398457379251</v>
      </c>
      <c r="U287" s="459">
        <f>'Inputs_NT INM'!AB284</f>
        <v>231.398457379251</v>
      </c>
      <c r="V287" s="459">
        <f>'Inputs_NT INM'!AC284</f>
        <v>231.398457379251</v>
      </c>
      <c r="W287" s="459">
        <f>'Inputs_NT INM'!AD284</f>
        <v>231.398457379251</v>
      </c>
      <c r="X287" s="459">
        <f>'Inputs_NT INM'!AE284</f>
        <v>231.398457379251</v>
      </c>
      <c r="Y287" s="459">
        <f>'Inputs_NT INM'!AF284</f>
        <v>231.398457379251</v>
      </c>
      <c r="Z287" s="459">
        <f>'Inputs_NT INM'!AG284</f>
        <v>231.398457379251</v>
      </c>
      <c r="AA287" s="459">
        <f>'Inputs_NT INM'!AH284</f>
        <v>231.398457379251</v>
      </c>
      <c r="AB287" s="459">
        <f>'Inputs_NT INM'!AI284</f>
        <v>231.398457379251</v>
      </c>
      <c r="AC287" s="459">
        <f>'Inputs_NT INM'!AJ284</f>
        <v>231.398457379251</v>
      </c>
      <c r="AD287" s="459">
        <f>'Inputs_NT INM'!AK284</f>
        <v>231.398457379251</v>
      </c>
      <c r="AE287" s="459">
        <f>'Inputs_NT INM'!AL284</f>
        <v>231.398457379251</v>
      </c>
      <c r="AF287" s="459">
        <f>'Inputs_NT INM'!AM284</f>
        <v>231.398457379251</v>
      </c>
      <c r="AG287" s="459">
        <f>'Inputs_NT INM'!AN284</f>
        <v>231.398457379251</v>
      </c>
      <c r="AH287" s="459"/>
      <c r="AI287" s="459"/>
      <c r="AJ287" s="459"/>
    </row>
    <row r="288" spans="1:36" x14ac:dyDescent="0.25">
      <c r="A288" s="9" t="s">
        <v>575</v>
      </c>
      <c r="B288" s="9" t="s">
        <v>558</v>
      </c>
      <c r="C288" s="9" t="s">
        <v>558</v>
      </c>
      <c r="D288" s="9" t="s">
        <v>558</v>
      </c>
      <c r="E288" s="9" t="s">
        <v>558</v>
      </c>
      <c r="F288" s="459">
        <f>'Inputs_NT INM'!M285</f>
        <v>231.398457379251</v>
      </c>
      <c r="G288" s="459">
        <f>'Inputs_NT INM'!N285</f>
        <v>231.398457379251</v>
      </c>
      <c r="H288" s="459">
        <f>'Inputs_NT INM'!O285</f>
        <v>231.398457379251</v>
      </c>
      <c r="I288" s="459">
        <f>'Inputs_NT INM'!P285</f>
        <v>231.398457379251</v>
      </c>
      <c r="J288" s="459">
        <f>'Inputs_NT INM'!Q285</f>
        <v>231.398457379251</v>
      </c>
      <c r="K288" s="459">
        <f>'Inputs_NT INM'!R285</f>
        <v>231.398457379251</v>
      </c>
      <c r="L288" s="459">
        <f>'Inputs_NT INM'!S285</f>
        <v>231.398457379251</v>
      </c>
      <c r="M288" s="459">
        <f>'Inputs_NT INM'!T285</f>
        <v>231.398457379251</v>
      </c>
      <c r="N288" s="459">
        <f>'Inputs_NT INM'!U285</f>
        <v>231.398457379251</v>
      </c>
      <c r="O288" s="459">
        <f>'Inputs_NT INM'!V285</f>
        <v>231.398457379251</v>
      </c>
      <c r="P288" s="459">
        <f>'Inputs_NT INM'!W285</f>
        <v>231.398457379251</v>
      </c>
      <c r="Q288" s="459">
        <f>'Inputs_NT INM'!X285</f>
        <v>231.398457379251</v>
      </c>
      <c r="R288" s="459">
        <f>'Inputs_NT INM'!Y285</f>
        <v>231.398457379251</v>
      </c>
      <c r="S288" s="459">
        <f>'Inputs_NT INM'!Z285</f>
        <v>231.398457379251</v>
      </c>
      <c r="T288" s="459">
        <f>'Inputs_NT INM'!AA285</f>
        <v>231.398457379251</v>
      </c>
      <c r="U288" s="459">
        <f>'Inputs_NT INM'!AB285</f>
        <v>231.398457379251</v>
      </c>
      <c r="V288" s="459">
        <f>'Inputs_NT INM'!AC285</f>
        <v>231.398457379251</v>
      </c>
      <c r="W288" s="459">
        <f>'Inputs_NT INM'!AD285</f>
        <v>231.398457379251</v>
      </c>
      <c r="X288" s="459">
        <f>'Inputs_NT INM'!AE285</f>
        <v>231.398457379251</v>
      </c>
      <c r="Y288" s="459">
        <f>'Inputs_NT INM'!AF285</f>
        <v>231.398457379251</v>
      </c>
      <c r="Z288" s="459">
        <f>'Inputs_NT INM'!AG285</f>
        <v>231.398457379251</v>
      </c>
      <c r="AA288" s="459">
        <f>'Inputs_NT INM'!AH285</f>
        <v>231.398457379251</v>
      </c>
      <c r="AB288" s="459">
        <f>'Inputs_NT INM'!AI285</f>
        <v>231.398457379251</v>
      </c>
      <c r="AC288" s="459">
        <f>'Inputs_NT INM'!AJ285</f>
        <v>231.398457379251</v>
      </c>
      <c r="AD288" s="459">
        <f>'Inputs_NT INM'!AK285</f>
        <v>231.398457379251</v>
      </c>
      <c r="AE288" s="459">
        <f>'Inputs_NT INM'!AL285</f>
        <v>231.398457379251</v>
      </c>
      <c r="AF288" s="459">
        <f>'Inputs_NT INM'!AM285</f>
        <v>231.398457379251</v>
      </c>
      <c r="AG288" s="459">
        <f>'Inputs_NT INM'!AN285</f>
        <v>231.398457379251</v>
      </c>
      <c r="AH288" s="459"/>
      <c r="AI288" s="459"/>
      <c r="AJ288" s="459"/>
    </row>
    <row r="289" spans="1:36" x14ac:dyDescent="0.25">
      <c r="A289" s="9" t="s">
        <v>825</v>
      </c>
      <c r="B289" s="9" t="s">
        <v>949</v>
      </c>
      <c r="C289" s="9" t="s">
        <v>624</v>
      </c>
      <c r="D289" s="9">
        <v>2030</v>
      </c>
      <c r="E289" s="9" t="s">
        <v>995</v>
      </c>
      <c r="F289" s="459">
        <f>'Inputs_NT INM'!M286</f>
        <v>1397.1028400292103</v>
      </c>
      <c r="G289" s="459">
        <f>'Inputs_NT INM'!N286</f>
        <v>1397.1028400292103</v>
      </c>
      <c r="H289" s="459">
        <f>'Inputs_NT INM'!O286</f>
        <v>1397.1028400292103</v>
      </c>
      <c r="I289" s="459">
        <f>'Inputs_NT INM'!P286</f>
        <v>1397.1028400292103</v>
      </c>
      <c r="J289" s="459">
        <f>'Inputs_NT INM'!Q286</f>
        <v>1397.1028400292103</v>
      </c>
      <c r="K289" s="459">
        <f>'Inputs_NT INM'!R286</f>
        <v>1397.1028400292103</v>
      </c>
      <c r="L289" s="459">
        <f>'Inputs_NT INM'!S286</f>
        <v>1397.1028400292103</v>
      </c>
      <c r="M289" s="459">
        <f>'Inputs_NT INM'!T286</f>
        <v>1397.1028400292103</v>
      </c>
      <c r="N289" s="459">
        <f>'Inputs_NT INM'!U286</f>
        <v>1397.1028400292103</v>
      </c>
      <c r="O289" s="459">
        <f>'Inputs_NT INM'!V286</f>
        <v>1397.1028400292103</v>
      </c>
      <c r="P289" s="459">
        <f>'Inputs_NT INM'!W286</f>
        <v>1397.1028400292103</v>
      </c>
      <c r="Q289" s="459">
        <f>'Inputs_NT INM'!X286</f>
        <v>1397.1028400292103</v>
      </c>
      <c r="R289" s="459">
        <f>'Inputs_NT INM'!Y286</f>
        <v>1397.1028400292103</v>
      </c>
      <c r="S289" s="459">
        <f>'Inputs_NT INM'!Z286</f>
        <v>1397.1028400292103</v>
      </c>
      <c r="T289" s="459">
        <f>'Inputs_NT INM'!AA286</f>
        <v>1397.1028400292103</v>
      </c>
      <c r="U289" s="459">
        <f>'Inputs_NT INM'!AB286</f>
        <v>1397.1028400292103</v>
      </c>
      <c r="V289" s="459">
        <f>'Inputs_NT INM'!AC286</f>
        <v>1397.1028400292103</v>
      </c>
      <c r="W289" s="459">
        <f>'Inputs_NT INM'!AD286</f>
        <v>1397.1028400292103</v>
      </c>
      <c r="X289" s="459">
        <f>'Inputs_NT INM'!AE286</f>
        <v>1397.1028400292103</v>
      </c>
      <c r="Y289" s="459">
        <f>'Inputs_NT INM'!AF286</f>
        <v>1397.1028400292103</v>
      </c>
      <c r="Z289" s="459">
        <f>'Inputs_NT INM'!AG286</f>
        <v>1397.1028400292103</v>
      </c>
      <c r="AA289" s="459">
        <f>'Inputs_NT INM'!AH286</f>
        <v>1397.1028400292103</v>
      </c>
      <c r="AB289" s="459">
        <f>'Inputs_NT INM'!AI286</f>
        <v>1397.1028400292103</v>
      </c>
      <c r="AC289" s="459">
        <f>'Inputs_NT INM'!AJ286</f>
        <v>1397.1028400292103</v>
      </c>
      <c r="AD289" s="459">
        <f>'Inputs_NT INM'!AK286</f>
        <v>1397.1028400292103</v>
      </c>
      <c r="AE289" s="459">
        <f>'Inputs_NT INM'!AL286</f>
        <v>1397.1028400292103</v>
      </c>
      <c r="AF289" s="459">
        <f>'Inputs_NT INM'!AM286</f>
        <v>1397.1028400292103</v>
      </c>
      <c r="AG289" s="459">
        <f>'Inputs_NT INM'!AN286</f>
        <v>1397.1028400292103</v>
      </c>
      <c r="AH289" s="459"/>
      <c r="AI289" s="459"/>
      <c r="AJ289" s="459"/>
    </row>
    <row r="290" spans="1:36" x14ac:dyDescent="0.25">
      <c r="A290" s="9" t="s">
        <v>826</v>
      </c>
      <c r="B290" s="9" t="s">
        <v>950</v>
      </c>
      <c r="C290" s="9" t="s">
        <v>624</v>
      </c>
      <c r="D290" s="9">
        <v>2030</v>
      </c>
      <c r="E290" s="9" t="s">
        <v>995</v>
      </c>
      <c r="F290" s="459">
        <f>'Inputs_NT INM'!M287</f>
        <v>1397.1028400292103</v>
      </c>
      <c r="G290" s="459">
        <f>'Inputs_NT INM'!N287</f>
        <v>1397.1028400292103</v>
      </c>
      <c r="H290" s="459">
        <f>'Inputs_NT INM'!O287</f>
        <v>1397.1028400292103</v>
      </c>
      <c r="I290" s="459">
        <f>'Inputs_NT INM'!P287</f>
        <v>1397.1028400292103</v>
      </c>
      <c r="J290" s="459">
        <f>'Inputs_NT INM'!Q287</f>
        <v>1397.1028400292103</v>
      </c>
      <c r="K290" s="459">
        <f>'Inputs_NT INM'!R287</f>
        <v>1397.1028400292103</v>
      </c>
      <c r="L290" s="459">
        <f>'Inputs_NT INM'!S287</f>
        <v>1397.1028400292103</v>
      </c>
      <c r="M290" s="459">
        <f>'Inputs_NT INM'!T287</f>
        <v>1397.1028400292103</v>
      </c>
      <c r="N290" s="459">
        <f>'Inputs_NT INM'!U287</f>
        <v>1397.1028400292103</v>
      </c>
      <c r="O290" s="459">
        <f>'Inputs_NT INM'!V287</f>
        <v>1397.1028400292103</v>
      </c>
      <c r="P290" s="459">
        <f>'Inputs_NT INM'!W287</f>
        <v>1397.1028400292103</v>
      </c>
      <c r="Q290" s="459">
        <f>'Inputs_NT INM'!X287</f>
        <v>1397.1028400292103</v>
      </c>
      <c r="R290" s="459">
        <f>'Inputs_NT INM'!Y287</f>
        <v>1397.1028400292103</v>
      </c>
      <c r="S290" s="459">
        <f>'Inputs_NT INM'!Z287</f>
        <v>1397.1028400292103</v>
      </c>
      <c r="T290" s="459">
        <f>'Inputs_NT INM'!AA287</f>
        <v>1397.1028400292103</v>
      </c>
      <c r="U290" s="459">
        <f>'Inputs_NT INM'!AB287</f>
        <v>1397.1028400292103</v>
      </c>
      <c r="V290" s="459">
        <f>'Inputs_NT INM'!AC287</f>
        <v>1397.1028400292103</v>
      </c>
      <c r="W290" s="459">
        <f>'Inputs_NT INM'!AD287</f>
        <v>1397.1028400292103</v>
      </c>
      <c r="X290" s="459">
        <f>'Inputs_NT INM'!AE287</f>
        <v>1397.1028400292103</v>
      </c>
      <c r="Y290" s="459">
        <f>'Inputs_NT INM'!AF287</f>
        <v>1397.1028400292103</v>
      </c>
      <c r="Z290" s="459">
        <f>'Inputs_NT INM'!AG287</f>
        <v>1397.1028400292103</v>
      </c>
      <c r="AA290" s="459">
        <f>'Inputs_NT INM'!AH287</f>
        <v>1397.1028400292103</v>
      </c>
      <c r="AB290" s="459">
        <f>'Inputs_NT INM'!AI287</f>
        <v>1397.1028400292103</v>
      </c>
      <c r="AC290" s="459">
        <f>'Inputs_NT INM'!AJ287</f>
        <v>1397.1028400292103</v>
      </c>
      <c r="AD290" s="459">
        <f>'Inputs_NT INM'!AK287</f>
        <v>1397.1028400292103</v>
      </c>
      <c r="AE290" s="459">
        <f>'Inputs_NT INM'!AL287</f>
        <v>1397.1028400292103</v>
      </c>
      <c r="AF290" s="459">
        <f>'Inputs_NT INM'!AM287</f>
        <v>1397.1028400292103</v>
      </c>
      <c r="AG290" s="459">
        <f>'Inputs_NT INM'!AN287</f>
        <v>1397.1028400292103</v>
      </c>
      <c r="AH290" s="459"/>
      <c r="AI290" s="459"/>
      <c r="AJ290" s="459"/>
    </row>
    <row r="291" spans="1:36" x14ac:dyDescent="0.25">
      <c r="A291" s="9" t="s">
        <v>827</v>
      </c>
      <c r="B291" s="9" t="s">
        <v>951</v>
      </c>
      <c r="C291" s="9" t="s">
        <v>624</v>
      </c>
      <c r="D291" s="9">
        <v>2030</v>
      </c>
      <c r="E291" s="9" t="s">
        <v>995</v>
      </c>
      <c r="F291" s="459">
        <f>'Inputs_NT INM'!M288</f>
        <v>1397.1028400292103</v>
      </c>
      <c r="G291" s="459">
        <f>'Inputs_NT INM'!N288</f>
        <v>1397.1028400292103</v>
      </c>
      <c r="H291" s="459">
        <f>'Inputs_NT INM'!O288</f>
        <v>1397.1028400292103</v>
      </c>
      <c r="I291" s="459">
        <f>'Inputs_NT INM'!P288</f>
        <v>1397.1028400292103</v>
      </c>
      <c r="J291" s="459">
        <f>'Inputs_NT INM'!Q288</f>
        <v>1397.1028400292103</v>
      </c>
      <c r="K291" s="459">
        <f>'Inputs_NT INM'!R288</f>
        <v>1397.1028400292103</v>
      </c>
      <c r="L291" s="459">
        <f>'Inputs_NT INM'!S288</f>
        <v>1397.1028400292103</v>
      </c>
      <c r="M291" s="459">
        <f>'Inputs_NT INM'!T288</f>
        <v>1397.1028400292103</v>
      </c>
      <c r="N291" s="459">
        <f>'Inputs_NT INM'!U288</f>
        <v>1397.1028400292103</v>
      </c>
      <c r="O291" s="459">
        <f>'Inputs_NT INM'!V288</f>
        <v>1397.1028400292103</v>
      </c>
      <c r="P291" s="459">
        <f>'Inputs_NT INM'!W288</f>
        <v>1397.1028400292103</v>
      </c>
      <c r="Q291" s="459">
        <f>'Inputs_NT INM'!X288</f>
        <v>1397.1028400292103</v>
      </c>
      <c r="R291" s="459">
        <f>'Inputs_NT INM'!Y288</f>
        <v>1397.1028400292103</v>
      </c>
      <c r="S291" s="459">
        <f>'Inputs_NT INM'!Z288</f>
        <v>1397.1028400292103</v>
      </c>
      <c r="T291" s="459">
        <f>'Inputs_NT INM'!AA288</f>
        <v>1397.1028400292103</v>
      </c>
      <c r="U291" s="459">
        <f>'Inputs_NT INM'!AB288</f>
        <v>1397.1028400292103</v>
      </c>
      <c r="V291" s="459">
        <f>'Inputs_NT INM'!AC288</f>
        <v>1397.1028400292103</v>
      </c>
      <c r="W291" s="459">
        <f>'Inputs_NT INM'!AD288</f>
        <v>1397.1028400292103</v>
      </c>
      <c r="X291" s="459">
        <f>'Inputs_NT INM'!AE288</f>
        <v>1397.1028400292103</v>
      </c>
      <c r="Y291" s="459">
        <f>'Inputs_NT INM'!AF288</f>
        <v>1397.1028400292103</v>
      </c>
      <c r="Z291" s="459">
        <f>'Inputs_NT INM'!AG288</f>
        <v>1397.1028400292103</v>
      </c>
      <c r="AA291" s="459">
        <f>'Inputs_NT INM'!AH288</f>
        <v>1397.1028400292103</v>
      </c>
      <c r="AB291" s="459">
        <f>'Inputs_NT INM'!AI288</f>
        <v>1397.1028400292103</v>
      </c>
      <c r="AC291" s="459">
        <f>'Inputs_NT INM'!AJ288</f>
        <v>1397.1028400292103</v>
      </c>
      <c r="AD291" s="459">
        <f>'Inputs_NT INM'!AK288</f>
        <v>1397.1028400292103</v>
      </c>
      <c r="AE291" s="459">
        <f>'Inputs_NT INM'!AL288</f>
        <v>1397.1028400292103</v>
      </c>
      <c r="AF291" s="459">
        <f>'Inputs_NT INM'!AM288</f>
        <v>1397.1028400292103</v>
      </c>
      <c r="AG291" s="459">
        <f>'Inputs_NT INM'!AN288</f>
        <v>1397.1028400292103</v>
      </c>
      <c r="AH291" s="459"/>
      <c r="AI291" s="459"/>
      <c r="AJ291" s="459"/>
    </row>
    <row r="292" spans="1:36" x14ac:dyDescent="0.25">
      <c r="A292" s="9" t="s">
        <v>828</v>
      </c>
      <c r="B292" s="9" t="s">
        <v>952</v>
      </c>
      <c r="C292" s="9" t="s">
        <v>624</v>
      </c>
      <c r="D292" s="9">
        <v>2030</v>
      </c>
      <c r="E292" s="9" t="s">
        <v>995</v>
      </c>
      <c r="F292" s="459">
        <f>'Inputs_NT INM'!M289</f>
        <v>1397.1028400292103</v>
      </c>
      <c r="G292" s="459">
        <f>'Inputs_NT INM'!N289</f>
        <v>1397.1028400292103</v>
      </c>
      <c r="H292" s="459">
        <f>'Inputs_NT INM'!O289</f>
        <v>1397.1028400292103</v>
      </c>
      <c r="I292" s="459">
        <f>'Inputs_NT INM'!P289</f>
        <v>1397.1028400292103</v>
      </c>
      <c r="J292" s="459">
        <f>'Inputs_NT INM'!Q289</f>
        <v>1397.1028400292103</v>
      </c>
      <c r="K292" s="459">
        <f>'Inputs_NT INM'!R289</f>
        <v>1397.1028400292103</v>
      </c>
      <c r="L292" s="459">
        <f>'Inputs_NT INM'!S289</f>
        <v>1397.1028400292103</v>
      </c>
      <c r="M292" s="459">
        <f>'Inputs_NT INM'!T289</f>
        <v>1397.1028400292103</v>
      </c>
      <c r="N292" s="459">
        <f>'Inputs_NT INM'!U289</f>
        <v>1397.1028400292103</v>
      </c>
      <c r="O292" s="459">
        <f>'Inputs_NT INM'!V289</f>
        <v>1397.1028400292103</v>
      </c>
      <c r="P292" s="459">
        <f>'Inputs_NT INM'!W289</f>
        <v>1397.1028400292103</v>
      </c>
      <c r="Q292" s="459">
        <f>'Inputs_NT INM'!X289</f>
        <v>1397.1028400292103</v>
      </c>
      <c r="R292" s="459">
        <f>'Inputs_NT INM'!Y289</f>
        <v>1397.1028400292103</v>
      </c>
      <c r="S292" s="459">
        <f>'Inputs_NT INM'!Z289</f>
        <v>1397.1028400292103</v>
      </c>
      <c r="T292" s="459">
        <f>'Inputs_NT INM'!AA289</f>
        <v>1397.1028400292103</v>
      </c>
      <c r="U292" s="459">
        <f>'Inputs_NT INM'!AB289</f>
        <v>1397.1028400292103</v>
      </c>
      <c r="V292" s="459">
        <f>'Inputs_NT INM'!AC289</f>
        <v>1397.1028400292103</v>
      </c>
      <c r="W292" s="459">
        <f>'Inputs_NT INM'!AD289</f>
        <v>1397.1028400292103</v>
      </c>
      <c r="X292" s="459">
        <f>'Inputs_NT INM'!AE289</f>
        <v>1397.1028400292103</v>
      </c>
      <c r="Y292" s="459">
        <f>'Inputs_NT INM'!AF289</f>
        <v>1397.1028400292103</v>
      </c>
      <c r="Z292" s="459">
        <f>'Inputs_NT INM'!AG289</f>
        <v>1397.1028400292103</v>
      </c>
      <c r="AA292" s="459">
        <f>'Inputs_NT INM'!AH289</f>
        <v>1397.1028400292103</v>
      </c>
      <c r="AB292" s="459">
        <f>'Inputs_NT INM'!AI289</f>
        <v>1397.1028400292103</v>
      </c>
      <c r="AC292" s="459">
        <f>'Inputs_NT INM'!AJ289</f>
        <v>1397.1028400292103</v>
      </c>
      <c r="AD292" s="459">
        <f>'Inputs_NT INM'!AK289</f>
        <v>1397.1028400292103</v>
      </c>
      <c r="AE292" s="459">
        <f>'Inputs_NT INM'!AL289</f>
        <v>1397.1028400292103</v>
      </c>
      <c r="AF292" s="459">
        <f>'Inputs_NT INM'!AM289</f>
        <v>1397.1028400292103</v>
      </c>
      <c r="AG292" s="459">
        <f>'Inputs_NT INM'!AN289</f>
        <v>1397.1028400292103</v>
      </c>
      <c r="AH292" s="459"/>
      <c r="AI292" s="459"/>
      <c r="AJ292" s="459"/>
    </row>
    <row r="293" spans="1:36" x14ac:dyDescent="0.25">
      <c r="A293" s="9" t="s">
        <v>829</v>
      </c>
      <c r="B293" s="9" t="s">
        <v>953</v>
      </c>
      <c r="C293" s="9" t="s">
        <v>624</v>
      </c>
      <c r="D293" s="9">
        <v>2030</v>
      </c>
      <c r="E293" s="9" t="s">
        <v>995</v>
      </c>
      <c r="F293" s="459">
        <f>'Inputs_NT INM'!M290</f>
        <v>1397.1028400292103</v>
      </c>
      <c r="G293" s="459">
        <f>'Inputs_NT INM'!N290</f>
        <v>1397.1028400292103</v>
      </c>
      <c r="H293" s="459">
        <f>'Inputs_NT INM'!O290</f>
        <v>1397.1028400292103</v>
      </c>
      <c r="I293" s="459">
        <f>'Inputs_NT INM'!P290</f>
        <v>1397.1028400292103</v>
      </c>
      <c r="J293" s="459">
        <f>'Inputs_NT INM'!Q290</f>
        <v>1397.1028400292103</v>
      </c>
      <c r="K293" s="459">
        <f>'Inputs_NT INM'!R290</f>
        <v>1397.1028400292103</v>
      </c>
      <c r="L293" s="459">
        <f>'Inputs_NT INM'!S290</f>
        <v>1397.1028400292103</v>
      </c>
      <c r="M293" s="459">
        <f>'Inputs_NT INM'!T290</f>
        <v>1397.1028400292103</v>
      </c>
      <c r="N293" s="459">
        <f>'Inputs_NT INM'!U290</f>
        <v>1397.1028400292103</v>
      </c>
      <c r="O293" s="459">
        <f>'Inputs_NT INM'!V290</f>
        <v>1397.1028400292103</v>
      </c>
      <c r="P293" s="459">
        <f>'Inputs_NT INM'!W290</f>
        <v>1397.1028400292103</v>
      </c>
      <c r="Q293" s="459">
        <f>'Inputs_NT INM'!X290</f>
        <v>1397.1028400292103</v>
      </c>
      <c r="R293" s="459">
        <f>'Inputs_NT INM'!Y290</f>
        <v>1397.1028400292103</v>
      </c>
      <c r="S293" s="459">
        <f>'Inputs_NT INM'!Z290</f>
        <v>1397.1028400292103</v>
      </c>
      <c r="T293" s="459">
        <f>'Inputs_NT INM'!AA290</f>
        <v>1397.1028400292103</v>
      </c>
      <c r="U293" s="459">
        <f>'Inputs_NT INM'!AB290</f>
        <v>1397.1028400292103</v>
      </c>
      <c r="V293" s="459">
        <f>'Inputs_NT INM'!AC290</f>
        <v>1397.1028400292103</v>
      </c>
      <c r="W293" s="459">
        <f>'Inputs_NT INM'!AD290</f>
        <v>1397.1028400292103</v>
      </c>
      <c r="X293" s="459">
        <f>'Inputs_NT INM'!AE290</f>
        <v>1397.1028400292103</v>
      </c>
      <c r="Y293" s="459">
        <f>'Inputs_NT INM'!AF290</f>
        <v>1397.1028400292103</v>
      </c>
      <c r="Z293" s="459">
        <f>'Inputs_NT INM'!AG290</f>
        <v>1397.1028400292103</v>
      </c>
      <c r="AA293" s="459">
        <f>'Inputs_NT INM'!AH290</f>
        <v>1397.1028400292103</v>
      </c>
      <c r="AB293" s="459">
        <f>'Inputs_NT INM'!AI290</f>
        <v>1397.1028400292103</v>
      </c>
      <c r="AC293" s="459">
        <f>'Inputs_NT INM'!AJ290</f>
        <v>1397.1028400292103</v>
      </c>
      <c r="AD293" s="459">
        <f>'Inputs_NT INM'!AK290</f>
        <v>1397.1028400292103</v>
      </c>
      <c r="AE293" s="459">
        <f>'Inputs_NT INM'!AL290</f>
        <v>1397.1028400292103</v>
      </c>
      <c r="AF293" s="459">
        <f>'Inputs_NT INM'!AM290</f>
        <v>1397.1028400292103</v>
      </c>
      <c r="AG293" s="459">
        <f>'Inputs_NT INM'!AN290</f>
        <v>1397.1028400292103</v>
      </c>
      <c r="AH293" s="459"/>
      <c r="AI293" s="459"/>
      <c r="AJ293" s="459"/>
    </row>
    <row r="294" spans="1:36" x14ac:dyDescent="0.25">
      <c r="A294" s="9" t="s">
        <v>830</v>
      </c>
      <c r="B294" s="9" t="s">
        <v>955</v>
      </c>
      <c r="C294" s="9" t="s">
        <v>624</v>
      </c>
      <c r="D294" s="9">
        <v>2030</v>
      </c>
      <c r="E294" s="9" t="s">
        <v>995</v>
      </c>
      <c r="F294" s="459">
        <f>'Inputs_NT INM'!M291</f>
        <v>1397.1028400292103</v>
      </c>
      <c r="G294" s="459">
        <f>'Inputs_NT INM'!N291</f>
        <v>1397.1028400292103</v>
      </c>
      <c r="H294" s="459">
        <f>'Inputs_NT INM'!O291</f>
        <v>1397.1028400292103</v>
      </c>
      <c r="I294" s="459">
        <f>'Inputs_NT INM'!P291</f>
        <v>1397.1028400292103</v>
      </c>
      <c r="J294" s="459">
        <f>'Inputs_NT INM'!Q291</f>
        <v>1397.1028400292103</v>
      </c>
      <c r="K294" s="459">
        <f>'Inputs_NT INM'!R291</f>
        <v>1397.1028400292103</v>
      </c>
      <c r="L294" s="459">
        <f>'Inputs_NT INM'!S291</f>
        <v>1397.1028400292103</v>
      </c>
      <c r="M294" s="459">
        <f>'Inputs_NT INM'!T291</f>
        <v>1397.1028400292103</v>
      </c>
      <c r="N294" s="459">
        <f>'Inputs_NT INM'!U291</f>
        <v>1397.1028400292103</v>
      </c>
      <c r="O294" s="459">
        <f>'Inputs_NT INM'!V291</f>
        <v>1397.1028400292103</v>
      </c>
      <c r="P294" s="459">
        <f>'Inputs_NT INM'!W291</f>
        <v>1397.1028400292103</v>
      </c>
      <c r="Q294" s="459">
        <f>'Inputs_NT INM'!X291</f>
        <v>1397.1028400292103</v>
      </c>
      <c r="R294" s="459">
        <f>'Inputs_NT INM'!Y291</f>
        <v>1397.1028400292103</v>
      </c>
      <c r="S294" s="459">
        <f>'Inputs_NT INM'!Z291</f>
        <v>1397.1028400292103</v>
      </c>
      <c r="T294" s="459">
        <f>'Inputs_NT INM'!AA291</f>
        <v>1397.1028400292103</v>
      </c>
      <c r="U294" s="459">
        <f>'Inputs_NT INM'!AB291</f>
        <v>1397.1028400292103</v>
      </c>
      <c r="V294" s="459">
        <f>'Inputs_NT INM'!AC291</f>
        <v>1397.1028400292103</v>
      </c>
      <c r="W294" s="459">
        <f>'Inputs_NT INM'!AD291</f>
        <v>1397.1028400292103</v>
      </c>
      <c r="X294" s="459">
        <f>'Inputs_NT INM'!AE291</f>
        <v>1397.1028400292103</v>
      </c>
      <c r="Y294" s="459">
        <f>'Inputs_NT INM'!AF291</f>
        <v>1397.1028400292103</v>
      </c>
      <c r="Z294" s="459">
        <f>'Inputs_NT INM'!AG291</f>
        <v>1397.1028400292103</v>
      </c>
      <c r="AA294" s="459">
        <f>'Inputs_NT INM'!AH291</f>
        <v>1397.1028400292103</v>
      </c>
      <c r="AB294" s="459">
        <f>'Inputs_NT INM'!AI291</f>
        <v>1397.1028400292103</v>
      </c>
      <c r="AC294" s="459">
        <f>'Inputs_NT INM'!AJ291</f>
        <v>1397.1028400292103</v>
      </c>
      <c r="AD294" s="459">
        <f>'Inputs_NT INM'!AK291</f>
        <v>1397.1028400292103</v>
      </c>
      <c r="AE294" s="459">
        <f>'Inputs_NT INM'!AL291</f>
        <v>1397.1028400292103</v>
      </c>
      <c r="AF294" s="459">
        <f>'Inputs_NT INM'!AM291</f>
        <v>1397.1028400292103</v>
      </c>
      <c r="AG294" s="459">
        <f>'Inputs_NT INM'!AN291</f>
        <v>1397.1028400292103</v>
      </c>
      <c r="AH294" s="459"/>
      <c r="AI294" s="459"/>
      <c r="AJ294" s="459"/>
    </row>
    <row r="295" spans="1:36" x14ac:dyDescent="0.25">
      <c r="A295" s="9" t="s">
        <v>832</v>
      </c>
      <c r="B295" s="9" t="s">
        <v>956</v>
      </c>
      <c r="C295" s="9" t="s">
        <v>624</v>
      </c>
      <c r="D295" s="9">
        <v>2030</v>
      </c>
      <c r="E295" s="9" t="s">
        <v>995</v>
      </c>
      <c r="F295" s="459">
        <f>'Inputs_NT INM'!M292</f>
        <v>1397.1028400292103</v>
      </c>
      <c r="G295" s="459">
        <f>'Inputs_NT INM'!N292</f>
        <v>1397.1028400292103</v>
      </c>
      <c r="H295" s="459">
        <f>'Inputs_NT INM'!O292</f>
        <v>1397.1028400292103</v>
      </c>
      <c r="I295" s="459">
        <f>'Inputs_NT INM'!P292</f>
        <v>1397.1028400292103</v>
      </c>
      <c r="J295" s="459">
        <f>'Inputs_NT INM'!Q292</f>
        <v>1397.1028400292103</v>
      </c>
      <c r="K295" s="459">
        <f>'Inputs_NT INM'!R292</f>
        <v>1397.1028400292103</v>
      </c>
      <c r="L295" s="459">
        <f>'Inputs_NT INM'!S292</f>
        <v>1397.1028400292103</v>
      </c>
      <c r="M295" s="459">
        <f>'Inputs_NT INM'!T292</f>
        <v>1397.1028400292103</v>
      </c>
      <c r="N295" s="459">
        <f>'Inputs_NT INM'!U292</f>
        <v>1397.1028400292103</v>
      </c>
      <c r="O295" s="459">
        <f>'Inputs_NT INM'!V292</f>
        <v>1397.1028400292103</v>
      </c>
      <c r="P295" s="459">
        <f>'Inputs_NT INM'!W292</f>
        <v>1397.1028400292103</v>
      </c>
      <c r="Q295" s="459">
        <f>'Inputs_NT INM'!X292</f>
        <v>1397.1028400292103</v>
      </c>
      <c r="R295" s="459">
        <f>'Inputs_NT INM'!Y292</f>
        <v>1397.1028400292103</v>
      </c>
      <c r="S295" s="459">
        <f>'Inputs_NT INM'!Z292</f>
        <v>1397.1028400292103</v>
      </c>
      <c r="T295" s="459">
        <f>'Inputs_NT INM'!AA292</f>
        <v>1397.1028400292103</v>
      </c>
      <c r="U295" s="459">
        <f>'Inputs_NT INM'!AB292</f>
        <v>1397.1028400292103</v>
      </c>
      <c r="V295" s="459">
        <f>'Inputs_NT INM'!AC292</f>
        <v>1397.1028400292103</v>
      </c>
      <c r="W295" s="459">
        <f>'Inputs_NT INM'!AD292</f>
        <v>1397.1028400292103</v>
      </c>
      <c r="X295" s="459">
        <f>'Inputs_NT INM'!AE292</f>
        <v>1397.1028400292103</v>
      </c>
      <c r="Y295" s="459">
        <f>'Inputs_NT INM'!AF292</f>
        <v>1397.1028400292103</v>
      </c>
      <c r="Z295" s="459">
        <f>'Inputs_NT INM'!AG292</f>
        <v>1397.1028400292103</v>
      </c>
      <c r="AA295" s="459">
        <f>'Inputs_NT INM'!AH292</f>
        <v>1397.1028400292103</v>
      </c>
      <c r="AB295" s="459">
        <f>'Inputs_NT INM'!AI292</f>
        <v>1397.1028400292103</v>
      </c>
      <c r="AC295" s="459">
        <f>'Inputs_NT INM'!AJ292</f>
        <v>1397.1028400292103</v>
      </c>
      <c r="AD295" s="459">
        <f>'Inputs_NT INM'!AK292</f>
        <v>1397.1028400292103</v>
      </c>
      <c r="AE295" s="459">
        <f>'Inputs_NT INM'!AL292</f>
        <v>1397.1028400292103</v>
      </c>
      <c r="AF295" s="459">
        <f>'Inputs_NT INM'!AM292</f>
        <v>1397.1028400292103</v>
      </c>
      <c r="AG295" s="459">
        <f>'Inputs_NT INM'!AN292</f>
        <v>1397.1028400292103</v>
      </c>
      <c r="AH295" s="459"/>
      <c r="AI295" s="459"/>
      <c r="AJ295" s="459"/>
    </row>
    <row r="296" spans="1:36" x14ac:dyDescent="0.25">
      <c r="A296" s="9" t="s">
        <v>825</v>
      </c>
      <c r="B296" s="9" t="s">
        <v>949</v>
      </c>
      <c r="C296" s="9" t="s">
        <v>624</v>
      </c>
      <c r="D296" s="9">
        <v>2050</v>
      </c>
      <c r="E296" s="9" t="s">
        <v>995</v>
      </c>
      <c r="F296" s="459">
        <f>'Inputs_NT INM'!M293</f>
        <v>970.91851341235576</v>
      </c>
      <c r="G296" s="459">
        <f>'Inputs_NT INM'!N293</f>
        <v>970.91851341235576</v>
      </c>
      <c r="H296" s="459">
        <f>'Inputs_NT INM'!O293</f>
        <v>970.91851341235576</v>
      </c>
      <c r="I296" s="459">
        <f>'Inputs_NT INM'!P293</f>
        <v>970.91851341235576</v>
      </c>
      <c r="J296" s="459">
        <f>'Inputs_NT INM'!Q293</f>
        <v>970.91851341235576</v>
      </c>
      <c r="K296" s="459">
        <f>'Inputs_NT INM'!R293</f>
        <v>970.91851341235576</v>
      </c>
      <c r="L296" s="459">
        <f>'Inputs_NT INM'!S293</f>
        <v>970.91851341235576</v>
      </c>
      <c r="M296" s="459">
        <f>'Inputs_NT INM'!T293</f>
        <v>970.91851341235576</v>
      </c>
      <c r="N296" s="459">
        <f>'Inputs_NT INM'!U293</f>
        <v>970.91851341235576</v>
      </c>
      <c r="O296" s="459">
        <f>'Inputs_NT INM'!V293</f>
        <v>970.91851341235576</v>
      </c>
      <c r="P296" s="459">
        <f>'Inputs_NT INM'!W293</f>
        <v>970.91851341235576</v>
      </c>
      <c r="Q296" s="459">
        <f>'Inputs_NT INM'!X293</f>
        <v>970.91851341235576</v>
      </c>
      <c r="R296" s="459">
        <f>'Inputs_NT INM'!Y293</f>
        <v>970.91851341235576</v>
      </c>
      <c r="S296" s="459">
        <f>'Inputs_NT INM'!Z293</f>
        <v>970.91851341235576</v>
      </c>
      <c r="T296" s="459">
        <f>'Inputs_NT INM'!AA293</f>
        <v>970.91851341235576</v>
      </c>
      <c r="U296" s="459">
        <f>'Inputs_NT INM'!AB293</f>
        <v>970.91851341235576</v>
      </c>
      <c r="V296" s="459">
        <f>'Inputs_NT INM'!AC293</f>
        <v>970.91851341235576</v>
      </c>
      <c r="W296" s="459">
        <f>'Inputs_NT INM'!AD293</f>
        <v>970.91851341235576</v>
      </c>
      <c r="X296" s="459">
        <f>'Inputs_NT INM'!AE293</f>
        <v>970.91851341235576</v>
      </c>
      <c r="Y296" s="459">
        <f>'Inputs_NT INM'!AF293</f>
        <v>970.91851341235576</v>
      </c>
      <c r="Z296" s="459">
        <f>'Inputs_NT INM'!AG293</f>
        <v>970.91851341235576</v>
      </c>
      <c r="AA296" s="459">
        <f>'Inputs_NT INM'!AH293</f>
        <v>970.91851341235576</v>
      </c>
      <c r="AB296" s="459">
        <f>'Inputs_NT INM'!AI293</f>
        <v>970.91851341235576</v>
      </c>
      <c r="AC296" s="459">
        <f>'Inputs_NT INM'!AJ293</f>
        <v>970.91851341235576</v>
      </c>
      <c r="AD296" s="459">
        <f>'Inputs_NT INM'!AK293</f>
        <v>970.91851341235576</v>
      </c>
      <c r="AE296" s="459">
        <f>'Inputs_NT INM'!AL293</f>
        <v>970.91851341235576</v>
      </c>
      <c r="AF296" s="459">
        <f>'Inputs_NT INM'!AM293</f>
        <v>970.91851341235576</v>
      </c>
      <c r="AG296" s="459">
        <f>'Inputs_NT INM'!AN293</f>
        <v>970.91851341235576</v>
      </c>
      <c r="AH296" s="459"/>
      <c r="AI296" s="459"/>
      <c r="AJ296" s="459"/>
    </row>
    <row r="297" spans="1:36" x14ac:dyDescent="0.25">
      <c r="A297" s="9" t="s">
        <v>826</v>
      </c>
      <c r="B297" s="9" t="s">
        <v>950</v>
      </c>
      <c r="C297" s="9" t="s">
        <v>624</v>
      </c>
      <c r="D297" s="9">
        <v>2050</v>
      </c>
      <c r="E297" s="9" t="s">
        <v>995</v>
      </c>
      <c r="F297" s="459">
        <f>'Inputs_NT INM'!M294</f>
        <v>970.91851341235576</v>
      </c>
      <c r="G297" s="459">
        <f>'Inputs_NT INM'!N294</f>
        <v>970.91851341235576</v>
      </c>
      <c r="H297" s="459">
        <f>'Inputs_NT INM'!O294</f>
        <v>970.91851341235576</v>
      </c>
      <c r="I297" s="459">
        <f>'Inputs_NT INM'!P294</f>
        <v>970.91851341235576</v>
      </c>
      <c r="J297" s="459">
        <f>'Inputs_NT INM'!Q294</f>
        <v>970.91851341235576</v>
      </c>
      <c r="K297" s="459">
        <f>'Inputs_NT INM'!R294</f>
        <v>970.91851341235576</v>
      </c>
      <c r="L297" s="459">
        <f>'Inputs_NT INM'!S294</f>
        <v>970.91851341235576</v>
      </c>
      <c r="M297" s="459">
        <f>'Inputs_NT INM'!T294</f>
        <v>970.91851341235576</v>
      </c>
      <c r="N297" s="459">
        <f>'Inputs_NT INM'!U294</f>
        <v>970.91851341235576</v>
      </c>
      <c r="O297" s="459">
        <f>'Inputs_NT INM'!V294</f>
        <v>970.91851341235576</v>
      </c>
      <c r="P297" s="459">
        <f>'Inputs_NT INM'!W294</f>
        <v>970.91851341235576</v>
      </c>
      <c r="Q297" s="459">
        <f>'Inputs_NT INM'!X294</f>
        <v>970.91851341235576</v>
      </c>
      <c r="R297" s="459">
        <f>'Inputs_NT INM'!Y294</f>
        <v>970.91851341235576</v>
      </c>
      <c r="S297" s="459">
        <f>'Inputs_NT INM'!Z294</f>
        <v>970.91851341235576</v>
      </c>
      <c r="T297" s="459">
        <f>'Inputs_NT INM'!AA294</f>
        <v>970.91851341235576</v>
      </c>
      <c r="U297" s="459">
        <f>'Inputs_NT INM'!AB294</f>
        <v>970.91851341235576</v>
      </c>
      <c r="V297" s="459">
        <f>'Inputs_NT INM'!AC294</f>
        <v>970.91851341235576</v>
      </c>
      <c r="W297" s="459">
        <f>'Inputs_NT INM'!AD294</f>
        <v>970.91851341235576</v>
      </c>
      <c r="X297" s="459">
        <f>'Inputs_NT INM'!AE294</f>
        <v>970.91851341235576</v>
      </c>
      <c r="Y297" s="459">
        <f>'Inputs_NT INM'!AF294</f>
        <v>970.91851341235576</v>
      </c>
      <c r="Z297" s="459">
        <f>'Inputs_NT INM'!AG294</f>
        <v>970.91851341235576</v>
      </c>
      <c r="AA297" s="459">
        <f>'Inputs_NT INM'!AH294</f>
        <v>970.91851341235576</v>
      </c>
      <c r="AB297" s="459">
        <f>'Inputs_NT INM'!AI294</f>
        <v>970.91851341235576</v>
      </c>
      <c r="AC297" s="459">
        <f>'Inputs_NT INM'!AJ294</f>
        <v>970.91851341235576</v>
      </c>
      <c r="AD297" s="459">
        <f>'Inputs_NT INM'!AK294</f>
        <v>970.91851341235576</v>
      </c>
      <c r="AE297" s="459">
        <f>'Inputs_NT INM'!AL294</f>
        <v>970.91851341235576</v>
      </c>
      <c r="AF297" s="459">
        <f>'Inputs_NT INM'!AM294</f>
        <v>970.91851341235576</v>
      </c>
      <c r="AG297" s="459">
        <f>'Inputs_NT INM'!AN294</f>
        <v>970.91851341235576</v>
      </c>
      <c r="AH297" s="459"/>
      <c r="AI297" s="459"/>
      <c r="AJ297" s="459"/>
    </row>
    <row r="298" spans="1:36" x14ac:dyDescent="0.25">
      <c r="A298" s="9" t="s">
        <v>827</v>
      </c>
      <c r="B298" s="9" t="s">
        <v>951</v>
      </c>
      <c r="C298" s="9" t="s">
        <v>624</v>
      </c>
      <c r="D298" s="9">
        <v>2050</v>
      </c>
      <c r="E298" s="9" t="s">
        <v>995</v>
      </c>
      <c r="F298" s="459">
        <f>'Inputs_NT INM'!M295</f>
        <v>970.91851341235576</v>
      </c>
      <c r="G298" s="459">
        <f>'Inputs_NT INM'!N295</f>
        <v>970.91851341235576</v>
      </c>
      <c r="H298" s="459">
        <f>'Inputs_NT INM'!O295</f>
        <v>970.91851341235576</v>
      </c>
      <c r="I298" s="459">
        <f>'Inputs_NT INM'!P295</f>
        <v>970.91851341235576</v>
      </c>
      <c r="J298" s="459">
        <f>'Inputs_NT INM'!Q295</f>
        <v>970.91851341235576</v>
      </c>
      <c r="K298" s="459">
        <f>'Inputs_NT INM'!R295</f>
        <v>970.91851341235576</v>
      </c>
      <c r="L298" s="459">
        <f>'Inputs_NT INM'!S295</f>
        <v>970.91851341235576</v>
      </c>
      <c r="M298" s="459">
        <f>'Inputs_NT INM'!T295</f>
        <v>970.91851341235576</v>
      </c>
      <c r="N298" s="459">
        <f>'Inputs_NT INM'!U295</f>
        <v>970.91851341235576</v>
      </c>
      <c r="O298" s="459">
        <f>'Inputs_NT INM'!V295</f>
        <v>970.91851341235576</v>
      </c>
      <c r="P298" s="459">
        <f>'Inputs_NT INM'!W295</f>
        <v>970.91851341235576</v>
      </c>
      <c r="Q298" s="459">
        <f>'Inputs_NT INM'!X295</f>
        <v>970.91851341235576</v>
      </c>
      <c r="R298" s="459">
        <f>'Inputs_NT INM'!Y295</f>
        <v>970.91851341235576</v>
      </c>
      <c r="S298" s="459">
        <f>'Inputs_NT INM'!Z295</f>
        <v>970.91851341235576</v>
      </c>
      <c r="T298" s="459">
        <f>'Inputs_NT INM'!AA295</f>
        <v>970.91851341235576</v>
      </c>
      <c r="U298" s="459">
        <f>'Inputs_NT INM'!AB295</f>
        <v>970.91851341235576</v>
      </c>
      <c r="V298" s="459">
        <f>'Inputs_NT INM'!AC295</f>
        <v>970.91851341235576</v>
      </c>
      <c r="W298" s="459">
        <f>'Inputs_NT INM'!AD295</f>
        <v>970.91851341235576</v>
      </c>
      <c r="X298" s="459">
        <f>'Inputs_NT INM'!AE295</f>
        <v>970.91851341235576</v>
      </c>
      <c r="Y298" s="459">
        <f>'Inputs_NT INM'!AF295</f>
        <v>970.91851341235576</v>
      </c>
      <c r="Z298" s="459">
        <f>'Inputs_NT INM'!AG295</f>
        <v>970.91851341235576</v>
      </c>
      <c r="AA298" s="459">
        <f>'Inputs_NT INM'!AH295</f>
        <v>970.91851341235576</v>
      </c>
      <c r="AB298" s="459">
        <f>'Inputs_NT INM'!AI295</f>
        <v>970.91851341235576</v>
      </c>
      <c r="AC298" s="459">
        <f>'Inputs_NT INM'!AJ295</f>
        <v>970.91851341235576</v>
      </c>
      <c r="AD298" s="459">
        <f>'Inputs_NT INM'!AK295</f>
        <v>970.91851341235576</v>
      </c>
      <c r="AE298" s="459">
        <f>'Inputs_NT INM'!AL295</f>
        <v>970.91851341235576</v>
      </c>
      <c r="AF298" s="459">
        <f>'Inputs_NT INM'!AM295</f>
        <v>970.91851341235576</v>
      </c>
      <c r="AG298" s="459">
        <f>'Inputs_NT INM'!AN295</f>
        <v>970.91851341235576</v>
      </c>
      <c r="AH298" s="459"/>
      <c r="AI298" s="459"/>
      <c r="AJ298" s="459"/>
    </row>
    <row r="299" spans="1:36" x14ac:dyDescent="0.25">
      <c r="A299" s="9" t="s">
        <v>828</v>
      </c>
      <c r="B299" s="9" t="s">
        <v>952</v>
      </c>
      <c r="C299" s="9" t="s">
        <v>624</v>
      </c>
      <c r="D299" s="9">
        <v>2050</v>
      </c>
      <c r="E299" s="9" t="s">
        <v>995</v>
      </c>
      <c r="F299" s="459">
        <f>'Inputs_NT INM'!M296</f>
        <v>970.91851341235576</v>
      </c>
      <c r="G299" s="459">
        <f>'Inputs_NT INM'!N296</f>
        <v>970.91851341235576</v>
      </c>
      <c r="H299" s="459">
        <f>'Inputs_NT INM'!O296</f>
        <v>970.91851341235576</v>
      </c>
      <c r="I299" s="459">
        <f>'Inputs_NT INM'!P296</f>
        <v>970.91851341235576</v>
      </c>
      <c r="J299" s="459">
        <f>'Inputs_NT INM'!Q296</f>
        <v>970.91851341235576</v>
      </c>
      <c r="K299" s="459">
        <f>'Inputs_NT INM'!R296</f>
        <v>970.91851341235576</v>
      </c>
      <c r="L299" s="459">
        <f>'Inputs_NT INM'!S296</f>
        <v>970.91851341235576</v>
      </c>
      <c r="M299" s="459">
        <f>'Inputs_NT INM'!T296</f>
        <v>970.91851341235576</v>
      </c>
      <c r="N299" s="459">
        <f>'Inputs_NT INM'!U296</f>
        <v>970.91851341235576</v>
      </c>
      <c r="O299" s="459">
        <f>'Inputs_NT INM'!V296</f>
        <v>970.91851341235576</v>
      </c>
      <c r="P299" s="459">
        <f>'Inputs_NT INM'!W296</f>
        <v>970.91851341235576</v>
      </c>
      <c r="Q299" s="459">
        <f>'Inputs_NT INM'!X296</f>
        <v>970.91851341235576</v>
      </c>
      <c r="R299" s="459">
        <f>'Inputs_NT INM'!Y296</f>
        <v>970.91851341235576</v>
      </c>
      <c r="S299" s="459">
        <f>'Inputs_NT INM'!Z296</f>
        <v>970.91851341235576</v>
      </c>
      <c r="T299" s="459">
        <f>'Inputs_NT INM'!AA296</f>
        <v>970.91851341235576</v>
      </c>
      <c r="U299" s="459">
        <f>'Inputs_NT INM'!AB296</f>
        <v>970.91851341235576</v>
      </c>
      <c r="V299" s="459">
        <f>'Inputs_NT INM'!AC296</f>
        <v>970.91851341235576</v>
      </c>
      <c r="W299" s="459">
        <f>'Inputs_NT INM'!AD296</f>
        <v>970.91851341235576</v>
      </c>
      <c r="X299" s="459">
        <f>'Inputs_NT INM'!AE296</f>
        <v>970.91851341235576</v>
      </c>
      <c r="Y299" s="459">
        <f>'Inputs_NT INM'!AF296</f>
        <v>970.91851341235576</v>
      </c>
      <c r="Z299" s="459">
        <f>'Inputs_NT INM'!AG296</f>
        <v>970.91851341235576</v>
      </c>
      <c r="AA299" s="459">
        <f>'Inputs_NT INM'!AH296</f>
        <v>970.91851341235576</v>
      </c>
      <c r="AB299" s="459">
        <f>'Inputs_NT INM'!AI296</f>
        <v>970.91851341235576</v>
      </c>
      <c r="AC299" s="459">
        <f>'Inputs_NT INM'!AJ296</f>
        <v>970.91851341235576</v>
      </c>
      <c r="AD299" s="459">
        <f>'Inputs_NT INM'!AK296</f>
        <v>970.91851341235576</v>
      </c>
      <c r="AE299" s="459">
        <f>'Inputs_NT INM'!AL296</f>
        <v>970.91851341235576</v>
      </c>
      <c r="AF299" s="459">
        <f>'Inputs_NT INM'!AM296</f>
        <v>970.91851341235576</v>
      </c>
      <c r="AG299" s="459">
        <f>'Inputs_NT INM'!AN296</f>
        <v>970.91851341235576</v>
      </c>
      <c r="AH299" s="459"/>
      <c r="AI299" s="459"/>
      <c r="AJ299" s="459"/>
    </row>
    <row r="300" spans="1:36" x14ac:dyDescent="0.25">
      <c r="A300" s="9" t="s">
        <v>829</v>
      </c>
      <c r="B300" s="9" t="s">
        <v>953</v>
      </c>
      <c r="C300" s="9" t="s">
        <v>624</v>
      </c>
      <c r="D300" s="9">
        <v>2050</v>
      </c>
      <c r="E300" s="9" t="s">
        <v>995</v>
      </c>
      <c r="F300" s="459">
        <f>'Inputs_NT INM'!M297</f>
        <v>970.91851341235576</v>
      </c>
      <c r="G300" s="459">
        <f>'Inputs_NT INM'!N297</f>
        <v>970.91851341235576</v>
      </c>
      <c r="H300" s="459">
        <f>'Inputs_NT INM'!O297</f>
        <v>970.91851341235576</v>
      </c>
      <c r="I300" s="459">
        <f>'Inputs_NT INM'!P297</f>
        <v>970.91851341235576</v>
      </c>
      <c r="J300" s="459">
        <f>'Inputs_NT INM'!Q297</f>
        <v>970.91851341235576</v>
      </c>
      <c r="K300" s="459">
        <f>'Inputs_NT INM'!R297</f>
        <v>970.91851341235576</v>
      </c>
      <c r="L300" s="459">
        <f>'Inputs_NT INM'!S297</f>
        <v>970.91851341235576</v>
      </c>
      <c r="M300" s="459">
        <f>'Inputs_NT INM'!T297</f>
        <v>970.91851341235576</v>
      </c>
      <c r="N300" s="459">
        <f>'Inputs_NT INM'!U297</f>
        <v>970.91851341235576</v>
      </c>
      <c r="O300" s="459">
        <f>'Inputs_NT INM'!V297</f>
        <v>970.91851341235576</v>
      </c>
      <c r="P300" s="459">
        <f>'Inputs_NT INM'!W297</f>
        <v>970.91851341235576</v>
      </c>
      <c r="Q300" s="459">
        <f>'Inputs_NT INM'!X297</f>
        <v>970.91851341235576</v>
      </c>
      <c r="R300" s="459">
        <f>'Inputs_NT INM'!Y297</f>
        <v>970.91851341235576</v>
      </c>
      <c r="S300" s="459">
        <f>'Inputs_NT INM'!Z297</f>
        <v>970.91851341235576</v>
      </c>
      <c r="T300" s="459">
        <f>'Inputs_NT INM'!AA297</f>
        <v>970.91851341235576</v>
      </c>
      <c r="U300" s="459">
        <f>'Inputs_NT INM'!AB297</f>
        <v>970.91851341235576</v>
      </c>
      <c r="V300" s="459">
        <f>'Inputs_NT INM'!AC297</f>
        <v>970.91851341235576</v>
      </c>
      <c r="W300" s="459">
        <f>'Inputs_NT INM'!AD297</f>
        <v>970.91851341235576</v>
      </c>
      <c r="X300" s="459">
        <f>'Inputs_NT INM'!AE297</f>
        <v>970.91851341235576</v>
      </c>
      <c r="Y300" s="459">
        <f>'Inputs_NT INM'!AF297</f>
        <v>970.91851341235576</v>
      </c>
      <c r="Z300" s="459">
        <f>'Inputs_NT INM'!AG297</f>
        <v>970.91851341235576</v>
      </c>
      <c r="AA300" s="459">
        <f>'Inputs_NT INM'!AH297</f>
        <v>970.91851341235576</v>
      </c>
      <c r="AB300" s="459">
        <f>'Inputs_NT INM'!AI297</f>
        <v>970.91851341235576</v>
      </c>
      <c r="AC300" s="459">
        <f>'Inputs_NT INM'!AJ297</f>
        <v>970.91851341235576</v>
      </c>
      <c r="AD300" s="459">
        <f>'Inputs_NT INM'!AK297</f>
        <v>970.91851341235576</v>
      </c>
      <c r="AE300" s="459">
        <f>'Inputs_NT INM'!AL297</f>
        <v>970.91851341235576</v>
      </c>
      <c r="AF300" s="459">
        <f>'Inputs_NT INM'!AM297</f>
        <v>970.91851341235576</v>
      </c>
      <c r="AG300" s="459">
        <f>'Inputs_NT INM'!AN297</f>
        <v>970.91851341235576</v>
      </c>
      <c r="AH300" s="459"/>
      <c r="AI300" s="459"/>
      <c r="AJ300" s="459"/>
    </row>
    <row r="301" spans="1:36" x14ac:dyDescent="0.25">
      <c r="A301" s="9" t="s">
        <v>830</v>
      </c>
      <c r="B301" s="9" t="s">
        <v>955</v>
      </c>
      <c r="C301" s="9" t="s">
        <v>624</v>
      </c>
      <c r="D301" s="9">
        <v>2050</v>
      </c>
      <c r="E301" s="9" t="s">
        <v>995</v>
      </c>
      <c r="F301" s="459">
        <f>'Inputs_NT INM'!M298</f>
        <v>970.91851341235576</v>
      </c>
      <c r="G301" s="459">
        <f>'Inputs_NT INM'!N298</f>
        <v>970.91851341235576</v>
      </c>
      <c r="H301" s="459">
        <f>'Inputs_NT INM'!O298</f>
        <v>970.91851341235576</v>
      </c>
      <c r="I301" s="459">
        <f>'Inputs_NT INM'!P298</f>
        <v>970.91851341235576</v>
      </c>
      <c r="J301" s="459">
        <f>'Inputs_NT INM'!Q298</f>
        <v>970.91851341235576</v>
      </c>
      <c r="K301" s="459">
        <f>'Inputs_NT INM'!R298</f>
        <v>970.91851341235576</v>
      </c>
      <c r="L301" s="459">
        <f>'Inputs_NT INM'!S298</f>
        <v>970.91851341235576</v>
      </c>
      <c r="M301" s="459">
        <f>'Inputs_NT INM'!T298</f>
        <v>970.91851341235576</v>
      </c>
      <c r="N301" s="459">
        <f>'Inputs_NT INM'!U298</f>
        <v>970.91851341235576</v>
      </c>
      <c r="O301" s="459">
        <f>'Inputs_NT INM'!V298</f>
        <v>970.91851341235576</v>
      </c>
      <c r="P301" s="459">
        <f>'Inputs_NT INM'!W298</f>
        <v>970.91851341235576</v>
      </c>
      <c r="Q301" s="459">
        <f>'Inputs_NT INM'!X298</f>
        <v>970.91851341235576</v>
      </c>
      <c r="R301" s="459">
        <f>'Inputs_NT INM'!Y298</f>
        <v>970.91851341235576</v>
      </c>
      <c r="S301" s="459">
        <f>'Inputs_NT INM'!Z298</f>
        <v>970.91851341235576</v>
      </c>
      <c r="T301" s="459">
        <f>'Inputs_NT INM'!AA298</f>
        <v>970.91851341235576</v>
      </c>
      <c r="U301" s="459">
        <f>'Inputs_NT INM'!AB298</f>
        <v>970.91851341235576</v>
      </c>
      <c r="V301" s="459">
        <f>'Inputs_NT INM'!AC298</f>
        <v>970.91851341235576</v>
      </c>
      <c r="W301" s="459">
        <f>'Inputs_NT INM'!AD298</f>
        <v>970.91851341235576</v>
      </c>
      <c r="X301" s="459">
        <f>'Inputs_NT INM'!AE298</f>
        <v>970.91851341235576</v>
      </c>
      <c r="Y301" s="459">
        <f>'Inputs_NT INM'!AF298</f>
        <v>970.91851341235576</v>
      </c>
      <c r="Z301" s="459">
        <f>'Inputs_NT INM'!AG298</f>
        <v>970.91851341235576</v>
      </c>
      <c r="AA301" s="459">
        <f>'Inputs_NT INM'!AH298</f>
        <v>970.91851341235576</v>
      </c>
      <c r="AB301" s="459">
        <f>'Inputs_NT INM'!AI298</f>
        <v>970.91851341235576</v>
      </c>
      <c r="AC301" s="459">
        <f>'Inputs_NT INM'!AJ298</f>
        <v>970.91851341235576</v>
      </c>
      <c r="AD301" s="459">
        <f>'Inputs_NT INM'!AK298</f>
        <v>970.91851341235576</v>
      </c>
      <c r="AE301" s="459">
        <f>'Inputs_NT INM'!AL298</f>
        <v>970.91851341235576</v>
      </c>
      <c r="AF301" s="459">
        <f>'Inputs_NT INM'!AM298</f>
        <v>970.91851341235576</v>
      </c>
      <c r="AG301" s="459">
        <f>'Inputs_NT INM'!AN298</f>
        <v>970.91851341235576</v>
      </c>
      <c r="AH301" s="459"/>
      <c r="AI301" s="459"/>
      <c r="AJ301" s="459"/>
    </row>
    <row r="302" spans="1:36" x14ac:dyDescent="0.25">
      <c r="A302" s="9" t="s">
        <v>832</v>
      </c>
      <c r="B302" s="9" t="s">
        <v>956</v>
      </c>
      <c r="C302" s="9" t="s">
        <v>624</v>
      </c>
      <c r="D302" s="9">
        <v>2050</v>
      </c>
      <c r="E302" s="9" t="s">
        <v>995</v>
      </c>
      <c r="F302" s="459">
        <f>'Inputs_NT INM'!M299</f>
        <v>970.91851341235576</v>
      </c>
      <c r="G302" s="459">
        <f>'Inputs_NT INM'!N299</f>
        <v>970.91851341235576</v>
      </c>
      <c r="H302" s="459">
        <f>'Inputs_NT INM'!O299</f>
        <v>970.91851341235576</v>
      </c>
      <c r="I302" s="459">
        <f>'Inputs_NT INM'!P299</f>
        <v>970.91851341235576</v>
      </c>
      <c r="J302" s="459">
        <f>'Inputs_NT INM'!Q299</f>
        <v>970.91851341235576</v>
      </c>
      <c r="K302" s="459">
        <f>'Inputs_NT INM'!R299</f>
        <v>970.91851341235576</v>
      </c>
      <c r="L302" s="459">
        <f>'Inputs_NT INM'!S299</f>
        <v>970.91851341235576</v>
      </c>
      <c r="M302" s="459">
        <f>'Inputs_NT INM'!T299</f>
        <v>970.91851341235576</v>
      </c>
      <c r="N302" s="459">
        <f>'Inputs_NT INM'!U299</f>
        <v>970.91851341235576</v>
      </c>
      <c r="O302" s="459">
        <f>'Inputs_NT INM'!V299</f>
        <v>970.91851341235576</v>
      </c>
      <c r="P302" s="459">
        <f>'Inputs_NT INM'!W299</f>
        <v>970.91851341235576</v>
      </c>
      <c r="Q302" s="459">
        <f>'Inputs_NT INM'!X299</f>
        <v>970.91851341235576</v>
      </c>
      <c r="R302" s="459">
        <f>'Inputs_NT INM'!Y299</f>
        <v>970.91851341235576</v>
      </c>
      <c r="S302" s="459">
        <f>'Inputs_NT INM'!Z299</f>
        <v>970.91851341235576</v>
      </c>
      <c r="T302" s="459">
        <f>'Inputs_NT INM'!AA299</f>
        <v>970.91851341235576</v>
      </c>
      <c r="U302" s="459">
        <f>'Inputs_NT INM'!AB299</f>
        <v>970.91851341235576</v>
      </c>
      <c r="V302" s="459">
        <f>'Inputs_NT INM'!AC299</f>
        <v>970.91851341235576</v>
      </c>
      <c r="W302" s="459">
        <f>'Inputs_NT INM'!AD299</f>
        <v>970.91851341235576</v>
      </c>
      <c r="X302" s="459">
        <f>'Inputs_NT INM'!AE299</f>
        <v>970.91851341235576</v>
      </c>
      <c r="Y302" s="459">
        <f>'Inputs_NT INM'!AF299</f>
        <v>970.91851341235576</v>
      </c>
      <c r="Z302" s="459">
        <f>'Inputs_NT INM'!AG299</f>
        <v>970.91851341235576</v>
      </c>
      <c r="AA302" s="459">
        <f>'Inputs_NT INM'!AH299</f>
        <v>970.91851341235576</v>
      </c>
      <c r="AB302" s="459">
        <f>'Inputs_NT INM'!AI299</f>
        <v>970.91851341235576</v>
      </c>
      <c r="AC302" s="459">
        <f>'Inputs_NT INM'!AJ299</f>
        <v>970.91851341235576</v>
      </c>
      <c r="AD302" s="459">
        <f>'Inputs_NT INM'!AK299</f>
        <v>970.91851341235576</v>
      </c>
      <c r="AE302" s="459">
        <f>'Inputs_NT INM'!AL299</f>
        <v>970.91851341235576</v>
      </c>
      <c r="AF302" s="459">
        <f>'Inputs_NT INM'!AM299</f>
        <v>970.91851341235576</v>
      </c>
      <c r="AG302" s="459">
        <f>'Inputs_NT INM'!AN299</f>
        <v>970.91851341235576</v>
      </c>
      <c r="AH302" s="459"/>
      <c r="AI302" s="459"/>
      <c r="AJ302" s="459"/>
    </row>
    <row r="303" spans="1:36" x14ac:dyDescent="0.25">
      <c r="A303" s="9" t="s">
        <v>833</v>
      </c>
      <c r="B303" s="9" t="s">
        <v>957</v>
      </c>
      <c r="C303" s="9" t="s">
        <v>624</v>
      </c>
      <c r="D303" s="9">
        <v>2020</v>
      </c>
      <c r="E303" s="9" t="s">
        <v>995</v>
      </c>
      <c r="F303" s="459">
        <f>'Inputs_NT INM'!M300</f>
        <v>867.74421517219116</v>
      </c>
      <c r="G303" s="459">
        <f>'Inputs_NT INM'!N300</f>
        <v>867.74421517219116</v>
      </c>
      <c r="H303" s="459">
        <f>'Inputs_NT INM'!O300</f>
        <v>867.74421517219116</v>
      </c>
      <c r="I303" s="459">
        <f>'Inputs_NT INM'!P300</f>
        <v>867.74421517219116</v>
      </c>
      <c r="J303" s="459">
        <f>'Inputs_NT INM'!Q300</f>
        <v>867.74421517219116</v>
      </c>
      <c r="K303" s="459">
        <f>'Inputs_NT INM'!R300</f>
        <v>867.74421517219116</v>
      </c>
      <c r="L303" s="459">
        <f>'Inputs_NT INM'!S300</f>
        <v>867.74421517219116</v>
      </c>
      <c r="M303" s="459">
        <f>'Inputs_NT INM'!T300</f>
        <v>867.74421517219116</v>
      </c>
      <c r="N303" s="459">
        <f>'Inputs_NT INM'!U300</f>
        <v>867.74421517219116</v>
      </c>
      <c r="O303" s="459">
        <f>'Inputs_NT INM'!V300</f>
        <v>867.74421517219116</v>
      </c>
      <c r="P303" s="459">
        <f>'Inputs_NT INM'!W300</f>
        <v>867.74421517219116</v>
      </c>
      <c r="Q303" s="459">
        <f>'Inputs_NT INM'!X300</f>
        <v>867.74421517219116</v>
      </c>
      <c r="R303" s="459">
        <f>'Inputs_NT INM'!Y300</f>
        <v>867.74421517219116</v>
      </c>
      <c r="S303" s="459">
        <f>'Inputs_NT INM'!Z300</f>
        <v>867.74421517219116</v>
      </c>
      <c r="T303" s="459">
        <f>'Inputs_NT INM'!AA300</f>
        <v>867.74421517219116</v>
      </c>
      <c r="U303" s="459">
        <f>'Inputs_NT INM'!AB300</f>
        <v>867.74421517219116</v>
      </c>
      <c r="V303" s="459">
        <f>'Inputs_NT INM'!AC300</f>
        <v>867.74421517219116</v>
      </c>
      <c r="W303" s="459">
        <f>'Inputs_NT INM'!AD300</f>
        <v>867.74421517219116</v>
      </c>
      <c r="X303" s="459">
        <f>'Inputs_NT INM'!AE300</f>
        <v>867.74421517219116</v>
      </c>
      <c r="Y303" s="459">
        <f>'Inputs_NT INM'!AF300</f>
        <v>867.74421517219116</v>
      </c>
      <c r="Z303" s="459">
        <f>'Inputs_NT INM'!AG300</f>
        <v>867.74421517219116</v>
      </c>
      <c r="AA303" s="459">
        <f>'Inputs_NT INM'!AH300</f>
        <v>867.74421517219116</v>
      </c>
      <c r="AB303" s="459">
        <f>'Inputs_NT INM'!AI300</f>
        <v>867.74421517219116</v>
      </c>
      <c r="AC303" s="459">
        <f>'Inputs_NT INM'!AJ300</f>
        <v>867.74421517219116</v>
      </c>
      <c r="AD303" s="459">
        <f>'Inputs_NT INM'!AK300</f>
        <v>867.74421517219116</v>
      </c>
      <c r="AE303" s="459">
        <f>'Inputs_NT INM'!AL300</f>
        <v>867.74421517219116</v>
      </c>
      <c r="AF303" s="459">
        <f>'Inputs_NT INM'!AM300</f>
        <v>867.74421517219116</v>
      </c>
      <c r="AG303" s="459">
        <f>'Inputs_NT INM'!AN300</f>
        <v>867.74421517219116</v>
      </c>
      <c r="AH303" s="459"/>
      <c r="AI303" s="459"/>
      <c r="AJ303" s="459"/>
    </row>
    <row r="304" spans="1:36" x14ac:dyDescent="0.25">
      <c r="A304" s="9" t="s">
        <v>834</v>
      </c>
      <c r="B304" s="9" t="s">
        <v>958</v>
      </c>
      <c r="C304" s="9" t="s">
        <v>624</v>
      </c>
      <c r="D304" s="9">
        <v>2020</v>
      </c>
      <c r="E304" s="9" t="s">
        <v>995</v>
      </c>
      <c r="F304" s="459">
        <f>'Inputs_NT INM'!M301</f>
        <v>867.74421517219116</v>
      </c>
      <c r="G304" s="459">
        <f>'Inputs_NT INM'!N301</f>
        <v>867.74421517219116</v>
      </c>
      <c r="H304" s="459">
        <f>'Inputs_NT INM'!O301</f>
        <v>867.74421517219116</v>
      </c>
      <c r="I304" s="459">
        <f>'Inputs_NT INM'!P301</f>
        <v>867.74421517219116</v>
      </c>
      <c r="J304" s="459">
        <f>'Inputs_NT INM'!Q301</f>
        <v>867.74421517219116</v>
      </c>
      <c r="K304" s="459">
        <f>'Inputs_NT INM'!R301</f>
        <v>867.74421517219116</v>
      </c>
      <c r="L304" s="459">
        <f>'Inputs_NT INM'!S301</f>
        <v>867.74421517219116</v>
      </c>
      <c r="M304" s="459">
        <f>'Inputs_NT INM'!T301</f>
        <v>867.74421517219116</v>
      </c>
      <c r="N304" s="459">
        <f>'Inputs_NT INM'!U301</f>
        <v>867.74421517219116</v>
      </c>
      <c r="O304" s="459">
        <f>'Inputs_NT INM'!V301</f>
        <v>867.74421517219116</v>
      </c>
      <c r="P304" s="459">
        <f>'Inputs_NT INM'!W301</f>
        <v>867.74421517219116</v>
      </c>
      <c r="Q304" s="459">
        <f>'Inputs_NT INM'!X301</f>
        <v>867.74421517219116</v>
      </c>
      <c r="R304" s="459">
        <f>'Inputs_NT INM'!Y301</f>
        <v>867.74421517219116</v>
      </c>
      <c r="S304" s="459">
        <f>'Inputs_NT INM'!Z301</f>
        <v>867.74421517219116</v>
      </c>
      <c r="T304" s="459">
        <f>'Inputs_NT INM'!AA301</f>
        <v>867.74421517219116</v>
      </c>
      <c r="U304" s="459">
        <f>'Inputs_NT INM'!AB301</f>
        <v>867.74421517219116</v>
      </c>
      <c r="V304" s="459">
        <f>'Inputs_NT INM'!AC301</f>
        <v>867.74421517219116</v>
      </c>
      <c r="W304" s="459">
        <f>'Inputs_NT INM'!AD301</f>
        <v>867.74421517219116</v>
      </c>
      <c r="X304" s="459">
        <f>'Inputs_NT INM'!AE301</f>
        <v>867.74421517219116</v>
      </c>
      <c r="Y304" s="459">
        <f>'Inputs_NT INM'!AF301</f>
        <v>867.74421517219116</v>
      </c>
      <c r="Z304" s="459">
        <f>'Inputs_NT INM'!AG301</f>
        <v>867.74421517219116</v>
      </c>
      <c r="AA304" s="459">
        <f>'Inputs_NT INM'!AH301</f>
        <v>867.74421517219116</v>
      </c>
      <c r="AB304" s="459">
        <f>'Inputs_NT INM'!AI301</f>
        <v>867.74421517219116</v>
      </c>
      <c r="AC304" s="459">
        <f>'Inputs_NT INM'!AJ301</f>
        <v>867.74421517219116</v>
      </c>
      <c r="AD304" s="459">
        <f>'Inputs_NT INM'!AK301</f>
        <v>867.74421517219116</v>
      </c>
      <c r="AE304" s="459">
        <f>'Inputs_NT INM'!AL301</f>
        <v>867.74421517219116</v>
      </c>
      <c r="AF304" s="459">
        <f>'Inputs_NT INM'!AM301</f>
        <v>867.74421517219116</v>
      </c>
      <c r="AG304" s="459">
        <f>'Inputs_NT INM'!AN301</f>
        <v>867.74421517219116</v>
      </c>
      <c r="AH304" s="459"/>
      <c r="AI304" s="459"/>
      <c r="AJ304" s="459"/>
    </row>
    <row r="305" spans="1:36" x14ac:dyDescent="0.25">
      <c r="A305" s="9" t="s">
        <v>835</v>
      </c>
      <c r="B305" s="9" t="s">
        <v>959</v>
      </c>
      <c r="C305" s="9" t="s">
        <v>624</v>
      </c>
      <c r="D305" s="9">
        <v>2020</v>
      </c>
      <c r="E305" s="9" t="s">
        <v>995</v>
      </c>
      <c r="F305" s="459">
        <f>'Inputs_NT INM'!M302</f>
        <v>867.74421517219116</v>
      </c>
      <c r="G305" s="459">
        <f>'Inputs_NT INM'!N302</f>
        <v>867.74421517219116</v>
      </c>
      <c r="H305" s="459">
        <f>'Inputs_NT INM'!O302</f>
        <v>867.74421517219116</v>
      </c>
      <c r="I305" s="459">
        <f>'Inputs_NT INM'!P302</f>
        <v>867.74421517219116</v>
      </c>
      <c r="J305" s="459">
        <f>'Inputs_NT INM'!Q302</f>
        <v>867.74421517219116</v>
      </c>
      <c r="K305" s="459">
        <f>'Inputs_NT INM'!R302</f>
        <v>867.74421517219116</v>
      </c>
      <c r="L305" s="459">
        <f>'Inputs_NT INM'!S302</f>
        <v>867.74421517219116</v>
      </c>
      <c r="M305" s="459">
        <f>'Inputs_NT INM'!T302</f>
        <v>867.74421517219116</v>
      </c>
      <c r="N305" s="459">
        <f>'Inputs_NT INM'!U302</f>
        <v>867.74421517219116</v>
      </c>
      <c r="O305" s="459">
        <f>'Inputs_NT INM'!V302</f>
        <v>867.74421517219116</v>
      </c>
      <c r="P305" s="459">
        <f>'Inputs_NT INM'!W302</f>
        <v>867.74421517219116</v>
      </c>
      <c r="Q305" s="459">
        <f>'Inputs_NT INM'!X302</f>
        <v>867.74421517219116</v>
      </c>
      <c r="R305" s="459">
        <f>'Inputs_NT INM'!Y302</f>
        <v>867.74421517219116</v>
      </c>
      <c r="S305" s="459">
        <f>'Inputs_NT INM'!Z302</f>
        <v>867.74421517219116</v>
      </c>
      <c r="T305" s="459">
        <f>'Inputs_NT INM'!AA302</f>
        <v>867.74421517219116</v>
      </c>
      <c r="U305" s="459">
        <f>'Inputs_NT INM'!AB302</f>
        <v>867.74421517219116</v>
      </c>
      <c r="V305" s="459">
        <f>'Inputs_NT INM'!AC302</f>
        <v>867.74421517219116</v>
      </c>
      <c r="W305" s="459">
        <f>'Inputs_NT INM'!AD302</f>
        <v>867.74421517219116</v>
      </c>
      <c r="X305" s="459">
        <f>'Inputs_NT INM'!AE302</f>
        <v>867.74421517219116</v>
      </c>
      <c r="Y305" s="459">
        <f>'Inputs_NT INM'!AF302</f>
        <v>867.74421517219116</v>
      </c>
      <c r="Z305" s="459">
        <f>'Inputs_NT INM'!AG302</f>
        <v>867.74421517219116</v>
      </c>
      <c r="AA305" s="459">
        <f>'Inputs_NT INM'!AH302</f>
        <v>867.74421517219116</v>
      </c>
      <c r="AB305" s="459">
        <f>'Inputs_NT INM'!AI302</f>
        <v>867.74421517219116</v>
      </c>
      <c r="AC305" s="459">
        <f>'Inputs_NT INM'!AJ302</f>
        <v>867.74421517219116</v>
      </c>
      <c r="AD305" s="459">
        <f>'Inputs_NT INM'!AK302</f>
        <v>867.74421517219116</v>
      </c>
      <c r="AE305" s="459">
        <f>'Inputs_NT INM'!AL302</f>
        <v>867.74421517219116</v>
      </c>
      <c r="AF305" s="459">
        <f>'Inputs_NT INM'!AM302</f>
        <v>867.74421517219116</v>
      </c>
      <c r="AG305" s="459">
        <f>'Inputs_NT INM'!AN302</f>
        <v>867.74421517219116</v>
      </c>
      <c r="AH305" s="459"/>
      <c r="AI305" s="459"/>
      <c r="AJ305" s="459"/>
    </row>
    <row r="306" spans="1:36" x14ac:dyDescent="0.25">
      <c r="A306" s="9" t="s">
        <v>836</v>
      </c>
      <c r="B306" s="9" t="s">
        <v>960</v>
      </c>
      <c r="C306" s="9" t="s">
        <v>624</v>
      </c>
      <c r="D306" s="9">
        <v>2020</v>
      </c>
      <c r="E306" s="9" t="s">
        <v>995</v>
      </c>
      <c r="F306" s="459">
        <f>'Inputs_NT INM'!M303</f>
        <v>867.74421517219116</v>
      </c>
      <c r="G306" s="459">
        <f>'Inputs_NT INM'!N303</f>
        <v>867.74421517219116</v>
      </c>
      <c r="H306" s="459">
        <f>'Inputs_NT INM'!O303</f>
        <v>867.74421517219116</v>
      </c>
      <c r="I306" s="459">
        <f>'Inputs_NT INM'!P303</f>
        <v>867.74421517219116</v>
      </c>
      <c r="J306" s="459">
        <f>'Inputs_NT INM'!Q303</f>
        <v>867.74421517219116</v>
      </c>
      <c r="K306" s="459">
        <f>'Inputs_NT INM'!R303</f>
        <v>867.74421517219116</v>
      </c>
      <c r="L306" s="459">
        <f>'Inputs_NT INM'!S303</f>
        <v>867.74421517219116</v>
      </c>
      <c r="M306" s="459">
        <f>'Inputs_NT INM'!T303</f>
        <v>867.74421517219116</v>
      </c>
      <c r="N306" s="459">
        <f>'Inputs_NT INM'!U303</f>
        <v>867.74421517219116</v>
      </c>
      <c r="O306" s="459">
        <f>'Inputs_NT INM'!V303</f>
        <v>867.74421517219116</v>
      </c>
      <c r="P306" s="459">
        <f>'Inputs_NT INM'!W303</f>
        <v>867.74421517219116</v>
      </c>
      <c r="Q306" s="459">
        <f>'Inputs_NT INM'!X303</f>
        <v>867.74421517219116</v>
      </c>
      <c r="R306" s="459">
        <f>'Inputs_NT INM'!Y303</f>
        <v>867.74421517219116</v>
      </c>
      <c r="S306" s="459">
        <f>'Inputs_NT INM'!Z303</f>
        <v>867.74421517219116</v>
      </c>
      <c r="T306" s="459">
        <f>'Inputs_NT INM'!AA303</f>
        <v>867.74421517219116</v>
      </c>
      <c r="U306" s="459">
        <f>'Inputs_NT INM'!AB303</f>
        <v>867.74421517219116</v>
      </c>
      <c r="V306" s="459">
        <f>'Inputs_NT INM'!AC303</f>
        <v>867.74421517219116</v>
      </c>
      <c r="W306" s="459">
        <f>'Inputs_NT INM'!AD303</f>
        <v>867.74421517219116</v>
      </c>
      <c r="X306" s="459">
        <f>'Inputs_NT INM'!AE303</f>
        <v>867.74421517219116</v>
      </c>
      <c r="Y306" s="459">
        <f>'Inputs_NT INM'!AF303</f>
        <v>867.74421517219116</v>
      </c>
      <c r="Z306" s="459">
        <f>'Inputs_NT INM'!AG303</f>
        <v>867.74421517219116</v>
      </c>
      <c r="AA306" s="459">
        <f>'Inputs_NT INM'!AH303</f>
        <v>867.74421517219116</v>
      </c>
      <c r="AB306" s="459">
        <f>'Inputs_NT INM'!AI303</f>
        <v>867.74421517219116</v>
      </c>
      <c r="AC306" s="459">
        <f>'Inputs_NT INM'!AJ303</f>
        <v>867.74421517219116</v>
      </c>
      <c r="AD306" s="459">
        <f>'Inputs_NT INM'!AK303</f>
        <v>867.74421517219116</v>
      </c>
      <c r="AE306" s="459">
        <f>'Inputs_NT INM'!AL303</f>
        <v>867.74421517219116</v>
      </c>
      <c r="AF306" s="459">
        <f>'Inputs_NT INM'!AM303</f>
        <v>867.74421517219116</v>
      </c>
      <c r="AG306" s="459">
        <f>'Inputs_NT INM'!AN303</f>
        <v>867.74421517219116</v>
      </c>
      <c r="AH306" s="459"/>
      <c r="AI306" s="459"/>
      <c r="AJ306" s="459"/>
    </row>
    <row r="307" spans="1:36" x14ac:dyDescent="0.25">
      <c r="A307" s="9" t="s">
        <v>837</v>
      </c>
      <c r="B307" s="9" t="s">
        <v>961</v>
      </c>
      <c r="C307" s="9" t="s">
        <v>624</v>
      </c>
      <c r="D307" s="9">
        <v>2020</v>
      </c>
      <c r="E307" s="9" t="s">
        <v>995</v>
      </c>
      <c r="F307" s="459">
        <f>'Inputs_NT INM'!M304</f>
        <v>867.74421517219116</v>
      </c>
      <c r="G307" s="459">
        <f>'Inputs_NT INM'!N304</f>
        <v>867.74421517219116</v>
      </c>
      <c r="H307" s="459">
        <f>'Inputs_NT INM'!O304</f>
        <v>867.74421517219116</v>
      </c>
      <c r="I307" s="459">
        <f>'Inputs_NT INM'!P304</f>
        <v>867.74421517219116</v>
      </c>
      <c r="J307" s="459">
        <f>'Inputs_NT INM'!Q304</f>
        <v>867.74421517219116</v>
      </c>
      <c r="K307" s="459">
        <f>'Inputs_NT INM'!R304</f>
        <v>867.74421517219116</v>
      </c>
      <c r="L307" s="459">
        <f>'Inputs_NT INM'!S304</f>
        <v>867.74421517219116</v>
      </c>
      <c r="M307" s="459">
        <f>'Inputs_NT INM'!T304</f>
        <v>867.74421517219116</v>
      </c>
      <c r="N307" s="459">
        <f>'Inputs_NT INM'!U304</f>
        <v>867.74421517219116</v>
      </c>
      <c r="O307" s="459">
        <f>'Inputs_NT INM'!V304</f>
        <v>867.74421517219116</v>
      </c>
      <c r="P307" s="459">
        <f>'Inputs_NT INM'!W304</f>
        <v>867.74421517219116</v>
      </c>
      <c r="Q307" s="459">
        <f>'Inputs_NT INM'!X304</f>
        <v>867.74421517219116</v>
      </c>
      <c r="R307" s="459">
        <f>'Inputs_NT INM'!Y304</f>
        <v>867.74421517219116</v>
      </c>
      <c r="S307" s="459">
        <f>'Inputs_NT INM'!Z304</f>
        <v>867.74421517219116</v>
      </c>
      <c r="T307" s="459">
        <f>'Inputs_NT INM'!AA304</f>
        <v>867.74421517219116</v>
      </c>
      <c r="U307" s="459">
        <f>'Inputs_NT INM'!AB304</f>
        <v>867.74421517219116</v>
      </c>
      <c r="V307" s="459">
        <f>'Inputs_NT INM'!AC304</f>
        <v>867.74421517219116</v>
      </c>
      <c r="W307" s="459">
        <f>'Inputs_NT INM'!AD304</f>
        <v>867.74421517219116</v>
      </c>
      <c r="X307" s="459">
        <f>'Inputs_NT INM'!AE304</f>
        <v>867.74421517219116</v>
      </c>
      <c r="Y307" s="459">
        <f>'Inputs_NT INM'!AF304</f>
        <v>867.74421517219116</v>
      </c>
      <c r="Z307" s="459">
        <f>'Inputs_NT INM'!AG304</f>
        <v>867.74421517219116</v>
      </c>
      <c r="AA307" s="459">
        <f>'Inputs_NT INM'!AH304</f>
        <v>867.74421517219116</v>
      </c>
      <c r="AB307" s="459">
        <f>'Inputs_NT INM'!AI304</f>
        <v>867.74421517219116</v>
      </c>
      <c r="AC307" s="459">
        <f>'Inputs_NT INM'!AJ304</f>
        <v>867.74421517219116</v>
      </c>
      <c r="AD307" s="459">
        <f>'Inputs_NT INM'!AK304</f>
        <v>867.74421517219116</v>
      </c>
      <c r="AE307" s="459">
        <f>'Inputs_NT INM'!AL304</f>
        <v>867.74421517219116</v>
      </c>
      <c r="AF307" s="459">
        <f>'Inputs_NT INM'!AM304</f>
        <v>867.74421517219116</v>
      </c>
      <c r="AG307" s="459">
        <f>'Inputs_NT INM'!AN304</f>
        <v>867.74421517219116</v>
      </c>
      <c r="AH307" s="459"/>
      <c r="AI307" s="459"/>
      <c r="AJ307" s="459"/>
    </row>
    <row r="308" spans="1:36" x14ac:dyDescent="0.25">
      <c r="A308" s="9" t="s">
        <v>838</v>
      </c>
      <c r="B308" s="9" t="s">
        <v>962</v>
      </c>
      <c r="C308" s="9" t="s">
        <v>624</v>
      </c>
      <c r="D308" s="9">
        <v>2020</v>
      </c>
      <c r="E308" s="9" t="s">
        <v>995</v>
      </c>
      <c r="F308" s="459">
        <f>'Inputs_NT INM'!M305</f>
        <v>867.74421517219116</v>
      </c>
      <c r="G308" s="459">
        <f>'Inputs_NT INM'!N305</f>
        <v>867.74421517219116</v>
      </c>
      <c r="H308" s="459">
        <f>'Inputs_NT INM'!O305</f>
        <v>867.74421517219116</v>
      </c>
      <c r="I308" s="459">
        <f>'Inputs_NT INM'!P305</f>
        <v>867.74421517219116</v>
      </c>
      <c r="J308" s="459">
        <f>'Inputs_NT INM'!Q305</f>
        <v>867.74421517219116</v>
      </c>
      <c r="K308" s="459">
        <f>'Inputs_NT INM'!R305</f>
        <v>867.74421517219116</v>
      </c>
      <c r="L308" s="459">
        <f>'Inputs_NT INM'!S305</f>
        <v>867.74421517219116</v>
      </c>
      <c r="M308" s="459">
        <f>'Inputs_NT INM'!T305</f>
        <v>867.74421517219116</v>
      </c>
      <c r="N308" s="459">
        <f>'Inputs_NT INM'!U305</f>
        <v>867.74421517219116</v>
      </c>
      <c r="O308" s="459">
        <f>'Inputs_NT INM'!V305</f>
        <v>867.74421517219116</v>
      </c>
      <c r="P308" s="459">
        <f>'Inputs_NT INM'!W305</f>
        <v>867.74421517219116</v>
      </c>
      <c r="Q308" s="459">
        <f>'Inputs_NT INM'!X305</f>
        <v>867.74421517219116</v>
      </c>
      <c r="R308" s="459">
        <f>'Inputs_NT INM'!Y305</f>
        <v>867.74421517219116</v>
      </c>
      <c r="S308" s="459">
        <f>'Inputs_NT INM'!Z305</f>
        <v>867.74421517219116</v>
      </c>
      <c r="T308" s="459">
        <f>'Inputs_NT INM'!AA305</f>
        <v>867.74421517219116</v>
      </c>
      <c r="U308" s="459">
        <f>'Inputs_NT INM'!AB305</f>
        <v>867.74421517219116</v>
      </c>
      <c r="V308" s="459">
        <f>'Inputs_NT INM'!AC305</f>
        <v>867.74421517219116</v>
      </c>
      <c r="W308" s="459">
        <f>'Inputs_NT INM'!AD305</f>
        <v>867.74421517219116</v>
      </c>
      <c r="X308" s="459">
        <f>'Inputs_NT INM'!AE305</f>
        <v>867.74421517219116</v>
      </c>
      <c r="Y308" s="459">
        <f>'Inputs_NT INM'!AF305</f>
        <v>867.74421517219116</v>
      </c>
      <c r="Z308" s="459">
        <f>'Inputs_NT INM'!AG305</f>
        <v>867.74421517219116</v>
      </c>
      <c r="AA308" s="459">
        <f>'Inputs_NT INM'!AH305</f>
        <v>867.74421517219116</v>
      </c>
      <c r="AB308" s="459">
        <f>'Inputs_NT INM'!AI305</f>
        <v>867.74421517219116</v>
      </c>
      <c r="AC308" s="459">
        <f>'Inputs_NT INM'!AJ305</f>
        <v>867.74421517219116</v>
      </c>
      <c r="AD308" s="459">
        <f>'Inputs_NT INM'!AK305</f>
        <v>867.74421517219116</v>
      </c>
      <c r="AE308" s="459">
        <f>'Inputs_NT INM'!AL305</f>
        <v>867.74421517219116</v>
      </c>
      <c r="AF308" s="459">
        <f>'Inputs_NT INM'!AM305</f>
        <v>867.74421517219116</v>
      </c>
      <c r="AG308" s="459">
        <f>'Inputs_NT INM'!AN305</f>
        <v>867.74421517219116</v>
      </c>
      <c r="AH308" s="459"/>
      <c r="AI308" s="459"/>
      <c r="AJ308" s="459"/>
    </row>
    <row r="309" spans="1:36" x14ac:dyDescent="0.25">
      <c r="A309" s="9" t="s">
        <v>839</v>
      </c>
      <c r="B309" s="9" t="s">
        <v>963</v>
      </c>
      <c r="C309" s="9" t="s">
        <v>624</v>
      </c>
      <c r="D309" s="9">
        <v>2025</v>
      </c>
      <c r="E309" s="9" t="s">
        <v>995</v>
      </c>
      <c r="F309" s="459">
        <f>'Inputs_NT INM'!M306</f>
        <v>867.74421517219116</v>
      </c>
      <c r="G309" s="459">
        <f>'Inputs_NT INM'!N306</f>
        <v>867.74421517219116</v>
      </c>
      <c r="H309" s="459">
        <f>'Inputs_NT INM'!O306</f>
        <v>867.74421517219116</v>
      </c>
      <c r="I309" s="459">
        <f>'Inputs_NT INM'!P306</f>
        <v>867.74421517219116</v>
      </c>
      <c r="J309" s="459">
        <f>'Inputs_NT INM'!Q306</f>
        <v>867.74421517219116</v>
      </c>
      <c r="K309" s="459">
        <f>'Inputs_NT INM'!R306</f>
        <v>867.74421517219116</v>
      </c>
      <c r="L309" s="459">
        <f>'Inputs_NT INM'!S306</f>
        <v>867.74421517219116</v>
      </c>
      <c r="M309" s="459">
        <f>'Inputs_NT INM'!T306</f>
        <v>867.74421517219116</v>
      </c>
      <c r="N309" s="459">
        <f>'Inputs_NT INM'!U306</f>
        <v>867.74421517219116</v>
      </c>
      <c r="O309" s="459">
        <f>'Inputs_NT INM'!V306</f>
        <v>867.74421517219116</v>
      </c>
      <c r="P309" s="459">
        <f>'Inputs_NT INM'!W306</f>
        <v>867.74421517219116</v>
      </c>
      <c r="Q309" s="459">
        <f>'Inputs_NT INM'!X306</f>
        <v>867.74421517219116</v>
      </c>
      <c r="R309" s="459">
        <f>'Inputs_NT INM'!Y306</f>
        <v>867.74421517219116</v>
      </c>
      <c r="S309" s="459">
        <f>'Inputs_NT INM'!Z306</f>
        <v>867.74421517219116</v>
      </c>
      <c r="T309" s="459">
        <f>'Inputs_NT INM'!AA306</f>
        <v>867.74421517219116</v>
      </c>
      <c r="U309" s="459">
        <f>'Inputs_NT INM'!AB306</f>
        <v>867.74421517219116</v>
      </c>
      <c r="V309" s="459">
        <f>'Inputs_NT INM'!AC306</f>
        <v>867.74421517219116</v>
      </c>
      <c r="W309" s="459">
        <f>'Inputs_NT INM'!AD306</f>
        <v>867.74421517219116</v>
      </c>
      <c r="X309" s="459">
        <f>'Inputs_NT INM'!AE306</f>
        <v>867.74421517219116</v>
      </c>
      <c r="Y309" s="459">
        <f>'Inputs_NT INM'!AF306</f>
        <v>867.74421517219116</v>
      </c>
      <c r="Z309" s="459">
        <f>'Inputs_NT INM'!AG306</f>
        <v>867.74421517219116</v>
      </c>
      <c r="AA309" s="459">
        <f>'Inputs_NT INM'!AH306</f>
        <v>867.74421517219116</v>
      </c>
      <c r="AB309" s="459">
        <f>'Inputs_NT INM'!AI306</f>
        <v>867.74421517219116</v>
      </c>
      <c r="AC309" s="459">
        <f>'Inputs_NT INM'!AJ306</f>
        <v>867.74421517219116</v>
      </c>
      <c r="AD309" s="459">
        <f>'Inputs_NT INM'!AK306</f>
        <v>867.74421517219116</v>
      </c>
      <c r="AE309" s="459">
        <f>'Inputs_NT INM'!AL306</f>
        <v>867.74421517219116</v>
      </c>
      <c r="AF309" s="459">
        <f>'Inputs_NT INM'!AM306</f>
        <v>867.74421517219116</v>
      </c>
      <c r="AG309" s="459">
        <f>'Inputs_NT INM'!AN306</f>
        <v>867.74421517219116</v>
      </c>
      <c r="AH309" s="459"/>
      <c r="AI309" s="459"/>
      <c r="AJ309" s="459"/>
    </row>
    <row r="310" spans="1:36" x14ac:dyDescent="0.25">
      <c r="A310" s="9" t="s">
        <v>840</v>
      </c>
      <c r="B310" s="9" t="s">
        <v>964</v>
      </c>
      <c r="C310" s="9" t="s">
        <v>624</v>
      </c>
      <c r="D310" s="9">
        <v>2025</v>
      </c>
      <c r="E310" s="9" t="s">
        <v>995</v>
      </c>
      <c r="F310" s="459">
        <f>'Inputs_NT INM'!M307</f>
        <v>867.74421517219116</v>
      </c>
      <c r="G310" s="459">
        <f>'Inputs_NT INM'!N307</f>
        <v>867.74421517219116</v>
      </c>
      <c r="H310" s="459">
        <f>'Inputs_NT INM'!O307</f>
        <v>867.74421517219116</v>
      </c>
      <c r="I310" s="459">
        <f>'Inputs_NT INM'!P307</f>
        <v>867.74421517219116</v>
      </c>
      <c r="J310" s="459">
        <f>'Inputs_NT INM'!Q307</f>
        <v>867.74421517219116</v>
      </c>
      <c r="K310" s="459">
        <f>'Inputs_NT INM'!R307</f>
        <v>867.74421517219116</v>
      </c>
      <c r="L310" s="459">
        <f>'Inputs_NT INM'!S307</f>
        <v>867.74421517219116</v>
      </c>
      <c r="M310" s="459">
        <f>'Inputs_NT INM'!T307</f>
        <v>867.74421517219116</v>
      </c>
      <c r="N310" s="459">
        <f>'Inputs_NT INM'!U307</f>
        <v>867.74421517219116</v>
      </c>
      <c r="O310" s="459">
        <f>'Inputs_NT INM'!V307</f>
        <v>867.74421517219116</v>
      </c>
      <c r="P310" s="459">
        <f>'Inputs_NT INM'!W307</f>
        <v>867.74421517219116</v>
      </c>
      <c r="Q310" s="459">
        <f>'Inputs_NT INM'!X307</f>
        <v>867.74421517219116</v>
      </c>
      <c r="R310" s="459">
        <f>'Inputs_NT INM'!Y307</f>
        <v>867.74421517219116</v>
      </c>
      <c r="S310" s="459">
        <f>'Inputs_NT INM'!Z307</f>
        <v>867.74421517219116</v>
      </c>
      <c r="T310" s="459">
        <f>'Inputs_NT INM'!AA307</f>
        <v>867.74421517219116</v>
      </c>
      <c r="U310" s="459">
        <f>'Inputs_NT INM'!AB307</f>
        <v>867.74421517219116</v>
      </c>
      <c r="V310" s="459">
        <f>'Inputs_NT INM'!AC307</f>
        <v>867.74421517219116</v>
      </c>
      <c r="W310" s="459">
        <f>'Inputs_NT INM'!AD307</f>
        <v>867.74421517219116</v>
      </c>
      <c r="X310" s="459">
        <f>'Inputs_NT INM'!AE307</f>
        <v>867.74421517219116</v>
      </c>
      <c r="Y310" s="459">
        <f>'Inputs_NT INM'!AF307</f>
        <v>867.74421517219116</v>
      </c>
      <c r="Z310" s="459">
        <f>'Inputs_NT INM'!AG307</f>
        <v>867.74421517219116</v>
      </c>
      <c r="AA310" s="459">
        <f>'Inputs_NT INM'!AH307</f>
        <v>867.74421517219116</v>
      </c>
      <c r="AB310" s="459">
        <f>'Inputs_NT INM'!AI307</f>
        <v>867.74421517219116</v>
      </c>
      <c r="AC310" s="459">
        <f>'Inputs_NT INM'!AJ307</f>
        <v>867.74421517219116</v>
      </c>
      <c r="AD310" s="459">
        <f>'Inputs_NT INM'!AK307</f>
        <v>867.74421517219116</v>
      </c>
      <c r="AE310" s="459">
        <f>'Inputs_NT INM'!AL307</f>
        <v>867.74421517219116</v>
      </c>
      <c r="AF310" s="459">
        <f>'Inputs_NT INM'!AM307</f>
        <v>867.74421517219116</v>
      </c>
      <c r="AG310" s="459">
        <f>'Inputs_NT INM'!AN307</f>
        <v>867.74421517219116</v>
      </c>
      <c r="AH310" s="459"/>
      <c r="AI310" s="459"/>
      <c r="AJ310" s="459"/>
    </row>
    <row r="311" spans="1:36" x14ac:dyDescent="0.25">
      <c r="A311" s="9" t="s">
        <v>841</v>
      </c>
      <c r="B311" s="9" t="s">
        <v>965</v>
      </c>
      <c r="C311" s="9" t="s">
        <v>624</v>
      </c>
      <c r="D311" s="9">
        <v>2025</v>
      </c>
      <c r="E311" s="9" t="s">
        <v>995</v>
      </c>
      <c r="F311" s="459">
        <f>'Inputs_NT INM'!M308</f>
        <v>867.74421517219116</v>
      </c>
      <c r="G311" s="459">
        <f>'Inputs_NT INM'!N308</f>
        <v>867.74421517219116</v>
      </c>
      <c r="H311" s="459">
        <f>'Inputs_NT INM'!O308</f>
        <v>867.74421517219116</v>
      </c>
      <c r="I311" s="459">
        <f>'Inputs_NT INM'!P308</f>
        <v>867.74421517219116</v>
      </c>
      <c r="J311" s="459">
        <f>'Inputs_NT INM'!Q308</f>
        <v>867.74421517219116</v>
      </c>
      <c r="K311" s="459">
        <f>'Inputs_NT INM'!R308</f>
        <v>867.74421517219116</v>
      </c>
      <c r="L311" s="459">
        <f>'Inputs_NT INM'!S308</f>
        <v>867.74421517219116</v>
      </c>
      <c r="M311" s="459">
        <f>'Inputs_NT INM'!T308</f>
        <v>867.74421517219116</v>
      </c>
      <c r="N311" s="459">
        <f>'Inputs_NT INM'!U308</f>
        <v>867.74421517219116</v>
      </c>
      <c r="O311" s="459">
        <f>'Inputs_NT INM'!V308</f>
        <v>867.74421517219116</v>
      </c>
      <c r="P311" s="459">
        <f>'Inputs_NT INM'!W308</f>
        <v>867.74421517219116</v>
      </c>
      <c r="Q311" s="459">
        <f>'Inputs_NT INM'!X308</f>
        <v>867.74421517219116</v>
      </c>
      <c r="R311" s="459">
        <f>'Inputs_NT INM'!Y308</f>
        <v>867.74421517219116</v>
      </c>
      <c r="S311" s="459">
        <f>'Inputs_NT INM'!Z308</f>
        <v>867.74421517219116</v>
      </c>
      <c r="T311" s="459">
        <f>'Inputs_NT INM'!AA308</f>
        <v>867.74421517219116</v>
      </c>
      <c r="U311" s="459">
        <f>'Inputs_NT INM'!AB308</f>
        <v>867.74421517219116</v>
      </c>
      <c r="V311" s="459">
        <f>'Inputs_NT INM'!AC308</f>
        <v>867.74421517219116</v>
      </c>
      <c r="W311" s="459">
        <f>'Inputs_NT INM'!AD308</f>
        <v>867.74421517219116</v>
      </c>
      <c r="X311" s="459">
        <f>'Inputs_NT INM'!AE308</f>
        <v>867.74421517219116</v>
      </c>
      <c r="Y311" s="459">
        <f>'Inputs_NT INM'!AF308</f>
        <v>867.74421517219116</v>
      </c>
      <c r="Z311" s="459">
        <f>'Inputs_NT INM'!AG308</f>
        <v>867.74421517219116</v>
      </c>
      <c r="AA311" s="459">
        <f>'Inputs_NT INM'!AH308</f>
        <v>867.74421517219116</v>
      </c>
      <c r="AB311" s="459">
        <f>'Inputs_NT INM'!AI308</f>
        <v>867.74421517219116</v>
      </c>
      <c r="AC311" s="459">
        <f>'Inputs_NT INM'!AJ308</f>
        <v>867.74421517219116</v>
      </c>
      <c r="AD311" s="459">
        <f>'Inputs_NT INM'!AK308</f>
        <v>867.74421517219116</v>
      </c>
      <c r="AE311" s="459">
        <f>'Inputs_NT INM'!AL308</f>
        <v>867.74421517219116</v>
      </c>
      <c r="AF311" s="459">
        <f>'Inputs_NT INM'!AM308</f>
        <v>867.74421517219116</v>
      </c>
      <c r="AG311" s="459">
        <f>'Inputs_NT INM'!AN308</f>
        <v>867.74421517219116</v>
      </c>
      <c r="AH311" s="459"/>
      <c r="AI311" s="459"/>
      <c r="AJ311" s="459"/>
    </row>
    <row r="312" spans="1:36" x14ac:dyDescent="0.25">
      <c r="A312" s="9" t="s">
        <v>842</v>
      </c>
      <c r="B312" s="9" t="s">
        <v>966</v>
      </c>
      <c r="C312" s="9" t="s">
        <v>624</v>
      </c>
      <c r="D312" s="9">
        <v>2025</v>
      </c>
      <c r="E312" s="9" t="s">
        <v>995</v>
      </c>
      <c r="F312" s="459">
        <f>'Inputs_NT INM'!M309</f>
        <v>867.74421517219116</v>
      </c>
      <c r="G312" s="459">
        <f>'Inputs_NT INM'!N309</f>
        <v>867.74421517219116</v>
      </c>
      <c r="H312" s="459">
        <f>'Inputs_NT INM'!O309</f>
        <v>867.74421517219116</v>
      </c>
      <c r="I312" s="459">
        <f>'Inputs_NT INM'!P309</f>
        <v>867.74421517219116</v>
      </c>
      <c r="J312" s="459">
        <f>'Inputs_NT INM'!Q309</f>
        <v>867.74421517219116</v>
      </c>
      <c r="K312" s="459">
        <f>'Inputs_NT INM'!R309</f>
        <v>867.74421517219116</v>
      </c>
      <c r="L312" s="459">
        <f>'Inputs_NT INM'!S309</f>
        <v>867.74421517219116</v>
      </c>
      <c r="M312" s="459">
        <f>'Inputs_NT INM'!T309</f>
        <v>867.74421517219116</v>
      </c>
      <c r="N312" s="459">
        <f>'Inputs_NT INM'!U309</f>
        <v>867.74421517219116</v>
      </c>
      <c r="O312" s="459">
        <f>'Inputs_NT INM'!V309</f>
        <v>867.74421517219116</v>
      </c>
      <c r="P312" s="459">
        <f>'Inputs_NT INM'!W309</f>
        <v>867.74421517219116</v>
      </c>
      <c r="Q312" s="459">
        <f>'Inputs_NT INM'!X309</f>
        <v>867.74421517219116</v>
      </c>
      <c r="R312" s="459">
        <f>'Inputs_NT INM'!Y309</f>
        <v>867.74421517219116</v>
      </c>
      <c r="S312" s="459">
        <f>'Inputs_NT INM'!Z309</f>
        <v>867.74421517219116</v>
      </c>
      <c r="T312" s="459">
        <f>'Inputs_NT INM'!AA309</f>
        <v>867.74421517219116</v>
      </c>
      <c r="U312" s="459">
        <f>'Inputs_NT INM'!AB309</f>
        <v>867.74421517219116</v>
      </c>
      <c r="V312" s="459">
        <f>'Inputs_NT INM'!AC309</f>
        <v>867.74421517219116</v>
      </c>
      <c r="W312" s="459">
        <f>'Inputs_NT INM'!AD309</f>
        <v>867.74421517219116</v>
      </c>
      <c r="X312" s="459">
        <f>'Inputs_NT INM'!AE309</f>
        <v>867.74421517219116</v>
      </c>
      <c r="Y312" s="459">
        <f>'Inputs_NT INM'!AF309</f>
        <v>867.74421517219116</v>
      </c>
      <c r="Z312" s="459">
        <f>'Inputs_NT INM'!AG309</f>
        <v>867.74421517219116</v>
      </c>
      <c r="AA312" s="459">
        <f>'Inputs_NT INM'!AH309</f>
        <v>867.74421517219116</v>
      </c>
      <c r="AB312" s="459">
        <f>'Inputs_NT INM'!AI309</f>
        <v>867.74421517219116</v>
      </c>
      <c r="AC312" s="459">
        <f>'Inputs_NT INM'!AJ309</f>
        <v>867.74421517219116</v>
      </c>
      <c r="AD312" s="459">
        <f>'Inputs_NT INM'!AK309</f>
        <v>867.74421517219116</v>
      </c>
      <c r="AE312" s="459">
        <f>'Inputs_NT INM'!AL309</f>
        <v>867.74421517219116</v>
      </c>
      <c r="AF312" s="459">
        <f>'Inputs_NT INM'!AM309</f>
        <v>867.74421517219116</v>
      </c>
      <c r="AG312" s="459">
        <f>'Inputs_NT INM'!AN309</f>
        <v>867.74421517219116</v>
      </c>
      <c r="AH312" s="459"/>
      <c r="AI312" s="459"/>
      <c r="AJ312" s="459"/>
    </row>
    <row r="313" spans="1:36" x14ac:dyDescent="0.25">
      <c r="A313" s="9" t="s">
        <v>843</v>
      </c>
      <c r="B313" s="9" t="s">
        <v>967</v>
      </c>
      <c r="C313" s="9" t="s">
        <v>624</v>
      </c>
      <c r="D313" s="9">
        <v>2025</v>
      </c>
      <c r="E313" s="9" t="s">
        <v>995</v>
      </c>
      <c r="F313" s="459">
        <f>'Inputs_NT INM'!M310</f>
        <v>867.74421517219116</v>
      </c>
      <c r="G313" s="459">
        <f>'Inputs_NT INM'!N310</f>
        <v>867.74421517219116</v>
      </c>
      <c r="H313" s="459">
        <f>'Inputs_NT INM'!O310</f>
        <v>867.74421517219116</v>
      </c>
      <c r="I313" s="459">
        <f>'Inputs_NT INM'!P310</f>
        <v>867.74421517219116</v>
      </c>
      <c r="J313" s="459">
        <f>'Inputs_NT INM'!Q310</f>
        <v>867.74421517219116</v>
      </c>
      <c r="K313" s="459">
        <f>'Inputs_NT INM'!R310</f>
        <v>867.74421517219116</v>
      </c>
      <c r="L313" s="459">
        <f>'Inputs_NT INM'!S310</f>
        <v>867.74421517219116</v>
      </c>
      <c r="M313" s="459">
        <f>'Inputs_NT INM'!T310</f>
        <v>867.74421517219116</v>
      </c>
      <c r="N313" s="459">
        <f>'Inputs_NT INM'!U310</f>
        <v>867.74421517219116</v>
      </c>
      <c r="O313" s="459">
        <f>'Inputs_NT INM'!V310</f>
        <v>867.74421517219116</v>
      </c>
      <c r="P313" s="459">
        <f>'Inputs_NT INM'!W310</f>
        <v>867.74421517219116</v>
      </c>
      <c r="Q313" s="459">
        <f>'Inputs_NT INM'!X310</f>
        <v>867.74421517219116</v>
      </c>
      <c r="R313" s="459">
        <f>'Inputs_NT INM'!Y310</f>
        <v>867.74421517219116</v>
      </c>
      <c r="S313" s="459">
        <f>'Inputs_NT INM'!Z310</f>
        <v>867.74421517219116</v>
      </c>
      <c r="T313" s="459">
        <f>'Inputs_NT INM'!AA310</f>
        <v>867.74421517219116</v>
      </c>
      <c r="U313" s="459">
        <f>'Inputs_NT INM'!AB310</f>
        <v>867.74421517219116</v>
      </c>
      <c r="V313" s="459">
        <f>'Inputs_NT INM'!AC310</f>
        <v>867.74421517219116</v>
      </c>
      <c r="W313" s="459">
        <f>'Inputs_NT INM'!AD310</f>
        <v>867.74421517219116</v>
      </c>
      <c r="X313" s="459">
        <f>'Inputs_NT INM'!AE310</f>
        <v>867.74421517219116</v>
      </c>
      <c r="Y313" s="459">
        <f>'Inputs_NT INM'!AF310</f>
        <v>867.74421517219116</v>
      </c>
      <c r="Z313" s="459">
        <f>'Inputs_NT INM'!AG310</f>
        <v>867.74421517219116</v>
      </c>
      <c r="AA313" s="459">
        <f>'Inputs_NT INM'!AH310</f>
        <v>867.74421517219116</v>
      </c>
      <c r="AB313" s="459">
        <f>'Inputs_NT INM'!AI310</f>
        <v>867.74421517219116</v>
      </c>
      <c r="AC313" s="459">
        <f>'Inputs_NT INM'!AJ310</f>
        <v>867.74421517219116</v>
      </c>
      <c r="AD313" s="459">
        <f>'Inputs_NT INM'!AK310</f>
        <v>867.74421517219116</v>
      </c>
      <c r="AE313" s="459">
        <f>'Inputs_NT INM'!AL310</f>
        <v>867.74421517219116</v>
      </c>
      <c r="AF313" s="459">
        <f>'Inputs_NT INM'!AM310</f>
        <v>867.74421517219116</v>
      </c>
      <c r="AG313" s="459">
        <f>'Inputs_NT INM'!AN310</f>
        <v>867.74421517219116</v>
      </c>
      <c r="AH313" s="459"/>
      <c r="AI313" s="459"/>
      <c r="AJ313" s="459"/>
    </row>
    <row r="314" spans="1:36" x14ac:dyDescent="0.25">
      <c r="A314" s="9" t="s">
        <v>844</v>
      </c>
      <c r="B314" s="9" t="s">
        <v>968</v>
      </c>
      <c r="C314" s="9" t="s">
        <v>624</v>
      </c>
      <c r="D314" s="9">
        <v>2025</v>
      </c>
      <c r="E314" s="9" t="s">
        <v>995</v>
      </c>
      <c r="F314" s="459">
        <f>'Inputs_NT INM'!M311</f>
        <v>867.74421517219116</v>
      </c>
      <c r="G314" s="459">
        <f>'Inputs_NT INM'!N311</f>
        <v>867.74421517219116</v>
      </c>
      <c r="H314" s="459">
        <f>'Inputs_NT INM'!O311</f>
        <v>867.74421517219116</v>
      </c>
      <c r="I314" s="459">
        <f>'Inputs_NT INM'!P311</f>
        <v>867.74421517219116</v>
      </c>
      <c r="J314" s="459">
        <f>'Inputs_NT INM'!Q311</f>
        <v>867.74421517219116</v>
      </c>
      <c r="K314" s="459">
        <f>'Inputs_NT INM'!R311</f>
        <v>867.74421517219116</v>
      </c>
      <c r="L314" s="459">
        <f>'Inputs_NT INM'!S311</f>
        <v>867.74421517219116</v>
      </c>
      <c r="M314" s="459">
        <f>'Inputs_NT INM'!T311</f>
        <v>867.74421517219116</v>
      </c>
      <c r="N314" s="459">
        <f>'Inputs_NT INM'!U311</f>
        <v>867.74421517219116</v>
      </c>
      <c r="O314" s="459">
        <f>'Inputs_NT INM'!V311</f>
        <v>867.74421517219116</v>
      </c>
      <c r="P314" s="459">
        <f>'Inputs_NT INM'!W311</f>
        <v>867.74421517219116</v>
      </c>
      <c r="Q314" s="459">
        <f>'Inputs_NT INM'!X311</f>
        <v>867.74421517219116</v>
      </c>
      <c r="R314" s="459">
        <f>'Inputs_NT INM'!Y311</f>
        <v>867.74421517219116</v>
      </c>
      <c r="S314" s="459">
        <f>'Inputs_NT INM'!Z311</f>
        <v>867.74421517219116</v>
      </c>
      <c r="T314" s="459">
        <f>'Inputs_NT INM'!AA311</f>
        <v>867.74421517219116</v>
      </c>
      <c r="U314" s="459">
        <f>'Inputs_NT INM'!AB311</f>
        <v>867.74421517219116</v>
      </c>
      <c r="V314" s="459">
        <f>'Inputs_NT INM'!AC311</f>
        <v>867.74421517219116</v>
      </c>
      <c r="W314" s="459">
        <f>'Inputs_NT INM'!AD311</f>
        <v>867.74421517219116</v>
      </c>
      <c r="X314" s="459">
        <f>'Inputs_NT INM'!AE311</f>
        <v>867.74421517219116</v>
      </c>
      <c r="Y314" s="459">
        <f>'Inputs_NT INM'!AF311</f>
        <v>867.74421517219116</v>
      </c>
      <c r="Z314" s="459">
        <f>'Inputs_NT INM'!AG311</f>
        <v>867.74421517219116</v>
      </c>
      <c r="AA314" s="459">
        <f>'Inputs_NT INM'!AH311</f>
        <v>867.74421517219116</v>
      </c>
      <c r="AB314" s="459">
        <f>'Inputs_NT INM'!AI311</f>
        <v>867.74421517219116</v>
      </c>
      <c r="AC314" s="459">
        <f>'Inputs_NT INM'!AJ311</f>
        <v>867.74421517219116</v>
      </c>
      <c r="AD314" s="459">
        <f>'Inputs_NT INM'!AK311</f>
        <v>867.74421517219116</v>
      </c>
      <c r="AE314" s="459">
        <f>'Inputs_NT INM'!AL311</f>
        <v>867.74421517219116</v>
      </c>
      <c r="AF314" s="459">
        <f>'Inputs_NT INM'!AM311</f>
        <v>867.74421517219116</v>
      </c>
      <c r="AG314" s="459">
        <f>'Inputs_NT INM'!AN311</f>
        <v>867.74421517219116</v>
      </c>
      <c r="AH314" s="459"/>
      <c r="AI314" s="459"/>
      <c r="AJ314" s="459"/>
    </row>
    <row r="315" spans="1:36" x14ac:dyDescent="0.25">
      <c r="A315" s="9" t="s">
        <v>839</v>
      </c>
      <c r="B315" s="9" t="s">
        <v>963</v>
      </c>
      <c r="C315" s="9" t="s">
        <v>624</v>
      </c>
      <c r="D315" s="9">
        <v>2030</v>
      </c>
      <c r="E315" s="9" t="s">
        <v>995</v>
      </c>
      <c r="F315" s="459">
        <f>'Inputs_NT INM'!M312</f>
        <v>781.83753787014427</v>
      </c>
      <c r="G315" s="459">
        <f>'Inputs_NT INM'!N312</f>
        <v>781.83753787014427</v>
      </c>
      <c r="H315" s="459">
        <f>'Inputs_NT INM'!O312</f>
        <v>781.83753787014427</v>
      </c>
      <c r="I315" s="459">
        <f>'Inputs_NT INM'!P312</f>
        <v>781.83753787014427</v>
      </c>
      <c r="J315" s="459">
        <f>'Inputs_NT INM'!Q312</f>
        <v>781.83753787014427</v>
      </c>
      <c r="K315" s="459">
        <f>'Inputs_NT INM'!R312</f>
        <v>781.83753787014427</v>
      </c>
      <c r="L315" s="459">
        <f>'Inputs_NT INM'!S312</f>
        <v>781.83753787014427</v>
      </c>
      <c r="M315" s="459">
        <f>'Inputs_NT INM'!T312</f>
        <v>781.83753787014427</v>
      </c>
      <c r="N315" s="459">
        <f>'Inputs_NT INM'!U312</f>
        <v>781.83753787014427</v>
      </c>
      <c r="O315" s="459">
        <f>'Inputs_NT INM'!V312</f>
        <v>781.83753787014427</v>
      </c>
      <c r="P315" s="459">
        <f>'Inputs_NT INM'!W312</f>
        <v>781.83753787014427</v>
      </c>
      <c r="Q315" s="459">
        <f>'Inputs_NT INM'!X312</f>
        <v>781.83753787014427</v>
      </c>
      <c r="R315" s="459">
        <f>'Inputs_NT INM'!Y312</f>
        <v>781.83753787014427</v>
      </c>
      <c r="S315" s="459">
        <f>'Inputs_NT INM'!Z312</f>
        <v>781.83753787014427</v>
      </c>
      <c r="T315" s="459">
        <f>'Inputs_NT INM'!AA312</f>
        <v>781.83753787014427</v>
      </c>
      <c r="U315" s="459">
        <f>'Inputs_NT INM'!AB312</f>
        <v>781.83753787014427</v>
      </c>
      <c r="V315" s="459">
        <f>'Inputs_NT INM'!AC312</f>
        <v>781.83753787014427</v>
      </c>
      <c r="W315" s="459">
        <f>'Inputs_NT INM'!AD312</f>
        <v>781.83753787014427</v>
      </c>
      <c r="X315" s="459">
        <f>'Inputs_NT INM'!AE312</f>
        <v>781.83753787014427</v>
      </c>
      <c r="Y315" s="459">
        <f>'Inputs_NT INM'!AF312</f>
        <v>781.83753787014427</v>
      </c>
      <c r="Z315" s="459">
        <f>'Inputs_NT INM'!AG312</f>
        <v>781.83753787014427</v>
      </c>
      <c r="AA315" s="459">
        <f>'Inputs_NT INM'!AH312</f>
        <v>781.83753787014427</v>
      </c>
      <c r="AB315" s="459">
        <f>'Inputs_NT INM'!AI312</f>
        <v>781.83753787014427</v>
      </c>
      <c r="AC315" s="459">
        <f>'Inputs_NT INM'!AJ312</f>
        <v>781.83753787014427</v>
      </c>
      <c r="AD315" s="459">
        <f>'Inputs_NT INM'!AK312</f>
        <v>781.83753787014427</v>
      </c>
      <c r="AE315" s="459">
        <f>'Inputs_NT INM'!AL312</f>
        <v>781.83753787014427</v>
      </c>
      <c r="AF315" s="459">
        <f>'Inputs_NT INM'!AM312</f>
        <v>781.83753787014427</v>
      </c>
      <c r="AG315" s="459">
        <f>'Inputs_NT INM'!AN312</f>
        <v>781.83753787014427</v>
      </c>
      <c r="AH315" s="459"/>
      <c r="AI315" s="459"/>
      <c r="AJ315" s="459"/>
    </row>
    <row r="316" spans="1:36" x14ac:dyDescent="0.25">
      <c r="A316" s="9" t="s">
        <v>840</v>
      </c>
      <c r="B316" s="9" t="s">
        <v>964</v>
      </c>
      <c r="C316" s="9" t="s">
        <v>624</v>
      </c>
      <c r="D316" s="9">
        <v>2030</v>
      </c>
      <c r="E316" s="9" t="s">
        <v>995</v>
      </c>
      <c r="F316" s="459">
        <f>'Inputs_NT INM'!M313</f>
        <v>781.83753787014427</v>
      </c>
      <c r="G316" s="459">
        <f>'Inputs_NT INM'!N313</f>
        <v>781.83753787014427</v>
      </c>
      <c r="H316" s="459">
        <f>'Inputs_NT INM'!O313</f>
        <v>781.83753787014427</v>
      </c>
      <c r="I316" s="459">
        <f>'Inputs_NT INM'!P313</f>
        <v>781.83753787014427</v>
      </c>
      <c r="J316" s="459">
        <f>'Inputs_NT INM'!Q313</f>
        <v>781.83753787014427</v>
      </c>
      <c r="K316" s="459">
        <f>'Inputs_NT INM'!R313</f>
        <v>781.83753787014427</v>
      </c>
      <c r="L316" s="459">
        <f>'Inputs_NT INM'!S313</f>
        <v>781.83753787014427</v>
      </c>
      <c r="M316" s="459">
        <f>'Inputs_NT INM'!T313</f>
        <v>781.83753787014427</v>
      </c>
      <c r="N316" s="459">
        <f>'Inputs_NT INM'!U313</f>
        <v>781.83753787014427</v>
      </c>
      <c r="O316" s="459">
        <f>'Inputs_NT INM'!V313</f>
        <v>781.83753787014427</v>
      </c>
      <c r="P316" s="459">
        <f>'Inputs_NT INM'!W313</f>
        <v>781.83753787014427</v>
      </c>
      <c r="Q316" s="459">
        <f>'Inputs_NT INM'!X313</f>
        <v>781.83753787014427</v>
      </c>
      <c r="R316" s="459">
        <f>'Inputs_NT INM'!Y313</f>
        <v>781.83753787014427</v>
      </c>
      <c r="S316" s="459">
        <f>'Inputs_NT INM'!Z313</f>
        <v>781.83753787014427</v>
      </c>
      <c r="T316" s="459">
        <f>'Inputs_NT INM'!AA313</f>
        <v>781.83753787014427</v>
      </c>
      <c r="U316" s="459">
        <f>'Inputs_NT INM'!AB313</f>
        <v>781.83753787014427</v>
      </c>
      <c r="V316" s="459">
        <f>'Inputs_NT INM'!AC313</f>
        <v>781.83753787014427</v>
      </c>
      <c r="W316" s="459">
        <f>'Inputs_NT INM'!AD313</f>
        <v>781.83753787014427</v>
      </c>
      <c r="X316" s="459">
        <f>'Inputs_NT INM'!AE313</f>
        <v>781.83753787014427</v>
      </c>
      <c r="Y316" s="459">
        <f>'Inputs_NT INM'!AF313</f>
        <v>781.83753787014427</v>
      </c>
      <c r="Z316" s="459">
        <f>'Inputs_NT INM'!AG313</f>
        <v>781.83753787014427</v>
      </c>
      <c r="AA316" s="459">
        <f>'Inputs_NT INM'!AH313</f>
        <v>781.83753787014427</v>
      </c>
      <c r="AB316" s="459">
        <f>'Inputs_NT INM'!AI313</f>
        <v>781.83753787014427</v>
      </c>
      <c r="AC316" s="459">
        <f>'Inputs_NT INM'!AJ313</f>
        <v>781.83753787014427</v>
      </c>
      <c r="AD316" s="459">
        <f>'Inputs_NT INM'!AK313</f>
        <v>781.83753787014427</v>
      </c>
      <c r="AE316" s="459">
        <f>'Inputs_NT INM'!AL313</f>
        <v>781.83753787014427</v>
      </c>
      <c r="AF316" s="459">
        <f>'Inputs_NT INM'!AM313</f>
        <v>781.83753787014427</v>
      </c>
      <c r="AG316" s="459">
        <f>'Inputs_NT INM'!AN313</f>
        <v>781.83753787014427</v>
      </c>
      <c r="AH316" s="459"/>
      <c r="AI316" s="459"/>
      <c r="AJ316" s="459"/>
    </row>
    <row r="317" spans="1:36" x14ac:dyDescent="0.25">
      <c r="A317" s="9" t="s">
        <v>841</v>
      </c>
      <c r="B317" s="9" t="s">
        <v>965</v>
      </c>
      <c r="C317" s="9" t="s">
        <v>624</v>
      </c>
      <c r="D317" s="9">
        <v>2030</v>
      </c>
      <c r="E317" s="9" t="s">
        <v>995</v>
      </c>
      <c r="F317" s="459">
        <f>'Inputs_NT INM'!M314</f>
        <v>781.83753787014427</v>
      </c>
      <c r="G317" s="459">
        <f>'Inputs_NT INM'!N314</f>
        <v>781.83753787014427</v>
      </c>
      <c r="H317" s="459">
        <f>'Inputs_NT INM'!O314</f>
        <v>781.83753787014427</v>
      </c>
      <c r="I317" s="459">
        <f>'Inputs_NT INM'!P314</f>
        <v>781.83753787014427</v>
      </c>
      <c r="J317" s="459">
        <f>'Inputs_NT INM'!Q314</f>
        <v>781.83753787014427</v>
      </c>
      <c r="K317" s="459">
        <f>'Inputs_NT INM'!R314</f>
        <v>781.83753787014427</v>
      </c>
      <c r="L317" s="459">
        <f>'Inputs_NT INM'!S314</f>
        <v>781.83753787014427</v>
      </c>
      <c r="M317" s="459">
        <f>'Inputs_NT INM'!T314</f>
        <v>781.83753787014427</v>
      </c>
      <c r="N317" s="459">
        <f>'Inputs_NT INM'!U314</f>
        <v>781.83753787014427</v>
      </c>
      <c r="O317" s="459">
        <f>'Inputs_NT INM'!V314</f>
        <v>781.83753787014427</v>
      </c>
      <c r="P317" s="459">
        <f>'Inputs_NT INM'!W314</f>
        <v>781.83753787014427</v>
      </c>
      <c r="Q317" s="459">
        <f>'Inputs_NT INM'!X314</f>
        <v>781.83753787014427</v>
      </c>
      <c r="R317" s="459">
        <f>'Inputs_NT INM'!Y314</f>
        <v>781.83753787014427</v>
      </c>
      <c r="S317" s="459">
        <f>'Inputs_NT INM'!Z314</f>
        <v>781.83753787014427</v>
      </c>
      <c r="T317" s="459">
        <f>'Inputs_NT INM'!AA314</f>
        <v>781.83753787014427</v>
      </c>
      <c r="U317" s="459">
        <f>'Inputs_NT INM'!AB314</f>
        <v>781.83753787014427</v>
      </c>
      <c r="V317" s="459">
        <f>'Inputs_NT INM'!AC314</f>
        <v>781.83753787014427</v>
      </c>
      <c r="W317" s="459">
        <f>'Inputs_NT INM'!AD314</f>
        <v>781.83753787014427</v>
      </c>
      <c r="X317" s="459">
        <f>'Inputs_NT INM'!AE314</f>
        <v>781.83753787014427</v>
      </c>
      <c r="Y317" s="459">
        <f>'Inputs_NT INM'!AF314</f>
        <v>781.83753787014427</v>
      </c>
      <c r="Z317" s="459">
        <f>'Inputs_NT INM'!AG314</f>
        <v>781.83753787014427</v>
      </c>
      <c r="AA317" s="459">
        <f>'Inputs_NT INM'!AH314</f>
        <v>781.83753787014427</v>
      </c>
      <c r="AB317" s="459">
        <f>'Inputs_NT INM'!AI314</f>
        <v>781.83753787014427</v>
      </c>
      <c r="AC317" s="459">
        <f>'Inputs_NT INM'!AJ314</f>
        <v>781.83753787014427</v>
      </c>
      <c r="AD317" s="459">
        <f>'Inputs_NT INM'!AK314</f>
        <v>781.83753787014427</v>
      </c>
      <c r="AE317" s="459">
        <f>'Inputs_NT INM'!AL314</f>
        <v>781.83753787014427</v>
      </c>
      <c r="AF317" s="459">
        <f>'Inputs_NT INM'!AM314</f>
        <v>781.83753787014427</v>
      </c>
      <c r="AG317" s="459">
        <f>'Inputs_NT INM'!AN314</f>
        <v>781.83753787014427</v>
      </c>
      <c r="AH317" s="459"/>
      <c r="AI317" s="459"/>
      <c r="AJ317" s="459"/>
    </row>
    <row r="318" spans="1:36" x14ac:dyDescent="0.25">
      <c r="A318" s="9" t="s">
        <v>842</v>
      </c>
      <c r="B318" s="9" t="s">
        <v>966</v>
      </c>
      <c r="C318" s="9" t="s">
        <v>624</v>
      </c>
      <c r="D318" s="9">
        <v>2030</v>
      </c>
      <c r="E318" s="9" t="s">
        <v>995</v>
      </c>
      <c r="F318" s="459">
        <f>'Inputs_NT INM'!M315</f>
        <v>781.83753787014427</v>
      </c>
      <c r="G318" s="459">
        <f>'Inputs_NT INM'!N315</f>
        <v>781.83753787014427</v>
      </c>
      <c r="H318" s="459">
        <f>'Inputs_NT INM'!O315</f>
        <v>781.83753787014427</v>
      </c>
      <c r="I318" s="459">
        <f>'Inputs_NT INM'!P315</f>
        <v>781.83753787014427</v>
      </c>
      <c r="J318" s="459">
        <f>'Inputs_NT INM'!Q315</f>
        <v>781.83753787014427</v>
      </c>
      <c r="K318" s="459">
        <f>'Inputs_NT INM'!R315</f>
        <v>781.83753787014427</v>
      </c>
      <c r="L318" s="459">
        <f>'Inputs_NT INM'!S315</f>
        <v>781.83753787014427</v>
      </c>
      <c r="M318" s="459">
        <f>'Inputs_NT INM'!T315</f>
        <v>781.83753787014427</v>
      </c>
      <c r="N318" s="459">
        <f>'Inputs_NT INM'!U315</f>
        <v>781.83753787014427</v>
      </c>
      <c r="O318" s="459">
        <f>'Inputs_NT INM'!V315</f>
        <v>781.83753787014427</v>
      </c>
      <c r="P318" s="459">
        <f>'Inputs_NT INM'!W315</f>
        <v>781.83753787014427</v>
      </c>
      <c r="Q318" s="459">
        <f>'Inputs_NT INM'!X315</f>
        <v>781.83753787014427</v>
      </c>
      <c r="R318" s="459">
        <f>'Inputs_NT INM'!Y315</f>
        <v>781.83753787014427</v>
      </c>
      <c r="S318" s="459">
        <f>'Inputs_NT INM'!Z315</f>
        <v>781.83753787014427</v>
      </c>
      <c r="T318" s="459">
        <f>'Inputs_NT INM'!AA315</f>
        <v>781.83753787014427</v>
      </c>
      <c r="U318" s="459">
        <f>'Inputs_NT INM'!AB315</f>
        <v>781.83753787014427</v>
      </c>
      <c r="V318" s="459">
        <f>'Inputs_NT INM'!AC315</f>
        <v>781.83753787014427</v>
      </c>
      <c r="W318" s="459">
        <f>'Inputs_NT INM'!AD315</f>
        <v>781.83753787014427</v>
      </c>
      <c r="X318" s="459">
        <f>'Inputs_NT INM'!AE315</f>
        <v>781.83753787014427</v>
      </c>
      <c r="Y318" s="459">
        <f>'Inputs_NT INM'!AF315</f>
        <v>781.83753787014427</v>
      </c>
      <c r="Z318" s="459">
        <f>'Inputs_NT INM'!AG315</f>
        <v>781.83753787014427</v>
      </c>
      <c r="AA318" s="459">
        <f>'Inputs_NT INM'!AH315</f>
        <v>781.83753787014427</v>
      </c>
      <c r="AB318" s="459">
        <f>'Inputs_NT INM'!AI315</f>
        <v>781.83753787014427</v>
      </c>
      <c r="AC318" s="459">
        <f>'Inputs_NT INM'!AJ315</f>
        <v>781.83753787014427</v>
      </c>
      <c r="AD318" s="459">
        <f>'Inputs_NT INM'!AK315</f>
        <v>781.83753787014427</v>
      </c>
      <c r="AE318" s="459">
        <f>'Inputs_NT INM'!AL315</f>
        <v>781.83753787014427</v>
      </c>
      <c r="AF318" s="459">
        <f>'Inputs_NT INM'!AM315</f>
        <v>781.83753787014427</v>
      </c>
      <c r="AG318" s="459">
        <f>'Inputs_NT INM'!AN315</f>
        <v>781.83753787014427</v>
      </c>
      <c r="AH318" s="459"/>
      <c r="AI318" s="459"/>
      <c r="AJ318" s="459"/>
    </row>
    <row r="319" spans="1:36" x14ac:dyDescent="0.25">
      <c r="A319" s="9" t="s">
        <v>843</v>
      </c>
      <c r="B319" s="9" t="s">
        <v>967</v>
      </c>
      <c r="C319" s="9" t="s">
        <v>624</v>
      </c>
      <c r="D319" s="9">
        <v>2030</v>
      </c>
      <c r="E319" s="9" t="s">
        <v>995</v>
      </c>
      <c r="F319" s="459">
        <f>'Inputs_NT INM'!M316</f>
        <v>781.83753787014427</v>
      </c>
      <c r="G319" s="459">
        <f>'Inputs_NT INM'!N316</f>
        <v>781.83753787014427</v>
      </c>
      <c r="H319" s="459">
        <f>'Inputs_NT INM'!O316</f>
        <v>781.83753787014427</v>
      </c>
      <c r="I319" s="459">
        <f>'Inputs_NT INM'!P316</f>
        <v>781.83753787014427</v>
      </c>
      <c r="J319" s="459">
        <f>'Inputs_NT INM'!Q316</f>
        <v>781.83753787014427</v>
      </c>
      <c r="K319" s="459">
        <f>'Inputs_NT INM'!R316</f>
        <v>781.83753787014427</v>
      </c>
      <c r="L319" s="459">
        <f>'Inputs_NT INM'!S316</f>
        <v>781.83753787014427</v>
      </c>
      <c r="M319" s="459">
        <f>'Inputs_NT INM'!T316</f>
        <v>781.83753787014427</v>
      </c>
      <c r="N319" s="459">
        <f>'Inputs_NT INM'!U316</f>
        <v>781.83753787014427</v>
      </c>
      <c r="O319" s="459">
        <f>'Inputs_NT INM'!V316</f>
        <v>781.83753787014427</v>
      </c>
      <c r="P319" s="459">
        <f>'Inputs_NT INM'!W316</f>
        <v>781.83753787014427</v>
      </c>
      <c r="Q319" s="459">
        <f>'Inputs_NT INM'!X316</f>
        <v>781.83753787014427</v>
      </c>
      <c r="R319" s="459">
        <f>'Inputs_NT INM'!Y316</f>
        <v>781.83753787014427</v>
      </c>
      <c r="S319" s="459">
        <f>'Inputs_NT INM'!Z316</f>
        <v>781.83753787014427</v>
      </c>
      <c r="T319" s="459">
        <f>'Inputs_NT INM'!AA316</f>
        <v>781.83753787014427</v>
      </c>
      <c r="U319" s="459">
        <f>'Inputs_NT INM'!AB316</f>
        <v>781.83753787014427</v>
      </c>
      <c r="V319" s="459">
        <f>'Inputs_NT INM'!AC316</f>
        <v>781.83753787014427</v>
      </c>
      <c r="W319" s="459">
        <f>'Inputs_NT INM'!AD316</f>
        <v>781.83753787014427</v>
      </c>
      <c r="X319" s="459">
        <f>'Inputs_NT INM'!AE316</f>
        <v>781.83753787014427</v>
      </c>
      <c r="Y319" s="459">
        <f>'Inputs_NT INM'!AF316</f>
        <v>781.83753787014427</v>
      </c>
      <c r="Z319" s="459">
        <f>'Inputs_NT INM'!AG316</f>
        <v>781.83753787014427</v>
      </c>
      <c r="AA319" s="459">
        <f>'Inputs_NT INM'!AH316</f>
        <v>781.83753787014427</v>
      </c>
      <c r="AB319" s="459">
        <f>'Inputs_NT INM'!AI316</f>
        <v>781.83753787014427</v>
      </c>
      <c r="AC319" s="459">
        <f>'Inputs_NT INM'!AJ316</f>
        <v>781.83753787014427</v>
      </c>
      <c r="AD319" s="459">
        <f>'Inputs_NT INM'!AK316</f>
        <v>781.83753787014427</v>
      </c>
      <c r="AE319" s="459">
        <f>'Inputs_NT INM'!AL316</f>
        <v>781.83753787014427</v>
      </c>
      <c r="AF319" s="459">
        <f>'Inputs_NT INM'!AM316</f>
        <v>781.83753787014427</v>
      </c>
      <c r="AG319" s="459">
        <f>'Inputs_NT INM'!AN316</f>
        <v>781.83753787014427</v>
      </c>
      <c r="AH319" s="459"/>
      <c r="AI319" s="459"/>
      <c r="AJ319" s="459"/>
    </row>
    <row r="320" spans="1:36" x14ac:dyDescent="0.25">
      <c r="A320" s="9" t="s">
        <v>844</v>
      </c>
      <c r="B320" s="9" t="s">
        <v>968</v>
      </c>
      <c r="C320" s="9" t="s">
        <v>624</v>
      </c>
      <c r="D320" s="9">
        <v>2030</v>
      </c>
      <c r="E320" s="9" t="s">
        <v>995</v>
      </c>
      <c r="F320" s="459">
        <f>'Inputs_NT INM'!M317</f>
        <v>781.83753787014427</v>
      </c>
      <c r="G320" s="459">
        <f>'Inputs_NT INM'!N317</f>
        <v>781.83753787014427</v>
      </c>
      <c r="H320" s="459">
        <f>'Inputs_NT INM'!O317</f>
        <v>781.83753787014427</v>
      </c>
      <c r="I320" s="459">
        <f>'Inputs_NT INM'!P317</f>
        <v>781.83753787014427</v>
      </c>
      <c r="J320" s="459">
        <f>'Inputs_NT INM'!Q317</f>
        <v>781.83753787014427</v>
      </c>
      <c r="K320" s="459">
        <f>'Inputs_NT INM'!R317</f>
        <v>781.83753787014427</v>
      </c>
      <c r="L320" s="459">
        <f>'Inputs_NT INM'!S317</f>
        <v>781.83753787014427</v>
      </c>
      <c r="M320" s="459">
        <f>'Inputs_NT INM'!T317</f>
        <v>781.83753787014427</v>
      </c>
      <c r="N320" s="459">
        <f>'Inputs_NT INM'!U317</f>
        <v>781.83753787014427</v>
      </c>
      <c r="O320" s="459">
        <f>'Inputs_NT INM'!V317</f>
        <v>781.83753787014427</v>
      </c>
      <c r="P320" s="459">
        <f>'Inputs_NT INM'!W317</f>
        <v>781.83753787014427</v>
      </c>
      <c r="Q320" s="459">
        <f>'Inputs_NT INM'!X317</f>
        <v>781.83753787014427</v>
      </c>
      <c r="R320" s="459">
        <f>'Inputs_NT INM'!Y317</f>
        <v>781.83753787014427</v>
      </c>
      <c r="S320" s="459">
        <f>'Inputs_NT INM'!Z317</f>
        <v>781.83753787014427</v>
      </c>
      <c r="T320" s="459">
        <f>'Inputs_NT INM'!AA317</f>
        <v>781.83753787014427</v>
      </c>
      <c r="U320" s="459">
        <f>'Inputs_NT INM'!AB317</f>
        <v>781.83753787014427</v>
      </c>
      <c r="V320" s="459">
        <f>'Inputs_NT INM'!AC317</f>
        <v>781.83753787014427</v>
      </c>
      <c r="W320" s="459">
        <f>'Inputs_NT INM'!AD317</f>
        <v>781.83753787014427</v>
      </c>
      <c r="X320" s="459">
        <f>'Inputs_NT INM'!AE317</f>
        <v>781.83753787014427</v>
      </c>
      <c r="Y320" s="459">
        <f>'Inputs_NT INM'!AF317</f>
        <v>781.83753787014427</v>
      </c>
      <c r="Z320" s="459">
        <f>'Inputs_NT INM'!AG317</f>
        <v>781.83753787014427</v>
      </c>
      <c r="AA320" s="459">
        <f>'Inputs_NT INM'!AH317</f>
        <v>781.83753787014427</v>
      </c>
      <c r="AB320" s="459">
        <f>'Inputs_NT INM'!AI317</f>
        <v>781.83753787014427</v>
      </c>
      <c r="AC320" s="459">
        <f>'Inputs_NT INM'!AJ317</f>
        <v>781.83753787014427</v>
      </c>
      <c r="AD320" s="459">
        <f>'Inputs_NT INM'!AK317</f>
        <v>781.83753787014427</v>
      </c>
      <c r="AE320" s="459">
        <f>'Inputs_NT INM'!AL317</f>
        <v>781.83753787014427</v>
      </c>
      <c r="AF320" s="459">
        <f>'Inputs_NT INM'!AM317</f>
        <v>781.83753787014427</v>
      </c>
      <c r="AG320" s="459">
        <f>'Inputs_NT INM'!AN317</f>
        <v>781.83753787014427</v>
      </c>
      <c r="AH320" s="459"/>
      <c r="AI320" s="459"/>
      <c r="AJ320" s="459"/>
    </row>
    <row r="321" spans="1:36" x14ac:dyDescent="0.25">
      <c r="A321" s="9" t="s">
        <v>839</v>
      </c>
      <c r="B321" s="9" t="s">
        <v>963</v>
      </c>
      <c r="C321" s="9" t="s">
        <v>624</v>
      </c>
      <c r="D321" s="9">
        <v>2050</v>
      </c>
      <c r="E321" s="9" t="s">
        <v>995</v>
      </c>
      <c r="F321" s="459">
        <f>'Inputs_NT INM'!M318</f>
        <v>693.42490002661236</v>
      </c>
      <c r="G321" s="459">
        <f>'Inputs_NT INM'!N318</f>
        <v>693.42490002661236</v>
      </c>
      <c r="H321" s="459">
        <f>'Inputs_NT INM'!O318</f>
        <v>693.42490002661236</v>
      </c>
      <c r="I321" s="459">
        <f>'Inputs_NT INM'!P318</f>
        <v>693.42490002661236</v>
      </c>
      <c r="J321" s="459">
        <f>'Inputs_NT INM'!Q318</f>
        <v>693.42490002661236</v>
      </c>
      <c r="K321" s="459">
        <f>'Inputs_NT INM'!R318</f>
        <v>693.42490002661236</v>
      </c>
      <c r="L321" s="459">
        <f>'Inputs_NT INM'!S318</f>
        <v>693.42490002661236</v>
      </c>
      <c r="M321" s="459">
        <f>'Inputs_NT INM'!T318</f>
        <v>693.42490002661236</v>
      </c>
      <c r="N321" s="459">
        <f>'Inputs_NT INM'!U318</f>
        <v>693.42490002661236</v>
      </c>
      <c r="O321" s="459">
        <f>'Inputs_NT INM'!V318</f>
        <v>693.42490002661236</v>
      </c>
      <c r="P321" s="459">
        <f>'Inputs_NT INM'!W318</f>
        <v>693.42490002661236</v>
      </c>
      <c r="Q321" s="459">
        <f>'Inputs_NT INM'!X318</f>
        <v>693.42490002661236</v>
      </c>
      <c r="R321" s="459">
        <f>'Inputs_NT INM'!Y318</f>
        <v>693.42490002661236</v>
      </c>
      <c r="S321" s="459">
        <f>'Inputs_NT INM'!Z318</f>
        <v>693.42490002661236</v>
      </c>
      <c r="T321" s="459">
        <f>'Inputs_NT INM'!AA318</f>
        <v>693.42490002661236</v>
      </c>
      <c r="U321" s="459">
        <f>'Inputs_NT INM'!AB318</f>
        <v>693.42490002661236</v>
      </c>
      <c r="V321" s="459">
        <f>'Inputs_NT INM'!AC318</f>
        <v>693.42490002661236</v>
      </c>
      <c r="W321" s="459">
        <f>'Inputs_NT INM'!AD318</f>
        <v>693.42490002661236</v>
      </c>
      <c r="X321" s="459">
        <f>'Inputs_NT INM'!AE318</f>
        <v>693.42490002661236</v>
      </c>
      <c r="Y321" s="459">
        <f>'Inputs_NT INM'!AF318</f>
        <v>693.42490002661236</v>
      </c>
      <c r="Z321" s="459">
        <f>'Inputs_NT INM'!AG318</f>
        <v>693.42490002661236</v>
      </c>
      <c r="AA321" s="459">
        <f>'Inputs_NT INM'!AH318</f>
        <v>693.42490002661236</v>
      </c>
      <c r="AB321" s="459">
        <f>'Inputs_NT INM'!AI318</f>
        <v>693.42490002661236</v>
      </c>
      <c r="AC321" s="459">
        <f>'Inputs_NT INM'!AJ318</f>
        <v>693.42490002661236</v>
      </c>
      <c r="AD321" s="459">
        <f>'Inputs_NT INM'!AK318</f>
        <v>693.42490002661236</v>
      </c>
      <c r="AE321" s="459">
        <f>'Inputs_NT INM'!AL318</f>
        <v>693.42490002661236</v>
      </c>
      <c r="AF321" s="459">
        <f>'Inputs_NT INM'!AM318</f>
        <v>693.42490002661236</v>
      </c>
      <c r="AG321" s="459">
        <f>'Inputs_NT INM'!AN318</f>
        <v>693.42490002661236</v>
      </c>
      <c r="AH321" s="459"/>
      <c r="AI321" s="459"/>
      <c r="AJ321" s="459"/>
    </row>
    <row r="322" spans="1:36" x14ac:dyDescent="0.25">
      <c r="A322" s="9" t="s">
        <v>840</v>
      </c>
      <c r="B322" s="9" t="s">
        <v>964</v>
      </c>
      <c r="C322" s="9" t="s">
        <v>624</v>
      </c>
      <c r="D322" s="9">
        <v>2050</v>
      </c>
      <c r="E322" s="9" t="s">
        <v>995</v>
      </c>
      <c r="F322" s="459">
        <f>'Inputs_NT INM'!M319</f>
        <v>693.42490002661236</v>
      </c>
      <c r="G322" s="459">
        <f>'Inputs_NT INM'!N319</f>
        <v>693.42490002661236</v>
      </c>
      <c r="H322" s="459">
        <f>'Inputs_NT INM'!O319</f>
        <v>693.42490002661236</v>
      </c>
      <c r="I322" s="459">
        <f>'Inputs_NT INM'!P319</f>
        <v>693.42490002661236</v>
      </c>
      <c r="J322" s="459">
        <f>'Inputs_NT INM'!Q319</f>
        <v>693.42490002661236</v>
      </c>
      <c r="K322" s="459">
        <f>'Inputs_NT INM'!R319</f>
        <v>693.42490002661236</v>
      </c>
      <c r="L322" s="459">
        <f>'Inputs_NT INM'!S319</f>
        <v>693.42490002661236</v>
      </c>
      <c r="M322" s="459">
        <f>'Inputs_NT INM'!T319</f>
        <v>693.42490002661236</v>
      </c>
      <c r="N322" s="459">
        <f>'Inputs_NT INM'!U319</f>
        <v>693.42490002661236</v>
      </c>
      <c r="O322" s="459">
        <f>'Inputs_NT INM'!V319</f>
        <v>693.42490002661236</v>
      </c>
      <c r="P322" s="459">
        <f>'Inputs_NT INM'!W319</f>
        <v>693.42490002661236</v>
      </c>
      <c r="Q322" s="459">
        <f>'Inputs_NT INM'!X319</f>
        <v>693.42490002661236</v>
      </c>
      <c r="R322" s="459">
        <f>'Inputs_NT INM'!Y319</f>
        <v>693.42490002661236</v>
      </c>
      <c r="S322" s="459">
        <f>'Inputs_NT INM'!Z319</f>
        <v>693.42490002661236</v>
      </c>
      <c r="T322" s="459">
        <f>'Inputs_NT INM'!AA319</f>
        <v>693.42490002661236</v>
      </c>
      <c r="U322" s="459">
        <f>'Inputs_NT INM'!AB319</f>
        <v>693.42490002661236</v>
      </c>
      <c r="V322" s="459">
        <f>'Inputs_NT INM'!AC319</f>
        <v>693.42490002661236</v>
      </c>
      <c r="W322" s="459">
        <f>'Inputs_NT INM'!AD319</f>
        <v>693.42490002661236</v>
      </c>
      <c r="X322" s="459">
        <f>'Inputs_NT INM'!AE319</f>
        <v>693.42490002661236</v>
      </c>
      <c r="Y322" s="459">
        <f>'Inputs_NT INM'!AF319</f>
        <v>693.42490002661236</v>
      </c>
      <c r="Z322" s="459">
        <f>'Inputs_NT INM'!AG319</f>
        <v>693.42490002661236</v>
      </c>
      <c r="AA322" s="459">
        <f>'Inputs_NT INM'!AH319</f>
        <v>693.42490002661236</v>
      </c>
      <c r="AB322" s="459">
        <f>'Inputs_NT INM'!AI319</f>
        <v>693.42490002661236</v>
      </c>
      <c r="AC322" s="459">
        <f>'Inputs_NT INM'!AJ319</f>
        <v>693.42490002661236</v>
      </c>
      <c r="AD322" s="459">
        <f>'Inputs_NT INM'!AK319</f>
        <v>693.42490002661236</v>
      </c>
      <c r="AE322" s="459">
        <f>'Inputs_NT INM'!AL319</f>
        <v>693.42490002661236</v>
      </c>
      <c r="AF322" s="459">
        <f>'Inputs_NT INM'!AM319</f>
        <v>693.42490002661236</v>
      </c>
      <c r="AG322" s="459">
        <f>'Inputs_NT INM'!AN319</f>
        <v>693.42490002661236</v>
      </c>
      <c r="AH322" s="459"/>
      <c r="AI322" s="459"/>
      <c r="AJ322" s="459"/>
    </row>
    <row r="323" spans="1:36" x14ac:dyDescent="0.25">
      <c r="A323" s="9" t="s">
        <v>841</v>
      </c>
      <c r="B323" s="9" t="s">
        <v>965</v>
      </c>
      <c r="C323" s="9" t="s">
        <v>624</v>
      </c>
      <c r="D323" s="9">
        <v>2050</v>
      </c>
      <c r="E323" s="9" t="s">
        <v>995</v>
      </c>
      <c r="F323" s="459">
        <f>'Inputs_NT INM'!M320</f>
        <v>693.42490002661236</v>
      </c>
      <c r="G323" s="459">
        <f>'Inputs_NT INM'!N320</f>
        <v>693.42490002661236</v>
      </c>
      <c r="H323" s="459">
        <f>'Inputs_NT INM'!O320</f>
        <v>693.42490002661236</v>
      </c>
      <c r="I323" s="459">
        <f>'Inputs_NT INM'!P320</f>
        <v>693.42490002661236</v>
      </c>
      <c r="J323" s="459">
        <f>'Inputs_NT INM'!Q320</f>
        <v>693.42490002661236</v>
      </c>
      <c r="K323" s="459">
        <f>'Inputs_NT INM'!R320</f>
        <v>693.42490002661236</v>
      </c>
      <c r="L323" s="459">
        <f>'Inputs_NT INM'!S320</f>
        <v>693.42490002661236</v>
      </c>
      <c r="M323" s="459">
        <f>'Inputs_NT INM'!T320</f>
        <v>693.42490002661236</v>
      </c>
      <c r="N323" s="459">
        <f>'Inputs_NT INM'!U320</f>
        <v>693.42490002661236</v>
      </c>
      <c r="O323" s="459">
        <f>'Inputs_NT INM'!V320</f>
        <v>693.42490002661236</v>
      </c>
      <c r="P323" s="459">
        <f>'Inputs_NT INM'!W320</f>
        <v>693.42490002661236</v>
      </c>
      <c r="Q323" s="459">
        <f>'Inputs_NT INM'!X320</f>
        <v>693.42490002661236</v>
      </c>
      <c r="R323" s="459">
        <f>'Inputs_NT INM'!Y320</f>
        <v>693.42490002661236</v>
      </c>
      <c r="S323" s="459">
        <f>'Inputs_NT INM'!Z320</f>
        <v>693.42490002661236</v>
      </c>
      <c r="T323" s="459">
        <f>'Inputs_NT INM'!AA320</f>
        <v>693.42490002661236</v>
      </c>
      <c r="U323" s="459">
        <f>'Inputs_NT INM'!AB320</f>
        <v>693.42490002661236</v>
      </c>
      <c r="V323" s="459">
        <f>'Inputs_NT INM'!AC320</f>
        <v>693.42490002661236</v>
      </c>
      <c r="W323" s="459">
        <f>'Inputs_NT INM'!AD320</f>
        <v>693.42490002661236</v>
      </c>
      <c r="X323" s="459">
        <f>'Inputs_NT INM'!AE320</f>
        <v>693.42490002661236</v>
      </c>
      <c r="Y323" s="459">
        <f>'Inputs_NT INM'!AF320</f>
        <v>693.42490002661236</v>
      </c>
      <c r="Z323" s="459">
        <f>'Inputs_NT INM'!AG320</f>
        <v>693.42490002661236</v>
      </c>
      <c r="AA323" s="459">
        <f>'Inputs_NT INM'!AH320</f>
        <v>693.42490002661236</v>
      </c>
      <c r="AB323" s="459">
        <f>'Inputs_NT INM'!AI320</f>
        <v>693.42490002661236</v>
      </c>
      <c r="AC323" s="459">
        <f>'Inputs_NT INM'!AJ320</f>
        <v>693.42490002661236</v>
      </c>
      <c r="AD323" s="459">
        <f>'Inputs_NT INM'!AK320</f>
        <v>693.42490002661236</v>
      </c>
      <c r="AE323" s="459">
        <f>'Inputs_NT INM'!AL320</f>
        <v>693.42490002661236</v>
      </c>
      <c r="AF323" s="459">
        <f>'Inputs_NT INM'!AM320</f>
        <v>693.42490002661236</v>
      </c>
      <c r="AG323" s="459">
        <f>'Inputs_NT INM'!AN320</f>
        <v>693.42490002661236</v>
      </c>
      <c r="AH323" s="459"/>
      <c r="AI323" s="459"/>
      <c r="AJ323" s="459"/>
    </row>
    <row r="324" spans="1:36" x14ac:dyDescent="0.25">
      <c r="A324" s="9" t="s">
        <v>842</v>
      </c>
      <c r="B324" s="9" t="s">
        <v>966</v>
      </c>
      <c r="C324" s="9" t="s">
        <v>624</v>
      </c>
      <c r="D324" s="9">
        <v>2050</v>
      </c>
      <c r="E324" s="9" t="s">
        <v>995</v>
      </c>
      <c r="F324" s="459">
        <f>'Inputs_NT INM'!M321</f>
        <v>693.42490002661236</v>
      </c>
      <c r="G324" s="459">
        <f>'Inputs_NT INM'!N321</f>
        <v>693.42490002661236</v>
      </c>
      <c r="H324" s="459">
        <f>'Inputs_NT INM'!O321</f>
        <v>693.42490002661236</v>
      </c>
      <c r="I324" s="459">
        <f>'Inputs_NT INM'!P321</f>
        <v>693.42490002661236</v>
      </c>
      <c r="J324" s="459">
        <f>'Inputs_NT INM'!Q321</f>
        <v>693.42490002661236</v>
      </c>
      <c r="K324" s="459">
        <f>'Inputs_NT INM'!R321</f>
        <v>693.42490002661236</v>
      </c>
      <c r="L324" s="459">
        <f>'Inputs_NT INM'!S321</f>
        <v>693.42490002661236</v>
      </c>
      <c r="M324" s="459">
        <f>'Inputs_NT INM'!T321</f>
        <v>693.42490002661236</v>
      </c>
      <c r="N324" s="459">
        <f>'Inputs_NT INM'!U321</f>
        <v>693.42490002661236</v>
      </c>
      <c r="O324" s="459">
        <f>'Inputs_NT INM'!V321</f>
        <v>693.42490002661236</v>
      </c>
      <c r="P324" s="459">
        <f>'Inputs_NT INM'!W321</f>
        <v>693.42490002661236</v>
      </c>
      <c r="Q324" s="459">
        <f>'Inputs_NT INM'!X321</f>
        <v>693.42490002661236</v>
      </c>
      <c r="R324" s="459">
        <f>'Inputs_NT INM'!Y321</f>
        <v>693.42490002661236</v>
      </c>
      <c r="S324" s="459">
        <f>'Inputs_NT INM'!Z321</f>
        <v>693.42490002661236</v>
      </c>
      <c r="T324" s="459">
        <f>'Inputs_NT INM'!AA321</f>
        <v>693.42490002661236</v>
      </c>
      <c r="U324" s="459">
        <f>'Inputs_NT INM'!AB321</f>
        <v>693.42490002661236</v>
      </c>
      <c r="V324" s="459">
        <f>'Inputs_NT INM'!AC321</f>
        <v>693.42490002661236</v>
      </c>
      <c r="W324" s="459">
        <f>'Inputs_NT INM'!AD321</f>
        <v>693.42490002661236</v>
      </c>
      <c r="X324" s="459">
        <f>'Inputs_NT INM'!AE321</f>
        <v>693.42490002661236</v>
      </c>
      <c r="Y324" s="459">
        <f>'Inputs_NT INM'!AF321</f>
        <v>693.42490002661236</v>
      </c>
      <c r="Z324" s="459">
        <f>'Inputs_NT INM'!AG321</f>
        <v>693.42490002661236</v>
      </c>
      <c r="AA324" s="459">
        <f>'Inputs_NT INM'!AH321</f>
        <v>693.42490002661236</v>
      </c>
      <c r="AB324" s="459">
        <f>'Inputs_NT INM'!AI321</f>
        <v>693.42490002661236</v>
      </c>
      <c r="AC324" s="459">
        <f>'Inputs_NT INM'!AJ321</f>
        <v>693.42490002661236</v>
      </c>
      <c r="AD324" s="459">
        <f>'Inputs_NT INM'!AK321</f>
        <v>693.42490002661236</v>
      </c>
      <c r="AE324" s="459">
        <f>'Inputs_NT INM'!AL321</f>
        <v>693.42490002661236</v>
      </c>
      <c r="AF324" s="459">
        <f>'Inputs_NT INM'!AM321</f>
        <v>693.42490002661236</v>
      </c>
      <c r="AG324" s="459">
        <f>'Inputs_NT INM'!AN321</f>
        <v>693.42490002661236</v>
      </c>
      <c r="AH324" s="459"/>
      <c r="AI324" s="459"/>
      <c r="AJ324" s="459"/>
    </row>
    <row r="325" spans="1:36" x14ac:dyDescent="0.25">
      <c r="A325" s="9" t="s">
        <v>843</v>
      </c>
      <c r="B325" s="9" t="s">
        <v>967</v>
      </c>
      <c r="C325" s="9" t="s">
        <v>624</v>
      </c>
      <c r="D325" s="9">
        <v>2050</v>
      </c>
      <c r="E325" s="9" t="s">
        <v>995</v>
      </c>
      <c r="F325" s="459">
        <f>'Inputs_NT INM'!M322</f>
        <v>693.42490002661236</v>
      </c>
      <c r="G325" s="459">
        <f>'Inputs_NT INM'!N322</f>
        <v>693.42490002661236</v>
      </c>
      <c r="H325" s="459">
        <f>'Inputs_NT INM'!O322</f>
        <v>693.42490002661236</v>
      </c>
      <c r="I325" s="459">
        <f>'Inputs_NT INM'!P322</f>
        <v>693.42490002661236</v>
      </c>
      <c r="J325" s="459">
        <f>'Inputs_NT INM'!Q322</f>
        <v>693.42490002661236</v>
      </c>
      <c r="K325" s="459">
        <f>'Inputs_NT INM'!R322</f>
        <v>693.42490002661236</v>
      </c>
      <c r="L325" s="459">
        <f>'Inputs_NT INM'!S322</f>
        <v>693.42490002661236</v>
      </c>
      <c r="M325" s="459">
        <f>'Inputs_NT INM'!T322</f>
        <v>693.42490002661236</v>
      </c>
      <c r="N325" s="459">
        <f>'Inputs_NT INM'!U322</f>
        <v>693.42490002661236</v>
      </c>
      <c r="O325" s="459">
        <f>'Inputs_NT INM'!V322</f>
        <v>693.42490002661236</v>
      </c>
      <c r="P325" s="459">
        <f>'Inputs_NT INM'!W322</f>
        <v>693.42490002661236</v>
      </c>
      <c r="Q325" s="459">
        <f>'Inputs_NT INM'!X322</f>
        <v>693.42490002661236</v>
      </c>
      <c r="R325" s="459">
        <f>'Inputs_NT INM'!Y322</f>
        <v>693.42490002661236</v>
      </c>
      <c r="S325" s="459">
        <f>'Inputs_NT INM'!Z322</f>
        <v>693.42490002661236</v>
      </c>
      <c r="T325" s="459">
        <f>'Inputs_NT INM'!AA322</f>
        <v>693.42490002661236</v>
      </c>
      <c r="U325" s="459">
        <f>'Inputs_NT INM'!AB322</f>
        <v>693.42490002661236</v>
      </c>
      <c r="V325" s="459">
        <f>'Inputs_NT INM'!AC322</f>
        <v>693.42490002661236</v>
      </c>
      <c r="W325" s="459">
        <f>'Inputs_NT INM'!AD322</f>
        <v>693.42490002661236</v>
      </c>
      <c r="X325" s="459">
        <f>'Inputs_NT INM'!AE322</f>
        <v>693.42490002661236</v>
      </c>
      <c r="Y325" s="459">
        <f>'Inputs_NT INM'!AF322</f>
        <v>693.42490002661236</v>
      </c>
      <c r="Z325" s="459">
        <f>'Inputs_NT INM'!AG322</f>
        <v>693.42490002661236</v>
      </c>
      <c r="AA325" s="459">
        <f>'Inputs_NT INM'!AH322</f>
        <v>693.42490002661236</v>
      </c>
      <c r="AB325" s="459">
        <f>'Inputs_NT INM'!AI322</f>
        <v>693.42490002661236</v>
      </c>
      <c r="AC325" s="459">
        <f>'Inputs_NT INM'!AJ322</f>
        <v>693.42490002661236</v>
      </c>
      <c r="AD325" s="459">
        <f>'Inputs_NT INM'!AK322</f>
        <v>693.42490002661236</v>
      </c>
      <c r="AE325" s="459">
        <f>'Inputs_NT INM'!AL322</f>
        <v>693.42490002661236</v>
      </c>
      <c r="AF325" s="459">
        <f>'Inputs_NT INM'!AM322</f>
        <v>693.42490002661236</v>
      </c>
      <c r="AG325" s="459">
        <f>'Inputs_NT INM'!AN322</f>
        <v>693.42490002661236</v>
      </c>
      <c r="AH325" s="459"/>
      <c r="AI325" s="459"/>
      <c r="AJ325" s="459"/>
    </row>
    <row r="326" spans="1:36" x14ac:dyDescent="0.25">
      <c r="A326" s="9" t="s">
        <v>844</v>
      </c>
      <c r="B326" s="9" t="s">
        <v>968</v>
      </c>
      <c r="C326" s="9" t="s">
        <v>624</v>
      </c>
      <c r="D326" s="9">
        <v>2050</v>
      </c>
      <c r="E326" s="9" t="s">
        <v>995</v>
      </c>
      <c r="F326" s="459">
        <f>'Inputs_NT INM'!M323</f>
        <v>693.42490002661236</v>
      </c>
      <c r="G326" s="459">
        <f>'Inputs_NT INM'!N323</f>
        <v>693.42490002661236</v>
      </c>
      <c r="H326" s="459">
        <f>'Inputs_NT INM'!O323</f>
        <v>693.42490002661236</v>
      </c>
      <c r="I326" s="459">
        <f>'Inputs_NT INM'!P323</f>
        <v>693.42490002661236</v>
      </c>
      <c r="J326" s="459">
        <f>'Inputs_NT INM'!Q323</f>
        <v>693.42490002661236</v>
      </c>
      <c r="K326" s="459">
        <f>'Inputs_NT INM'!R323</f>
        <v>693.42490002661236</v>
      </c>
      <c r="L326" s="459">
        <f>'Inputs_NT INM'!S323</f>
        <v>693.42490002661236</v>
      </c>
      <c r="M326" s="459">
        <f>'Inputs_NT INM'!T323</f>
        <v>693.42490002661236</v>
      </c>
      <c r="N326" s="459">
        <f>'Inputs_NT INM'!U323</f>
        <v>693.42490002661236</v>
      </c>
      <c r="O326" s="459">
        <f>'Inputs_NT INM'!V323</f>
        <v>693.42490002661236</v>
      </c>
      <c r="P326" s="459">
        <f>'Inputs_NT INM'!W323</f>
        <v>693.42490002661236</v>
      </c>
      <c r="Q326" s="459">
        <f>'Inputs_NT INM'!X323</f>
        <v>693.42490002661236</v>
      </c>
      <c r="R326" s="459">
        <f>'Inputs_NT INM'!Y323</f>
        <v>693.42490002661236</v>
      </c>
      <c r="S326" s="459">
        <f>'Inputs_NT INM'!Z323</f>
        <v>693.42490002661236</v>
      </c>
      <c r="T326" s="459">
        <f>'Inputs_NT INM'!AA323</f>
        <v>693.42490002661236</v>
      </c>
      <c r="U326" s="459">
        <f>'Inputs_NT INM'!AB323</f>
        <v>693.42490002661236</v>
      </c>
      <c r="V326" s="459">
        <f>'Inputs_NT INM'!AC323</f>
        <v>693.42490002661236</v>
      </c>
      <c r="W326" s="459">
        <f>'Inputs_NT INM'!AD323</f>
        <v>693.42490002661236</v>
      </c>
      <c r="X326" s="459">
        <f>'Inputs_NT INM'!AE323</f>
        <v>693.42490002661236</v>
      </c>
      <c r="Y326" s="459">
        <f>'Inputs_NT INM'!AF323</f>
        <v>693.42490002661236</v>
      </c>
      <c r="Z326" s="459">
        <f>'Inputs_NT INM'!AG323</f>
        <v>693.42490002661236</v>
      </c>
      <c r="AA326" s="459">
        <f>'Inputs_NT INM'!AH323</f>
        <v>693.42490002661236</v>
      </c>
      <c r="AB326" s="459">
        <f>'Inputs_NT INM'!AI323</f>
        <v>693.42490002661236</v>
      </c>
      <c r="AC326" s="459">
        <f>'Inputs_NT INM'!AJ323</f>
        <v>693.42490002661236</v>
      </c>
      <c r="AD326" s="459">
        <f>'Inputs_NT INM'!AK323</f>
        <v>693.42490002661236</v>
      </c>
      <c r="AE326" s="459">
        <f>'Inputs_NT INM'!AL323</f>
        <v>693.42490002661236</v>
      </c>
      <c r="AF326" s="459">
        <f>'Inputs_NT INM'!AM323</f>
        <v>693.42490002661236</v>
      </c>
      <c r="AG326" s="459">
        <f>'Inputs_NT INM'!AN323</f>
        <v>693.42490002661236</v>
      </c>
      <c r="AH326" s="459"/>
      <c r="AI326" s="459"/>
      <c r="AJ326" s="459"/>
    </row>
    <row r="327" spans="1:36" x14ac:dyDescent="0.25">
      <c r="A327" s="9" t="s">
        <v>845</v>
      </c>
      <c r="B327" s="9" t="s">
        <v>969</v>
      </c>
      <c r="C327" s="9" t="s">
        <v>624</v>
      </c>
      <c r="D327" s="9">
        <v>2030</v>
      </c>
      <c r="E327" s="9" t="s">
        <v>995</v>
      </c>
      <c r="F327" s="459">
        <f>'Inputs_NT INM'!M324</f>
        <v>1588.3140891800003</v>
      </c>
      <c r="G327" s="459">
        <f>'Inputs_NT INM'!N324</f>
        <v>1588.3140891800003</v>
      </c>
      <c r="H327" s="459">
        <f>'Inputs_NT INM'!O324</f>
        <v>1588.3140891800003</v>
      </c>
      <c r="I327" s="459">
        <f>'Inputs_NT INM'!P324</f>
        <v>1588.3140891800003</v>
      </c>
      <c r="J327" s="459">
        <f>'Inputs_NT INM'!Q324</f>
        <v>1588.3140891800003</v>
      </c>
      <c r="K327" s="459">
        <f>'Inputs_NT INM'!R324</f>
        <v>1588.3140891800003</v>
      </c>
      <c r="L327" s="459">
        <f>'Inputs_NT INM'!S324</f>
        <v>1588.3140891800003</v>
      </c>
      <c r="M327" s="459">
        <f>'Inputs_NT INM'!T324</f>
        <v>1588.3140891800003</v>
      </c>
      <c r="N327" s="459">
        <f>'Inputs_NT INM'!U324</f>
        <v>1588.3140891800003</v>
      </c>
      <c r="O327" s="459">
        <f>'Inputs_NT INM'!V324</f>
        <v>1588.3140891800003</v>
      </c>
      <c r="P327" s="459">
        <f>'Inputs_NT INM'!W324</f>
        <v>1588.3140891800003</v>
      </c>
      <c r="Q327" s="459">
        <f>'Inputs_NT INM'!X324</f>
        <v>1588.3140891800003</v>
      </c>
      <c r="R327" s="459">
        <f>'Inputs_NT INM'!Y324</f>
        <v>1588.3140891800003</v>
      </c>
      <c r="S327" s="459">
        <f>'Inputs_NT INM'!Z324</f>
        <v>1588.3140891800003</v>
      </c>
      <c r="T327" s="459">
        <f>'Inputs_NT INM'!AA324</f>
        <v>1588.3140891800003</v>
      </c>
      <c r="U327" s="459">
        <f>'Inputs_NT INM'!AB324</f>
        <v>1588.3140891800003</v>
      </c>
      <c r="V327" s="459">
        <f>'Inputs_NT INM'!AC324</f>
        <v>1588.3140891800003</v>
      </c>
      <c r="W327" s="459">
        <f>'Inputs_NT INM'!AD324</f>
        <v>1588.3140891800003</v>
      </c>
      <c r="X327" s="459">
        <f>'Inputs_NT INM'!AE324</f>
        <v>1588.3140891800003</v>
      </c>
      <c r="Y327" s="459">
        <f>'Inputs_NT INM'!AF324</f>
        <v>1588.3140891800003</v>
      </c>
      <c r="Z327" s="459">
        <f>'Inputs_NT INM'!AG324</f>
        <v>1588.3140891800003</v>
      </c>
      <c r="AA327" s="459">
        <f>'Inputs_NT INM'!AH324</f>
        <v>1588.3140891800003</v>
      </c>
      <c r="AB327" s="459">
        <f>'Inputs_NT INM'!AI324</f>
        <v>1588.3140891800003</v>
      </c>
      <c r="AC327" s="459">
        <f>'Inputs_NT INM'!AJ324</f>
        <v>1588.3140891800003</v>
      </c>
      <c r="AD327" s="459">
        <f>'Inputs_NT INM'!AK324</f>
        <v>1588.3140891800003</v>
      </c>
      <c r="AE327" s="459">
        <f>'Inputs_NT INM'!AL324</f>
        <v>1588.3140891800003</v>
      </c>
      <c r="AF327" s="459">
        <f>'Inputs_NT INM'!AM324</f>
        <v>1588.3140891800003</v>
      </c>
      <c r="AG327" s="459">
        <f>'Inputs_NT INM'!AN324</f>
        <v>1588.3140891800003</v>
      </c>
      <c r="AH327" s="459"/>
      <c r="AI327" s="459"/>
      <c r="AJ327" s="459"/>
    </row>
    <row r="328" spans="1:36" x14ac:dyDescent="0.25">
      <c r="A328" s="9" t="s">
        <v>846</v>
      </c>
      <c r="B328" s="9" t="s">
        <v>970</v>
      </c>
      <c r="C328" s="9" t="s">
        <v>624</v>
      </c>
      <c r="D328" s="9">
        <v>2030</v>
      </c>
      <c r="E328" s="9" t="s">
        <v>995</v>
      </c>
      <c r="F328" s="459">
        <f>'Inputs_NT INM'!M325</f>
        <v>1588.3140891800003</v>
      </c>
      <c r="G328" s="459">
        <f>'Inputs_NT INM'!N325</f>
        <v>1588.3140891800003</v>
      </c>
      <c r="H328" s="459">
        <f>'Inputs_NT INM'!O325</f>
        <v>1588.3140891800003</v>
      </c>
      <c r="I328" s="459">
        <f>'Inputs_NT INM'!P325</f>
        <v>1588.3140891800003</v>
      </c>
      <c r="J328" s="459">
        <f>'Inputs_NT INM'!Q325</f>
        <v>1588.3140891800003</v>
      </c>
      <c r="K328" s="459">
        <f>'Inputs_NT INM'!R325</f>
        <v>1588.3140891800003</v>
      </c>
      <c r="L328" s="459">
        <f>'Inputs_NT INM'!S325</f>
        <v>1588.3140891800003</v>
      </c>
      <c r="M328" s="459">
        <f>'Inputs_NT INM'!T325</f>
        <v>1588.3140891800003</v>
      </c>
      <c r="N328" s="459">
        <f>'Inputs_NT INM'!U325</f>
        <v>1588.3140891800003</v>
      </c>
      <c r="O328" s="459">
        <f>'Inputs_NT INM'!V325</f>
        <v>1588.3140891800003</v>
      </c>
      <c r="P328" s="459">
        <f>'Inputs_NT INM'!W325</f>
        <v>1588.3140891800003</v>
      </c>
      <c r="Q328" s="459">
        <f>'Inputs_NT INM'!X325</f>
        <v>1588.3140891800003</v>
      </c>
      <c r="R328" s="459">
        <f>'Inputs_NT INM'!Y325</f>
        <v>1588.3140891800003</v>
      </c>
      <c r="S328" s="459">
        <f>'Inputs_NT INM'!Z325</f>
        <v>1588.3140891800003</v>
      </c>
      <c r="T328" s="459">
        <f>'Inputs_NT INM'!AA325</f>
        <v>1588.3140891800003</v>
      </c>
      <c r="U328" s="459">
        <f>'Inputs_NT INM'!AB325</f>
        <v>1588.3140891800003</v>
      </c>
      <c r="V328" s="459">
        <f>'Inputs_NT INM'!AC325</f>
        <v>1588.3140891800003</v>
      </c>
      <c r="W328" s="459">
        <f>'Inputs_NT INM'!AD325</f>
        <v>1588.3140891800003</v>
      </c>
      <c r="X328" s="459">
        <f>'Inputs_NT INM'!AE325</f>
        <v>1588.3140891800003</v>
      </c>
      <c r="Y328" s="459">
        <f>'Inputs_NT INM'!AF325</f>
        <v>1588.3140891800003</v>
      </c>
      <c r="Z328" s="459">
        <f>'Inputs_NT INM'!AG325</f>
        <v>1588.3140891800003</v>
      </c>
      <c r="AA328" s="459">
        <f>'Inputs_NT INM'!AH325</f>
        <v>1588.3140891800003</v>
      </c>
      <c r="AB328" s="459">
        <f>'Inputs_NT INM'!AI325</f>
        <v>1588.3140891800003</v>
      </c>
      <c r="AC328" s="459">
        <f>'Inputs_NT INM'!AJ325</f>
        <v>1588.3140891800003</v>
      </c>
      <c r="AD328" s="459">
        <f>'Inputs_NT INM'!AK325</f>
        <v>1588.3140891800003</v>
      </c>
      <c r="AE328" s="459">
        <f>'Inputs_NT INM'!AL325</f>
        <v>1588.3140891800003</v>
      </c>
      <c r="AF328" s="459">
        <f>'Inputs_NT INM'!AM325</f>
        <v>1588.3140891800003</v>
      </c>
      <c r="AG328" s="459">
        <f>'Inputs_NT INM'!AN325</f>
        <v>1588.3140891800003</v>
      </c>
      <c r="AH328" s="459"/>
      <c r="AI328" s="459"/>
      <c r="AJ328" s="459"/>
    </row>
    <row r="329" spans="1:36" x14ac:dyDescent="0.25">
      <c r="A329" s="9" t="s">
        <v>847</v>
      </c>
      <c r="B329" s="9" t="s">
        <v>971</v>
      </c>
      <c r="C329" s="9" t="s">
        <v>624</v>
      </c>
      <c r="D329" s="9">
        <v>2030</v>
      </c>
      <c r="E329" s="9" t="s">
        <v>995</v>
      </c>
      <c r="F329" s="459">
        <f>'Inputs_NT INM'!M326</f>
        <v>1588.3140891800003</v>
      </c>
      <c r="G329" s="459">
        <f>'Inputs_NT INM'!N326</f>
        <v>1588.3140891800003</v>
      </c>
      <c r="H329" s="459">
        <f>'Inputs_NT INM'!O326</f>
        <v>1588.3140891800003</v>
      </c>
      <c r="I329" s="459">
        <f>'Inputs_NT INM'!P326</f>
        <v>1588.3140891800003</v>
      </c>
      <c r="J329" s="459">
        <f>'Inputs_NT INM'!Q326</f>
        <v>1588.3140891800003</v>
      </c>
      <c r="K329" s="459">
        <f>'Inputs_NT INM'!R326</f>
        <v>1588.3140891800003</v>
      </c>
      <c r="L329" s="459">
        <f>'Inputs_NT INM'!S326</f>
        <v>1588.3140891800003</v>
      </c>
      <c r="M329" s="459">
        <f>'Inputs_NT INM'!T326</f>
        <v>1588.3140891800003</v>
      </c>
      <c r="N329" s="459">
        <f>'Inputs_NT INM'!U326</f>
        <v>1588.3140891800003</v>
      </c>
      <c r="O329" s="459">
        <f>'Inputs_NT INM'!V326</f>
        <v>1588.3140891800003</v>
      </c>
      <c r="P329" s="459">
        <f>'Inputs_NT INM'!W326</f>
        <v>1588.3140891800003</v>
      </c>
      <c r="Q329" s="459">
        <f>'Inputs_NT INM'!X326</f>
        <v>1588.3140891800003</v>
      </c>
      <c r="R329" s="459">
        <f>'Inputs_NT INM'!Y326</f>
        <v>1588.3140891800003</v>
      </c>
      <c r="S329" s="459">
        <f>'Inputs_NT INM'!Z326</f>
        <v>1588.3140891800003</v>
      </c>
      <c r="T329" s="459">
        <f>'Inputs_NT INM'!AA326</f>
        <v>1588.3140891800003</v>
      </c>
      <c r="U329" s="459">
        <f>'Inputs_NT INM'!AB326</f>
        <v>1588.3140891800003</v>
      </c>
      <c r="V329" s="459">
        <f>'Inputs_NT INM'!AC326</f>
        <v>1588.3140891800003</v>
      </c>
      <c r="W329" s="459">
        <f>'Inputs_NT INM'!AD326</f>
        <v>1588.3140891800003</v>
      </c>
      <c r="X329" s="459">
        <f>'Inputs_NT INM'!AE326</f>
        <v>1588.3140891800003</v>
      </c>
      <c r="Y329" s="459">
        <f>'Inputs_NT INM'!AF326</f>
        <v>1588.3140891800003</v>
      </c>
      <c r="Z329" s="459">
        <f>'Inputs_NT INM'!AG326</f>
        <v>1588.3140891800003</v>
      </c>
      <c r="AA329" s="459">
        <f>'Inputs_NT INM'!AH326</f>
        <v>1588.3140891800003</v>
      </c>
      <c r="AB329" s="459">
        <f>'Inputs_NT INM'!AI326</f>
        <v>1588.3140891800003</v>
      </c>
      <c r="AC329" s="459">
        <f>'Inputs_NT INM'!AJ326</f>
        <v>1588.3140891800003</v>
      </c>
      <c r="AD329" s="459">
        <f>'Inputs_NT INM'!AK326</f>
        <v>1588.3140891800003</v>
      </c>
      <c r="AE329" s="459">
        <f>'Inputs_NT INM'!AL326</f>
        <v>1588.3140891800003</v>
      </c>
      <c r="AF329" s="459">
        <f>'Inputs_NT INM'!AM326</f>
        <v>1588.3140891800003</v>
      </c>
      <c r="AG329" s="459">
        <f>'Inputs_NT INM'!AN326</f>
        <v>1588.3140891800003</v>
      </c>
      <c r="AH329" s="459"/>
      <c r="AI329" s="459"/>
      <c r="AJ329" s="459"/>
    </row>
    <row r="330" spans="1:36" x14ac:dyDescent="0.25">
      <c r="A330" s="9" t="s">
        <v>848</v>
      </c>
      <c r="B330" s="9" t="s">
        <v>972</v>
      </c>
      <c r="C330" s="9" t="s">
        <v>624</v>
      </c>
      <c r="D330" s="9">
        <v>2030</v>
      </c>
      <c r="E330" s="9" t="s">
        <v>995</v>
      </c>
      <c r="F330" s="459">
        <f>'Inputs_NT INM'!M327</f>
        <v>1588.3140891800003</v>
      </c>
      <c r="G330" s="459">
        <f>'Inputs_NT INM'!N327</f>
        <v>1588.3140891800003</v>
      </c>
      <c r="H330" s="459">
        <f>'Inputs_NT INM'!O327</f>
        <v>1588.3140891800003</v>
      </c>
      <c r="I330" s="459">
        <f>'Inputs_NT INM'!P327</f>
        <v>1588.3140891800003</v>
      </c>
      <c r="J330" s="459">
        <f>'Inputs_NT INM'!Q327</f>
        <v>1588.3140891800003</v>
      </c>
      <c r="K330" s="459">
        <f>'Inputs_NT INM'!R327</f>
        <v>1588.3140891800003</v>
      </c>
      <c r="L330" s="459">
        <f>'Inputs_NT INM'!S327</f>
        <v>1588.3140891800003</v>
      </c>
      <c r="M330" s="459">
        <f>'Inputs_NT INM'!T327</f>
        <v>1588.3140891800003</v>
      </c>
      <c r="N330" s="459">
        <f>'Inputs_NT INM'!U327</f>
        <v>1588.3140891800003</v>
      </c>
      <c r="O330" s="459">
        <f>'Inputs_NT INM'!V327</f>
        <v>1588.3140891800003</v>
      </c>
      <c r="P330" s="459">
        <f>'Inputs_NT INM'!W327</f>
        <v>1588.3140891800003</v>
      </c>
      <c r="Q330" s="459">
        <f>'Inputs_NT INM'!X327</f>
        <v>1588.3140891800003</v>
      </c>
      <c r="R330" s="459">
        <f>'Inputs_NT INM'!Y327</f>
        <v>1588.3140891800003</v>
      </c>
      <c r="S330" s="459">
        <f>'Inputs_NT INM'!Z327</f>
        <v>1588.3140891800003</v>
      </c>
      <c r="T330" s="459">
        <f>'Inputs_NT INM'!AA327</f>
        <v>1588.3140891800003</v>
      </c>
      <c r="U330" s="459">
        <f>'Inputs_NT INM'!AB327</f>
        <v>1588.3140891800003</v>
      </c>
      <c r="V330" s="459">
        <f>'Inputs_NT INM'!AC327</f>
        <v>1588.3140891800003</v>
      </c>
      <c r="W330" s="459">
        <f>'Inputs_NT INM'!AD327</f>
        <v>1588.3140891800003</v>
      </c>
      <c r="X330" s="459">
        <f>'Inputs_NT INM'!AE327</f>
        <v>1588.3140891800003</v>
      </c>
      <c r="Y330" s="459">
        <f>'Inputs_NT INM'!AF327</f>
        <v>1588.3140891800003</v>
      </c>
      <c r="Z330" s="459">
        <f>'Inputs_NT INM'!AG327</f>
        <v>1588.3140891800003</v>
      </c>
      <c r="AA330" s="459">
        <f>'Inputs_NT INM'!AH327</f>
        <v>1588.3140891800003</v>
      </c>
      <c r="AB330" s="459">
        <f>'Inputs_NT INM'!AI327</f>
        <v>1588.3140891800003</v>
      </c>
      <c r="AC330" s="459">
        <f>'Inputs_NT INM'!AJ327</f>
        <v>1588.3140891800003</v>
      </c>
      <c r="AD330" s="459">
        <f>'Inputs_NT INM'!AK327</f>
        <v>1588.3140891800003</v>
      </c>
      <c r="AE330" s="459">
        <f>'Inputs_NT INM'!AL327</f>
        <v>1588.3140891800003</v>
      </c>
      <c r="AF330" s="459">
        <f>'Inputs_NT INM'!AM327</f>
        <v>1588.3140891800003</v>
      </c>
      <c r="AG330" s="459">
        <f>'Inputs_NT INM'!AN327</f>
        <v>1588.3140891800003</v>
      </c>
      <c r="AH330" s="459"/>
      <c r="AI330" s="459"/>
      <c r="AJ330" s="459"/>
    </row>
    <row r="331" spans="1:36" x14ac:dyDescent="0.25">
      <c r="A331" s="9" t="s">
        <v>849</v>
      </c>
      <c r="B331" s="9" t="s">
        <v>973</v>
      </c>
      <c r="C331" s="9" t="s">
        <v>624</v>
      </c>
      <c r="D331" s="9">
        <v>2030</v>
      </c>
      <c r="E331" s="9" t="s">
        <v>995</v>
      </c>
      <c r="F331" s="459">
        <f>'Inputs_NT INM'!M328</f>
        <v>1588.3140891800003</v>
      </c>
      <c r="G331" s="459">
        <f>'Inputs_NT INM'!N328</f>
        <v>1588.3140891800003</v>
      </c>
      <c r="H331" s="459">
        <f>'Inputs_NT INM'!O328</f>
        <v>1588.3140891800003</v>
      </c>
      <c r="I331" s="459">
        <f>'Inputs_NT INM'!P328</f>
        <v>1588.3140891800003</v>
      </c>
      <c r="J331" s="459">
        <f>'Inputs_NT INM'!Q328</f>
        <v>1588.3140891800003</v>
      </c>
      <c r="K331" s="459">
        <f>'Inputs_NT INM'!R328</f>
        <v>1588.3140891800003</v>
      </c>
      <c r="L331" s="459">
        <f>'Inputs_NT INM'!S328</f>
        <v>1588.3140891800003</v>
      </c>
      <c r="M331" s="459">
        <f>'Inputs_NT INM'!T328</f>
        <v>1588.3140891800003</v>
      </c>
      <c r="N331" s="459">
        <f>'Inputs_NT INM'!U328</f>
        <v>1588.3140891800003</v>
      </c>
      <c r="O331" s="459">
        <f>'Inputs_NT INM'!V328</f>
        <v>1588.3140891800003</v>
      </c>
      <c r="P331" s="459">
        <f>'Inputs_NT INM'!W328</f>
        <v>1588.3140891800003</v>
      </c>
      <c r="Q331" s="459">
        <f>'Inputs_NT INM'!X328</f>
        <v>1588.3140891800003</v>
      </c>
      <c r="R331" s="459">
        <f>'Inputs_NT INM'!Y328</f>
        <v>1588.3140891800003</v>
      </c>
      <c r="S331" s="459">
        <f>'Inputs_NT INM'!Z328</f>
        <v>1588.3140891800003</v>
      </c>
      <c r="T331" s="459">
        <f>'Inputs_NT INM'!AA328</f>
        <v>1588.3140891800003</v>
      </c>
      <c r="U331" s="459">
        <f>'Inputs_NT INM'!AB328</f>
        <v>1588.3140891800003</v>
      </c>
      <c r="V331" s="459">
        <f>'Inputs_NT INM'!AC328</f>
        <v>1588.3140891800003</v>
      </c>
      <c r="W331" s="459">
        <f>'Inputs_NT INM'!AD328</f>
        <v>1588.3140891800003</v>
      </c>
      <c r="X331" s="459">
        <f>'Inputs_NT INM'!AE328</f>
        <v>1588.3140891800003</v>
      </c>
      <c r="Y331" s="459">
        <f>'Inputs_NT INM'!AF328</f>
        <v>1588.3140891800003</v>
      </c>
      <c r="Z331" s="459">
        <f>'Inputs_NT INM'!AG328</f>
        <v>1588.3140891800003</v>
      </c>
      <c r="AA331" s="459">
        <f>'Inputs_NT INM'!AH328</f>
        <v>1588.3140891800003</v>
      </c>
      <c r="AB331" s="459">
        <f>'Inputs_NT INM'!AI328</f>
        <v>1588.3140891800003</v>
      </c>
      <c r="AC331" s="459">
        <f>'Inputs_NT INM'!AJ328</f>
        <v>1588.3140891800003</v>
      </c>
      <c r="AD331" s="459">
        <f>'Inputs_NT INM'!AK328</f>
        <v>1588.3140891800003</v>
      </c>
      <c r="AE331" s="459">
        <f>'Inputs_NT INM'!AL328</f>
        <v>1588.3140891800003</v>
      </c>
      <c r="AF331" s="459">
        <f>'Inputs_NT INM'!AM328</f>
        <v>1588.3140891800003</v>
      </c>
      <c r="AG331" s="459">
        <f>'Inputs_NT INM'!AN328</f>
        <v>1588.3140891800003</v>
      </c>
      <c r="AH331" s="459"/>
      <c r="AI331" s="459"/>
      <c r="AJ331" s="459"/>
    </row>
    <row r="332" spans="1:36" x14ac:dyDescent="0.25">
      <c r="A332" s="9" t="s">
        <v>850</v>
      </c>
      <c r="B332" s="9" t="s">
        <v>974</v>
      </c>
      <c r="C332" s="9" t="s">
        <v>624</v>
      </c>
      <c r="D332" s="9">
        <v>2030</v>
      </c>
      <c r="E332" s="9" t="s">
        <v>995</v>
      </c>
      <c r="F332" s="459">
        <f>'Inputs_NT INM'!M329</f>
        <v>1588.3140891800003</v>
      </c>
      <c r="G332" s="459">
        <f>'Inputs_NT INM'!N329</f>
        <v>1588.3140891800003</v>
      </c>
      <c r="H332" s="459">
        <f>'Inputs_NT INM'!O329</f>
        <v>1588.3140891800003</v>
      </c>
      <c r="I332" s="459">
        <f>'Inputs_NT INM'!P329</f>
        <v>1588.3140891800003</v>
      </c>
      <c r="J332" s="459">
        <f>'Inputs_NT INM'!Q329</f>
        <v>1588.3140891800003</v>
      </c>
      <c r="K332" s="459">
        <f>'Inputs_NT INM'!R329</f>
        <v>1588.3140891800003</v>
      </c>
      <c r="L332" s="459">
        <f>'Inputs_NT INM'!S329</f>
        <v>1588.3140891800003</v>
      </c>
      <c r="M332" s="459">
        <f>'Inputs_NT INM'!T329</f>
        <v>1588.3140891800003</v>
      </c>
      <c r="N332" s="459">
        <f>'Inputs_NT INM'!U329</f>
        <v>1588.3140891800003</v>
      </c>
      <c r="O332" s="459">
        <f>'Inputs_NT INM'!V329</f>
        <v>1588.3140891800003</v>
      </c>
      <c r="P332" s="459">
        <f>'Inputs_NT INM'!W329</f>
        <v>1588.3140891800003</v>
      </c>
      <c r="Q332" s="459">
        <f>'Inputs_NT INM'!X329</f>
        <v>1588.3140891800003</v>
      </c>
      <c r="R332" s="459">
        <f>'Inputs_NT INM'!Y329</f>
        <v>1588.3140891800003</v>
      </c>
      <c r="S332" s="459">
        <f>'Inputs_NT INM'!Z329</f>
        <v>1588.3140891800003</v>
      </c>
      <c r="T332" s="459">
        <f>'Inputs_NT INM'!AA329</f>
        <v>1588.3140891800003</v>
      </c>
      <c r="U332" s="459">
        <f>'Inputs_NT INM'!AB329</f>
        <v>1588.3140891800003</v>
      </c>
      <c r="V332" s="459">
        <f>'Inputs_NT INM'!AC329</f>
        <v>1588.3140891800003</v>
      </c>
      <c r="W332" s="459">
        <f>'Inputs_NT INM'!AD329</f>
        <v>1588.3140891800003</v>
      </c>
      <c r="X332" s="459">
        <f>'Inputs_NT INM'!AE329</f>
        <v>1588.3140891800003</v>
      </c>
      <c r="Y332" s="459">
        <f>'Inputs_NT INM'!AF329</f>
        <v>1588.3140891800003</v>
      </c>
      <c r="Z332" s="459">
        <f>'Inputs_NT INM'!AG329</f>
        <v>1588.3140891800003</v>
      </c>
      <c r="AA332" s="459">
        <f>'Inputs_NT INM'!AH329</f>
        <v>1588.3140891800003</v>
      </c>
      <c r="AB332" s="459">
        <f>'Inputs_NT INM'!AI329</f>
        <v>1588.3140891800003</v>
      </c>
      <c r="AC332" s="459">
        <f>'Inputs_NT INM'!AJ329</f>
        <v>1588.3140891800003</v>
      </c>
      <c r="AD332" s="459">
        <f>'Inputs_NT INM'!AK329</f>
        <v>1588.3140891800003</v>
      </c>
      <c r="AE332" s="459">
        <f>'Inputs_NT INM'!AL329</f>
        <v>1588.3140891800003</v>
      </c>
      <c r="AF332" s="459">
        <f>'Inputs_NT INM'!AM329</f>
        <v>1588.3140891800003</v>
      </c>
      <c r="AG332" s="459">
        <f>'Inputs_NT INM'!AN329</f>
        <v>1588.3140891800003</v>
      </c>
      <c r="AH332" s="459"/>
      <c r="AI332" s="459"/>
      <c r="AJ332" s="459"/>
    </row>
    <row r="333" spans="1:36" x14ac:dyDescent="0.25">
      <c r="A333" s="9" t="s">
        <v>831</v>
      </c>
      <c r="B333" s="9" t="s">
        <v>975</v>
      </c>
      <c r="C333" s="9" t="s">
        <v>624</v>
      </c>
      <c r="D333" s="9">
        <v>2030</v>
      </c>
      <c r="E333" s="9" t="s">
        <v>995</v>
      </c>
      <c r="F333" s="459">
        <f>'Inputs_NT INM'!M330</f>
        <v>1588.3140891800003</v>
      </c>
      <c r="G333" s="459">
        <f>'Inputs_NT INM'!N330</f>
        <v>1588.3140891800003</v>
      </c>
      <c r="H333" s="459">
        <f>'Inputs_NT INM'!O330</f>
        <v>1588.3140891800003</v>
      </c>
      <c r="I333" s="459">
        <f>'Inputs_NT INM'!P330</f>
        <v>1588.3140891800003</v>
      </c>
      <c r="J333" s="459">
        <f>'Inputs_NT INM'!Q330</f>
        <v>1588.3140891800003</v>
      </c>
      <c r="K333" s="459">
        <f>'Inputs_NT INM'!R330</f>
        <v>1588.3140891800003</v>
      </c>
      <c r="L333" s="459">
        <f>'Inputs_NT INM'!S330</f>
        <v>1588.3140891800003</v>
      </c>
      <c r="M333" s="459">
        <f>'Inputs_NT INM'!T330</f>
        <v>1588.3140891800003</v>
      </c>
      <c r="N333" s="459">
        <f>'Inputs_NT INM'!U330</f>
        <v>1588.3140891800003</v>
      </c>
      <c r="O333" s="459">
        <f>'Inputs_NT INM'!V330</f>
        <v>1588.3140891800003</v>
      </c>
      <c r="P333" s="459">
        <f>'Inputs_NT INM'!W330</f>
        <v>1588.3140891800003</v>
      </c>
      <c r="Q333" s="459">
        <f>'Inputs_NT INM'!X330</f>
        <v>1588.3140891800003</v>
      </c>
      <c r="R333" s="459">
        <f>'Inputs_NT INM'!Y330</f>
        <v>1588.3140891800003</v>
      </c>
      <c r="S333" s="459">
        <f>'Inputs_NT INM'!Z330</f>
        <v>1588.3140891800003</v>
      </c>
      <c r="T333" s="459">
        <f>'Inputs_NT INM'!AA330</f>
        <v>1588.3140891800003</v>
      </c>
      <c r="U333" s="459">
        <f>'Inputs_NT INM'!AB330</f>
        <v>1588.3140891800003</v>
      </c>
      <c r="V333" s="459">
        <f>'Inputs_NT INM'!AC330</f>
        <v>1588.3140891800003</v>
      </c>
      <c r="W333" s="459">
        <f>'Inputs_NT INM'!AD330</f>
        <v>1588.3140891800003</v>
      </c>
      <c r="X333" s="459">
        <f>'Inputs_NT INM'!AE330</f>
        <v>1588.3140891800003</v>
      </c>
      <c r="Y333" s="459">
        <f>'Inputs_NT INM'!AF330</f>
        <v>1588.3140891800003</v>
      </c>
      <c r="Z333" s="459">
        <f>'Inputs_NT INM'!AG330</f>
        <v>1588.3140891800003</v>
      </c>
      <c r="AA333" s="459">
        <f>'Inputs_NT INM'!AH330</f>
        <v>1588.3140891800003</v>
      </c>
      <c r="AB333" s="459">
        <f>'Inputs_NT INM'!AI330</f>
        <v>1588.3140891800003</v>
      </c>
      <c r="AC333" s="459">
        <f>'Inputs_NT INM'!AJ330</f>
        <v>1588.3140891800003</v>
      </c>
      <c r="AD333" s="459">
        <f>'Inputs_NT INM'!AK330</f>
        <v>1588.3140891800003</v>
      </c>
      <c r="AE333" s="459">
        <f>'Inputs_NT INM'!AL330</f>
        <v>1588.3140891800003</v>
      </c>
      <c r="AF333" s="459">
        <f>'Inputs_NT INM'!AM330</f>
        <v>1588.3140891800003</v>
      </c>
      <c r="AG333" s="459">
        <f>'Inputs_NT INM'!AN330</f>
        <v>1588.3140891800003</v>
      </c>
      <c r="AH333" s="459"/>
      <c r="AI333" s="459"/>
      <c r="AJ333" s="459"/>
    </row>
    <row r="334" spans="1:36" x14ac:dyDescent="0.25">
      <c r="A334" s="9" t="s">
        <v>845</v>
      </c>
      <c r="B334" s="9" t="s">
        <v>969</v>
      </c>
      <c r="C334" s="9" t="s">
        <v>624</v>
      </c>
      <c r="D334" s="9">
        <v>2050</v>
      </c>
      <c r="E334" s="9" t="s">
        <v>995</v>
      </c>
      <c r="F334" s="459">
        <f>'Inputs_NT INM'!M331</f>
        <v>1358.8558005640182</v>
      </c>
      <c r="G334" s="459">
        <f>'Inputs_NT INM'!N331</f>
        <v>1358.8558005640182</v>
      </c>
      <c r="H334" s="459">
        <f>'Inputs_NT INM'!O331</f>
        <v>1358.8558005640182</v>
      </c>
      <c r="I334" s="459">
        <f>'Inputs_NT INM'!P331</f>
        <v>1358.8558005640182</v>
      </c>
      <c r="J334" s="459">
        <f>'Inputs_NT INM'!Q331</f>
        <v>1358.8558005640182</v>
      </c>
      <c r="K334" s="459">
        <f>'Inputs_NT INM'!R331</f>
        <v>1358.8558005640182</v>
      </c>
      <c r="L334" s="459">
        <f>'Inputs_NT INM'!S331</f>
        <v>1358.8558005640182</v>
      </c>
      <c r="M334" s="459">
        <f>'Inputs_NT INM'!T331</f>
        <v>1358.8558005640182</v>
      </c>
      <c r="N334" s="459">
        <f>'Inputs_NT INM'!U331</f>
        <v>1358.8558005640182</v>
      </c>
      <c r="O334" s="459">
        <f>'Inputs_NT INM'!V331</f>
        <v>1358.8558005640182</v>
      </c>
      <c r="P334" s="459">
        <f>'Inputs_NT INM'!W331</f>
        <v>1358.8558005640182</v>
      </c>
      <c r="Q334" s="459">
        <f>'Inputs_NT INM'!X331</f>
        <v>1358.8558005640182</v>
      </c>
      <c r="R334" s="459">
        <f>'Inputs_NT INM'!Y331</f>
        <v>1358.8558005640182</v>
      </c>
      <c r="S334" s="459">
        <f>'Inputs_NT INM'!Z331</f>
        <v>1358.8558005640182</v>
      </c>
      <c r="T334" s="459">
        <f>'Inputs_NT INM'!AA331</f>
        <v>1358.8558005640182</v>
      </c>
      <c r="U334" s="459">
        <f>'Inputs_NT INM'!AB331</f>
        <v>1358.8558005640182</v>
      </c>
      <c r="V334" s="459">
        <f>'Inputs_NT INM'!AC331</f>
        <v>1358.8558005640182</v>
      </c>
      <c r="W334" s="459">
        <f>'Inputs_NT INM'!AD331</f>
        <v>1358.8558005640182</v>
      </c>
      <c r="X334" s="459">
        <f>'Inputs_NT INM'!AE331</f>
        <v>1358.8558005640182</v>
      </c>
      <c r="Y334" s="459">
        <f>'Inputs_NT INM'!AF331</f>
        <v>1358.8558005640182</v>
      </c>
      <c r="Z334" s="459">
        <f>'Inputs_NT INM'!AG331</f>
        <v>1358.8558005640182</v>
      </c>
      <c r="AA334" s="459">
        <f>'Inputs_NT INM'!AH331</f>
        <v>1358.8558005640182</v>
      </c>
      <c r="AB334" s="459">
        <f>'Inputs_NT INM'!AI331</f>
        <v>1358.8558005640182</v>
      </c>
      <c r="AC334" s="459">
        <f>'Inputs_NT INM'!AJ331</f>
        <v>1358.8558005640182</v>
      </c>
      <c r="AD334" s="459">
        <f>'Inputs_NT INM'!AK331</f>
        <v>1358.8558005640182</v>
      </c>
      <c r="AE334" s="459">
        <f>'Inputs_NT INM'!AL331</f>
        <v>1358.8558005640182</v>
      </c>
      <c r="AF334" s="459">
        <f>'Inputs_NT INM'!AM331</f>
        <v>1358.8558005640182</v>
      </c>
      <c r="AG334" s="459">
        <f>'Inputs_NT INM'!AN331</f>
        <v>1358.8558005640182</v>
      </c>
      <c r="AH334" s="459"/>
      <c r="AI334" s="459"/>
      <c r="AJ334" s="459"/>
    </row>
    <row r="335" spans="1:36" x14ac:dyDescent="0.25">
      <c r="A335" s="9" t="s">
        <v>846</v>
      </c>
      <c r="B335" s="9" t="s">
        <v>970</v>
      </c>
      <c r="C335" s="9" t="s">
        <v>624</v>
      </c>
      <c r="D335" s="9">
        <v>2050</v>
      </c>
      <c r="E335" s="9" t="s">
        <v>995</v>
      </c>
      <c r="F335" s="459">
        <f>'Inputs_NT INM'!M332</f>
        <v>1358.8558005640182</v>
      </c>
      <c r="G335" s="459">
        <f>'Inputs_NT INM'!N332</f>
        <v>1358.8558005640182</v>
      </c>
      <c r="H335" s="459">
        <f>'Inputs_NT INM'!O332</f>
        <v>1358.8558005640182</v>
      </c>
      <c r="I335" s="459">
        <f>'Inputs_NT INM'!P332</f>
        <v>1358.8558005640182</v>
      </c>
      <c r="J335" s="459">
        <f>'Inputs_NT INM'!Q332</f>
        <v>1358.8558005640182</v>
      </c>
      <c r="K335" s="459">
        <f>'Inputs_NT INM'!R332</f>
        <v>1358.8558005640182</v>
      </c>
      <c r="L335" s="459">
        <f>'Inputs_NT INM'!S332</f>
        <v>1358.8558005640182</v>
      </c>
      <c r="M335" s="459">
        <f>'Inputs_NT INM'!T332</f>
        <v>1358.8558005640182</v>
      </c>
      <c r="N335" s="459">
        <f>'Inputs_NT INM'!U332</f>
        <v>1358.8558005640182</v>
      </c>
      <c r="O335" s="459">
        <f>'Inputs_NT INM'!V332</f>
        <v>1358.8558005640182</v>
      </c>
      <c r="P335" s="459">
        <f>'Inputs_NT INM'!W332</f>
        <v>1358.8558005640182</v>
      </c>
      <c r="Q335" s="459">
        <f>'Inputs_NT INM'!X332</f>
        <v>1358.8558005640182</v>
      </c>
      <c r="R335" s="459">
        <f>'Inputs_NT INM'!Y332</f>
        <v>1358.8558005640182</v>
      </c>
      <c r="S335" s="459">
        <f>'Inputs_NT INM'!Z332</f>
        <v>1358.8558005640182</v>
      </c>
      <c r="T335" s="459">
        <f>'Inputs_NT INM'!AA332</f>
        <v>1358.8558005640182</v>
      </c>
      <c r="U335" s="459">
        <f>'Inputs_NT INM'!AB332</f>
        <v>1358.8558005640182</v>
      </c>
      <c r="V335" s="459">
        <f>'Inputs_NT INM'!AC332</f>
        <v>1358.8558005640182</v>
      </c>
      <c r="W335" s="459">
        <f>'Inputs_NT INM'!AD332</f>
        <v>1358.8558005640182</v>
      </c>
      <c r="X335" s="459">
        <f>'Inputs_NT INM'!AE332</f>
        <v>1358.8558005640182</v>
      </c>
      <c r="Y335" s="459">
        <f>'Inputs_NT INM'!AF332</f>
        <v>1358.8558005640182</v>
      </c>
      <c r="Z335" s="459">
        <f>'Inputs_NT INM'!AG332</f>
        <v>1358.8558005640182</v>
      </c>
      <c r="AA335" s="459">
        <f>'Inputs_NT INM'!AH332</f>
        <v>1358.8558005640182</v>
      </c>
      <c r="AB335" s="459">
        <f>'Inputs_NT INM'!AI332</f>
        <v>1358.8558005640182</v>
      </c>
      <c r="AC335" s="459">
        <f>'Inputs_NT INM'!AJ332</f>
        <v>1358.8558005640182</v>
      </c>
      <c r="AD335" s="459">
        <f>'Inputs_NT INM'!AK332</f>
        <v>1358.8558005640182</v>
      </c>
      <c r="AE335" s="459">
        <f>'Inputs_NT INM'!AL332</f>
        <v>1358.8558005640182</v>
      </c>
      <c r="AF335" s="459">
        <f>'Inputs_NT INM'!AM332</f>
        <v>1358.8558005640182</v>
      </c>
      <c r="AG335" s="459">
        <f>'Inputs_NT INM'!AN332</f>
        <v>1358.8558005640182</v>
      </c>
      <c r="AH335" s="459"/>
      <c r="AI335" s="459"/>
      <c r="AJ335" s="459"/>
    </row>
    <row r="336" spans="1:36" x14ac:dyDescent="0.25">
      <c r="A336" s="9" t="s">
        <v>847</v>
      </c>
      <c r="B336" s="9" t="s">
        <v>971</v>
      </c>
      <c r="C336" s="9" t="s">
        <v>624</v>
      </c>
      <c r="D336" s="9">
        <v>2050</v>
      </c>
      <c r="E336" s="9" t="s">
        <v>995</v>
      </c>
      <c r="F336" s="459">
        <f>'Inputs_NT INM'!M333</f>
        <v>1358.8558005640182</v>
      </c>
      <c r="G336" s="459">
        <f>'Inputs_NT INM'!N333</f>
        <v>1358.8558005640182</v>
      </c>
      <c r="H336" s="459">
        <f>'Inputs_NT INM'!O333</f>
        <v>1358.8558005640182</v>
      </c>
      <c r="I336" s="459">
        <f>'Inputs_NT INM'!P333</f>
        <v>1358.8558005640182</v>
      </c>
      <c r="J336" s="459">
        <f>'Inputs_NT INM'!Q333</f>
        <v>1358.8558005640182</v>
      </c>
      <c r="K336" s="459">
        <f>'Inputs_NT INM'!R333</f>
        <v>1358.8558005640182</v>
      </c>
      <c r="L336" s="459">
        <f>'Inputs_NT INM'!S333</f>
        <v>1358.8558005640182</v>
      </c>
      <c r="M336" s="459">
        <f>'Inputs_NT INM'!T333</f>
        <v>1358.8558005640182</v>
      </c>
      <c r="N336" s="459">
        <f>'Inputs_NT INM'!U333</f>
        <v>1358.8558005640182</v>
      </c>
      <c r="O336" s="459">
        <f>'Inputs_NT INM'!V333</f>
        <v>1358.8558005640182</v>
      </c>
      <c r="P336" s="459">
        <f>'Inputs_NT INM'!W333</f>
        <v>1358.8558005640182</v>
      </c>
      <c r="Q336" s="459">
        <f>'Inputs_NT INM'!X333</f>
        <v>1358.8558005640182</v>
      </c>
      <c r="R336" s="459">
        <f>'Inputs_NT INM'!Y333</f>
        <v>1358.8558005640182</v>
      </c>
      <c r="S336" s="459">
        <f>'Inputs_NT INM'!Z333</f>
        <v>1358.8558005640182</v>
      </c>
      <c r="T336" s="459">
        <f>'Inputs_NT INM'!AA333</f>
        <v>1358.8558005640182</v>
      </c>
      <c r="U336" s="459">
        <f>'Inputs_NT INM'!AB333</f>
        <v>1358.8558005640182</v>
      </c>
      <c r="V336" s="459">
        <f>'Inputs_NT INM'!AC333</f>
        <v>1358.8558005640182</v>
      </c>
      <c r="W336" s="459">
        <f>'Inputs_NT INM'!AD333</f>
        <v>1358.8558005640182</v>
      </c>
      <c r="X336" s="459">
        <f>'Inputs_NT INM'!AE333</f>
        <v>1358.8558005640182</v>
      </c>
      <c r="Y336" s="459">
        <f>'Inputs_NT INM'!AF333</f>
        <v>1358.8558005640182</v>
      </c>
      <c r="Z336" s="459">
        <f>'Inputs_NT INM'!AG333</f>
        <v>1358.8558005640182</v>
      </c>
      <c r="AA336" s="459">
        <f>'Inputs_NT INM'!AH333</f>
        <v>1358.8558005640182</v>
      </c>
      <c r="AB336" s="459">
        <f>'Inputs_NT INM'!AI333</f>
        <v>1358.8558005640182</v>
      </c>
      <c r="AC336" s="459">
        <f>'Inputs_NT INM'!AJ333</f>
        <v>1358.8558005640182</v>
      </c>
      <c r="AD336" s="459">
        <f>'Inputs_NT INM'!AK333</f>
        <v>1358.8558005640182</v>
      </c>
      <c r="AE336" s="459">
        <f>'Inputs_NT INM'!AL333</f>
        <v>1358.8558005640182</v>
      </c>
      <c r="AF336" s="459">
        <f>'Inputs_NT INM'!AM333</f>
        <v>1358.8558005640182</v>
      </c>
      <c r="AG336" s="459">
        <f>'Inputs_NT INM'!AN333</f>
        <v>1358.8558005640182</v>
      </c>
      <c r="AH336" s="459"/>
      <c r="AI336" s="459"/>
      <c r="AJ336" s="459"/>
    </row>
    <row r="337" spans="1:36" x14ac:dyDescent="0.25">
      <c r="A337" s="9" t="s">
        <v>848</v>
      </c>
      <c r="B337" s="9" t="s">
        <v>972</v>
      </c>
      <c r="C337" s="9" t="s">
        <v>624</v>
      </c>
      <c r="D337" s="9">
        <v>2050</v>
      </c>
      <c r="E337" s="9" t="s">
        <v>995</v>
      </c>
      <c r="F337" s="459">
        <f>'Inputs_NT INM'!M334</f>
        <v>1358.8558005640182</v>
      </c>
      <c r="G337" s="459">
        <f>'Inputs_NT INM'!N334</f>
        <v>1358.8558005640182</v>
      </c>
      <c r="H337" s="459">
        <f>'Inputs_NT INM'!O334</f>
        <v>1358.8558005640182</v>
      </c>
      <c r="I337" s="459">
        <f>'Inputs_NT INM'!P334</f>
        <v>1358.8558005640182</v>
      </c>
      <c r="J337" s="459">
        <f>'Inputs_NT INM'!Q334</f>
        <v>1358.8558005640182</v>
      </c>
      <c r="K337" s="459">
        <f>'Inputs_NT INM'!R334</f>
        <v>1358.8558005640182</v>
      </c>
      <c r="L337" s="459">
        <f>'Inputs_NT INM'!S334</f>
        <v>1358.8558005640182</v>
      </c>
      <c r="M337" s="459">
        <f>'Inputs_NT INM'!T334</f>
        <v>1358.8558005640182</v>
      </c>
      <c r="N337" s="459">
        <f>'Inputs_NT INM'!U334</f>
        <v>1358.8558005640182</v>
      </c>
      <c r="O337" s="459">
        <f>'Inputs_NT INM'!V334</f>
        <v>1358.8558005640182</v>
      </c>
      <c r="P337" s="459">
        <f>'Inputs_NT INM'!W334</f>
        <v>1358.8558005640182</v>
      </c>
      <c r="Q337" s="459">
        <f>'Inputs_NT INM'!X334</f>
        <v>1358.8558005640182</v>
      </c>
      <c r="R337" s="459">
        <f>'Inputs_NT INM'!Y334</f>
        <v>1358.8558005640182</v>
      </c>
      <c r="S337" s="459">
        <f>'Inputs_NT INM'!Z334</f>
        <v>1358.8558005640182</v>
      </c>
      <c r="T337" s="459">
        <f>'Inputs_NT INM'!AA334</f>
        <v>1358.8558005640182</v>
      </c>
      <c r="U337" s="459">
        <f>'Inputs_NT INM'!AB334</f>
        <v>1358.8558005640182</v>
      </c>
      <c r="V337" s="459">
        <f>'Inputs_NT INM'!AC334</f>
        <v>1358.8558005640182</v>
      </c>
      <c r="W337" s="459">
        <f>'Inputs_NT INM'!AD334</f>
        <v>1358.8558005640182</v>
      </c>
      <c r="X337" s="459">
        <f>'Inputs_NT INM'!AE334</f>
        <v>1358.8558005640182</v>
      </c>
      <c r="Y337" s="459">
        <f>'Inputs_NT INM'!AF334</f>
        <v>1358.8558005640182</v>
      </c>
      <c r="Z337" s="459">
        <f>'Inputs_NT INM'!AG334</f>
        <v>1358.8558005640182</v>
      </c>
      <c r="AA337" s="459">
        <f>'Inputs_NT INM'!AH334</f>
        <v>1358.8558005640182</v>
      </c>
      <c r="AB337" s="459">
        <f>'Inputs_NT INM'!AI334</f>
        <v>1358.8558005640182</v>
      </c>
      <c r="AC337" s="459">
        <f>'Inputs_NT INM'!AJ334</f>
        <v>1358.8558005640182</v>
      </c>
      <c r="AD337" s="459">
        <f>'Inputs_NT INM'!AK334</f>
        <v>1358.8558005640182</v>
      </c>
      <c r="AE337" s="459">
        <f>'Inputs_NT INM'!AL334</f>
        <v>1358.8558005640182</v>
      </c>
      <c r="AF337" s="459">
        <f>'Inputs_NT INM'!AM334</f>
        <v>1358.8558005640182</v>
      </c>
      <c r="AG337" s="459">
        <f>'Inputs_NT INM'!AN334</f>
        <v>1358.8558005640182</v>
      </c>
      <c r="AH337" s="459"/>
      <c r="AI337" s="459"/>
      <c r="AJ337" s="459"/>
    </row>
    <row r="338" spans="1:36" x14ac:dyDescent="0.25">
      <c r="A338" s="9" t="s">
        <v>849</v>
      </c>
      <c r="B338" s="9" t="s">
        <v>973</v>
      </c>
      <c r="C338" s="9" t="s">
        <v>624</v>
      </c>
      <c r="D338" s="9">
        <v>2050</v>
      </c>
      <c r="E338" s="9" t="s">
        <v>995</v>
      </c>
      <c r="F338" s="459">
        <f>'Inputs_NT INM'!M335</f>
        <v>1358.8558005640182</v>
      </c>
      <c r="G338" s="459">
        <f>'Inputs_NT INM'!N335</f>
        <v>1358.8558005640182</v>
      </c>
      <c r="H338" s="459">
        <f>'Inputs_NT INM'!O335</f>
        <v>1358.8558005640182</v>
      </c>
      <c r="I338" s="459">
        <f>'Inputs_NT INM'!P335</f>
        <v>1358.8558005640182</v>
      </c>
      <c r="J338" s="459">
        <f>'Inputs_NT INM'!Q335</f>
        <v>1358.8558005640182</v>
      </c>
      <c r="K338" s="459">
        <f>'Inputs_NT INM'!R335</f>
        <v>1358.8558005640182</v>
      </c>
      <c r="L338" s="459">
        <f>'Inputs_NT INM'!S335</f>
        <v>1358.8558005640182</v>
      </c>
      <c r="M338" s="459">
        <f>'Inputs_NT INM'!T335</f>
        <v>1358.8558005640182</v>
      </c>
      <c r="N338" s="459">
        <f>'Inputs_NT INM'!U335</f>
        <v>1358.8558005640182</v>
      </c>
      <c r="O338" s="459">
        <f>'Inputs_NT INM'!V335</f>
        <v>1358.8558005640182</v>
      </c>
      <c r="P338" s="459">
        <f>'Inputs_NT INM'!W335</f>
        <v>1358.8558005640182</v>
      </c>
      <c r="Q338" s="459">
        <f>'Inputs_NT INM'!X335</f>
        <v>1358.8558005640182</v>
      </c>
      <c r="R338" s="459">
        <f>'Inputs_NT INM'!Y335</f>
        <v>1358.8558005640182</v>
      </c>
      <c r="S338" s="459">
        <f>'Inputs_NT INM'!Z335</f>
        <v>1358.8558005640182</v>
      </c>
      <c r="T338" s="459">
        <f>'Inputs_NT INM'!AA335</f>
        <v>1358.8558005640182</v>
      </c>
      <c r="U338" s="459">
        <f>'Inputs_NT INM'!AB335</f>
        <v>1358.8558005640182</v>
      </c>
      <c r="V338" s="459">
        <f>'Inputs_NT INM'!AC335</f>
        <v>1358.8558005640182</v>
      </c>
      <c r="W338" s="459">
        <f>'Inputs_NT INM'!AD335</f>
        <v>1358.8558005640182</v>
      </c>
      <c r="X338" s="459">
        <f>'Inputs_NT INM'!AE335</f>
        <v>1358.8558005640182</v>
      </c>
      <c r="Y338" s="459">
        <f>'Inputs_NT INM'!AF335</f>
        <v>1358.8558005640182</v>
      </c>
      <c r="Z338" s="459">
        <f>'Inputs_NT INM'!AG335</f>
        <v>1358.8558005640182</v>
      </c>
      <c r="AA338" s="459">
        <f>'Inputs_NT INM'!AH335</f>
        <v>1358.8558005640182</v>
      </c>
      <c r="AB338" s="459">
        <f>'Inputs_NT INM'!AI335</f>
        <v>1358.8558005640182</v>
      </c>
      <c r="AC338" s="459">
        <f>'Inputs_NT INM'!AJ335</f>
        <v>1358.8558005640182</v>
      </c>
      <c r="AD338" s="459">
        <f>'Inputs_NT INM'!AK335</f>
        <v>1358.8558005640182</v>
      </c>
      <c r="AE338" s="459">
        <f>'Inputs_NT INM'!AL335</f>
        <v>1358.8558005640182</v>
      </c>
      <c r="AF338" s="459">
        <f>'Inputs_NT INM'!AM335</f>
        <v>1358.8558005640182</v>
      </c>
      <c r="AG338" s="459">
        <f>'Inputs_NT INM'!AN335</f>
        <v>1358.8558005640182</v>
      </c>
      <c r="AH338" s="459"/>
      <c r="AI338" s="459"/>
      <c r="AJ338" s="459"/>
    </row>
    <row r="339" spans="1:36" x14ac:dyDescent="0.25">
      <c r="A339" s="9" t="s">
        <v>850</v>
      </c>
      <c r="B339" s="9" t="s">
        <v>974</v>
      </c>
      <c r="C339" s="9" t="s">
        <v>624</v>
      </c>
      <c r="D339" s="9">
        <v>2050</v>
      </c>
      <c r="E339" s="9" t="s">
        <v>995</v>
      </c>
      <c r="F339" s="459">
        <f>'Inputs_NT INM'!M336</f>
        <v>1358.8558005640182</v>
      </c>
      <c r="G339" s="459">
        <f>'Inputs_NT INM'!N336</f>
        <v>1358.8558005640182</v>
      </c>
      <c r="H339" s="459">
        <f>'Inputs_NT INM'!O336</f>
        <v>1358.8558005640182</v>
      </c>
      <c r="I339" s="459">
        <f>'Inputs_NT INM'!P336</f>
        <v>1358.8558005640182</v>
      </c>
      <c r="J339" s="459">
        <f>'Inputs_NT INM'!Q336</f>
        <v>1358.8558005640182</v>
      </c>
      <c r="K339" s="459">
        <f>'Inputs_NT INM'!R336</f>
        <v>1358.8558005640182</v>
      </c>
      <c r="L339" s="459">
        <f>'Inputs_NT INM'!S336</f>
        <v>1358.8558005640182</v>
      </c>
      <c r="M339" s="459">
        <f>'Inputs_NT INM'!T336</f>
        <v>1358.8558005640182</v>
      </c>
      <c r="N339" s="459">
        <f>'Inputs_NT INM'!U336</f>
        <v>1358.8558005640182</v>
      </c>
      <c r="O339" s="459">
        <f>'Inputs_NT INM'!V336</f>
        <v>1358.8558005640182</v>
      </c>
      <c r="P339" s="459">
        <f>'Inputs_NT INM'!W336</f>
        <v>1358.8558005640182</v>
      </c>
      <c r="Q339" s="459">
        <f>'Inputs_NT INM'!X336</f>
        <v>1358.8558005640182</v>
      </c>
      <c r="R339" s="459">
        <f>'Inputs_NT INM'!Y336</f>
        <v>1358.8558005640182</v>
      </c>
      <c r="S339" s="459">
        <f>'Inputs_NT INM'!Z336</f>
        <v>1358.8558005640182</v>
      </c>
      <c r="T339" s="459">
        <f>'Inputs_NT INM'!AA336</f>
        <v>1358.8558005640182</v>
      </c>
      <c r="U339" s="459">
        <f>'Inputs_NT INM'!AB336</f>
        <v>1358.8558005640182</v>
      </c>
      <c r="V339" s="459">
        <f>'Inputs_NT INM'!AC336</f>
        <v>1358.8558005640182</v>
      </c>
      <c r="W339" s="459">
        <f>'Inputs_NT INM'!AD336</f>
        <v>1358.8558005640182</v>
      </c>
      <c r="X339" s="459">
        <f>'Inputs_NT INM'!AE336</f>
        <v>1358.8558005640182</v>
      </c>
      <c r="Y339" s="459">
        <f>'Inputs_NT INM'!AF336</f>
        <v>1358.8558005640182</v>
      </c>
      <c r="Z339" s="459">
        <f>'Inputs_NT INM'!AG336</f>
        <v>1358.8558005640182</v>
      </c>
      <c r="AA339" s="459">
        <f>'Inputs_NT INM'!AH336</f>
        <v>1358.8558005640182</v>
      </c>
      <c r="AB339" s="459">
        <f>'Inputs_NT INM'!AI336</f>
        <v>1358.8558005640182</v>
      </c>
      <c r="AC339" s="459">
        <f>'Inputs_NT INM'!AJ336</f>
        <v>1358.8558005640182</v>
      </c>
      <c r="AD339" s="459">
        <f>'Inputs_NT INM'!AK336</f>
        <v>1358.8558005640182</v>
      </c>
      <c r="AE339" s="459">
        <f>'Inputs_NT INM'!AL336</f>
        <v>1358.8558005640182</v>
      </c>
      <c r="AF339" s="459">
        <f>'Inputs_NT INM'!AM336</f>
        <v>1358.8558005640182</v>
      </c>
      <c r="AG339" s="459">
        <f>'Inputs_NT INM'!AN336</f>
        <v>1358.8558005640182</v>
      </c>
      <c r="AH339" s="459"/>
      <c r="AI339" s="459"/>
      <c r="AJ339" s="459"/>
    </row>
    <row r="340" spans="1:36" x14ac:dyDescent="0.25">
      <c r="A340" s="9" t="s">
        <v>831</v>
      </c>
      <c r="B340" s="9" t="s">
        <v>975</v>
      </c>
      <c r="C340" s="9" t="s">
        <v>624</v>
      </c>
      <c r="D340" s="9">
        <v>2050</v>
      </c>
      <c r="E340" s="9" t="s">
        <v>995</v>
      </c>
      <c r="F340" s="459">
        <f>'Inputs_NT INM'!M337</f>
        <v>1358.8558005640182</v>
      </c>
      <c r="G340" s="459">
        <f>'Inputs_NT INM'!N337</f>
        <v>1358.8558005640182</v>
      </c>
      <c r="H340" s="459">
        <f>'Inputs_NT INM'!O337</f>
        <v>1358.8558005640182</v>
      </c>
      <c r="I340" s="459">
        <f>'Inputs_NT INM'!P337</f>
        <v>1358.8558005640182</v>
      </c>
      <c r="J340" s="459">
        <f>'Inputs_NT INM'!Q337</f>
        <v>1358.8558005640182</v>
      </c>
      <c r="K340" s="459">
        <f>'Inputs_NT INM'!R337</f>
        <v>1358.8558005640182</v>
      </c>
      <c r="L340" s="459">
        <f>'Inputs_NT INM'!S337</f>
        <v>1358.8558005640182</v>
      </c>
      <c r="M340" s="459">
        <f>'Inputs_NT INM'!T337</f>
        <v>1358.8558005640182</v>
      </c>
      <c r="N340" s="459">
        <f>'Inputs_NT INM'!U337</f>
        <v>1358.8558005640182</v>
      </c>
      <c r="O340" s="459">
        <f>'Inputs_NT INM'!V337</f>
        <v>1358.8558005640182</v>
      </c>
      <c r="P340" s="459">
        <f>'Inputs_NT INM'!W337</f>
        <v>1358.8558005640182</v>
      </c>
      <c r="Q340" s="459">
        <f>'Inputs_NT INM'!X337</f>
        <v>1358.8558005640182</v>
      </c>
      <c r="R340" s="459">
        <f>'Inputs_NT INM'!Y337</f>
        <v>1358.8558005640182</v>
      </c>
      <c r="S340" s="459">
        <f>'Inputs_NT INM'!Z337</f>
        <v>1358.8558005640182</v>
      </c>
      <c r="T340" s="459">
        <f>'Inputs_NT INM'!AA337</f>
        <v>1358.8558005640182</v>
      </c>
      <c r="U340" s="459">
        <f>'Inputs_NT INM'!AB337</f>
        <v>1358.8558005640182</v>
      </c>
      <c r="V340" s="459">
        <f>'Inputs_NT INM'!AC337</f>
        <v>1358.8558005640182</v>
      </c>
      <c r="W340" s="459">
        <f>'Inputs_NT INM'!AD337</f>
        <v>1358.8558005640182</v>
      </c>
      <c r="X340" s="459">
        <f>'Inputs_NT INM'!AE337</f>
        <v>1358.8558005640182</v>
      </c>
      <c r="Y340" s="459">
        <f>'Inputs_NT INM'!AF337</f>
        <v>1358.8558005640182</v>
      </c>
      <c r="Z340" s="459">
        <f>'Inputs_NT INM'!AG337</f>
        <v>1358.8558005640182</v>
      </c>
      <c r="AA340" s="459">
        <f>'Inputs_NT INM'!AH337</f>
        <v>1358.8558005640182</v>
      </c>
      <c r="AB340" s="459">
        <f>'Inputs_NT INM'!AI337</f>
        <v>1358.8558005640182</v>
      </c>
      <c r="AC340" s="459">
        <f>'Inputs_NT INM'!AJ337</f>
        <v>1358.8558005640182</v>
      </c>
      <c r="AD340" s="459">
        <f>'Inputs_NT INM'!AK337</f>
        <v>1358.8558005640182</v>
      </c>
      <c r="AE340" s="459">
        <f>'Inputs_NT INM'!AL337</f>
        <v>1358.8558005640182</v>
      </c>
      <c r="AF340" s="459">
        <f>'Inputs_NT INM'!AM337</f>
        <v>1358.8558005640182</v>
      </c>
      <c r="AG340" s="459">
        <f>'Inputs_NT INM'!AN337</f>
        <v>1358.8558005640182</v>
      </c>
      <c r="AH340" s="459"/>
      <c r="AI340" s="459"/>
      <c r="AJ340" s="459"/>
    </row>
    <row r="341" spans="1:36" x14ac:dyDescent="0.25">
      <c r="A341" s="9" t="s">
        <v>851</v>
      </c>
      <c r="B341" s="9" t="s">
        <v>976</v>
      </c>
      <c r="C341" s="9" t="s">
        <v>624</v>
      </c>
      <c r="D341" s="9">
        <v>2020</v>
      </c>
      <c r="E341" s="9" t="s">
        <v>995</v>
      </c>
      <c r="F341" s="459">
        <f>'Inputs_NT INM'!M338</f>
        <v>819.5362032181805</v>
      </c>
      <c r="G341" s="459">
        <f>'Inputs_NT INM'!N338</f>
        <v>819.5362032181805</v>
      </c>
      <c r="H341" s="459">
        <f>'Inputs_NT INM'!O338</f>
        <v>819.5362032181805</v>
      </c>
      <c r="I341" s="459">
        <f>'Inputs_NT INM'!P338</f>
        <v>819.5362032181805</v>
      </c>
      <c r="J341" s="459">
        <f>'Inputs_NT INM'!Q338</f>
        <v>819.5362032181805</v>
      </c>
      <c r="K341" s="459">
        <f>'Inputs_NT INM'!R338</f>
        <v>819.5362032181805</v>
      </c>
      <c r="L341" s="459">
        <f>'Inputs_NT INM'!S338</f>
        <v>819.5362032181805</v>
      </c>
      <c r="M341" s="459">
        <f>'Inputs_NT INM'!T338</f>
        <v>819.5362032181805</v>
      </c>
      <c r="N341" s="459">
        <f>'Inputs_NT INM'!U338</f>
        <v>819.5362032181805</v>
      </c>
      <c r="O341" s="459">
        <f>'Inputs_NT INM'!V338</f>
        <v>819.5362032181805</v>
      </c>
      <c r="P341" s="459">
        <f>'Inputs_NT INM'!W338</f>
        <v>819.5362032181805</v>
      </c>
      <c r="Q341" s="459">
        <f>'Inputs_NT INM'!X338</f>
        <v>819.5362032181805</v>
      </c>
      <c r="R341" s="459">
        <f>'Inputs_NT INM'!Y338</f>
        <v>819.5362032181805</v>
      </c>
      <c r="S341" s="459">
        <f>'Inputs_NT INM'!Z338</f>
        <v>819.5362032181805</v>
      </c>
      <c r="T341" s="459">
        <f>'Inputs_NT INM'!AA338</f>
        <v>819.5362032181805</v>
      </c>
      <c r="U341" s="459">
        <f>'Inputs_NT INM'!AB338</f>
        <v>819.5362032181805</v>
      </c>
      <c r="V341" s="459">
        <f>'Inputs_NT INM'!AC338</f>
        <v>819.5362032181805</v>
      </c>
      <c r="W341" s="459">
        <f>'Inputs_NT INM'!AD338</f>
        <v>819.5362032181805</v>
      </c>
      <c r="X341" s="459">
        <f>'Inputs_NT INM'!AE338</f>
        <v>819.5362032181805</v>
      </c>
      <c r="Y341" s="459">
        <f>'Inputs_NT INM'!AF338</f>
        <v>819.5362032181805</v>
      </c>
      <c r="Z341" s="459">
        <f>'Inputs_NT INM'!AG338</f>
        <v>819.5362032181805</v>
      </c>
      <c r="AA341" s="459">
        <f>'Inputs_NT INM'!AH338</f>
        <v>819.5362032181805</v>
      </c>
      <c r="AB341" s="459">
        <f>'Inputs_NT INM'!AI338</f>
        <v>819.5362032181805</v>
      </c>
      <c r="AC341" s="459">
        <f>'Inputs_NT INM'!AJ338</f>
        <v>819.5362032181805</v>
      </c>
      <c r="AD341" s="459">
        <f>'Inputs_NT INM'!AK338</f>
        <v>819.5362032181805</v>
      </c>
      <c r="AE341" s="459">
        <f>'Inputs_NT INM'!AL338</f>
        <v>819.5362032181805</v>
      </c>
      <c r="AF341" s="459">
        <f>'Inputs_NT INM'!AM338</f>
        <v>819.5362032181805</v>
      </c>
      <c r="AG341" s="459">
        <f>'Inputs_NT INM'!AN338</f>
        <v>819.5362032181805</v>
      </c>
      <c r="AH341" s="459"/>
      <c r="AI341" s="459"/>
      <c r="AJ341" s="459"/>
    </row>
    <row r="342" spans="1:36" x14ac:dyDescent="0.25">
      <c r="A342" s="9" t="s">
        <v>852</v>
      </c>
      <c r="B342" s="9" t="s">
        <v>977</v>
      </c>
      <c r="C342" s="9" t="s">
        <v>624</v>
      </c>
      <c r="D342" s="9">
        <v>2025</v>
      </c>
      <c r="E342" s="9" t="s">
        <v>995</v>
      </c>
      <c r="F342" s="459">
        <f>'Inputs_NT INM'!M339</f>
        <v>819.5362032181805</v>
      </c>
      <c r="G342" s="459">
        <f>'Inputs_NT INM'!N339</f>
        <v>819.5362032181805</v>
      </c>
      <c r="H342" s="459">
        <f>'Inputs_NT INM'!O339</f>
        <v>819.5362032181805</v>
      </c>
      <c r="I342" s="459">
        <f>'Inputs_NT INM'!P339</f>
        <v>819.5362032181805</v>
      </c>
      <c r="J342" s="459">
        <f>'Inputs_NT INM'!Q339</f>
        <v>819.5362032181805</v>
      </c>
      <c r="K342" s="459">
        <f>'Inputs_NT INM'!R339</f>
        <v>819.5362032181805</v>
      </c>
      <c r="L342" s="459">
        <f>'Inputs_NT INM'!S339</f>
        <v>819.5362032181805</v>
      </c>
      <c r="M342" s="459">
        <f>'Inputs_NT INM'!T339</f>
        <v>819.5362032181805</v>
      </c>
      <c r="N342" s="459">
        <f>'Inputs_NT INM'!U339</f>
        <v>819.5362032181805</v>
      </c>
      <c r="O342" s="459">
        <f>'Inputs_NT INM'!V339</f>
        <v>819.5362032181805</v>
      </c>
      <c r="P342" s="459">
        <f>'Inputs_NT INM'!W339</f>
        <v>819.5362032181805</v>
      </c>
      <c r="Q342" s="459">
        <f>'Inputs_NT INM'!X339</f>
        <v>819.5362032181805</v>
      </c>
      <c r="R342" s="459">
        <f>'Inputs_NT INM'!Y339</f>
        <v>819.5362032181805</v>
      </c>
      <c r="S342" s="459">
        <f>'Inputs_NT INM'!Z339</f>
        <v>819.5362032181805</v>
      </c>
      <c r="T342" s="459">
        <f>'Inputs_NT INM'!AA339</f>
        <v>819.5362032181805</v>
      </c>
      <c r="U342" s="459">
        <f>'Inputs_NT INM'!AB339</f>
        <v>819.5362032181805</v>
      </c>
      <c r="V342" s="459">
        <f>'Inputs_NT INM'!AC339</f>
        <v>819.5362032181805</v>
      </c>
      <c r="W342" s="459">
        <f>'Inputs_NT INM'!AD339</f>
        <v>819.5362032181805</v>
      </c>
      <c r="X342" s="459">
        <f>'Inputs_NT INM'!AE339</f>
        <v>819.5362032181805</v>
      </c>
      <c r="Y342" s="459">
        <f>'Inputs_NT INM'!AF339</f>
        <v>819.5362032181805</v>
      </c>
      <c r="Z342" s="459">
        <f>'Inputs_NT INM'!AG339</f>
        <v>819.5362032181805</v>
      </c>
      <c r="AA342" s="459">
        <f>'Inputs_NT INM'!AH339</f>
        <v>819.5362032181805</v>
      </c>
      <c r="AB342" s="459">
        <f>'Inputs_NT INM'!AI339</f>
        <v>819.5362032181805</v>
      </c>
      <c r="AC342" s="459">
        <f>'Inputs_NT INM'!AJ339</f>
        <v>819.5362032181805</v>
      </c>
      <c r="AD342" s="459">
        <f>'Inputs_NT INM'!AK339</f>
        <v>819.5362032181805</v>
      </c>
      <c r="AE342" s="459">
        <f>'Inputs_NT INM'!AL339</f>
        <v>819.5362032181805</v>
      </c>
      <c r="AF342" s="459">
        <f>'Inputs_NT INM'!AM339</f>
        <v>819.5362032181805</v>
      </c>
      <c r="AG342" s="459">
        <f>'Inputs_NT INM'!AN339</f>
        <v>819.5362032181805</v>
      </c>
      <c r="AH342" s="459"/>
      <c r="AI342" s="459"/>
      <c r="AJ342" s="459"/>
    </row>
    <row r="343" spans="1:36" x14ac:dyDescent="0.25">
      <c r="A343" s="9" t="s">
        <v>852</v>
      </c>
      <c r="B343" s="9" t="s">
        <v>977</v>
      </c>
      <c r="C343" s="9" t="s">
        <v>624</v>
      </c>
      <c r="D343" s="9">
        <v>2030</v>
      </c>
      <c r="E343" s="9" t="s">
        <v>995</v>
      </c>
      <c r="F343" s="459">
        <f>'Inputs_NT INM'!M340</f>
        <v>727.74814845774438</v>
      </c>
      <c r="G343" s="459">
        <f>'Inputs_NT INM'!N340</f>
        <v>727.74814845774438</v>
      </c>
      <c r="H343" s="459">
        <f>'Inputs_NT INM'!O340</f>
        <v>727.74814845774438</v>
      </c>
      <c r="I343" s="459">
        <f>'Inputs_NT INM'!P340</f>
        <v>727.74814845774438</v>
      </c>
      <c r="J343" s="459">
        <f>'Inputs_NT INM'!Q340</f>
        <v>727.74814845774438</v>
      </c>
      <c r="K343" s="459">
        <f>'Inputs_NT INM'!R340</f>
        <v>727.74814845774438</v>
      </c>
      <c r="L343" s="459">
        <f>'Inputs_NT INM'!S340</f>
        <v>727.74814845774438</v>
      </c>
      <c r="M343" s="459">
        <f>'Inputs_NT INM'!T340</f>
        <v>727.74814845774438</v>
      </c>
      <c r="N343" s="459">
        <f>'Inputs_NT INM'!U340</f>
        <v>727.74814845774438</v>
      </c>
      <c r="O343" s="459">
        <f>'Inputs_NT INM'!V340</f>
        <v>727.74814845774438</v>
      </c>
      <c r="P343" s="459">
        <f>'Inputs_NT INM'!W340</f>
        <v>727.74814845774438</v>
      </c>
      <c r="Q343" s="459">
        <f>'Inputs_NT INM'!X340</f>
        <v>727.74814845774438</v>
      </c>
      <c r="R343" s="459">
        <f>'Inputs_NT INM'!Y340</f>
        <v>727.74814845774438</v>
      </c>
      <c r="S343" s="459">
        <f>'Inputs_NT INM'!Z340</f>
        <v>727.74814845774438</v>
      </c>
      <c r="T343" s="459">
        <f>'Inputs_NT INM'!AA340</f>
        <v>727.74814845774438</v>
      </c>
      <c r="U343" s="459">
        <f>'Inputs_NT INM'!AB340</f>
        <v>727.74814845774438</v>
      </c>
      <c r="V343" s="459">
        <f>'Inputs_NT INM'!AC340</f>
        <v>727.74814845774438</v>
      </c>
      <c r="W343" s="459">
        <f>'Inputs_NT INM'!AD340</f>
        <v>727.74814845774438</v>
      </c>
      <c r="X343" s="459">
        <f>'Inputs_NT INM'!AE340</f>
        <v>727.74814845774438</v>
      </c>
      <c r="Y343" s="459">
        <f>'Inputs_NT INM'!AF340</f>
        <v>727.74814845774438</v>
      </c>
      <c r="Z343" s="459">
        <f>'Inputs_NT INM'!AG340</f>
        <v>727.74814845774438</v>
      </c>
      <c r="AA343" s="459">
        <f>'Inputs_NT INM'!AH340</f>
        <v>727.74814845774438</v>
      </c>
      <c r="AB343" s="459">
        <f>'Inputs_NT INM'!AI340</f>
        <v>727.74814845774438</v>
      </c>
      <c r="AC343" s="459">
        <f>'Inputs_NT INM'!AJ340</f>
        <v>727.74814845774438</v>
      </c>
      <c r="AD343" s="459">
        <f>'Inputs_NT INM'!AK340</f>
        <v>727.74814845774438</v>
      </c>
      <c r="AE343" s="459">
        <f>'Inputs_NT INM'!AL340</f>
        <v>727.74814845774438</v>
      </c>
      <c r="AF343" s="459">
        <f>'Inputs_NT INM'!AM340</f>
        <v>727.74814845774438</v>
      </c>
      <c r="AG343" s="459">
        <f>'Inputs_NT INM'!AN340</f>
        <v>727.74814845774438</v>
      </c>
      <c r="AH343" s="459"/>
      <c r="AI343" s="459"/>
      <c r="AJ343" s="459"/>
    </row>
    <row r="344" spans="1:36" x14ac:dyDescent="0.25">
      <c r="A344" s="9" t="s">
        <v>852</v>
      </c>
      <c r="B344" s="9" t="s">
        <v>977</v>
      </c>
      <c r="C344" s="9" t="s">
        <v>624</v>
      </c>
      <c r="D344" s="9">
        <v>2050</v>
      </c>
      <c r="E344" s="9" t="s">
        <v>995</v>
      </c>
      <c r="F344" s="459">
        <f>'Inputs_NT INM'!M341</f>
        <v>664.48881342014636</v>
      </c>
      <c r="G344" s="459">
        <f>'Inputs_NT INM'!N341</f>
        <v>664.48881342014636</v>
      </c>
      <c r="H344" s="459">
        <f>'Inputs_NT INM'!O341</f>
        <v>664.48881342014636</v>
      </c>
      <c r="I344" s="459">
        <f>'Inputs_NT INM'!P341</f>
        <v>664.48881342014636</v>
      </c>
      <c r="J344" s="459">
        <f>'Inputs_NT INM'!Q341</f>
        <v>664.48881342014636</v>
      </c>
      <c r="K344" s="459">
        <f>'Inputs_NT INM'!R341</f>
        <v>664.48881342014636</v>
      </c>
      <c r="L344" s="459">
        <f>'Inputs_NT INM'!S341</f>
        <v>664.48881342014636</v>
      </c>
      <c r="M344" s="459">
        <f>'Inputs_NT INM'!T341</f>
        <v>664.48881342014636</v>
      </c>
      <c r="N344" s="459">
        <f>'Inputs_NT INM'!U341</f>
        <v>664.48881342014636</v>
      </c>
      <c r="O344" s="459">
        <f>'Inputs_NT INM'!V341</f>
        <v>664.48881342014636</v>
      </c>
      <c r="P344" s="459">
        <f>'Inputs_NT INM'!W341</f>
        <v>664.48881342014636</v>
      </c>
      <c r="Q344" s="459">
        <f>'Inputs_NT INM'!X341</f>
        <v>664.48881342014636</v>
      </c>
      <c r="R344" s="459">
        <f>'Inputs_NT INM'!Y341</f>
        <v>664.48881342014636</v>
      </c>
      <c r="S344" s="459">
        <f>'Inputs_NT INM'!Z341</f>
        <v>664.48881342014636</v>
      </c>
      <c r="T344" s="459">
        <f>'Inputs_NT INM'!AA341</f>
        <v>664.48881342014636</v>
      </c>
      <c r="U344" s="459">
        <f>'Inputs_NT INM'!AB341</f>
        <v>664.48881342014636</v>
      </c>
      <c r="V344" s="459">
        <f>'Inputs_NT INM'!AC341</f>
        <v>664.48881342014636</v>
      </c>
      <c r="W344" s="459">
        <f>'Inputs_NT INM'!AD341</f>
        <v>664.48881342014636</v>
      </c>
      <c r="X344" s="459">
        <f>'Inputs_NT INM'!AE341</f>
        <v>664.48881342014636</v>
      </c>
      <c r="Y344" s="459">
        <f>'Inputs_NT INM'!AF341</f>
        <v>664.48881342014636</v>
      </c>
      <c r="Z344" s="459">
        <f>'Inputs_NT INM'!AG341</f>
        <v>664.48881342014636</v>
      </c>
      <c r="AA344" s="459">
        <f>'Inputs_NT INM'!AH341</f>
        <v>664.48881342014636</v>
      </c>
      <c r="AB344" s="459">
        <f>'Inputs_NT INM'!AI341</f>
        <v>664.48881342014636</v>
      </c>
      <c r="AC344" s="459">
        <f>'Inputs_NT INM'!AJ341</f>
        <v>664.48881342014636</v>
      </c>
      <c r="AD344" s="459">
        <f>'Inputs_NT INM'!AK341</f>
        <v>664.48881342014636</v>
      </c>
      <c r="AE344" s="459">
        <f>'Inputs_NT INM'!AL341</f>
        <v>664.48881342014636</v>
      </c>
      <c r="AF344" s="459">
        <f>'Inputs_NT INM'!AM341</f>
        <v>664.48881342014636</v>
      </c>
      <c r="AG344" s="459">
        <f>'Inputs_NT INM'!AN341</f>
        <v>664.48881342014636</v>
      </c>
      <c r="AH344" s="459"/>
      <c r="AI344" s="459"/>
      <c r="AJ344" s="459"/>
    </row>
    <row r="345" spans="1:36" x14ac:dyDescent="0.25">
      <c r="A345" s="9" t="s">
        <v>853</v>
      </c>
      <c r="B345" s="9" t="s">
        <v>978</v>
      </c>
      <c r="C345" s="9" t="s">
        <v>624</v>
      </c>
      <c r="D345" s="9">
        <v>2030</v>
      </c>
      <c r="E345" s="9" t="s">
        <v>995</v>
      </c>
      <c r="F345" s="459">
        <f>'Inputs_NT INM'!M342</f>
        <v>2614.4530885602512</v>
      </c>
      <c r="G345" s="459">
        <f>'Inputs_NT INM'!N342</f>
        <v>2614.4530885602512</v>
      </c>
      <c r="H345" s="459">
        <f>'Inputs_NT INM'!O342</f>
        <v>2614.4530885602512</v>
      </c>
      <c r="I345" s="459">
        <f>'Inputs_NT INM'!P342</f>
        <v>2614.4530885602512</v>
      </c>
      <c r="J345" s="459">
        <f>'Inputs_NT INM'!Q342</f>
        <v>2614.4530885602512</v>
      </c>
      <c r="K345" s="459">
        <f>'Inputs_NT INM'!R342</f>
        <v>2614.4530885602512</v>
      </c>
      <c r="L345" s="459">
        <f>'Inputs_NT INM'!S342</f>
        <v>2614.4530885602512</v>
      </c>
      <c r="M345" s="459">
        <f>'Inputs_NT INM'!T342</f>
        <v>2614.4530885602512</v>
      </c>
      <c r="N345" s="459">
        <f>'Inputs_NT INM'!U342</f>
        <v>2614.4530885602512</v>
      </c>
      <c r="O345" s="459">
        <f>'Inputs_NT INM'!V342</f>
        <v>2614.4530885602512</v>
      </c>
      <c r="P345" s="459">
        <f>'Inputs_NT INM'!W342</f>
        <v>2614.4530885602512</v>
      </c>
      <c r="Q345" s="459">
        <f>'Inputs_NT INM'!X342</f>
        <v>2614.4530885602512</v>
      </c>
      <c r="R345" s="459">
        <f>'Inputs_NT INM'!Y342</f>
        <v>2614.4530885602512</v>
      </c>
      <c r="S345" s="459">
        <f>'Inputs_NT INM'!Z342</f>
        <v>2614.4530885602512</v>
      </c>
      <c r="T345" s="459">
        <f>'Inputs_NT INM'!AA342</f>
        <v>2614.4530885602512</v>
      </c>
      <c r="U345" s="459">
        <f>'Inputs_NT INM'!AB342</f>
        <v>2614.4530885602512</v>
      </c>
      <c r="V345" s="459">
        <f>'Inputs_NT INM'!AC342</f>
        <v>2614.4530885602512</v>
      </c>
      <c r="W345" s="459">
        <f>'Inputs_NT INM'!AD342</f>
        <v>2614.4530885602512</v>
      </c>
      <c r="X345" s="459">
        <f>'Inputs_NT INM'!AE342</f>
        <v>2614.4530885602512</v>
      </c>
      <c r="Y345" s="459">
        <f>'Inputs_NT INM'!AF342</f>
        <v>2614.4530885602512</v>
      </c>
      <c r="Z345" s="459">
        <f>'Inputs_NT INM'!AG342</f>
        <v>2614.4530885602512</v>
      </c>
      <c r="AA345" s="459">
        <f>'Inputs_NT INM'!AH342</f>
        <v>2614.4530885602512</v>
      </c>
      <c r="AB345" s="459">
        <f>'Inputs_NT INM'!AI342</f>
        <v>2614.4530885602512</v>
      </c>
      <c r="AC345" s="459">
        <f>'Inputs_NT INM'!AJ342</f>
        <v>2614.4530885602512</v>
      </c>
      <c r="AD345" s="459">
        <f>'Inputs_NT INM'!AK342</f>
        <v>2614.4530885602512</v>
      </c>
      <c r="AE345" s="459">
        <f>'Inputs_NT INM'!AL342</f>
        <v>2614.4530885602512</v>
      </c>
      <c r="AF345" s="459">
        <f>'Inputs_NT INM'!AM342</f>
        <v>2614.4530885602512</v>
      </c>
      <c r="AG345" s="459">
        <f>'Inputs_NT INM'!AN342</f>
        <v>2614.4530885602512</v>
      </c>
      <c r="AH345" s="459"/>
      <c r="AI345" s="459"/>
      <c r="AJ345" s="459"/>
    </row>
    <row r="346" spans="1:36" x14ac:dyDescent="0.25">
      <c r="A346" s="9" t="s">
        <v>853</v>
      </c>
      <c r="B346" s="9" t="s">
        <v>978</v>
      </c>
      <c r="C346" s="9" t="s">
        <v>624</v>
      </c>
      <c r="D346" s="9">
        <v>2050</v>
      </c>
      <c r="E346" s="9" t="s">
        <v>995</v>
      </c>
      <c r="F346" s="459">
        <f>'Inputs_NT INM'!M343</f>
        <v>1582.3214134000002</v>
      </c>
      <c r="G346" s="459">
        <f>'Inputs_NT INM'!N343</f>
        <v>1582.3214134000002</v>
      </c>
      <c r="H346" s="459">
        <f>'Inputs_NT INM'!O343</f>
        <v>1582.3214134000002</v>
      </c>
      <c r="I346" s="459">
        <f>'Inputs_NT INM'!P343</f>
        <v>1582.3214134000002</v>
      </c>
      <c r="J346" s="459">
        <f>'Inputs_NT INM'!Q343</f>
        <v>1582.3214134000002</v>
      </c>
      <c r="K346" s="459">
        <f>'Inputs_NT INM'!R343</f>
        <v>1582.3214134000002</v>
      </c>
      <c r="L346" s="459">
        <f>'Inputs_NT INM'!S343</f>
        <v>1582.3214134000002</v>
      </c>
      <c r="M346" s="459">
        <f>'Inputs_NT INM'!T343</f>
        <v>1582.3214134000002</v>
      </c>
      <c r="N346" s="459">
        <f>'Inputs_NT INM'!U343</f>
        <v>1582.3214134000002</v>
      </c>
      <c r="O346" s="459">
        <f>'Inputs_NT INM'!V343</f>
        <v>1582.3214134000002</v>
      </c>
      <c r="P346" s="459">
        <f>'Inputs_NT INM'!W343</f>
        <v>1582.3214134000002</v>
      </c>
      <c r="Q346" s="459">
        <f>'Inputs_NT INM'!X343</f>
        <v>1582.3214134000002</v>
      </c>
      <c r="R346" s="459">
        <f>'Inputs_NT INM'!Y343</f>
        <v>1582.3214134000002</v>
      </c>
      <c r="S346" s="459">
        <f>'Inputs_NT INM'!Z343</f>
        <v>1582.3214134000002</v>
      </c>
      <c r="T346" s="459">
        <f>'Inputs_NT INM'!AA343</f>
        <v>1582.3214134000002</v>
      </c>
      <c r="U346" s="459">
        <f>'Inputs_NT INM'!AB343</f>
        <v>1582.3214134000002</v>
      </c>
      <c r="V346" s="459">
        <f>'Inputs_NT INM'!AC343</f>
        <v>1582.3214134000002</v>
      </c>
      <c r="W346" s="459">
        <f>'Inputs_NT INM'!AD343</f>
        <v>1582.3214134000002</v>
      </c>
      <c r="X346" s="459">
        <f>'Inputs_NT INM'!AE343</f>
        <v>1582.3214134000002</v>
      </c>
      <c r="Y346" s="459">
        <f>'Inputs_NT INM'!AF343</f>
        <v>1582.3214134000002</v>
      </c>
      <c r="Z346" s="459">
        <f>'Inputs_NT INM'!AG343</f>
        <v>1582.3214134000002</v>
      </c>
      <c r="AA346" s="459">
        <f>'Inputs_NT INM'!AH343</f>
        <v>1582.3214134000002</v>
      </c>
      <c r="AB346" s="459">
        <f>'Inputs_NT INM'!AI343</f>
        <v>1582.3214134000002</v>
      </c>
      <c r="AC346" s="459">
        <f>'Inputs_NT INM'!AJ343</f>
        <v>1582.3214134000002</v>
      </c>
      <c r="AD346" s="459">
        <f>'Inputs_NT INM'!AK343</f>
        <v>1582.3214134000002</v>
      </c>
      <c r="AE346" s="459">
        <f>'Inputs_NT INM'!AL343</f>
        <v>1582.3214134000002</v>
      </c>
      <c r="AF346" s="459">
        <f>'Inputs_NT INM'!AM343</f>
        <v>1582.3214134000002</v>
      </c>
      <c r="AG346" s="459">
        <f>'Inputs_NT INM'!AN343</f>
        <v>1582.3214134000002</v>
      </c>
      <c r="AH346" s="459"/>
      <c r="AI346" s="459"/>
      <c r="AJ346" s="459"/>
    </row>
    <row r="347" spans="1:36" x14ac:dyDescent="0.25">
      <c r="A347" s="9" t="s">
        <v>854</v>
      </c>
      <c r="B347" s="9" t="s">
        <v>979</v>
      </c>
      <c r="C347" s="9" t="s">
        <v>624</v>
      </c>
      <c r="D347" s="9">
        <v>2020</v>
      </c>
      <c r="E347" s="9" t="s">
        <v>995</v>
      </c>
      <c r="F347" s="459">
        <f>'Inputs_NT INM'!M344</f>
        <v>819.5362032181805</v>
      </c>
      <c r="G347" s="459">
        <f>'Inputs_NT INM'!N344</f>
        <v>819.5362032181805</v>
      </c>
      <c r="H347" s="459">
        <f>'Inputs_NT INM'!O344</f>
        <v>819.5362032181805</v>
      </c>
      <c r="I347" s="459">
        <f>'Inputs_NT INM'!P344</f>
        <v>819.5362032181805</v>
      </c>
      <c r="J347" s="459">
        <f>'Inputs_NT INM'!Q344</f>
        <v>819.5362032181805</v>
      </c>
      <c r="K347" s="459">
        <f>'Inputs_NT INM'!R344</f>
        <v>819.5362032181805</v>
      </c>
      <c r="L347" s="459">
        <f>'Inputs_NT INM'!S344</f>
        <v>819.5362032181805</v>
      </c>
      <c r="M347" s="459">
        <f>'Inputs_NT INM'!T344</f>
        <v>819.5362032181805</v>
      </c>
      <c r="N347" s="459">
        <f>'Inputs_NT INM'!U344</f>
        <v>819.5362032181805</v>
      </c>
      <c r="O347" s="459">
        <f>'Inputs_NT INM'!V344</f>
        <v>819.5362032181805</v>
      </c>
      <c r="P347" s="459">
        <f>'Inputs_NT INM'!W344</f>
        <v>819.5362032181805</v>
      </c>
      <c r="Q347" s="459">
        <f>'Inputs_NT INM'!X344</f>
        <v>819.5362032181805</v>
      </c>
      <c r="R347" s="459">
        <f>'Inputs_NT INM'!Y344</f>
        <v>819.5362032181805</v>
      </c>
      <c r="S347" s="459">
        <f>'Inputs_NT INM'!Z344</f>
        <v>819.5362032181805</v>
      </c>
      <c r="T347" s="459">
        <f>'Inputs_NT INM'!AA344</f>
        <v>819.5362032181805</v>
      </c>
      <c r="U347" s="459">
        <f>'Inputs_NT INM'!AB344</f>
        <v>819.5362032181805</v>
      </c>
      <c r="V347" s="459">
        <f>'Inputs_NT INM'!AC344</f>
        <v>819.5362032181805</v>
      </c>
      <c r="W347" s="459">
        <f>'Inputs_NT INM'!AD344</f>
        <v>819.5362032181805</v>
      </c>
      <c r="X347" s="459">
        <f>'Inputs_NT INM'!AE344</f>
        <v>819.5362032181805</v>
      </c>
      <c r="Y347" s="459">
        <f>'Inputs_NT INM'!AF344</f>
        <v>819.5362032181805</v>
      </c>
      <c r="Z347" s="459">
        <f>'Inputs_NT INM'!AG344</f>
        <v>819.5362032181805</v>
      </c>
      <c r="AA347" s="459">
        <f>'Inputs_NT INM'!AH344</f>
        <v>819.5362032181805</v>
      </c>
      <c r="AB347" s="459">
        <f>'Inputs_NT INM'!AI344</f>
        <v>819.5362032181805</v>
      </c>
      <c r="AC347" s="459">
        <f>'Inputs_NT INM'!AJ344</f>
        <v>819.5362032181805</v>
      </c>
      <c r="AD347" s="459">
        <f>'Inputs_NT INM'!AK344</f>
        <v>819.5362032181805</v>
      </c>
      <c r="AE347" s="459">
        <f>'Inputs_NT INM'!AL344</f>
        <v>819.5362032181805</v>
      </c>
      <c r="AF347" s="459">
        <f>'Inputs_NT INM'!AM344</f>
        <v>819.5362032181805</v>
      </c>
      <c r="AG347" s="459">
        <f>'Inputs_NT INM'!AN344</f>
        <v>819.5362032181805</v>
      </c>
      <c r="AH347" s="459"/>
      <c r="AI347" s="459"/>
      <c r="AJ347" s="459"/>
    </row>
    <row r="348" spans="1:36" x14ac:dyDescent="0.25">
      <c r="A348" s="9" t="s">
        <v>575</v>
      </c>
      <c r="B348" s="9" t="s">
        <v>558</v>
      </c>
      <c r="C348" s="9" t="s">
        <v>558</v>
      </c>
      <c r="D348" s="9" t="s">
        <v>558</v>
      </c>
      <c r="E348" s="9" t="s">
        <v>558</v>
      </c>
      <c r="F348" s="459">
        <f>'Inputs_NT INM'!M345</f>
        <v>819.5362032181805</v>
      </c>
      <c r="G348" s="459">
        <f>'Inputs_NT INM'!N345</f>
        <v>819.5362032181805</v>
      </c>
      <c r="H348" s="459">
        <f>'Inputs_NT INM'!O345</f>
        <v>819.5362032181805</v>
      </c>
      <c r="I348" s="459">
        <f>'Inputs_NT INM'!P345</f>
        <v>819.5362032181805</v>
      </c>
      <c r="J348" s="459">
        <f>'Inputs_NT INM'!Q345</f>
        <v>819.5362032181805</v>
      </c>
      <c r="K348" s="459">
        <f>'Inputs_NT INM'!R345</f>
        <v>819.5362032181805</v>
      </c>
      <c r="L348" s="459">
        <f>'Inputs_NT INM'!S345</f>
        <v>819.5362032181805</v>
      </c>
      <c r="M348" s="459">
        <f>'Inputs_NT INM'!T345</f>
        <v>819.5362032181805</v>
      </c>
      <c r="N348" s="459">
        <f>'Inputs_NT INM'!U345</f>
        <v>819.5362032181805</v>
      </c>
      <c r="O348" s="459">
        <f>'Inputs_NT INM'!V345</f>
        <v>819.5362032181805</v>
      </c>
      <c r="P348" s="459">
        <f>'Inputs_NT INM'!W345</f>
        <v>819.5362032181805</v>
      </c>
      <c r="Q348" s="459">
        <f>'Inputs_NT INM'!X345</f>
        <v>819.5362032181805</v>
      </c>
      <c r="R348" s="459">
        <f>'Inputs_NT INM'!Y345</f>
        <v>819.5362032181805</v>
      </c>
      <c r="S348" s="459">
        <f>'Inputs_NT INM'!Z345</f>
        <v>819.5362032181805</v>
      </c>
      <c r="T348" s="459">
        <f>'Inputs_NT INM'!AA345</f>
        <v>819.5362032181805</v>
      </c>
      <c r="U348" s="459">
        <f>'Inputs_NT INM'!AB345</f>
        <v>819.5362032181805</v>
      </c>
      <c r="V348" s="459">
        <f>'Inputs_NT INM'!AC345</f>
        <v>819.5362032181805</v>
      </c>
      <c r="W348" s="459">
        <f>'Inputs_NT INM'!AD345</f>
        <v>819.5362032181805</v>
      </c>
      <c r="X348" s="459">
        <f>'Inputs_NT INM'!AE345</f>
        <v>819.5362032181805</v>
      </c>
      <c r="Y348" s="459">
        <f>'Inputs_NT INM'!AF345</f>
        <v>819.5362032181805</v>
      </c>
      <c r="Z348" s="459">
        <f>'Inputs_NT INM'!AG345</f>
        <v>819.5362032181805</v>
      </c>
      <c r="AA348" s="459">
        <f>'Inputs_NT INM'!AH345</f>
        <v>819.5362032181805</v>
      </c>
      <c r="AB348" s="459">
        <f>'Inputs_NT INM'!AI345</f>
        <v>819.5362032181805</v>
      </c>
      <c r="AC348" s="459">
        <f>'Inputs_NT INM'!AJ345</f>
        <v>819.5362032181805</v>
      </c>
      <c r="AD348" s="459">
        <f>'Inputs_NT INM'!AK345</f>
        <v>819.5362032181805</v>
      </c>
      <c r="AE348" s="459">
        <f>'Inputs_NT INM'!AL345</f>
        <v>819.5362032181805</v>
      </c>
      <c r="AF348" s="459">
        <f>'Inputs_NT INM'!AM345</f>
        <v>819.5362032181805</v>
      </c>
      <c r="AG348" s="459">
        <f>'Inputs_NT INM'!AN345</f>
        <v>819.5362032181805</v>
      </c>
      <c r="AH348" s="459"/>
      <c r="AI348" s="459"/>
      <c r="AJ348" s="459"/>
    </row>
    <row r="349" spans="1:36" x14ac:dyDescent="0.25">
      <c r="A349" s="9" t="s">
        <v>575</v>
      </c>
      <c r="B349" s="9" t="s">
        <v>558</v>
      </c>
      <c r="C349" s="9" t="s">
        <v>558</v>
      </c>
      <c r="D349" s="9" t="s">
        <v>558</v>
      </c>
      <c r="E349" s="9" t="s">
        <v>558</v>
      </c>
      <c r="F349" s="459">
        <f>'Inputs_NT INM'!M346</f>
        <v>819.5362032181805</v>
      </c>
      <c r="G349" s="459">
        <f>'Inputs_NT INM'!N346</f>
        <v>819.5362032181805</v>
      </c>
      <c r="H349" s="459">
        <f>'Inputs_NT INM'!O346</f>
        <v>819.5362032181805</v>
      </c>
      <c r="I349" s="459">
        <f>'Inputs_NT INM'!P346</f>
        <v>819.5362032181805</v>
      </c>
      <c r="J349" s="459">
        <f>'Inputs_NT INM'!Q346</f>
        <v>819.5362032181805</v>
      </c>
      <c r="K349" s="459">
        <f>'Inputs_NT INM'!R346</f>
        <v>819.5362032181805</v>
      </c>
      <c r="L349" s="459">
        <f>'Inputs_NT INM'!S346</f>
        <v>819.5362032181805</v>
      </c>
      <c r="M349" s="459">
        <f>'Inputs_NT INM'!T346</f>
        <v>819.5362032181805</v>
      </c>
      <c r="N349" s="459">
        <f>'Inputs_NT INM'!U346</f>
        <v>819.5362032181805</v>
      </c>
      <c r="O349" s="459">
        <f>'Inputs_NT INM'!V346</f>
        <v>819.5362032181805</v>
      </c>
      <c r="P349" s="459">
        <f>'Inputs_NT INM'!W346</f>
        <v>819.5362032181805</v>
      </c>
      <c r="Q349" s="459">
        <f>'Inputs_NT INM'!X346</f>
        <v>819.5362032181805</v>
      </c>
      <c r="R349" s="459">
        <f>'Inputs_NT INM'!Y346</f>
        <v>819.5362032181805</v>
      </c>
      <c r="S349" s="459">
        <f>'Inputs_NT INM'!Z346</f>
        <v>819.5362032181805</v>
      </c>
      <c r="T349" s="459">
        <f>'Inputs_NT INM'!AA346</f>
        <v>819.5362032181805</v>
      </c>
      <c r="U349" s="459">
        <f>'Inputs_NT INM'!AB346</f>
        <v>819.5362032181805</v>
      </c>
      <c r="V349" s="459">
        <f>'Inputs_NT INM'!AC346</f>
        <v>819.5362032181805</v>
      </c>
      <c r="W349" s="459">
        <f>'Inputs_NT INM'!AD346</f>
        <v>819.5362032181805</v>
      </c>
      <c r="X349" s="459">
        <f>'Inputs_NT INM'!AE346</f>
        <v>819.5362032181805</v>
      </c>
      <c r="Y349" s="459">
        <f>'Inputs_NT INM'!AF346</f>
        <v>819.5362032181805</v>
      </c>
      <c r="Z349" s="459">
        <f>'Inputs_NT INM'!AG346</f>
        <v>819.5362032181805</v>
      </c>
      <c r="AA349" s="459">
        <f>'Inputs_NT INM'!AH346</f>
        <v>819.5362032181805</v>
      </c>
      <c r="AB349" s="459">
        <f>'Inputs_NT INM'!AI346</f>
        <v>819.5362032181805</v>
      </c>
      <c r="AC349" s="459">
        <f>'Inputs_NT INM'!AJ346</f>
        <v>819.5362032181805</v>
      </c>
      <c r="AD349" s="459">
        <f>'Inputs_NT INM'!AK346</f>
        <v>819.5362032181805</v>
      </c>
      <c r="AE349" s="459">
        <f>'Inputs_NT INM'!AL346</f>
        <v>819.5362032181805</v>
      </c>
      <c r="AF349" s="459">
        <f>'Inputs_NT INM'!AM346</f>
        <v>819.5362032181805</v>
      </c>
      <c r="AG349" s="459">
        <f>'Inputs_NT INM'!AN346</f>
        <v>819.5362032181805</v>
      </c>
      <c r="AH349" s="459"/>
      <c r="AI349" s="459"/>
      <c r="AJ349" s="459"/>
    </row>
    <row r="350" spans="1:36" x14ac:dyDescent="0.25">
      <c r="A350" s="9" t="s">
        <v>575</v>
      </c>
      <c r="B350" s="9" t="s">
        <v>558</v>
      </c>
      <c r="C350" s="9" t="s">
        <v>558</v>
      </c>
      <c r="D350" s="9" t="s">
        <v>558</v>
      </c>
      <c r="E350" s="9" t="s">
        <v>558</v>
      </c>
      <c r="F350" s="459">
        <f>'Inputs_NT INM'!M347</f>
        <v>819.5362032181805</v>
      </c>
      <c r="G350" s="459">
        <f>'Inputs_NT INM'!N347</f>
        <v>819.5362032181805</v>
      </c>
      <c r="H350" s="459">
        <f>'Inputs_NT INM'!O347</f>
        <v>819.5362032181805</v>
      </c>
      <c r="I350" s="459">
        <f>'Inputs_NT INM'!P347</f>
        <v>819.5362032181805</v>
      </c>
      <c r="J350" s="459">
        <f>'Inputs_NT INM'!Q347</f>
        <v>819.5362032181805</v>
      </c>
      <c r="K350" s="459">
        <f>'Inputs_NT INM'!R347</f>
        <v>819.5362032181805</v>
      </c>
      <c r="L350" s="459">
        <f>'Inputs_NT INM'!S347</f>
        <v>819.5362032181805</v>
      </c>
      <c r="M350" s="459">
        <f>'Inputs_NT INM'!T347</f>
        <v>819.5362032181805</v>
      </c>
      <c r="N350" s="459">
        <f>'Inputs_NT INM'!U347</f>
        <v>819.5362032181805</v>
      </c>
      <c r="O350" s="459">
        <f>'Inputs_NT INM'!V347</f>
        <v>819.5362032181805</v>
      </c>
      <c r="P350" s="459">
        <f>'Inputs_NT INM'!W347</f>
        <v>819.5362032181805</v>
      </c>
      <c r="Q350" s="459">
        <f>'Inputs_NT INM'!X347</f>
        <v>819.5362032181805</v>
      </c>
      <c r="R350" s="459">
        <f>'Inputs_NT INM'!Y347</f>
        <v>819.5362032181805</v>
      </c>
      <c r="S350" s="459">
        <f>'Inputs_NT INM'!Z347</f>
        <v>819.5362032181805</v>
      </c>
      <c r="T350" s="459">
        <f>'Inputs_NT INM'!AA347</f>
        <v>819.5362032181805</v>
      </c>
      <c r="U350" s="459">
        <f>'Inputs_NT INM'!AB347</f>
        <v>819.5362032181805</v>
      </c>
      <c r="V350" s="459">
        <f>'Inputs_NT INM'!AC347</f>
        <v>819.5362032181805</v>
      </c>
      <c r="W350" s="459">
        <f>'Inputs_NT INM'!AD347</f>
        <v>819.5362032181805</v>
      </c>
      <c r="X350" s="459">
        <f>'Inputs_NT INM'!AE347</f>
        <v>819.5362032181805</v>
      </c>
      <c r="Y350" s="459">
        <f>'Inputs_NT INM'!AF347</f>
        <v>819.5362032181805</v>
      </c>
      <c r="Z350" s="459">
        <f>'Inputs_NT INM'!AG347</f>
        <v>819.5362032181805</v>
      </c>
      <c r="AA350" s="459">
        <f>'Inputs_NT INM'!AH347</f>
        <v>819.5362032181805</v>
      </c>
      <c r="AB350" s="459">
        <f>'Inputs_NT INM'!AI347</f>
        <v>819.5362032181805</v>
      </c>
      <c r="AC350" s="459">
        <f>'Inputs_NT INM'!AJ347</f>
        <v>819.5362032181805</v>
      </c>
      <c r="AD350" s="459">
        <f>'Inputs_NT INM'!AK347</f>
        <v>819.5362032181805</v>
      </c>
      <c r="AE350" s="459">
        <f>'Inputs_NT INM'!AL347</f>
        <v>819.5362032181805</v>
      </c>
      <c r="AF350" s="459">
        <f>'Inputs_NT INM'!AM347</f>
        <v>819.5362032181805</v>
      </c>
      <c r="AG350" s="459">
        <f>'Inputs_NT INM'!AN347</f>
        <v>819.5362032181805</v>
      </c>
      <c r="AH350" s="459"/>
      <c r="AI350" s="459"/>
      <c r="AJ350" s="459"/>
    </row>
    <row r="351" spans="1:36" x14ac:dyDescent="0.25">
      <c r="A351" s="9" t="s">
        <v>575</v>
      </c>
      <c r="B351" s="9" t="s">
        <v>558</v>
      </c>
      <c r="C351" s="9" t="s">
        <v>558</v>
      </c>
      <c r="D351" s="9" t="s">
        <v>558</v>
      </c>
      <c r="E351" s="9" t="s">
        <v>558</v>
      </c>
      <c r="F351" s="459">
        <f>'Inputs_NT INM'!M348</f>
        <v>819.5362032181805</v>
      </c>
      <c r="G351" s="459">
        <f>'Inputs_NT INM'!N348</f>
        <v>819.5362032181805</v>
      </c>
      <c r="H351" s="459">
        <f>'Inputs_NT INM'!O348</f>
        <v>819.5362032181805</v>
      </c>
      <c r="I351" s="459">
        <f>'Inputs_NT INM'!P348</f>
        <v>819.5362032181805</v>
      </c>
      <c r="J351" s="459">
        <f>'Inputs_NT INM'!Q348</f>
        <v>819.5362032181805</v>
      </c>
      <c r="K351" s="459">
        <f>'Inputs_NT INM'!R348</f>
        <v>819.5362032181805</v>
      </c>
      <c r="L351" s="459">
        <f>'Inputs_NT INM'!S348</f>
        <v>819.5362032181805</v>
      </c>
      <c r="M351" s="459">
        <f>'Inputs_NT INM'!T348</f>
        <v>819.5362032181805</v>
      </c>
      <c r="N351" s="459">
        <f>'Inputs_NT INM'!U348</f>
        <v>819.5362032181805</v>
      </c>
      <c r="O351" s="459">
        <f>'Inputs_NT INM'!V348</f>
        <v>819.5362032181805</v>
      </c>
      <c r="P351" s="459">
        <f>'Inputs_NT INM'!W348</f>
        <v>819.5362032181805</v>
      </c>
      <c r="Q351" s="459">
        <f>'Inputs_NT INM'!X348</f>
        <v>819.5362032181805</v>
      </c>
      <c r="R351" s="459">
        <f>'Inputs_NT INM'!Y348</f>
        <v>819.5362032181805</v>
      </c>
      <c r="S351" s="459">
        <f>'Inputs_NT INM'!Z348</f>
        <v>819.5362032181805</v>
      </c>
      <c r="T351" s="459">
        <f>'Inputs_NT INM'!AA348</f>
        <v>819.5362032181805</v>
      </c>
      <c r="U351" s="459">
        <f>'Inputs_NT INM'!AB348</f>
        <v>819.5362032181805</v>
      </c>
      <c r="V351" s="459">
        <f>'Inputs_NT INM'!AC348</f>
        <v>819.5362032181805</v>
      </c>
      <c r="W351" s="459">
        <f>'Inputs_NT INM'!AD348</f>
        <v>819.5362032181805</v>
      </c>
      <c r="X351" s="459">
        <f>'Inputs_NT INM'!AE348</f>
        <v>819.5362032181805</v>
      </c>
      <c r="Y351" s="459">
        <f>'Inputs_NT INM'!AF348</f>
        <v>819.5362032181805</v>
      </c>
      <c r="Z351" s="459">
        <f>'Inputs_NT INM'!AG348</f>
        <v>819.5362032181805</v>
      </c>
      <c r="AA351" s="459">
        <f>'Inputs_NT INM'!AH348</f>
        <v>819.5362032181805</v>
      </c>
      <c r="AB351" s="459">
        <f>'Inputs_NT INM'!AI348</f>
        <v>819.5362032181805</v>
      </c>
      <c r="AC351" s="459">
        <f>'Inputs_NT INM'!AJ348</f>
        <v>819.5362032181805</v>
      </c>
      <c r="AD351" s="459">
        <f>'Inputs_NT INM'!AK348</f>
        <v>819.5362032181805</v>
      </c>
      <c r="AE351" s="459">
        <f>'Inputs_NT INM'!AL348</f>
        <v>819.5362032181805</v>
      </c>
      <c r="AF351" s="459">
        <f>'Inputs_NT INM'!AM348</f>
        <v>819.5362032181805</v>
      </c>
      <c r="AG351" s="459">
        <f>'Inputs_NT INM'!AN348</f>
        <v>819.5362032181805</v>
      </c>
      <c r="AH351" s="459"/>
      <c r="AI351" s="459"/>
      <c r="AJ351" s="459"/>
    </row>
    <row r="352" spans="1:36" x14ac:dyDescent="0.25">
      <c r="A352" s="9" t="s">
        <v>575</v>
      </c>
      <c r="B352" s="9" t="s">
        <v>558</v>
      </c>
      <c r="C352" s="9" t="s">
        <v>558</v>
      </c>
      <c r="D352" s="9" t="s">
        <v>558</v>
      </c>
      <c r="E352" s="9" t="s">
        <v>558</v>
      </c>
      <c r="F352" s="459">
        <f>'Inputs_NT INM'!M349</f>
        <v>819.5362032181805</v>
      </c>
      <c r="G352" s="459">
        <f>'Inputs_NT INM'!N349</f>
        <v>819.5362032181805</v>
      </c>
      <c r="H352" s="459">
        <f>'Inputs_NT INM'!O349</f>
        <v>819.5362032181805</v>
      </c>
      <c r="I352" s="459">
        <f>'Inputs_NT INM'!P349</f>
        <v>819.5362032181805</v>
      </c>
      <c r="J352" s="459">
        <f>'Inputs_NT INM'!Q349</f>
        <v>819.5362032181805</v>
      </c>
      <c r="K352" s="459">
        <f>'Inputs_NT INM'!R349</f>
        <v>819.5362032181805</v>
      </c>
      <c r="L352" s="459">
        <f>'Inputs_NT INM'!S349</f>
        <v>819.5362032181805</v>
      </c>
      <c r="M352" s="459">
        <f>'Inputs_NT INM'!T349</f>
        <v>819.5362032181805</v>
      </c>
      <c r="N352" s="459">
        <f>'Inputs_NT INM'!U349</f>
        <v>819.5362032181805</v>
      </c>
      <c r="O352" s="459">
        <f>'Inputs_NT INM'!V349</f>
        <v>819.5362032181805</v>
      </c>
      <c r="P352" s="459">
        <f>'Inputs_NT INM'!W349</f>
        <v>819.5362032181805</v>
      </c>
      <c r="Q352" s="459">
        <f>'Inputs_NT INM'!X349</f>
        <v>819.5362032181805</v>
      </c>
      <c r="R352" s="459">
        <f>'Inputs_NT INM'!Y349</f>
        <v>819.5362032181805</v>
      </c>
      <c r="S352" s="459">
        <f>'Inputs_NT INM'!Z349</f>
        <v>819.5362032181805</v>
      </c>
      <c r="T352" s="459">
        <f>'Inputs_NT INM'!AA349</f>
        <v>819.5362032181805</v>
      </c>
      <c r="U352" s="459">
        <f>'Inputs_NT INM'!AB349</f>
        <v>819.5362032181805</v>
      </c>
      <c r="V352" s="459">
        <f>'Inputs_NT INM'!AC349</f>
        <v>819.5362032181805</v>
      </c>
      <c r="W352" s="459">
        <f>'Inputs_NT INM'!AD349</f>
        <v>819.5362032181805</v>
      </c>
      <c r="X352" s="459">
        <f>'Inputs_NT INM'!AE349</f>
        <v>819.5362032181805</v>
      </c>
      <c r="Y352" s="459">
        <f>'Inputs_NT INM'!AF349</f>
        <v>819.5362032181805</v>
      </c>
      <c r="Z352" s="459">
        <f>'Inputs_NT INM'!AG349</f>
        <v>819.5362032181805</v>
      </c>
      <c r="AA352" s="459">
        <f>'Inputs_NT INM'!AH349</f>
        <v>819.5362032181805</v>
      </c>
      <c r="AB352" s="459">
        <f>'Inputs_NT INM'!AI349</f>
        <v>819.5362032181805</v>
      </c>
      <c r="AC352" s="459">
        <f>'Inputs_NT INM'!AJ349</f>
        <v>819.5362032181805</v>
      </c>
      <c r="AD352" s="459">
        <f>'Inputs_NT INM'!AK349</f>
        <v>819.5362032181805</v>
      </c>
      <c r="AE352" s="459">
        <f>'Inputs_NT INM'!AL349</f>
        <v>819.5362032181805</v>
      </c>
      <c r="AF352" s="459">
        <f>'Inputs_NT INM'!AM349</f>
        <v>819.5362032181805</v>
      </c>
      <c r="AG352" s="459">
        <f>'Inputs_NT INM'!AN349</f>
        <v>819.5362032181805</v>
      </c>
      <c r="AH352" s="459"/>
      <c r="AI352" s="459"/>
      <c r="AJ352" s="459"/>
    </row>
    <row r="353" spans="1:36" x14ac:dyDescent="0.25">
      <c r="A353" s="9" t="s">
        <v>860</v>
      </c>
      <c r="B353" s="9" t="s">
        <v>980</v>
      </c>
      <c r="C353" s="9" t="s">
        <v>624</v>
      </c>
      <c r="D353" s="9">
        <v>2025</v>
      </c>
      <c r="E353" s="9" t="s">
        <v>995</v>
      </c>
      <c r="F353" s="459">
        <f>'Inputs_NT INM'!M350</f>
        <v>819.5362032181805</v>
      </c>
      <c r="G353" s="459">
        <f>'Inputs_NT INM'!N350</f>
        <v>819.5362032181805</v>
      </c>
      <c r="H353" s="459">
        <f>'Inputs_NT INM'!O350</f>
        <v>819.5362032181805</v>
      </c>
      <c r="I353" s="459">
        <f>'Inputs_NT INM'!P350</f>
        <v>819.5362032181805</v>
      </c>
      <c r="J353" s="459">
        <f>'Inputs_NT INM'!Q350</f>
        <v>819.5362032181805</v>
      </c>
      <c r="K353" s="459">
        <f>'Inputs_NT INM'!R350</f>
        <v>819.5362032181805</v>
      </c>
      <c r="L353" s="459">
        <f>'Inputs_NT INM'!S350</f>
        <v>819.5362032181805</v>
      </c>
      <c r="M353" s="459">
        <f>'Inputs_NT INM'!T350</f>
        <v>819.5362032181805</v>
      </c>
      <c r="N353" s="459">
        <f>'Inputs_NT INM'!U350</f>
        <v>819.5362032181805</v>
      </c>
      <c r="O353" s="459">
        <f>'Inputs_NT INM'!V350</f>
        <v>819.5362032181805</v>
      </c>
      <c r="P353" s="459">
        <f>'Inputs_NT INM'!W350</f>
        <v>819.5362032181805</v>
      </c>
      <c r="Q353" s="459">
        <f>'Inputs_NT INM'!X350</f>
        <v>819.5362032181805</v>
      </c>
      <c r="R353" s="459">
        <f>'Inputs_NT INM'!Y350</f>
        <v>819.5362032181805</v>
      </c>
      <c r="S353" s="459">
        <f>'Inputs_NT INM'!Z350</f>
        <v>819.5362032181805</v>
      </c>
      <c r="T353" s="459">
        <f>'Inputs_NT INM'!AA350</f>
        <v>819.5362032181805</v>
      </c>
      <c r="U353" s="459">
        <f>'Inputs_NT INM'!AB350</f>
        <v>819.5362032181805</v>
      </c>
      <c r="V353" s="459">
        <f>'Inputs_NT INM'!AC350</f>
        <v>819.5362032181805</v>
      </c>
      <c r="W353" s="459">
        <f>'Inputs_NT INM'!AD350</f>
        <v>819.5362032181805</v>
      </c>
      <c r="X353" s="459">
        <f>'Inputs_NT INM'!AE350</f>
        <v>819.5362032181805</v>
      </c>
      <c r="Y353" s="459">
        <f>'Inputs_NT INM'!AF350</f>
        <v>819.5362032181805</v>
      </c>
      <c r="Z353" s="459">
        <f>'Inputs_NT INM'!AG350</f>
        <v>819.5362032181805</v>
      </c>
      <c r="AA353" s="459">
        <f>'Inputs_NT INM'!AH350</f>
        <v>819.5362032181805</v>
      </c>
      <c r="AB353" s="459">
        <f>'Inputs_NT INM'!AI350</f>
        <v>819.5362032181805</v>
      </c>
      <c r="AC353" s="459">
        <f>'Inputs_NT INM'!AJ350</f>
        <v>819.5362032181805</v>
      </c>
      <c r="AD353" s="459">
        <f>'Inputs_NT INM'!AK350</f>
        <v>819.5362032181805</v>
      </c>
      <c r="AE353" s="459">
        <f>'Inputs_NT INM'!AL350</f>
        <v>819.5362032181805</v>
      </c>
      <c r="AF353" s="459">
        <f>'Inputs_NT INM'!AM350</f>
        <v>819.5362032181805</v>
      </c>
      <c r="AG353" s="459">
        <f>'Inputs_NT INM'!AN350</f>
        <v>819.5362032181805</v>
      </c>
      <c r="AH353" s="459"/>
      <c r="AI353" s="459"/>
      <c r="AJ353" s="459"/>
    </row>
    <row r="354" spans="1:36" x14ac:dyDescent="0.25">
      <c r="A354" s="9" t="s">
        <v>575</v>
      </c>
      <c r="B354" s="9" t="s">
        <v>558</v>
      </c>
      <c r="C354" s="9" t="s">
        <v>558</v>
      </c>
      <c r="D354" s="9" t="s">
        <v>558</v>
      </c>
      <c r="E354" s="9" t="s">
        <v>558</v>
      </c>
      <c r="F354" s="459">
        <f>'Inputs_NT INM'!M351</f>
        <v>819.5362032181805</v>
      </c>
      <c r="G354" s="459">
        <f>'Inputs_NT INM'!N351</f>
        <v>819.5362032181805</v>
      </c>
      <c r="H354" s="459">
        <f>'Inputs_NT INM'!O351</f>
        <v>819.5362032181805</v>
      </c>
      <c r="I354" s="459">
        <f>'Inputs_NT INM'!P351</f>
        <v>819.5362032181805</v>
      </c>
      <c r="J354" s="459">
        <f>'Inputs_NT INM'!Q351</f>
        <v>819.5362032181805</v>
      </c>
      <c r="K354" s="459">
        <f>'Inputs_NT INM'!R351</f>
        <v>819.5362032181805</v>
      </c>
      <c r="L354" s="459">
        <f>'Inputs_NT INM'!S351</f>
        <v>819.5362032181805</v>
      </c>
      <c r="M354" s="459">
        <f>'Inputs_NT INM'!T351</f>
        <v>819.5362032181805</v>
      </c>
      <c r="N354" s="459">
        <f>'Inputs_NT INM'!U351</f>
        <v>819.5362032181805</v>
      </c>
      <c r="O354" s="459">
        <f>'Inputs_NT INM'!V351</f>
        <v>819.5362032181805</v>
      </c>
      <c r="P354" s="459">
        <f>'Inputs_NT INM'!W351</f>
        <v>819.5362032181805</v>
      </c>
      <c r="Q354" s="459">
        <f>'Inputs_NT INM'!X351</f>
        <v>819.5362032181805</v>
      </c>
      <c r="R354" s="459">
        <f>'Inputs_NT INM'!Y351</f>
        <v>819.5362032181805</v>
      </c>
      <c r="S354" s="459">
        <f>'Inputs_NT INM'!Z351</f>
        <v>819.5362032181805</v>
      </c>
      <c r="T354" s="459">
        <f>'Inputs_NT INM'!AA351</f>
        <v>819.5362032181805</v>
      </c>
      <c r="U354" s="459">
        <f>'Inputs_NT INM'!AB351</f>
        <v>819.5362032181805</v>
      </c>
      <c r="V354" s="459">
        <f>'Inputs_NT INM'!AC351</f>
        <v>819.5362032181805</v>
      </c>
      <c r="W354" s="459">
        <f>'Inputs_NT INM'!AD351</f>
        <v>819.5362032181805</v>
      </c>
      <c r="X354" s="459">
        <f>'Inputs_NT INM'!AE351</f>
        <v>819.5362032181805</v>
      </c>
      <c r="Y354" s="459">
        <f>'Inputs_NT INM'!AF351</f>
        <v>819.5362032181805</v>
      </c>
      <c r="Z354" s="459">
        <f>'Inputs_NT INM'!AG351</f>
        <v>819.5362032181805</v>
      </c>
      <c r="AA354" s="459">
        <f>'Inputs_NT INM'!AH351</f>
        <v>819.5362032181805</v>
      </c>
      <c r="AB354" s="459">
        <f>'Inputs_NT INM'!AI351</f>
        <v>819.5362032181805</v>
      </c>
      <c r="AC354" s="459">
        <f>'Inputs_NT INM'!AJ351</f>
        <v>819.5362032181805</v>
      </c>
      <c r="AD354" s="459">
        <f>'Inputs_NT INM'!AK351</f>
        <v>819.5362032181805</v>
      </c>
      <c r="AE354" s="459">
        <f>'Inputs_NT INM'!AL351</f>
        <v>819.5362032181805</v>
      </c>
      <c r="AF354" s="459">
        <f>'Inputs_NT INM'!AM351</f>
        <v>819.5362032181805</v>
      </c>
      <c r="AG354" s="459">
        <f>'Inputs_NT INM'!AN351</f>
        <v>819.5362032181805</v>
      </c>
      <c r="AH354" s="459"/>
      <c r="AI354" s="459"/>
      <c r="AJ354" s="459"/>
    </row>
    <row r="355" spans="1:36" x14ac:dyDescent="0.25">
      <c r="A355" s="9" t="s">
        <v>575</v>
      </c>
      <c r="B355" s="9" t="s">
        <v>558</v>
      </c>
      <c r="C355" s="9" t="s">
        <v>558</v>
      </c>
      <c r="D355" s="9" t="s">
        <v>558</v>
      </c>
      <c r="E355" s="9" t="s">
        <v>558</v>
      </c>
      <c r="F355" s="459">
        <f>'Inputs_NT INM'!M352</f>
        <v>819.5362032181805</v>
      </c>
      <c r="G355" s="459">
        <f>'Inputs_NT INM'!N352</f>
        <v>819.5362032181805</v>
      </c>
      <c r="H355" s="459">
        <f>'Inputs_NT INM'!O352</f>
        <v>819.5362032181805</v>
      </c>
      <c r="I355" s="459">
        <f>'Inputs_NT INM'!P352</f>
        <v>819.5362032181805</v>
      </c>
      <c r="J355" s="459">
        <f>'Inputs_NT INM'!Q352</f>
        <v>819.5362032181805</v>
      </c>
      <c r="K355" s="459">
        <f>'Inputs_NT INM'!R352</f>
        <v>819.5362032181805</v>
      </c>
      <c r="L355" s="459">
        <f>'Inputs_NT INM'!S352</f>
        <v>819.5362032181805</v>
      </c>
      <c r="M355" s="459">
        <f>'Inputs_NT INM'!T352</f>
        <v>819.5362032181805</v>
      </c>
      <c r="N355" s="459">
        <f>'Inputs_NT INM'!U352</f>
        <v>819.5362032181805</v>
      </c>
      <c r="O355" s="459">
        <f>'Inputs_NT INM'!V352</f>
        <v>819.5362032181805</v>
      </c>
      <c r="P355" s="459">
        <f>'Inputs_NT INM'!W352</f>
        <v>819.5362032181805</v>
      </c>
      <c r="Q355" s="459">
        <f>'Inputs_NT INM'!X352</f>
        <v>819.5362032181805</v>
      </c>
      <c r="R355" s="459">
        <f>'Inputs_NT INM'!Y352</f>
        <v>819.5362032181805</v>
      </c>
      <c r="S355" s="459">
        <f>'Inputs_NT INM'!Z352</f>
        <v>819.5362032181805</v>
      </c>
      <c r="T355" s="459">
        <f>'Inputs_NT INM'!AA352</f>
        <v>819.5362032181805</v>
      </c>
      <c r="U355" s="459">
        <f>'Inputs_NT INM'!AB352</f>
        <v>819.5362032181805</v>
      </c>
      <c r="V355" s="459">
        <f>'Inputs_NT INM'!AC352</f>
        <v>819.5362032181805</v>
      </c>
      <c r="W355" s="459">
        <f>'Inputs_NT INM'!AD352</f>
        <v>819.5362032181805</v>
      </c>
      <c r="X355" s="459">
        <f>'Inputs_NT INM'!AE352</f>
        <v>819.5362032181805</v>
      </c>
      <c r="Y355" s="459">
        <f>'Inputs_NT INM'!AF352</f>
        <v>819.5362032181805</v>
      </c>
      <c r="Z355" s="459">
        <f>'Inputs_NT INM'!AG352</f>
        <v>819.5362032181805</v>
      </c>
      <c r="AA355" s="459">
        <f>'Inputs_NT INM'!AH352</f>
        <v>819.5362032181805</v>
      </c>
      <c r="AB355" s="459">
        <f>'Inputs_NT INM'!AI352</f>
        <v>819.5362032181805</v>
      </c>
      <c r="AC355" s="459">
        <f>'Inputs_NT INM'!AJ352</f>
        <v>819.5362032181805</v>
      </c>
      <c r="AD355" s="459">
        <f>'Inputs_NT INM'!AK352</f>
        <v>819.5362032181805</v>
      </c>
      <c r="AE355" s="459">
        <f>'Inputs_NT INM'!AL352</f>
        <v>819.5362032181805</v>
      </c>
      <c r="AF355" s="459">
        <f>'Inputs_NT INM'!AM352</f>
        <v>819.5362032181805</v>
      </c>
      <c r="AG355" s="459">
        <f>'Inputs_NT INM'!AN352</f>
        <v>819.5362032181805</v>
      </c>
      <c r="AH355" s="459"/>
      <c r="AI355" s="459"/>
      <c r="AJ355" s="459"/>
    </row>
    <row r="356" spans="1:36" x14ac:dyDescent="0.25">
      <c r="A356" s="9" t="s">
        <v>575</v>
      </c>
      <c r="B356" s="9" t="s">
        <v>558</v>
      </c>
      <c r="C356" s="9" t="s">
        <v>558</v>
      </c>
      <c r="D356" s="9" t="s">
        <v>558</v>
      </c>
      <c r="E356" s="9" t="s">
        <v>558</v>
      </c>
      <c r="F356" s="459">
        <f>'Inputs_NT INM'!M353</f>
        <v>819.5362032181805</v>
      </c>
      <c r="G356" s="459">
        <f>'Inputs_NT INM'!N353</f>
        <v>819.5362032181805</v>
      </c>
      <c r="H356" s="459">
        <f>'Inputs_NT INM'!O353</f>
        <v>819.5362032181805</v>
      </c>
      <c r="I356" s="459">
        <f>'Inputs_NT INM'!P353</f>
        <v>819.5362032181805</v>
      </c>
      <c r="J356" s="459">
        <f>'Inputs_NT INM'!Q353</f>
        <v>819.5362032181805</v>
      </c>
      <c r="K356" s="459">
        <f>'Inputs_NT INM'!R353</f>
        <v>819.5362032181805</v>
      </c>
      <c r="L356" s="459">
        <f>'Inputs_NT INM'!S353</f>
        <v>819.5362032181805</v>
      </c>
      <c r="M356" s="459">
        <f>'Inputs_NT INM'!T353</f>
        <v>819.5362032181805</v>
      </c>
      <c r="N356" s="459">
        <f>'Inputs_NT INM'!U353</f>
        <v>819.5362032181805</v>
      </c>
      <c r="O356" s="459">
        <f>'Inputs_NT INM'!V353</f>
        <v>819.5362032181805</v>
      </c>
      <c r="P356" s="459">
        <f>'Inputs_NT INM'!W353</f>
        <v>819.5362032181805</v>
      </c>
      <c r="Q356" s="459">
        <f>'Inputs_NT INM'!X353</f>
        <v>819.5362032181805</v>
      </c>
      <c r="R356" s="459">
        <f>'Inputs_NT INM'!Y353</f>
        <v>819.5362032181805</v>
      </c>
      <c r="S356" s="459">
        <f>'Inputs_NT INM'!Z353</f>
        <v>819.5362032181805</v>
      </c>
      <c r="T356" s="459">
        <f>'Inputs_NT INM'!AA353</f>
        <v>819.5362032181805</v>
      </c>
      <c r="U356" s="459">
        <f>'Inputs_NT INM'!AB353</f>
        <v>819.5362032181805</v>
      </c>
      <c r="V356" s="459">
        <f>'Inputs_NT INM'!AC353</f>
        <v>819.5362032181805</v>
      </c>
      <c r="W356" s="459">
        <f>'Inputs_NT INM'!AD353</f>
        <v>819.5362032181805</v>
      </c>
      <c r="X356" s="459">
        <f>'Inputs_NT INM'!AE353</f>
        <v>819.5362032181805</v>
      </c>
      <c r="Y356" s="459">
        <f>'Inputs_NT INM'!AF353</f>
        <v>819.5362032181805</v>
      </c>
      <c r="Z356" s="459">
        <f>'Inputs_NT INM'!AG353</f>
        <v>819.5362032181805</v>
      </c>
      <c r="AA356" s="459">
        <f>'Inputs_NT INM'!AH353</f>
        <v>819.5362032181805</v>
      </c>
      <c r="AB356" s="459">
        <f>'Inputs_NT INM'!AI353</f>
        <v>819.5362032181805</v>
      </c>
      <c r="AC356" s="459">
        <f>'Inputs_NT INM'!AJ353</f>
        <v>819.5362032181805</v>
      </c>
      <c r="AD356" s="459">
        <f>'Inputs_NT INM'!AK353</f>
        <v>819.5362032181805</v>
      </c>
      <c r="AE356" s="459">
        <f>'Inputs_NT INM'!AL353</f>
        <v>819.5362032181805</v>
      </c>
      <c r="AF356" s="459">
        <f>'Inputs_NT INM'!AM353</f>
        <v>819.5362032181805</v>
      </c>
      <c r="AG356" s="459">
        <f>'Inputs_NT INM'!AN353</f>
        <v>819.5362032181805</v>
      </c>
      <c r="AH356" s="459"/>
      <c r="AI356" s="459"/>
      <c r="AJ356" s="459"/>
    </row>
    <row r="357" spans="1:36" x14ac:dyDescent="0.25">
      <c r="A357" s="9" t="s">
        <v>575</v>
      </c>
      <c r="B357" s="9" t="s">
        <v>558</v>
      </c>
      <c r="C357" s="9" t="s">
        <v>558</v>
      </c>
      <c r="D357" s="9" t="s">
        <v>558</v>
      </c>
      <c r="E357" s="9" t="s">
        <v>558</v>
      </c>
      <c r="F357" s="459">
        <f>'Inputs_NT INM'!M354</f>
        <v>819.5362032181805</v>
      </c>
      <c r="G357" s="459">
        <f>'Inputs_NT INM'!N354</f>
        <v>819.5362032181805</v>
      </c>
      <c r="H357" s="459">
        <f>'Inputs_NT INM'!O354</f>
        <v>819.5362032181805</v>
      </c>
      <c r="I357" s="459">
        <f>'Inputs_NT INM'!P354</f>
        <v>819.5362032181805</v>
      </c>
      <c r="J357" s="459">
        <f>'Inputs_NT INM'!Q354</f>
        <v>819.5362032181805</v>
      </c>
      <c r="K357" s="459">
        <f>'Inputs_NT INM'!R354</f>
        <v>819.5362032181805</v>
      </c>
      <c r="L357" s="459">
        <f>'Inputs_NT INM'!S354</f>
        <v>819.5362032181805</v>
      </c>
      <c r="M357" s="459">
        <f>'Inputs_NT INM'!T354</f>
        <v>819.5362032181805</v>
      </c>
      <c r="N357" s="459">
        <f>'Inputs_NT INM'!U354</f>
        <v>819.5362032181805</v>
      </c>
      <c r="O357" s="459">
        <f>'Inputs_NT INM'!V354</f>
        <v>819.5362032181805</v>
      </c>
      <c r="P357" s="459">
        <f>'Inputs_NT INM'!W354</f>
        <v>819.5362032181805</v>
      </c>
      <c r="Q357" s="459">
        <f>'Inputs_NT INM'!X354</f>
        <v>819.5362032181805</v>
      </c>
      <c r="R357" s="459">
        <f>'Inputs_NT INM'!Y354</f>
        <v>819.5362032181805</v>
      </c>
      <c r="S357" s="459">
        <f>'Inputs_NT INM'!Z354</f>
        <v>819.5362032181805</v>
      </c>
      <c r="T357" s="459">
        <f>'Inputs_NT INM'!AA354</f>
        <v>819.5362032181805</v>
      </c>
      <c r="U357" s="459">
        <f>'Inputs_NT INM'!AB354</f>
        <v>819.5362032181805</v>
      </c>
      <c r="V357" s="459">
        <f>'Inputs_NT INM'!AC354</f>
        <v>819.5362032181805</v>
      </c>
      <c r="W357" s="459">
        <f>'Inputs_NT INM'!AD354</f>
        <v>819.5362032181805</v>
      </c>
      <c r="X357" s="459">
        <f>'Inputs_NT INM'!AE354</f>
        <v>819.5362032181805</v>
      </c>
      <c r="Y357" s="459">
        <f>'Inputs_NT INM'!AF354</f>
        <v>819.5362032181805</v>
      </c>
      <c r="Z357" s="459">
        <f>'Inputs_NT INM'!AG354</f>
        <v>819.5362032181805</v>
      </c>
      <c r="AA357" s="459">
        <f>'Inputs_NT INM'!AH354</f>
        <v>819.5362032181805</v>
      </c>
      <c r="AB357" s="459">
        <f>'Inputs_NT INM'!AI354</f>
        <v>819.5362032181805</v>
      </c>
      <c r="AC357" s="459">
        <f>'Inputs_NT INM'!AJ354</f>
        <v>819.5362032181805</v>
      </c>
      <c r="AD357" s="459">
        <f>'Inputs_NT INM'!AK354</f>
        <v>819.5362032181805</v>
      </c>
      <c r="AE357" s="459">
        <f>'Inputs_NT INM'!AL354</f>
        <v>819.5362032181805</v>
      </c>
      <c r="AF357" s="459">
        <f>'Inputs_NT INM'!AM354</f>
        <v>819.5362032181805</v>
      </c>
      <c r="AG357" s="459">
        <f>'Inputs_NT INM'!AN354</f>
        <v>819.5362032181805</v>
      </c>
      <c r="AH357" s="459"/>
      <c r="AI357" s="459"/>
      <c r="AJ357" s="459"/>
    </row>
    <row r="358" spans="1:36" x14ac:dyDescent="0.25">
      <c r="A358" s="9" t="s">
        <v>575</v>
      </c>
      <c r="B358" s="9" t="s">
        <v>558</v>
      </c>
      <c r="C358" s="9" t="s">
        <v>558</v>
      </c>
      <c r="D358" s="9" t="s">
        <v>558</v>
      </c>
      <c r="E358" s="9" t="s">
        <v>558</v>
      </c>
      <c r="F358" s="459">
        <f>'Inputs_NT INM'!M355</f>
        <v>819.5362032181805</v>
      </c>
      <c r="G358" s="459">
        <f>'Inputs_NT INM'!N355</f>
        <v>819.5362032181805</v>
      </c>
      <c r="H358" s="459">
        <f>'Inputs_NT INM'!O355</f>
        <v>819.5362032181805</v>
      </c>
      <c r="I358" s="459">
        <f>'Inputs_NT INM'!P355</f>
        <v>819.5362032181805</v>
      </c>
      <c r="J358" s="459">
        <f>'Inputs_NT INM'!Q355</f>
        <v>819.5362032181805</v>
      </c>
      <c r="K358" s="459">
        <f>'Inputs_NT INM'!R355</f>
        <v>819.5362032181805</v>
      </c>
      <c r="L358" s="459">
        <f>'Inputs_NT INM'!S355</f>
        <v>819.5362032181805</v>
      </c>
      <c r="M358" s="459">
        <f>'Inputs_NT INM'!T355</f>
        <v>819.5362032181805</v>
      </c>
      <c r="N358" s="459">
        <f>'Inputs_NT INM'!U355</f>
        <v>819.5362032181805</v>
      </c>
      <c r="O358" s="459">
        <f>'Inputs_NT INM'!V355</f>
        <v>819.5362032181805</v>
      </c>
      <c r="P358" s="459">
        <f>'Inputs_NT INM'!W355</f>
        <v>819.5362032181805</v>
      </c>
      <c r="Q358" s="459">
        <f>'Inputs_NT INM'!X355</f>
        <v>819.5362032181805</v>
      </c>
      <c r="R358" s="459">
        <f>'Inputs_NT INM'!Y355</f>
        <v>819.5362032181805</v>
      </c>
      <c r="S358" s="459">
        <f>'Inputs_NT INM'!Z355</f>
        <v>819.5362032181805</v>
      </c>
      <c r="T358" s="459">
        <f>'Inputs_NT INM'!AA355</f>
        <v>819.5362032181805</v>
      </c>
      <c r="U358" s="459">
        <f>'Inputs_NT INM'!AB355</f>
        <v>819.5362032181805</v>
      </c>
      <c r="V358" s="459">
        <f>'Inputs_NT INM'!AC355</f>
        <v>819.5362032181805</v>
      </c>
      <c r="W358" s="459">
        <f>'Inputs_NT INM'!AD355</f>
        <v>819.5362032181805</v>
      </c>
      <c r="X358" s="459">
        <f>'Inputs_NT INM'!AE355</f>
        <v>819.5362032181805</v>
      </c>
      <c r="Y358" s="459">
        <f>'Inputs_NT INM'!AF355</f>
        <v>819.5362032181805</v>
      </c>
      <c r="Z358" s="459">
        <f>'Inputs_NT INM'!AG355</f>
        <v>819.5362032181805</v>
      </c>
      <c r="AA358" s="459">
        <f>'Inputs_NT INM'!AH355</f>
        <v>819.5362032181805</v>
      </c>
      <c r="AB358" s="459">
        <f>'Inputs_NT INM'!AI355</f>
        <v>819.5362032181805</v>
      </c>
      <c r="AC358" s="459">
        <f>'Inputs_NT INM'!AJ355</f>
        <v>819.5362032181805</v>
      </c>
      <c r="AD358" s="459">
        <f>'Inputs_NT INM'!AK355</f>
        <v>819.5362032181805</v>
      </c>
      <c r="AE358" s="459">
        <f>'Inputs_NT INM'!AL355</f>
        <v>819.5362032181805</v>
      </c>
      <c r="AF358" s="459">
        <f>'Inputs_NT INM'!AM355</f>
        <v>819.5362032181805</v>
      </c>
      <c r="AG358" s="459">
        <f>'Inputs_NT INM'!AN355</f>
        <v>819.5362032181805</v>
      </c>
      <c r="AH358" s="459"/>
      <c r="AI358" s="459"/>
      <c r="AJ358" s="459"/>
    </row>
    <row r="359" spans="1:36" x14ac:dyDescent="0.25">
      <c r="A359" s="9" t="s">
        <v>860</v>
      </c>
      <c r="B359" s="9" t="s">
        <v>980</v>
      </c>
      <c r="C359" s="9" t="s">
        <v>624</v>
      </c>
      <c r="D359" s="9">
        <v>2030</v>
      </c>
      <c r="E359" s="9" t="s">
        <v>995</v>
      </c>
      <c r="F359" s="459">
        <f>'Inputs_NT INM'!M356</f>
        <v>727.74814845774438</v>
      </c>
      <c r="G359" s="459">
        <f>'Inputs_NT INM'!N356</f>
        <v>727.74814845774438</v>
      </c>
      <c r="H359" s="459">
        <f>'Inputs_NT INM'!O356</f>
        <v>727.74814845774438</v>
      </c>
      <c r="I359" s="459">
        <f>'Inputs_NT INM'!P356</f>
        <v>727.74814845774438</v>
      </c>
      <c r="J359" s="459">
        <f>'Inputs_NT INM'!Q356</f>
        <v>727.74814845774438</v>
      </c>
      <c r="K359" s="459">
        <f>'Inputs_NT INM'!R356</f>
        <v>727.74814845774438</v>
      </c>
      <c r="L359" s="459">
        <f>'Inputs_NT INM'!S356</f>
        <v>727.74814845774438</v>
      </c>
      <c r="M359" s="459">
        <f>'Inputs_NT INM'!T356</f>
        <v>727.74814845774438</v>
      </c>
      <c r="N359" s="459">
        <f>'Inputs_NT INM'!U356</f>
        <v>727.74814845774438</v>
      </c>
      <c r="O359" s="459">
        <f>'Inputs_NT INM'!V356</f>
        <v>727.74814845774438</v>
      </c>
      <c r="P359" s="459">
        <f>'Inputs_NT INM'!W356</f>
        <v>727.74814845774438</v>
      </c>
      <c r="Q359" s="459">
        <f>'Inputs_NT INM'!X356</f>
        <v>727.74814845774438</v>
      </c>
      <c r="R359" s="459">
        <f>'Inputs_NT INM'!Y356</f>
        <v>727.74814845774438</v>
      </c>
      <c r="S359" s="459">
        <f>'Inputs_NT INM'!Z356</f>
        <v>727.74814845774438</v>
      </c>
      <c r="T359" s="459">
        <f>'Inputs_NT INM'!AA356</f>
        <v>727.74814845774438</v>
      </c>
      <c r="U359" s="459">
        <f>'Inputs_NT INM'!AB356</f>
        <v>727.74814845774438</v>
      </c>
      <c r="V359" s="459">
        <f>'Inputs_NT INM'!AC356</f>
        <v>727.74814845774438</v>
      </c>
      <c r="W359" s="459">
        <f>'Inputs_NT INM'!AD356</f>
        <v>727.74814845774438</v>
      </c>
      <c r="X359" s="459">
        <f>'Inputs_NT INM'!AE356</f>
        <v>727.74814845774438</v>
      </c>
      <c r="Y359" s="459">
        <f>'Inputs_NT INM'!AF356</f>
        <v>727.74814845774438</v>
      </c>
      <c r="Z359" s="459">
        <f>'Inputs_NT INM'!AG356</f>
        <v>727.74814845774438</v>
      </c>
      <c r="AA359" s="459">
        <f>'Inputs_NT INM'!AH356</f>
        <v>727.74814845774438</v>
      </c>
      <c r="AB359" s="459">
        <f>'Inputs_NT INM'!AI356</f>
        <v>727.74814845774438</v>
      </c>
      <c r="AC359" s="459">
        <f>'Inputs_NT INM'!AJ356</f>
        <v>727.74814845774438</v>
      </c>
      <c r="AD359" s="459">
        <f>'Inputs_NT INM'!AK356</f>
        <v>727.74814845774438</v>
      </c>
      <c r="AE359" s="459">
        <f>'Inputs_NT INM'!AL356</f>
        <v>727.74814845774438</v>
      </c>
      <c r="AF359" s="459">
        <f>'Inputs_NT INM'!AM356</f>
        <v>727.74814845774438</v>
      </c>
      <c r="AG359" s="459">
        <f>'Inputs_NT INM'!AN356</f>
        <v>727.74814845774438</v>
      </c>
      <c r="AH359" s="459"/>
      <c r="AI359" s="459"/>
      <c r="AJ359" s="459"/>
    </row>
    <row r="360" spans="1:36" x14ac:dyDescent="0.25">
      <c r="A360" s="9" t="s">
        <v>575</v>
      </c>
      <c r="B360" s="9" t="s">
        <v>558</v>
      </c>
      <c r="C360" s="9" t="s">
        <v>558</v>
      </c>
      <c r="D360" s="9" t="s">
        <v>558</v>
      </c>
      <c r="E360" s="9" t="s">
        <v>558</v>
      </c>
      <c r="F360" s="459">
        <f>'Inputs_NT INM'!M357</f>
        <v>727.74814845774438</v>
      </c>
      <c r="G360" s="459">
        <f>'Inputs_NT INM'!N357</f>
        <v>727.74814845774438</v>
      </c>
      <c r="H360" s="459">
        <f>'Inputs_NT INM'!O357</f>
        <v>727.74814845774438</v>
      </c>
      <c r="I360" s="459">
        <f>'Inputs_NT INM'!P357</f>
        <v>727.74814845774438</v>
      </c>
      <c r="J360" s="459">
        <f>'Inputs_NT INM'!Q357</f>
        <v>727.74814845774438</v>
      </c>
      <c r="K360" s="459">
        <f>'Inputs_NT INM'!R357</f>
        <v>727.74814845774438</v>
      </c>
      <c r="L360" s="459">
        <f>'Inputs_NT INM'!S357</f>
        <v>727.74814845774438</v>
      </c>
      <c r="M360" s="459">
        <f>'Inputs_NT INM'!T357</f>
        <v>727.74814845774438</v>
      </c>
      <c r="N360" s="459">
        <f>'Inputs_NT INM'!U357</f>
        <v>727.74814845774438</v>
      </c>
      <c r="O360" s="459">
        <f>'Inputs_NT INM'!V357</f>
        <v>727.74814845774438</v>
      </c>
      <c r="P360" s="459">
        <f>'Inputs_NT INM'!W357</f>
        <v>727.74814845774438</v>
      </c>
      <c r="Q360" s="459">
        <f>'Inputs_NT INM'!X357</f>
        <v>727.74814845774438</v>
      </c>
      <c r="R360" s="459">
        <f>'Inputs_NT INM'!Y357</f>
        <v>727.74814845774438</v>
      </c>
      <c r="S360" s="459">
        <f>'Inputs_NT INM'!Z357</f>
        <v>727.74814845774438</v>
      </c>
      <c r="T360" s="459">
        <f>'Inputs_NT INM'!AA357</f>
        <v>727.74814845774438</v>
      </c>
      <c r="U360" s="459">
        <f>'Inputs_NT INM'!AB357</f>
        <v>727.74814845774438</v>
      </c>
      <c r="V360" s="459">
        <f>'Inputs_NT INM'!AC357</f>
        <v>727.74814845774438</v>
      </c>
      <c r="W360" s="459">
        <f>'Inputs_NT INM'!AD357</f>
        <v>727.74814845774438</v>
      </c>
      <c r="X360" s="459">
        <f>'Inputs_NT INM'!AE357</f>
        <v>727.74814845774438</v>
      </c>
      <c r="Y360" s="459">
        <f>'Inputs_NT INM'!AF357</f>
        <v>727.74814845774438</v>
      </c>
      <c r="Z360" s="459">
        <f>'Inputs_NT INM'!AG357</f>
        <v>727.74814845774438</v>
      </c>
      <c r="AA360" s="459">
        <f>'Inputs_NT INM'!AH357</f>
        <v>727.74814845774438</v>
      </c>
      <c r="AB360" s="459">
        <f>'Inputs_NT INM'!AI357</f>
        <v>727.74814845774438</v>
      </c>
      <c r="AC360" s="459">
        <f>'Inputs_NT INM'!AJ357</f>
        <v>727.74814845774438</v>
      </c>
      <c r="AD360" s="459">
        <f>'Inputs_NT INM'!AK357</f>
        <v>727.74814845774438</v>
      </c>
      <c r="AE360" s="459">
        <f>'Inputs_NT INM'!AL357</f>
        <v>727.74814845774438</v>
      </c>
      <c r="AF360" s="459">
        <f>'Inputs_NT INM'!AM357</f>
        <v>727.74814845774438</v>
      </c>
      <c r="AG360" s="459">
        <f>'Inputs_NT INM'!AN357</f>
        <v>727.74814845774438</v>
      </c>
      <c r="AH360" s="459"/>
      <c r="AI360" s="459"/>
      <c r="AJ360" s="459"/>
    </row>
    <row r="361" spans="1:36" x14ac:dyDescent="0.25">
      <c r="A361" s="9" t="s">
        <v>575</v>
      </c>
      <c r="B361" s="9" t="s">
        <v>558</v>
      </c>
      <c r="C361" s="9" t="s">
        <v>558</v>
      </c>
      <c r="D361" s="9" t="s">
        <v>558</v>
      </c>
      <c r="E361" s="9" t="s">
        <v>558</v>
      </c>
      <c r="F361" s="459">
        <f>'Inputs_NT INM'!M358</f>
        <v>727.74814845774438</v>
      </c>
      <c r="G361" s="459">
        <f>'Inputs_NT INM'!N358</f>
        <v>727.74814845774438</v>
      </c>
      <c r="H361" s="459">
        <f>'Inputs_NT INM'!O358</f>
        <v>727.74814845774438</v>
      </c>
      <c r="I361" s="459">
        <f>'Inputs_NT INM'!P358</f>
        <v>727.74814845774438</v>
      </c>
      <c r="J361" s="459">
        <f>'Inputs_NT INM'!Q358</f>
        <v>727.74814845774438</v>
      </c>
      <c r="K361" s="459">
        <f>'Inputs_NT INM'!R358</f>
        <v>727.74814845774438</v>
      </c>
      <c r="L361" s="459">
        <f>'Inputs_NT INM'!S358</f>
        <v>727.74814845774438</v>
      </c>
      <c r="M361" s="459">
        <f>'Inputs_NT INM'!T358</f>
        <v>727.74814845774438</v>
      </c>
      <c r="N361" s="459">
        <f>'Inputs_NT INM'!U358</f>
        <v>727.74814845774438</v>
      </c>
      <c r="O361" s="459">
        <f>'Inputs_NT INM'!V358</f>
        <v>727.74814845774438</v>
      </c>
      <c r="P361" s="459">
        <f>'Inputs_NT INM'!W358</f>
        <v>727.74814845774438</v>
      </c>
      <c r="Q361" s="459">
        <f>'Inputs_NT INM'!X358</f>
        <v>727.74814845774438</v>
      </c>
      <c r="R361" s="459">
        <f>'Inputs_NT INM'!Y358</f>
        <v>727.74814845774438</v>
      </c>
      <c r="S361" s="459">
        <f>'Inputs_NT INM'!Z358</f>
        <v>727.74814845774438</v>
      </c>
      <c r="T361" s="459">
        <f>'Inputs_NT INM'!AA358</f>
        <v>727.74814845774438</v>
      </c>
      <c r="U361" s="459">
        <f>'Inputs_NT INM'!AB358</f>
        <v>727.74814845774438</v>
      </c>
      <c r="V361" s="459">
        <f>'Inputs_NT INM'!AC358</f>
        <v>727.74814845774438</v>
      </c>
      <c r="W361" s="459">
        <f>'Inputs_NT INM'!AD358</f>
        <v>727.74814845774438</v>
      </c>
      <c r="X361" s="459">
        <f>'Inputs_NT INM'!AE358</f>
        <v>727.74814845774438</v>
      </c>
      <c r="Y361" s="459">
        <f>'Inputs_NT INM'!AF358</f>
        <v>727.74814845774438</v>
      </c>
      <c r="Z361" s="459">
        <f>'Inputs_NT INM'!AG358</f>
        <v>727.74814845774438</v>
      </c>
      <c r="AA361" s="459">
        <f>'Inputs_NT INM'!AH358</f>
        <v>727.74814845774438</v>
      </c>
      <c r="AB361" s="459">
        <f>'Inputs_NT INM'!AI358</f>
        <v>727.74814845774438</v>
      </c>
      <c r="AC361" s="459">
        <f>'Inputs_NT INM'!AJ358</f>
        <v>727.74814845774438</v>
      </c>
      <c r="AD361" s="459">
        <f>'Inputs_NT INM'!AK358</f>
        <v>727.74814845774438</v>
      </c>
      <c r="AE361" s="459">
        <f>'Inputs_NT INM'!AL358</f>
        <v>727.74814845774438</v>
      </c>
      <c r="AF361" s="459">
        <f>'Inputs_NT INM'!AM358</f>
        <v>727.74814845774438</v>
      </c>
      <c r="AG361" s="459">
        <f>'Inputs_NT INM'!AN358</f>
        <v>727.74814845774438</v>
      </c>
      <c r="AH361" s="459"/>
      <c r="AI361" s="459"/>
      <c r="AJ361" s="459"/>
    </row>
    <row r="362" spans="1:36" x14ac:dyDescent="0.25">
      <c r="A362" s="9" t="s">
        <v>575</v>
      </c>
      <c r="B362" s="9" t="s">
        <v>558</v>
      </c>
      <c r="C362" s="9" t="s">
        <v>558</v>
      </c>
      <c r="D362" s="9" t="s">
        <v>558</v>
      </c>
      <c r="E362" s="9" t="s">
        <v>558</v>
      </c>
      <c r="F362" s="459">
        <f>'Inputs_NT INM'!M359</f>
        <v>727.74814845774438</v>
      </c>
      <c r="G362" s="459">
        <f>'Inputs_NT INM'!N359</f>
        <v>727.74814845774438</v>
      </c>
      <c r="H362" s="459">
        <f>'Inputs_NT INM'!O359</f>
        <v>727.74814845774438</v>
      </c>
      <c r="I362" s="459">
        <f>'Inputs_NT INM'!P359</f>
        <v>727.74814845774438</v>
      </c>
      <c r="J362" s="459">
        <f>'Inputs_NT INM'!Q359</f>
        <v>727.74814845774438</v>
      </c>
      <c r="K362" s="459">
        <f>'Inputs_NT INM'!R359</f>
        <v>727.74814845774438</v>
      </c>
      <c r="L362" s="459">
        <f>'Inputs_NT INM'!S359</f>
        <v>727.74814845774438</v>
      </c>
      <c r="M362" s="459">
        <f>'Inputs_NT INM'!T359</f>
        <v>727.74814845774438</v>
      </c>
      <c r="N362" s="459">
        <f>'Inputs_NT INM'!U359</f>
        <v>727.74814845774438</v>
      </c>
      <c r="O362" s="459">
        <f>'Inputs_NT INM'!V359</f>
        <v>727.74814845774438</v>
      </c>
      <c r="P362" s="459">
        <f>'Inputs_NT INM'!W359</f>
        <v>727.74814845774438</v>
      </c>
      <c r="Q362" s="459">
        <f>'Inputs_NT INM'!X359</f>
        <v>727.74814845774438</v>
      </c>
      <c r="R362" s="459">
        <f>'Inputs_NT INM'!Y359</f>
        <v>727.74814845774438</v>
      </c>
      <c r="S362" s="459">
        <f>'Inputs_NT INM'!Z359</f>
        <v>727.74814845774438</v>
      </c>
      <c r="T362" s="459">
        <f>'Inputs_NT INM'!AA359</f>
        <v>727.74814845774438</v>
      </c>
      <c r="U362" s="459">
        <f>'Inputs_NT INM'!AB359</f>
        <v>727.74814845774438</v>
      </c>
      <c r="V362" s="459">
        <f>'Inputs_NT INM'!AC359</f>
        <v>727.74814845774438</v>
      </c>
      <c r="W362" s="459">
        <f>'Inputs_NT INM'!AD359</f>
        <v>727.74814845774438</v>
      </c>
      <c r="X362" s="459">
        <f>'Inputs_NT INM'!AE359</f>
        <v>727.74814845774438</v>
      </c>
      <c r="Y362" s="459">
        <f>'Inputs_NT INM'!AF359</f>
        <v>727.74814845774438</v>
      </c>
      <c r="Z362" s="459">
        <f>'Inputs_NT INM'!AG359</f>
        <v>727.74814845774438</v>
      </c>
      <c r="AA362" s="459">
        <f>'Inputs_NT INM'!AH359</f>
        <v>727.74814845774438</v>
      </c>
      <c r="AB362" s="459">
        <f>'Inputs_NT INM'!AI359</f>
        <v>727.74814845774438</v>
      </c>
      <c r="AC362" s="459">
        <f>'Inputs_NT INM'!AJ359</f>
        <v>727.74814845774438</v>
      </c>
      <c r="AD362" s="459">
        <f>'Inputs_NT INM'!AK359</f>
        <v>727.74814845774438</v>
      </c>
      <c r="AE362" s="459">
        <f>'Inputs_NT INM'!AL359</f>
        <v>727.74814845774438</v>
      </c>
      <c r="AF362" s="459">
        <f>'Inputs_NT INM'!AM359</f>
        <v>727.74814845774438</v>
      </c>
      <c r="AG362" s="459">
        <f>'Inputs_NT INM'!AN359</f>
        <v>727.74814845774438</v>
      </c>
      <c r="AH362" s="459"/>
      <c r="AI362" s="459"/>
      <c r="AJ362" s="459"/>
    </row>
    <row r="363" spans="1:36" x14ac:dyDescent="0.25">
      <c r="A363" s="9" t="s">
        <v>575</v>
      </c>
      <c r="B363" s="9" t="s">
        <v>558</v>
      </c>
      <c r="C363" s="9" t="s">
        <v>558</v>
      </c>
      <c r="D363" s="9" t="s">
        <v>558</v>
      </c>
      <c r="E363" s="9" t="s">
        <v>558</v>
      </c>
      <c r="F363" s="459">
        <f>'Inputs_NT INM'!M360</f>
        <v>727.74814845774438</v>
      </c>
      <c r="G363" s="459">
        <f>'Inputs_NT INM'!N360</f>
        <v>727.74814845774438</v>
      </c>
      <c r="H363" s="459">
        <f>'Inputs_NT INM'!O360</f>
        <v>727.74814845774438</v>
      </c>
      <c r="I363" s="459">
        <f>'Inputs_NT INM'!P360</f>
        <v>727.74814845774438</v>
      </c>
      <c r="J363" s="459">
        <f>'Inputs_NT INM'!Q360</f>
        <v>727.74814845774438</v>
      </c>
      <c r="K363" s="459">
        <f>'Inputs_NT INM'!R360</f>
        <v>727.74814845774438</v>
      </c>
      <c r="L363" s="459">
        <f>'Inputs_NT INM'!S360</f>
        <v>727.74814845774438</v>
      </c>
      <c r="M363" s="459">
        <f>'Inputs_NT INM'!T360</f>
        <v>727.74814845774438</v>
      </c>
      <c r="N363" s="459">
        <f>'Inputs_NT INM'!U360</f>
        <v>727.74814845774438</v>
      </c>
      <c r="O363" s="459">
        <f>'Inputs_NT INM'!V360</f>
        <v>727.74814845774438</v>
      </c>
      <c r="P363" s="459">
        <f>'Inputs_NT INM'!W360</f>
        <v>727.74814845774438</v>
      </c>
      <c r="Q363" s="459">
        <f>'Inputs_NT INM'!X360</f>
        <v>727.74814845774438</v>
      </c>
      <c r="R363" s="459">
        <f>'Inputs_NT INM'!Y360</f>
        <v>727.74814845774438</v>
      </c>
      <c r="S363" s="459">
        <f>'Inputs_NT INM'!Z360</f>
        <v>727.74814845774438</v>
      </c>
      <c r="T363" s="459">
        <f>'Inputs_NT INM'!AA360</f>
        <v>727.74814845774438</v>
      </c>
      <c r="U363" s="459">
        <f>'Inputs_NT INM'!AB360</f>
        <v>727.74814845774438</v>
      </c>
      <c r="V363" s="459">
        <f>'Inputs_NT INM'!AC360</f>
        <v>727.74814845774438</v>
      </c>
      <c r="W363" s="459">
        <f>'Inputs_NT INM'!AD360</f>
        <v>727.74814845774438</v>
      </c>
      <c r="X363" s="459">
        <f>'Inputs_NT INM'!AE360</f>
        <v>727.74814845774438</v>
      </c>
      <c r="Y363" s="459">
        <f>'Inputs_NT INM'!AF360</f>
        <v>727.74814845774438</v>
      </c>
      <c r="Z363" s="459">
        <f>'Inputs_NT INM'!AG360</f>
        <v>727.74814845774438</v>
      </c>
      <c r="AA363" s="459">
        <f>'Inputs_NT INM'!AH360</f>
        <v>727.74814845774438</v>
      </c>
      <c r="AB363" s="459">
        <f>'Inputs_NT INM'!AI360</f>
        <v>727.74814845774438</v>
      </c>
      <c r="AC363" s="459">
        <f>'Inputs_NT INM'!AJ360</f>
        <v>727.74814845774438</v>
      </c>
      <c r="AD363" s="459">
        <f>'Inputs_NT INM'!AK360</f>
        <v>727.74814845774438</v>
      </c>
      <c r="AE363" s="459">
        <f>'Inputs_NT INM'!AL360</f>
        <v>727.74814845774438</v>
      </c>
      <c r="AF363" s="459">
        <f>'Inputs_NT INM'!AM360</f>
        <v>727.74814845774438</v>
      </c>
      <c r="AG363" s="459">
        <f>'Inputs_NT INM'!AN360</f>
        <v>727.74814845774438</v>
      </c>
      <c r="AH363" s="459"/>
      <c r="AI363" s="459"/>
      <c r="AJ363" s="459"/>
    </row>
    <row r="364" spans="1:36" x14ac:dyDescent="0.25">
      <c r="A364" s="9" t="s">
        <v>575</v>
      </c>
      <c r="B364" s="9" t="s">
        <v>558</v>
      </c>
      <c r="C364" s="9" t="s">
        <v>558</v>
      </c>
      <c r="D364" s="9" t="s">
        <v>558</v>
      </c>
      <c r="E364" s="9" t="s">
        <v>558</v>
      </c>
      <c r="F364" s="459">
        <f>'Inputs_NT INM'!M361</f>
        <v>727.74814845774438</v>
      </c>
      <c r="G364" s="459">
        <f>'Inputs_NT INM'!N361</f>
        <v>727.74814845774438</v>
      </c>
      <c r="H364" s="459">
        <f>'Inputs_NT INM'!O361</f>
        <v>727.74814845774438</v>
      </c>
      <c r="I364" s="459">
        <f>'Inputs_NT INM'!P361</f>
        <v>727.74814845774438</v>
      </c>
      <c r="J364" s="459">
        <f>'Inputs_NT INM'!Q361</f>
        <v>727.74814845774438</v>
      </c>
      <c r="K364" s="459">
        <f>'Inputs_NT INM'!R361</f>
        <v>727.74814845774438</v>
      </c>
      <c r="L364" s="459">
        <f>'Inputs_NT INM'!S361</f>
        <v>727.74814845774438</v>
      </c>
      <c r="M364" s="459">
        <f>'Inputs_NT INM'!T361</f>
        <v>727.74814845774438</v>
      </c>
      <c r="N364" s="459">
        <f>'Inputs_NT INM'!U361</f>
        <v>727.74814845774438</v>
      </c>
      <c r="O364" s="459">
        <f>'Inputs_NT INM'!V361</f>
        <v>727.74814845774438</v>
      </c>
      <c r="P364" s="459">
        <f>'Inputs_NT INM'!W361</f>
        <v>727.74814845774438</v>
      </c>
      <c r="Q364" s="459">
        <f>'Inputs_NT INM'!X361</f>
        <v>727.74814845774438</v>
      </c>
      <c r="R364" s="459">
        <f>'Inputs_NT INM'!Y361</f>
        <v>727.74814845774438</v>
      </c>
      <c r="S364" s="459">
        <f>'Inputs_NT INM'!Z361</f>
        <v>727.74814845774438</v>
      </c>
      <c r="T364" s="459">
        <f>'Inputs_NT INM'!AA361</f>
        <v>727.74814845774438</v>
      </c>
      <c r="U364" s="459">
        <f>'Inputs_NT INM'!AB361</f>
        <v>727.74814845774438</v>
      </c>
      <c r="V364" s="459">
        <f>'Inputs_NT INM'!AC361</f>
        <v>727.74814845774438</v>
      </c>
      <c r="W364" s="459">
        <f>'Inputs_NT INM'!AD361</f>
        <v>727.74814845774438</v>
      </c>
      <c r="X364" s="459">
        <f>'Inputs_NT INM'!AE361</f>
        <v>727.74814845774438</v>
      </c>
      <c r="Y364" s="459">
        <f>'Inputs_NT INM'!AF361</f>
        <v>727.74814845774438</v>
      </c>
      <c r="Z364" s="459">
        <f>'Inputs_NT INM'!AG361</f>
        <v>727.74814845774438</v>
      </c>
      <c r="AA364" s="459">
        <f>'Inputs_NT INM'!AH361</f>
        <v>727.74814845774438</v>
      </c>
      <c r="AB364" s="459">
        <f>'Inputs_NT INM'!AI361</f>
        <v>727.74814845774438</v>
      </c>
      <c r="AC364" s="459">
        <f>'Inputs_NT INM'!AJ361</f>
        <v>727.74814845774438</v>
      </c>
      <c r="AD364" s="459">
        <f>'Inputs_NT INM'!AK361</f>
        <v>727.74814845774438</v>
      </c>
      <c r="AE364" s="459">
        <f>'Inputs_NT INM'!AL361</f>
        <v>727.74814845774438</v>
      </c>
      <c r="AF364" s="459">
        <f>'Inputs_NT INM'!AM361</f>
        <v>727.74814845774438</v>
      </c>
      <c r="AG364" s="459">
        <f>'Inputs_NT INM'!AN361</f>
        <v>727.74814845774438</v>
      </c>
      <c r="AH364" s="459"/>
      <c r="AI364" s="459"/>
      <c r="AJ364" s="459"/>
    </row>
    <row r="365" spans="1:36" x14ac:dyDescent="0.25">
      <c r="A365" s="9" t="s">
        <v>860</v>
      </c>
      <c r="B365" s="9" t="s">
        <v>980</v>
      </c>
      <c r="C365" s="9" t="s">
        <v>624</v>
      </c>
      <c r="D365" s="9">
        <v>2050</v>
      </c>
      <c r="E365" s="9" t="s">
        <v>995</v>
      </c>
      <c r="F365" s="459">
        <f>'Inputs_NT INM'!M362</f>
        <v>664.48881342014636</v>
      </c>
      <c r="G365" s="459">
        <f>'Inputs_NT INM'!N362</f>
        <v>664.48881342014636</v>
      </c>
      <c r="H365" s="459">
        <f>'Inputs_NT INM'!O362</f>
        <v>664.48881342014636</v>
      </c>
      <c r="I365" s="459">
        <f>'Inputs_NT INM'!P362</f>
        <v>664.48881342014636</v>
      </c>
      <c r="J365" s="459">
        <f>'Inputs_NT INM'!Q362</f>
        <v>664.48881342014636</v>
      </c>
      <c r="K365" s="459">
        <f>'Inputs_NT INM'!R362</f>
        <v>664.48881342014636</v>
      </c>
      <c r="L365" s="459">
        <f>'Inputs_NT INM'!S362</f>
        <v>664.48881342014636</v>
      </c>
      <c r="M365" s="459">
        <f>'Inputs_NT INM'!T362</f>
        <v>664.48881342014636</v>
      </c>
      <c r="N365" s="459">
        <f>'Inputs_NT INM'!U362</f>
        <v>664.48881342014636</v>
      </c>
      <c r="O365" s="459">
        <f>'Inputs_NT INM'!V362</f>
        <v>664.48881342014636</v>
      </c>
      <c r="P365" s="459">
        <f>'Inputs_NT INM'!W362</f>
        <v>664.48881342014636</v>
      </c>
      <c r="Q365" s="459">
        <f>'Inputs_NT INM'!X362</f>
        <v>664.48881342014636</v>
      </c>
      <c r="R365" s="459">
        <f>'Inputs_NT INM'!Y362</f>
        <v>664.48881342014636</v>
      </c>
      <c r="S365" s="459">
        <f>'Inputs_NT INM'!Z362</f>
        <v>664.48881342014636</v>
      </c>
      <c r="T365" s="459">
        <f>'Inputs_NT INM'!AA362</f>
        <v>664.48881342014636</v>
      </c>
      <c r="U365" s="459">
        <f>'Inputs_NT INM'!AB362</f>
        <v>664.48881342014636</v>
      </c>
      <c r="V365" s="459">
        <f>'Inputs_NT INM'!AC362</f>
        <v>664.48881342014636</v>
      </c>
      <c r="W365" s="459">
        <f>'Inputs_NT INM'!AD362</f>
        <v>664.48881342014636</v>
      </c>
      <c r="X365" s="459">
        <f>'Inputs_NT INM'!AE362</f>
        <v>664.48881342014636</v>
      </c>
      <c r="Y365" s="459">
        <f>'Inputs_NT INM'!AF362</f>
        <v>664.48881342014636</v>
      </c>
      <c r="Z365" s="459">
        <f>'Inputs_NT INM'!AG362</f>
        <v>664.48881342014636</v>
      </c>
      <c r="AA365" s="459">
        <f>'Inputs_NT INM'!AH362</f>
        <v>664.48881342014636</v>
      </c>
      <c r="AB365" s="459">
        <f>'Inputs_NT INM'!AI362</f>
        <v>664.48881342014636</v>
      </c>
      <c r="AC365" s="459">
        <f>'Inputs_NT INM'!AJ362</f>
        <v>664.48881342014636</v>
      </c>
      <c r="AD365" s="459">
        <f>'Inputs_NT INM'!AK362</f>
        <v>664.48881342014636</v>
      </c>
      <c r="AE365" s="459">
        <f>'Inputs_NT INM'!AL362</f>
        <v>664.48881342014636</v>
      </c>
      <c r="AF365" s="459">
        <f>'Inputs_NT INM'!AM362</f>
        <v>664.48881342014636</v>
      </c>
      <c r="AG365" s="459">
        <f>'Inputs_NT INM'!AN362</f>
        <v>664.48881342014636</v>
      </c>
      <c r="AH365" s="459"/>
      <c r="AI365" s="459"/>
      <c r="AJ365" s="459"/>
    </row>
    <row r="366" spans="1:36" x14ac:dyDescent="0.25">
      <c r="A366" s="9" t="s">
        <v>575</v>
      </c>
      <c r="B366" s="9" t="s">
        <v>558</v>
      </c>
      <c r="C366" s="9" t="s">
        <v>558</v>
      </c>
      <c r="D366" s="9" t="s">
        <v>558</v>
      </c>
      <c r="E366" s="9" t="s">
        <v>558</v>
      </c>
      <c r="F366" s="459">
        <f>'Inputs_NT INM'!M363</f>
        <v>664.48881342014636</v>
      </c>
      <c r="G366" s="459">
        <f>'Inputs_NT INM'!N363</f>
        <v>664.48881342014636</v>
      </c>
      <c r="H366" s="459">
        <f>'Inputs_NT INM'!O363</f>
        <v>664.48881342014636</v>
      </c>
      <c r="I366" s="459">
        <f>'Inputs_NT INM'!P363</f>
        <v>664.48881342014636</v>
      </c>
      <c r="J366" s="459">
        <f>'Inputs_NT INM'!Q363</f>
        <v>664.48881342014636</v>
      </c>
      <c r="K366" s="459">
        <f>'Inputs_NT INM'!R363</f>
        <v>664.48881342014636</v>
      </c>
      <c r="L366" s="459">
        <f>'Inputs_NT INM'!S363</f>
        <v>664.48881342014636</v>
      </c>
      <c r="M366" s="459">
        <f>'Inputs_NT INM'!T363</f>
        <v>664.48881342014636</v>
      </c>
      <c r="N366" s="459">
        <f>'Inputs_NT INM'!U363</f>
        <v>664.48881342014636</v>
      </c>
      <c r="O366" s="459">
        <f>'Inputs_NT INM'!V363</f>
        <v>664.48881342014636</v>
      </c>
      <c r="P366" s="459">
        <f>'Inputs_NT INM'!W363</f>
        <v>664.48881342014636</v>
      </c>
      <c r="Q366" s="459">
        <f>'Inputs_NT INM'!X363</f>
        <v>664.48881342014636</v>
      </c>
      <c r="R366" s="459">
        <f>'Inputs_NT INM'!Y363</f>
        <v>664.48881342014636</v>
      </c>
      <c r="S366" s="459">
        <f>'Inputs_NT INM'!Z363</f>
        <v>664.48881342014636</v>
      </c>
      <c r="T366" s="459">
        <f>'Inputs_NT INM'!AA363</f>
        <v>664.48881342014636</v>
      </c>
      <c r="U366" s="459">
        <f>'Inputs_NT INM'!AB363</f>
        <v>664.48881342014636</v>
      </c>
      <c r="V366" s="459">
        <f>'Inputs_NT INM'!AC363</f>
        <v>664.48881342014636</v>
      </c>
      <c r="W366" s="459">
        <f>'Inputs_NT INM'!AD363</f>
        <v>664.48881342014636</v>
      </c>
      <c r="X366" s="459">
        <f>'Inputs_NT INM'!AE363</f>
        <v>664.48881342014636</v>
      </c>
      <c r="Y366" s="459">
        <f>'Inputs_NT INM'!AF363</f>
        <v>664.48881342014636</v>
      </c>
      <c r="Z366" s="459">
        <f>'Inputs_NT INM'!AG363</f>
        <v>664.48881342014636</v>
      </c>
      <c r="AA366" s="459">
        <f>'Inputs_NT INM'!AH363</f>
        <v>664.48881342014636</v>
      </c>
      <c r="AB366" s="459">
        <f>'Inputs_NT INM'!AI363</f>
        <v>664.48881342014636</v>
      </c>
      <c r="AC366" s="459">
        <f>'Inputs_NT INM'!AJ363</f>
        <v>664.48881342014636</v>
      </c>
      <c r="AD366" s="459">
        <f>'Inputs_NT INM'!AK363</f>
        <v>664.48881342014636</v>
      </c>
      <c r="AE366" s="459">
        <f>'Inputs_NT INM'!AL363</f>
        <v>664.48881342014636</v>
      </c>
      <c r="AF366" s="459">
        <f>'Inputs_NT INM'!AM363</f>
        <v>664.48881342014636</v>
      </c>
      <c r="AG366" s="459">
        <f>'Inputs_NT INM'!AN363</f>
        <v>664.48881342014636</v>
      </c>
      <c r="AH366" s="459"/>
      <c r="AI366" s="459"/>
      <c r="AJ366" s="459"/>
    </row>
    <row r="367" spans="1:36" x14ac:dyDescent="0.25">
      <c r="A367" s="9" t="s">
        <v>575</v>
      </c>
      <c r="B367" s="9" t="s">
        <v>558</v>
      </c>
      <c r="C367" s="9" t="s">
        <v>558</v>
      </c>
      <c r="D367" s="9" t="s">
        <v>558</v>
      </c>
      <c r="E367" s="9" t="s">
        <v>558</v>
      </c>
      <c r="F367" s="459">
        <f>'Inputs_NT INM'!M364</f>
        <v>664.48881342014636</v>
      </c>
      <c r="G367" s="459">
        <f>'Inputs_NT INM'!N364</f>
        <v>664.48881342014636</v>
      </c>
      <c r="H367" s="459">
        <f>'Inputs_NT INM'!O364</f>
        <v>664.48881342014636</v>
      </c>
      <c r="I367" s="459">
        <f>'Inputs_NT INM'!P364</f>
        <v>664.48881342014636</v>
      </c>
      <c r="J367" s="459">
        <f>'Inputs_NT INM'!Q364</f>
        <v>664.48881342014636</v>
      </c>
      <c r="K367" s="459">
        <f>'Inputs_NT INM'!R364</f>
        <v>664.48881342014636</v>
      </c>
      <c r="L367" s="459">
        <f>'Inputs_NT INM'!S364</f>
        <v>664.48881342014636</v>
      </c>
      <c r="M367" s="459">
        <f>'Inputs_NT INM'!T364</f>
        <v>664.48881342014636</v>
      </c>
      <c r="N367" s="459">
        <f>'Inputs_NT INM'!U364</f>
        <v>664.48881342014636</v>
      </c>
      <c r="O367" s="459">
        <f>'Inputs_NT INM'!V364</f>
        <v>664.48881342014636</v>
      </c>
      <c r="P367" s="459">
        <f>'Inputs_NT INM'!W364</f>
        <v>664.48881342014636</v>
      </c>
      <c r="Q367" s="459">
        <f>'Inputs_NT INM'!X364</f>
        <v>664.48881342014636</v>
      </c>
      <c r="R367" s="459">
        <f>'Inputs_NT INM'!Y364</f>
        <v>664.48881342014636</v>
      </c>
      <c r="S367" s="459">
        <f>'Inputs_NT INM'!Z364</f>
        <v>664.48881342014636</v>
      </c>
      <c r="T367" s="459">
        <f>'Inputs_NT INM'!AA364</f>
        <v>664.48881342014636</v>
      </c>
      <c r="U367" s="459">
        <f>'Inputs_NT INM'!AB364</f>
        <v>664.48881342014636</v>
      </c>
      <c r="V367" s="459">
        <f>'Inputs_NT INM'!AC364</f>
        <v>664.48881342014636</v>
      </c>
      <c r="W367" s="459">
        <f>'Inputs_NT INM'!AD364</f>
        <v>664.48881342014636</v>
      </c>
      <c r="X367" s="459">
        <f>'Inputs_NT INM'!AE364</f>
        <v>664.48881342014636</v>
      </c>
      <c r="Y367" s="459">
        <f>'Inputs_NT INM'!AF364</f>
        <v>664.48881342014636</v>
      </c>
      <c r="Z367" s="459">
        <f>'Inputs_NT INM'!AG364</f>
        <v>664.48881342014636</v>
      </c>
      <c r="AA367" s="459">
        <f>'Inputs_NT INM'!AH364</f>
        <v>664.48881342014636</v>
      </c>
      <c r="AB367" s="459">
        <f>'Inputs_NT INM'!AI364</f>
        <v>664.48881342014636</v>
      </c>
      <c r="AC367" s="459">
        <f>'Inputs_NT INM'!AJ364</f>
        <v>664.48881342014636</v>
      </c>
      <c r="AD367" s="459">
        <f>'Inputs_NT INM'!AK364</f>
        <v>664.48881342014636</v>
      </c>
      <c r="AE367" s="459">
        <f>'Inputs_NT INM'!AL364</f>
        <v>664.48881342014636</v>
      </c>
      <c r="AF367" s="459">
        <f>'Inputs_NT INM'!AM364</f>
        <v>664.48881342014636</v>
      </c>
      <c r="AG367" s="459">
        <f>'Inputs_NT INM'!AN364</f>
        <v>664.48881342014636</v>
      </c>
      <c r="AH367" s="459"/>
      <c r="AI367" s="459"/>
      <c r="AJ367" s="459"/>
    </row>
    <row r="368" spans="1:36" x14ac:dyDescent="0.25">
      <c r="A368" s="9" t="s">
        <v>575</v>
      </c>
      <c r="B368" s="9" t="s">
        <v>558</v>
      </c>
      <c r="C368" s="9" t="s">
        <v>558</v>
      </c>
      <c r="D368" s="9" t="s">
        <v>558</v>
      </c>
      <c r="E368" s="9" t="s">
        <v>558</v>
      </c>
      <c r="F368" s="459">
        <f>'Inputs_NT INM'!M365</f>
        <v>664.48881342014636</v>
      </c>
      <c r="G368" s="459">
        <f>'Inputs_NT INM'!N365</f>
        <v>664.48881342014636</v>
      </c>
      <c r="H368" s="459">
        <f>'Inputs_NT INM'!O365</f>
        <v>664.48881342014636</v>
      </c>
      <c r="I368" s="459">
        <f>'Inputs_NT INM'!P365</f>
        <v>664.48881342014636</v>
      </c>
      <c r="J368" s="459">
        <f>'Inputs_NT INM'!Q365</f>
        <v>664.48881342014636</v>
      </c>
      <c r="K368" s="459">
        <f>'Inputs_NT INM'!R365</f>
        <v>664.48881342014636</v>
      </c>
      <c r="L368" s="459">
        <f>'Inputs_NT INM'!S365</f>
        <v>664.48881342014636</v>
      </c>
      <c r="M368" s="459">
        <f>'Inputs_NT INM'!T365</f>
        <v>664.48881342014636</v>
      </c>
      <c r="N368" s="459">
        <f>'Inputs_NT INM'!U365</f>
        <v>664.48881342014636</v>
      </c>
      <c r="O368" s="459">
        <f>'Inputs_NT INM'!V365</f>
        <v>664.48881342014636</v>
      </c>
      <c r="P368" s="459">
        <f>'Inputs_NT INM'!W365</f>
        <v>664.48881342014636</v>
      </c>
      <c r="Q368" s="459">
        <f>'Inputs_NT INM'!X365</f>
        <v>664.48881342014636</v>
      </c>
      <c r="R368" s="459">
        <f>'Inputs_NT INM'!Y365</f>
        <v>664.48881342014636</v>
      </c>
      <c r="S368" s="459">
        <f>'Inputs_NT INM'!Z365</f>
        <v>664.48881342014636</v>
      </c>
      <c r="T368" s="459">
        <f>'Inputs_NT INM'!AA365</f>
        <v>664.48881342014636</v>
      </c>
      <c r="U368" s="459">
        <f>'Inputs_NT INM'!AB365</f>
        <v>664.48881342014636</v>
      </c>
      <c r="V368" s="459">
        <f>'Inputs_NT INM'!AC365</f>
        <v>664.48881342014636</v>
      </c>
      <c r="W368" s="459">
        <f>'Inputs_NT INM'!AD365</f>
        <v>664.48881342014636</v>
      </c>
      <c r="X368" s="459">
        <f>'Inputs_NT INM'!AE365</f>
        <v>664.48881342014636</v>
      </c>
      <c r="Y368" s="459">
        <f>'Inputs_NT INM'!AF365</f>
        <v>664.48881342014636</v>
      </c>
      <c r="Z368" s="459">
        <f>'Inputs_NT INM'!AG365</f>
        <v>664.48881342014636</v>
      </c>
      <c r="AA368" s="459">
        <f>'Inputs_NT INM'!AH365</f>
        <v>664.48881342014636</v>
      </c>
      <c r="AB368" s="459">
        <f>'Inputs_NT INM'!AI365</f>
        <v>664.48881342014636</v>
      </c>
      <c r="AC368" s="459">
        <f>'Inputs_NT INM'!AJ365</f>
        <v>664.48881342014636</v>
      </c>
      <c r="AD368" s="459">
        <f>'Inputs_NT INM'!AK365</f>
        <v>664.48881342014636</v>
      </c>
      <c r="AE368" s="459">
        <f>'Inputs_NT INM'!AL365</f>
        <v>664.48881342014636</v>
      </c>
      <c r="AF368" s="459">
        <f>'Inputs_NT INM'!AM365</f>
        <v>664.48881342014636</v>
      </c>
      <c r="AG368" s="459">
        <f>'Inputs_NT INM'!AN365</f>
        <v>664.48881342014636</v>
      </c>
      <c r="AH368" s="459"/>
      <c r="AI368" s="459"/>
      <c r="AJ368" s="459"/>
    </row>
    <row r="369" spans="1:36" x14ac:dyDescent="0.25">
      <c r="A369" s="9" t="s">
        <v>575</v>
      </c>
      <c r="B369" s="9" t="s">
        <v>558</v>
      </c>
      <c r="C369" s="9" t="s">
        <v>558</v>
      </c>
      <c r="D369" s="9" t="s">
        <v>558</v>
      </c>
      <c r="E369" s="9" t="s">
        <v>558</v>
      </c>
      <c r="F369" s="459">
        <f>'Inputs_NT INM'!M366</f>
        <v>664.48881342014636</v>
      </c>
      <c r="G369" s="459">
        <f>'Inputs_NT INM'!N366</f>
        <v>664.48881342014636</v>
      </c>
      <c r="H369" s="459">
        <f>'Inputs_NT INM'!O366</f>
        <v>664.48881342014636</v>
      </c>
      <c r="I369" s="459">
        <f>'Inputs_NT INM'!P366</f>
        <v>664.48881342014636</v>
      </c>
      <c r="J369" s="459">
        <f>'Inputs_NT INM'!Q366</f>
        <v>664.48881342014636</v>
      </c>
      <c r="K369" s="459">
        <f>'Inputs_NT INM'!R366</f>
        <v>664.48881342014636</v>
      </c>
      <c r="L369" s="459">
        <f>'Inputs_NT INM'!S366</f>
        <v>664.48881342014636</v>
      </c>
      <c r="M369" s="459">
        <f>'Inputs_NT INM'!T366</f>
        <v>664.48881342014636</v>
      </c>
      <c r="N369" s="459">
        <f>'Inputs_NT INM'!U366</f>
        <v>664.48881342014636</v>
      </c>
      <c r="O369" s="459">
        <f>'Inputs_NT INM'!V366</f>
        <v>664.48881342014636</v>
      </c>
      <c r="P369" s="459">
        <f>'Inputs_NT INM'!W366</f>
        <v>664.48881342014636</v>
      </c>
      <c r="Q369" s="459">
        <f>'Inputs_NT INM'!X366</f>
        <v>664.48881342014636</v>
      </c>
      <c r="R369" s="459">
        <f>'Inputs_NT INM'!Y366</f>
        <v>664.48881342014636</v>
      </c>
      <c r="S369" s="459">
        <f>'Inputs_NT INM'!Z366</f>
        <v>664.48881342014636</v>
      </c>
      <c r="T369" s="459">
        <f>'Inputs_NT INM'!AA366</f>
        <v>664.48881342014636</v>
      </c>
      <c r="U369" s="459">
        <f>'Inputs_NT INM'!AB366</f>
        <v>664.48881342014636</v>
      </c>
      <c r="V369" s="459">
        <f>'Inputs_NT INM'!AC366</f>
        <v>664.48881342014636</v>
      </c>
      <c r="W369" s="459">
        <f>'Inputs_NT INM'!AD366</f>
        <v>664.48881342014636</v>
      </c>
      <c r="X369" s="459">
        <f>'Inputs_NT INM'!AE366</f>
        <v>664.48881342014636</v>
      </c>
      <c r="Y369" s="459">
        <f>'Inputs_NT INM'!AF366</f>
        <v>664.48881342014636</v>
      </c>
      <c r="Z369" s="459">
        <f>'Inputs_NT INM'!AG366</f>
        <v>664.48881342014636</v>
      </c>
      <c r="AA369" s="459">
        <f>'Inputs_NT INM'!AH366</f>
        <v>664.48881342014636</v>
      </c>
      <c r="AB369" s="459">
        <f>'Inputs_NT INM'!AI366</f>
        <v>664.48881342014636</v>
      </c>
      <c r="AC369" s="459">
        <f>'Inputs_NT INM'!AJ366</f>
        <v>664.48881342014636</v>
      </c>
      <c r="AD369" s="459">
        <f>'Inputs_NT INM'!AK366</f>
        <v>664.48881342014636</v>
      </c>
      <c r="AE369" s="459">
        <f>'Inputs_NT INM'!AL366</f>
        <v>664.48881342014636</v>
      </c>
      <c r="AF369" s="459">
        <f>'Inputs_NT INM'!AM366</f>
        <v>664.48881342014636</v>
      </c>
      <c r="AG369" s="459">
        <f>'Inputs_NT INM'!AN366</f>
        <v>664.48881342014636</v>
      </c>
      <c r="AH369" s="459"/>
      <c r="AI369" s="459"/>
      <c r="AJ369" s="459"/>
    </row>
    <row r="370" spans="1:36" x14ac:dyDescent="0.25">
      <c r="A370" s="9" t="s">
        <v>575</v>
      </c>
      <c r="B370" s="9" t="s">
        <v>558</v>
      </c>
      <c r="C370" s="9" t="s">
        <v>558</v>
      </c>
      <c r="D370" s="9" t="s">
        <v>558</v>
      </c>
      <c r="E370" s="9" t="s">
        <v>558</v>
      </c>
      <c r="F370" s="459">
        <f>'Inputs_NT INM'!M367</f>
        <v>664.48881342014636</v>
      </c>
      <c r="G370" s="459">
        <f>'Inputs_NT INM'!N367</f>
        <v>664.48881342014636</v>
      </c>
      <c r="H370" s="459">
        <f>'Inputs_NT INM'!O367</f>
        <v>664.48881342014636</v>
      </c>
      <c r="I370" s="459">
        <f>'Inputs_NT INM'!P367</f>
        <v>664.48881342014636</v>
      </c>
      <c r="J370" s="459">
        <f>'Inputs_NT INM'!Q367</f>
        <v>664.48881342014636</v>
      </c>
      <c r="K370" s="459">
        <f>'Inputs_NT INM'!R367</f>
        <v>664.48881342014636</v>
      </c>
      <c r="L370" s="459">
        <f>'Inputs_NT INM'!S367</f>
        <v>664.48881342014636</v>
      </c>
      <c r="M370" s="459">
        <f>'Inputs_NT INM'!T367</f>
        <v>664.48881342014636</v>
      </c>
      <c r="N370" s="459">
        <f>'Inputs_NT INM'!U367</f>
        <v>664.48881342014636</v>
      </c>
      <c r="O370" s="459">
        <f>'Inputs_NT INM'!V367</f>
        <v>664.48881342014636</v>
      </c>
      <c r="P370" s="459">
        <f>'Inputs_NT INM'!W367</f>
        <v>664.48881342014636</v>
      </c>
      <c r="Q370" s="459">
        <f>'Inputs_NT INM'!X367</f>
        <v>664.48881342014636</v>
      </c>
      <c r="R370" s="459">
        <f>'Inputs_NT INM'!Y367</f>
        <v>664.48881342014636</v>
      </c>
      <c r="S370" s="459">
        <f>'Inputs_NT INM'!Z367</f>
        <v>664.48881342014636</v>
      </c>
      <c r="T370" s="459">
        <f>'Inputs_NT INM'!AA367</f>
        <v>664.48881342014636</v>
      </c>
      <c r="U370" s="459">
        <f>'Inputs_NT INM'!AB367</f>
        <v>664.48881342014636</v>
      </c>
      <c r="V370" s="459">
        <f>'Inputs_NT INM'!AC367</f>
        <v>664.48881342014636</v>
      </c>
      <c r="W370" s="459">
        <f>'Inputs_NT INM'!AD367</f>
        <v>664.48881342014636</v>
      </c>
      <c r="X370" s="459">
        <f>'Inputs_NT INM'!AE367</f>
        <v>664.48881342014636</v>
      </c>
      <c r="Y370" s="459">
        <f>'Inputs_NT INM'!AF367</f>
        <v>664.48881342014636</v>
      </c>
      <c r="Z370" s="459">
        <f>'Inputs_NT INM'!AG367</f>
        <v>664.48881342014636</v>
      </c>
      <c r="AA370" s="459">
        <f>'Inputs_NT INM'!AH367</f>
        <v>664.48881342014636</v>
      </c>
      <c r="AB370" s="459">
        <f>'Inputs_NT INM'!AI367</f>
        <v>664.48881342014636</v>
      </c>
      <c r="AC370" s="459">
        <f>'Inputs_NT INM'!AJ367</f>
        <v>664.48881342014636</v>
      </c>
      <c r="AD370" s="459">
        <f>'Inputs_NT INM'!AK367</f>
        <v>664.48881342014636</v>
      </c>
      <c r="AE370" s="459">
        <f>'Inputs_NT INM'!AL367</f>
        <v>664.48881342014636</v>
      </c>
      <c r="AF370" s="459">
        <f>'Inputs_NT INM'!AM367</f>
        <v>664.48881342014636</v>
      </c>
      <c r="AG370" s="459">
        <f>'Inputs_NT INM'!AN367</f>
        <v>664.48881342014636</v>
      </c>
      <c r="AH370" s="459"/>
      <c r="AI370" s="459"/>
      <c r="AJ370" s="459"/>
    </row>
    <row r="371" spans="1:36" x14ac:dyDescent="0.25">
      <c r="A371" s="9" t="s">
        <v>866</v>
      </c>
      <c r="B371" s="9" t="s">
        <v>981</v>
      </c>
      <c r="C371" s="9" t="s">
        <v>624</v>
      </c>
      <c r="D371" s="9">
        <v>2030</v>
      </c>
      <c r="E371" s="9" t="s">
        <v>995</v>
      </c>
      <c r="F371" s="459">
        <f>'Inputs_NT INM'!M368</f>
        <v>2614.4530885602512</v>
      </c>
      <c r="G371" s="459">
        <f>'Inputs_NT INM'!N368</f>
        <v>2614.4530885602512</v>
      </c>
      <c r="H371" s="459">
        <f>'Inputs_NT INM'!O368</f>
        <v>2614.4530885602512</v>
      </c>
      <c r="I371" s="459">
        <f>'Inputs_NT INM'!P368</f>
        <v>2614.4530885602512</v>
      </c>
      <c r="J371" s="459">
        <f>'Inputs_NT INM'!Q368</f>
        <v>2614.4530885602512</v>
      </c>
      <c r="K371" s="459">
        <f>'Inputs_NT INM'!R368</f>
        <v>2614.4530885602512</v>
      </c>
      <c r="L371" s="459">
        <f>'Inputs_NT INM'!S368</f>
        <v>2614.4530885602512</v>
      </c>
      <c r="M371" s="459">
        <f>'Inputs_NT INM'!T368</f>
        <v>2614.4530885602512</v>
      </c>
      <c r="N371" s="459">
        <f>'Inputs_NT INM'!U368</f>
        <v>2614.4530885602512</v>
      </c>
      <c r="O371" s="459">
        <f>'Inputs_NT INM'!V368</f>
        <v>2614.4530885602512</v>
      </c>
      <c r="P371" s="459">
        <f>'Inputs_NT INM'!W368</f>
        <v>2614.4530885602512</v>
      </c>
      <c r="Q371" s="459">
        <f>'Inputs_NT INM'!X368</f>
        <v>2614.4530885602512</v>
      </c>
      <c r="R371" s="459">
        <f>'Inputs_NT INM'!Y368</f>
        <v>2614.4530885602512</v>
      </c>
      <c r="S371" s="459">
        <f>'Inputs_NT INM'!Z368</f>
        <v>2614.4530885602512</v>
      </c>
      <c r="T371" s="459">
        <f>'Inputs_NT INM'!AA368</f>
        <v>2614.4530885602512</v>
      </c>
      <c r="U371" s="459">
        <f>'Inputs_NT INM'!AB368</f>
        <v>2614.4530885602512</v>
      </c>
      <c r="V371" s="459">
        <f>'Inputs_NT INM'!AC368</f>
        <v>2614.4530885602512</v>
      </c>
      <c r="W371" s="459">
        <f>'Inputs_NT INM'!AD368</f>
        <v>2614.4530885602512</v>
      </c>
      <c r="X371" s="459">
        <f>'Inputs_NT INM'!AE368</f>
        <v>2614.4530885602512</v>
      </c>
      <c r="Y371" s="459">
        <f>'Inputs_NT INM'!AF368</f>
        <v>2614.4530885602512</v>
      </c>
      <c r="Z371" s="459">
        <f>'Inputs_NT INM'!AG368</f>
        <v>2614.4530885602512</v>
      </c>
      <c r="AA371" s="459">
        <f>'Inputs_NT INM'!AH368</f>
        <v>2614.4530885602512</v>
      </c>
      <c r="AB371" s="459">
        <f>'Inputs_NT INM'!AI368</f>
        <v>2614.4530885602512</v>
      </c>
      <c r="AC371" s="459">
        <f>'Inputs_NT INM'!AJ368</f>
        <v>2614.4530885602512</v>
      </c>
      <c r="AD371" s="459">
        <f>'Inputs_NT INM'!AK368</f>
        <v>2614.4530885602512</v>
      </c>
      <c r="AE371" s="459">
        <f>'Inputs_NT INM'!AL368</f>
        <v>2614.4530885602512</v>
      </c>
      <c r="AF371" s="459">
        <f>'Inputs_NT INM'!AM368</f>
        <v>2614.4530885602512</v>
      </c>
      <c r="AG371" s="459">
        <f>'Inputs_NT INM'!AN368</f>
        <v>2614.4530885602512</v>
      </c>
      <c r="AH371" s="459"/>
      <c r="AI371" s="459"/>
      <c r="AJ371" s="459"/>
    </row>
    <row r="372" spans="1:36" x14ac:dyDescent="0.25">
      <c r="A372" s="9" t="s">
        <v>575</v>
      </c>
      <c r="B372" s="9" t="s">
        <v>558</v>
      </c>
      <c r="C372" s="9" t="s">
        <v>558</v>
      </c>
      <c r="D372" s="9" t="s">
        <v>558</v>
      </c>
      <c r="E372" s="9" t="s">
        <v>558</v>
      </c>
      <c r="F372" s="459">
        <f>'Inputs_NT INM'!M369</f>
        <v>2614.4530885602512</v>
      </c>
      <c r="G372" s="459">
        <f>'Inputs_NT INM'!N369</f>
        <v>2614.4530885602512</v>
      </c>
      <c r="H372" s="459">
        <f>'Inputs_NT INM'!O369</f>
        <v>2614.4530885602512</v>
      </c>
      <c r="I372" s="459">
        <f>'Inputs_NT INM'!P369</f>
        <v>2614.4530885602512</v>
      </c>
      <c r="J372" s="459">
        <f>'Inputs_NT INM'!Q369</f>
        <v>2614.4530885602512</v>
      </c>
      <c r="K372" s="459">
        <f>'Inputs_NT INM'!R369</f>
        <v>2614.4530885602512</v>
      </c>
      <c r="L372" s="459">
        <f>'Inputs_NT INM'!S369</f>
        <v>2614.4530885602512</v>
      </c>
      <c r="M372" s="459">
        <f>'Inputs_NT INM'!T369</f>
        <v>2614.4530885602512</v>
      </c>
      <c r="N372" s="459">
        <f>'Inputs_NT INM'!U369</f>
        <v>2614.4530885602512</v>
      </c>
      <c r="O372" s="459">
        <f>'Inputs_NT INM'!V369</f>
        <v>2614.4530885602512</v>
      </c>
      <c r="P372" s="459">
        <f>'Inputs_NT INM'!W369</f>
        <v>2614.4530885602512</v>
      </c>
      <c r="Q372" s="459">
        <f>'Inputs_NT INM'!X369</f>
        <v>2614.4530885602512</v>
      </c>
      <c r="R372" s="459">
        <f>'Inputs_NT INM'!Y369</f>
        <v>2614.4530885602512</v>
      </c>
      <c r="S372" s="459">
        <f>'Inputs_NT INM'!Z369</f>
        <v>2614.4530885602512</v>
      </c>
      <c r="T372" s="459">
        <f>'Inputs_NT INM'!AA369</f>
        <v>2614.4530885602512</v>
      </c>
      <c r="U372" s="459">
        <f>'Inputs_NT INM'!AB369</f>
        <v>2614.4530885602512</v>
      </c>
      <c r="V372" s="459">
        <f>'Inputs_NT INM'!AC369</f>
        <v>2614.4530885602512</v>
      </c>
      <c r="W372" s="459">
        <f>'Inputs_NT INM'!AD369</f>
        <v>2614.4530885602512</v>
      </c>
      <c r="X372" s="459">
        <f>'Inputs_NT INM'!AE369</f>
        <v>2614.4530885602512</v>
      </c>
      <c r="Y372" s="459">
        <f>'Inputs_NT INM'!AF369</f>
        <v>2614.4530885602512</v>
      </c>
      <c r="Z372" s="459">
        <f>'Inputs_NT INM'!AG369</f>
        <v>2614.4530885602512</v>
      </c>
      <c r="AA372" s="459">
        <f>'Inputs_NT INM'!AH369</f>
        <v>2614.4530885602512</v>
      </c>
      <c r="AB372" s="459">
        <f>'Inputs_NT INM'!AI369</f>
        <v>2614.4530885602512</v>
      </c>
      <c r="AC372" s="459">
        <f>'Inputs_NT INM'!AJ369</f>
        <v>2614.4530885602512</v>
      </c>
      <c r="AD372" s="459">
        <f>'Inputs_NT INM'!AK369</f>
        <v>2614.4530885602512</v>
      </c>
      <c r="AE372" s="459">
        <f>'Inputs_NT INM'!AL369</f>
        <v>2614.4530885602512</v>
      </c>
      <c r="AF372" s="459">
        <f>'Inputs_NT INM'!AM369</f>
        <v>2614.4530885602512</v>
      </c>
      <c r="AG372" s="459">
        <f>'Inputs_NT INM'!AN369</f>
        <v>2614.4530885602512</v>
      </c>
      <c r="AH372" s="459"/>
      <c r="AI372" s="459"/>
      <c r="AJ372" s="459"/>
    </row>
    <row r="373" spans="1:36" x14ac:dyDescent="0.25">
      <c r="A373" s="9" t="s">
        <v>575</v>
      </c>
      <c r="B373" s="9" t="s">
        <v>558</v>
      </c>
      <c r="C373" s="9" t="s">
        <v>558</v>
      </c>
      <c r="D373" s="9" t="s">
        <v>558</v>
      </c>
      <c r="E373" s="9" t="s">
        <v>558</v>
      </c>
      <c r="F373" s="459">
        <f>'Inputs_NT INM'!M370</f>
        <v>2614.4530885602512</v>
      </c>
      <c r="G373" s="459">
        <f>'Inputs_NT INM'!N370</f>
        <v>2614.4530885602512</v>
      </c>
      <c r="H373" s="459">
        <f>'Inputs_NT INM'!O370</f>
        <v>2614.4530885602512</v>
      </c>
      <c r="I373" s="459">
        <f>'Inputs_NT INM'!P370</f>
        <v>2614.4530885602512</v>
      </c>
      <c r="J373" s="459">
        <f>'Inputs_NT INM'!Q370</f>
        <v>2614.4530885602512</v>
      </c>
      <c r="K373" s="459">
        <f>'Inputs_NT INM'!R370</f>
        <v>2614.4530885602512</v>
      </c>
      <c r="L373" s="459">
        <f>'Inputs_NT INM'!S370</f>
        <v>2614.4530885602512</v>
      </c>
      <c r="M373" s="459">
        <f>'Inputs_NT INM'!T370</f>
        <v>2614.4530885602512</v>
      </c>
      <c r="N373" s="459">
        <f>'Inputs_NT INM'!U370</f>
        <v>2614.4530885602512</v>
      </c>
      <c r="O373" s="459">
        <f>'Inputs_NT INM'!V370</f>
        <v>2614.4530885602512</v>
      </c>
      <c r="P373" s="459">
        <f>'Inputs_NT INM'!W370</f>
        <v>2614.4530885602512</v>
      </c>
      <c r="Q373" s="459">
        <f>'Inputs_NT INM'!X370</f>
        <v>2614.4530885602512</v>
      </c>
      <c r="R373" s="459">
        <f>'Inputs_NT INM'!Y370</f>
        <v>2614.4530885602512</v>
      </c>
      <c r="S373" s="459">
        <f>'Inputs_NT INM'!Z370</f>
        <v>2614.4530885602512</v>
      </c>
      <c r="T373" s="459">
        <f>'Inputs_NT INM'!AA370</f>
        <v>2614.4530885602512</v>
      </c>
      <c r="U373" s="459">
        <f>'Inputs_NT INM'!AB370</f>
        <v>2614.4530885602512</v>
      </c>
      <c r="V373" s="459">
        <f>'Inputs_NT INM'!AC370</f>
        <v>2614.4530885602512</v>
      </c>
      <c r="W373" s="459">
        <f>'Inputs_NT INM'!AD370</f>
        <v>2614.4530885602512</v>
      </c>
      <c r="X373" s="459">
        <f>'Inputs_NT INM'!AE370</f>
        <v>2614.4530885602512</v>
      </c>
      <c r="Y373" s="459">
        <f>'Inputs_NT INM'!AF370</f>
        <v>2614.4530885602512</v>
      </c>
      <c r="Z373" s="459">
        <f>'Inputs_NT INM'!AG370</f>
        <v>2614.4530885602512</v>
      </c>
      <c r="AA373" s="459">
        <f>'Inputs_NT INM'!AH370</f>
        <v>2614.4530885602512</v>
      </c>
      <c r="AB373" s="459">
        <f>'Inputs_NT INM'!AI370</f>
        <v>2614.4530885602512</v>
      </c>
      <c r="AC373" s="459">
        <f>'Inputs_NT INM'!AJ370</f>
        <v>2614.4530885602512</v>
      </c>
      <c r="AD373" s="459">
        <f>'Inputs_NT INM'!AK370</f>
        <v>2614.4530885602512</v>
      </c>
      <c r="AE373" s="459">
        <f>'Inputs_NT INM'!AL370</f>
        <v>2614.4530885602512</v>
      </c>
      <c r="AF373" s="459">
        <f>'Inputs_NT INM'!AM370</f>
        <v>2614.4530885602512</v>
      </c>
      <c r="AG373" s="459">
        <f>'Inputs_NT INM'!AN370</f>
        <v>2614.4530885602512</v>
      </c>
      <c r="AH373" s="459"/>
      <c r="AI373" s="459"/>
      <c r="AJ373" s="459"/>
    </row>
    <row r="374" spans="1:36" x14ac:dyDescent="0.25">
      <c r="A374" s="9" t="s">
        <v>575</v>
      </c>
      <c r="B374" s="9" t="s">
        <v>558</v>
      </c>
      <c r="C374" s="9" t="s">
        <v>558</v>
      </c>
      <c r="D374" s="9" t="s">
        <v>558</v>
      </c>
      <c r="E374" s="9" t="s">
        <v>558</v>
      </c>
      <c r="F374" s="459">
        <f>'Inputs_NT INM'!M371</f>
        <v>2614.4530885602512</v>
      </c>
      <c r="G374" s="459">
        <f>'Inputs_NT INM'!N371</f>
        <v>2614.4530885602512</v>
      </c>
      <c r="H374" s="459">
        <f>'Inputs_NT INM'!O371</f>
        <v>2614.4530885602512</v>
      </c>
      <c r="I374" s="459">
        <f>'Inputs_NT INM'!P371</f>
        <v>2614.4530885602512</v>
      </c>
      <c r="J374" s="459">
        <f>'Inputs_NT INM'!Q371</f>
        <v>2614.4530885602512</v>
      </c>
      <c r="K374" s="459">
        <f>'Inputs_NT INM'!R371</f>
        <v>2614.4530885602512</v>
      </c>
      <c r="L374" s="459">
        <f>'Inputs_NT INM'!S371</f>
        <v>2614.4530885602512</v>
      </c>
      <c r="M374" s="459">
        <f>'Inputs_NT INM'!T371</f>
        <v>2614.4530885602512</v>
      </c>
      <c r="N374" s="459">
        <f>'Inputs_NT INM'!U371</f>
        <v>2614.4530885602512</v>
      </c>
      <c r="O374" s="459">
        <f>'Inputs_NT INM'!V371</f>
        <v>2614.4530885602512</v>
      </c>
      <c r="P374" s="459">
        <f>'Inputs_NT INM'!W371</f>
        <v>2614.4530885602512</v>
      </c>
      <c r="Q374" s="459">
        <f>'Inputs_NT INM'!X371</f>
        <v>2614.4530885602512</v>
      </c>
      <c r="R374" s="459">
        <f>'Inputs_NT INM'!Y371</f>
        <v>2614.4530885602512</v>
      </c>
      <c r="S374" s="459">
        <f>'Inputs_NT INM'!Z371</f>
        <v>2614.4530885602512</v>
      </c>
      <c r="T374" s="459">
        <f>'Inputs_NT INM'!AA371</f>
        <v>2614.4530885602512</v>
      </c>
      <c r="U374" s="459">
        <f>'Inputs_NT INM'!AB371</f>
        <v>2614.4530885602512</v>
      </c>
      <c r="V374" s="459">
        <f>'Inputs_NT INM'!AC371</f>
        <v>2614.4530885602512</v>
      </c>
      <c r="W374" s="459">
        <f>'Inputs_NT INM'!AD371</f>
        <v>2614.4530885602512</v>
      </c>
      <c r="X374" s="459">
        <f>'Inputs_NT INM'!AE371</f>
        <v>2614.4530885602512</v>
      </c>
      <c r="Y374" s="459">
        <f>'Inputs_NT INM'!AF371</f>
        <v>2614.4530885602512</v>
      </c>
      <c r="Z374" s="459">
        <f>'Inputs_NT INM'!AG371</f>
        <v>2614.4530885602512</v>
      </c>
      <c r="AA374" s="459">
        <f>'Inputs_NT INM'!AH371</f>
        <v>2614.4530885602512</v>
      </c>
      <c r="AB374" s="459">
        <f>'Inputs_NT INM'!AI371</f>
        <v>2614.4530885602512</v>
      </c>
      <c r="AC374" s="459">
        <f>'Inputs_NT INM'!AJ371</f>
        <v>2614.4530885602512</v>
      </c>
      <c r="AD374" s="459">
        <f>'Inputs_NT INM'!AK371</f>
        <v>2614.4530885602512</v>
      </c>
      <c r="AE374" s="459">
        <f>'Inputs_NT INM'!AL371</f>
        <v>2614.4530885602512</v>
      </c>
      <c r="AF374" s="459">
        <f>'Inputs_NT INM'!AM371</f>
        <v>2614.4530885602512</v>
      </c>
      <c r="AG374" s="459">
        <f>'Inputs_NT INM'!AN371</f>
        <v>2614.4530885602512</v>
      </c>
      <c r="AH374" s="459"/>
      <c r="AI374" s="459"/>
      <c r="AJ374" s="459"/>
    </row>
    <row r="375" spans="1:36" x14ac:dyDescent="0.25">
      <c r="A375" s="9" t="s">
        <v>575</v>
      </c>
      <c r="B375" s="9" t="s">
        <v>558</v>
      </c>
      <c r="C375" s="9" t="s">
        <v>558</v>
      </c>
      <c r="D375" s="9" t="s">
        <v>558</v>
      </c>
      <c r="E375" s="9" t="s">
        <v>558</v>
      </c>
      <c r="F375" s="459">
        <f>'Inputs_NT INM'!M372</f>
        <v>2614.4530885602512</v>
      </c>
      <c r="G375" s="459">
        <f>'Inputs_NT INM'!N372</f>
        <v>2614.4530885602512</v>
      </c>
      <c r="H375" s="459">
        <f>'Inputs_NT INM'!O372</f>
        <v>2614.4530885602512</v>
      </c>
      <c r="I375" s="459">
        <f>'Inputs_NT INM'!P372</f>
        <v>2614.4530885602512</v>
      </c>
      <c r="J375" s="459">
        <f>'Inputs_NT INM'!Q372</f>
        <v>2614.4530885602512</v>
      </c>
      <c r="K375" s="459">
        <f>'Inputs_NT INM'!R372</f>
        <v>2614.4530885602512</v>
      </c>
      <c r="L375" s="459">
        <f>'Inputs_NT INM'!S372</f>
        <v>2614.4530885602512</v>
      </c>
      <c r="M375" s="459">
        <f>'Inputs_NT INM'!T372</f>
        <v>2614.4530885602512</v>
      </c>
      <c r="N375" s="459">
        <f>'Inputs_NT INM'!U372</f>
        <v>2614.4530885602512</v>
      </c>
      <c r="O375" s="459">
        <f>'Inputs_NT INM'!V372</f>
        <v>2614.4530885602512</v>
      </c>
      <c r="P375" s="459">
        <f>'Inputs_NT INM'!W372</f>
        <v>2614.4530885602512</v>
      </c>
      <c r="Q375" s="459">
        <f>'Inputs_NT INM'!X372</f>
        <v>2614.4530885602512</v>
      </c>
      <c r="R375" s="459">
        <f>'Inputs_NT INM'!Y372</f>
        <v>2614.4530885602512</v>
      </c>
      <c r="S375" s="459">
        <f>'Inputs_NT INM'!Z372</f>
        <v>2614.4530885602512</v>
      </c>
      <c r="T375" s="459">
        <f>'Inputs_NT INM'!AA372</f>
        <v>2614.4530885602512</v>
      </c>
      <c r="U375" s="459">
        <f>'Inputs_NT INM'!AB372</f>
        <v>2614.4530885602512</v>
      </c>
      <c r="V375" s="459">
        <f>'Inputs_NT INM'!AC372</f>
        <v>2614.4530885602512</v>
      </c>
      <c r="W375" s="459">
        <f>'Inputs_NT INM'!AD372</f>
        <v>2614.4530885602512</v>
      </c>
      <c r="X375" s="459">
        <f>'Inputs_NT INM'!AE372</f>
        <v>2614.4530885602512</v>
      </c>
      <c r="Y375" s="459">
        <f>'Inputs_NT INM'!AF372</f>
        <v>2614.4530885602512</v>
      </c>
      <c r="Z375" s="459">
        <f>'Inputs_NT INM'!AG372</f>
        <v>2614.4530885602512</v>
      </c>
      <c r="AA375" s="459">
        <f>'Inputs_NT INM'!AH372</f>
        <v>2614.4530885602512</v>
      </c>
      <c r="AB375" s="459">
        <f>'Inputs_NT INM'!AI372</f>
        <v>2614.4530885602512</v>
      </c>
      <c r="AC375" s="459">
        <f>'Inputs_NT INM'!AJ372</f>
        <v>2614.4530885602512</v>
      </c>
      <c r="AD375" s="459">
        <f>'Inputs_NT INM'!AK372</f>
        <v>2614.4530885602512</v>
      </c>
      <c r="AE375" s="459">
        <f>'Inputs_NT INM'!AL372</f>
        <v>2614.4530885602512</v>
      </c>
      <c r="AF375" s="459">
        <f>'Inputs_NT INM'!AM372</f>
        <v>2614.4530885602512</v>
      </c>
      <c r="AG375" s="459">
        <f>'Inputs_NT INM'!AN372</f>
        <v>2614.4530885602512</v>
      </c>
      <c r="AH375" s="459"/>
      <c r="AI375" s="459"/>
      <c r="AJ375" s="459"/>
    </row>
    <row r="376" spans="1:36" x14ac:dyDescent="0.25">
      <c r="A376" s="9" t="s">
        <v>575</v>
      </c>
      <c r="B376" s="9" t="s">
        <v>558</v>
      </c>
      <c r="C376" s="9" t="s">
        <v>558</v>
      </c>
      <c r="D376" s="9" t="s">
        <v>558</v>
      </c>
      <c r="E376" s="9" t="s">
        <v>558</v>
      </c>
      <c r="F376" s="459">
        <f>'Inputs_NT INM'!M373</f>
        <v>2614.4530885602512</v>
      </c>
      <c r="G376" s="459">
        <f>'Inputs_NT INM'!N373</f>
        <v>2614.4530885602512</v>
      </c>
      <c r="H376" s="459">
        <f>'Inputs_NT INM'!O373</f>
        <v>2614.4530885602512</v>
      </c>
      <c r="I376" s="459">
        <f>'Inputs_NT INM'!P373</f>
        <v>2614.4530885602512</v>
      </c>
      <c r="J376" s="459">
        <f>'Inputs_NT INM'!Q373</f>
        <v>2614.4530885602512</v>
      </c>
      <c r="K376" s="459">
        <f>'Inputs_NT INM'!R373</f>
        <v>2614.4530885602512</v>
      </c>
      <c r="L376" s="459">
        <f>'Inputs_NT INM'!S373</f>
        <v>2614.4530885602512</v>
      </c>
      <c r="M376" s="459">
        <f>'Inputs_NT INM'!T373</f>
        <v>2614.4530885602512</v>
      </c>
      <c r="N376" s="459">
        <f>'Inputs_NT INM'!U373</f>
        <v>2614.4530885602512</v>
      </c>
      <c r="O376" s="459">
        <f>'Inputs_NT INM'!V373</f>
        <v>2614.4530885602512</v>
      </c>
      <c r="P376" s="459">
        <f>'Inputs_NT INM'!W373</f>
        <v>2614.4530885602512</v>
      </c>
      <c r="Q376" s="459">
        <f>'Inputs_NT INM'!X373</f>
        <v>2614.4530885602512</v>
      </c>
      <c r="R376" s="459">
        <f>'Inputs_NT INM'!Y373</f>
        <v>2614.4530885602512</v>
      </c>
      <c r="S376" s="459">
        <f>'Inputs_NT INM'!Z373</f>
        <v>2614.4530885602512</v>
      </c>
      <c r="T376" s="459">
        <f>'Inputs_NT INM'!AA373</f>
        <v>2614.4530885602512</v>
      </c>
      <c r="U376" s="459">
        <f>'Inputs_NT INM'!AB373</f>
        <v>2614.4530885602512</v>
      </c>
      <c r="V376" s="459">
        <f>'Inputs_NT INM'!AC373</f>
        <v>2614.4530885602512</v>
      </c>
      <c r="W376" s="459">
        <f>'Inputs_NT INM'!AD373</f>
        <v>2614.4530885602512</v>
      </c>
      <c r="X376" s="459">
        <f>'Inputs_NT INM'!AE373</f>
        <v>2614.4530885602512</v>
      </c>
      <c r="Y376" s="459">
        <f>'Inputs_NT INM'!AF373</f>
        <v>2614.4530885602512</v>
      </c>
      <c r="Z376" s="459">
        <f>'Inputs_NT INM'!AG373</f>
        <v>2614.4530885602512</v>
      </c>
      <c r="AA376" s="459">
        <f>'Inputs_NT INM'!AH373</f>
        <v>2614.4530885602512</v>
      </c>
      <c r="AB376" s="459">
        <f>'Inputs_NT INM'!AI373</f>
        <v>2614.4530885602512</v>
      </c>
      <c r="AC376" s="459">
        <f>'Inputs_NT INM'!AJ373</f>
        <v>2614.4530885602512</v>
      </c>
      <c r="AD376" s="459">
        <f>'Inputs_NT INM'!AK373</f>
        <v>2614.4530885602512</v>
      </c>
      <c r="AE376" s="459">
        <f>'Inputs_NT INM'!AL373</f>
        <v>2614.4530885602512</v>
      </c>
      <c r="AF376" s="459">
        <f>'Inputs_NT INM'!AM373</f>
        <v>2614.4530885602512</v>
      </c>
      <c r="AG376" s="459">
        <f>'Inputs_NT INM'!AN373</f>
        <v>2614.4530885602512</v>
      </c>
      <c r="AH376" s="459"/>
      <c r="AI376" s="459"/>
      <c r="AJ376" s="459"/>
    </row>
    <row r="377" spans="1:36" x14ac:dyDescent="0.25">
      <c r="A377" s="9" t="s">
        <v>866</v>
      </c>
      <c r="B377" s="9" t="s">
        <v>981</v>
      </c>
      <c r="C377" s="9" t="s">
        <v>624</v>
      </c>
      <c r="D377" s="9">
        <v>2050</v>
      </c>
      <c r="E377" s="9" t="s">
        <v>995</v>
      </c>
      <c r="F377" s="459">
        <f>'Inputs_NT INM'!M374</f>
        <v>1582.3214134000002</v>
      </c>
      <c r="G377" s="459">
        <f>'Inputs_NT INM'!N374</f>
        <v>1582.3214134000002</v>
      </c>
      <c r="H377" s="459">
        <f>'Inputs_NT INM'!O374</f>
        <v>1582.3214134000002</v>
      </c>
      <c r="I377" s="459">
        <f>'Inputs_NT INM'!P374</f>
        <v>1582.3214134000002</v>
      </c>
      <c r="J377" s="459">
        <f>'Inputs_NT INM'!Q374</f>
        <v>1582.3214134000002</v>
      </c>
      <c r="K377" s="459">
        <f>'Inputs_NT INM'!R374</f>
        <v>1582.3214134000002</v>
      </c>
      <c r="L377" s="459">
        <f>'Inputs_NT INM'!S374</f>
        <v>1582.3214134000002</v>
      </c>
      <c r="M377" s="459">
        <f>'Inputs_NT INM'!T374</f>
        <v>1582.3214134000002</v>
      </c>
      <c r="N377" s="459">
        <f>'Inputs_NT INM'!U374</f>
        <v>1582.3214134000002</v>
      </c>
      <c r="O377" s="459">
        <f>'Inputs_NT INM'!V374</f>
        <v>1582.3214134000002</v>
      </c>
      <c r="P377" s="459">
        <f>'Inputs_NT INM'!W374</f>
        <v>1582.3214134000002</v>
      </c>
      <c r="Q377" s="459">
        <f>'Inputs_NT INM'!X374</f>
        <v>1582.3214134000002</v>
      </c>
      <c r="R377" s="459">
        <f>'Inputs_NT INM'!Y374</f>
        <v>1582.3214134000002</v>
      </c>
      <c r="S377" s="459">
        <f>'Inputs_NT INM'!Z374</f>
        <v>1582.3214134000002</v>
      </c>
      <c r="T377" s="459">
        <f>'Inputs_NT INM'!AA374</f>
        <v>1582.3214134000002</v>
      </c>
      <c r="U377" s="459">
        <f>'Inputs_NT INM'!AB374</f>
        <v>1582.3214134000002</v>
      </c>
      <c r="V377" s="459">
        <f>'Inputs_NT INM'!AC374</f>
        <v>1582.3214134000002</v>
      </c>
      <c r="W377" s="459">
        <f>'Inputs_NT INM'!AD374</f>
        <v>1582.3214134000002</v>
      </c>
      <c r="X377" s="459">
        <f>'Inputs_NT INM'!AE374</f>
        <v>1582.3214134000002</v>
      </c>
      <c r="Y377" s="459">
        <f>'Inputs_NT INM'!AF374</f>
        <v>1582.3214134000002</v>
      </c>
      <c r="Z377" s="459">
        <f>'Inputs_NT INM'!AG374</f>
        <v>1582.3214134000002</v>
      </c>
      <c r="AA377" s="459">
        <f>'Inputs_NT INM'!AH374</f>
        <v>1582.3214134000002</v>
      </c>
      <c r="AB377" s="459">
        <f>'Inputs_NT INM'!AI374</f>
        <v>1582.3214134000002</v>
      </c>
      <c r="AC377" s="459">
        <f>'Inputs_NT INM'!AJ374</f>
        <v>1582.3214134000002</v>
      </c>
      <c r="AD377" s="459">
        <f>'Inputs_NT INM'!AK374</f>
        <v>1582.3214134000002</v>
      </c>
      <c r="AE377" s="459">
        <f>'Inputs_NT INM'!AL374</f>
        <v>1582.3214134000002</v>
      </c>
      <c r="AF377" s="459">
        <f>'Inputs_NT INM'!AM374</f>
        <v>1582.3214134000002</v>
      </c>
      <c r="AG377" s="459">
        <f>'Inputs_NT INM'!AN374</f>
        <v>1582.3214134000002</v>
      </c>
      <c r="AH377" s="459"/>
      <c r="AI377" s="459"/>
      <c r="AJ377" s="459"/>
    </row>
    <row r="378" spans="1:36" x14ac:dyDescent="0.25">
      <c r="A378" s="9" t="s">
        <v>575</v>
      </c>
      <c r="B378" s="9" t="s">
        <v>558</v>
      </c>
      <c r="C378" s="9" t="s">
        <v>558</v>
      </c>
      <c r="D378" s="9" t="s">
        <v>558</v>
      </c>
      <c r="E378" s="9" t="s">
        <v>558</v>
      </c>
      <c r="F378" s="459">
        <f>'Inputs_NT INM'!M375</f>
        <v>1582.3214134000002</v>
      </c>
      <c r="G378" s="459">
        <f>'Inputs_NT INM'!N375</f>
        <v>1582.3214134000002</v>
      </c>
      <c r="H378" s="459">
        <f>'Inputs_NT INM'!O375</f>
        <v>1582.3214134000002</v>
      </c>
      <c r="I378" s="459">
        <f>'Inputs_NT INM'!P375</f>
        <v>1582.3214134000002</v>
      </c>
      <c r="J378" s="459">
        <f>'Inputs_NT INM'!Q375</f>
        <v>1582.3214134000002</v>
      </c>
      <c r="K378" s="459">
        <f>'Inputs_NT INM'!R375</f>
        <v>1582.3214134000002</v>
      </c>
      <c r="L378" s="459">
        <f>'Inputs_NT INM'!S375</f>
        <v>1582.3214134000002</v>
      </c>
      <c r="M378" s="459">
        <f>'Inputs_NT INM'!T375</f>
        <v>1582.3214134000002</v>
      </c>
      <c r="N378" s="459">
        <f>'Inputs_NT INM'!U375</f>
        <v>1582.3214134000002</v>
      </c>
      <c r="O378" s="459">
        <f>'Inputs_NT INM'!V375</f>
        <v>1582.3214134000002</v>
      </c>
      <c r="P378" s="459">
        <f>'Inputs_NT INM'!W375</f>
        <v>1582.3214134000002</v>
      </c>
      <c r="Q378" s="459">
        <f>'Inputs_NT INM'!X375</f>
        <v>1582.3214134000002</v>
      </c>
      <c r="R378" s="459">
        <f>'Inputs_NT INM'!Y375</f>
        <v>1582.3214134000002</v>
      </c>
      <c r="S378" s="459">
        <f>'Inputs_NT INM'!Z375</f>
        <v>1582.3214134000002</v>
      </c>
      <c r="T378" s="459">
        <f>'Inputs_NT INM'!AA375</f>
        <v>1582.3214134000002</v>
      </c>
      <c r="U378" s="459">
        <f>'Inputs_NT INM'!AB375</f>
        <v>1582.3214134000002</v>
      </c>
      <c r="V378" s="459">
        <f>'Inputs_NT INM'!AC375</f>
        <v>1582.3214134000002</v>
      </c>
      <c r="W378" s="459">
        <f>'Inputs_NT INM'!AD375</f>
        <v>1582.3214134000002</v>
      </c>
      <c r="X378" s="459">
        <f>'Inputs_NT INM'!AE375</f>
        <v>1582.3214134000002</v>
      </c>
      <c r="Y378" s="459">
        <f>'Inputs_NT INM'!AF375</f>
        <v>1582.3214134000002</v>
      </c>
      <c r="Z378" s="459">
        <f>'Inputs_NT INM'!AG375</f>
        <v>1582.3214134000002</v>
      </c>
      <c r="AA378" s="459">
        <f>'Inputs_NT INM'!AH375</f>
        <v>1582.3214134000002</v>
      </c>
      <c r="AB378" s="459">
        <f>'Inputs_NT INM'!AI375</f>
        <v>1582.3214134000002</v>
      </c>
      <c r="AC378" s="459">
        <f>'Inputs_NT INM'!AJ375</f>
        <v>1582.3214134000002</v>
      </c>
      <c r="AD378" s="459">
        <f>'Inputs_NT INM'!AK375</f>
        <v>1582.3214134000002</v>
      </c>
      <c r="AE378" s="459">
        <f>'Inputs_NT INM'!AL375</f>
        <v>1582.3214134000002</v>
      </c>
      <c r="AF378" s="459">
        <f>'Inputs_NT INM'!AM375</f>
        <v>1582.3214134000002</v>
      </c>
      <c r="AG378" s="459">
        <f>'Inputs_NT INM'!AN375</f>
        <v>1582.3214134000002</v>
      </c>
      <c r="AH378" s="459"/>
      <c r="AI378" s="459"/>
      <c r="AJ378" s="459"/>
    </row>
    <row r="379" spans="1:36" x14ac:dyDescent="0.25">
      <c r="A379" s="9" t="s">
        <v>575</v>
      </c>
      <c r="B379" s="9" t="s">
        <v>558</v>
      </c>
      <c r="C379" s="9" t="s">
        <v>558</v>
      </c>
      <c r="D379" s="9" t="s">
        <v>558</v>
      </c>
      <c r="E379" s="9" t="s">
        <v>558</v>
      </c>
      <c r="F379" s="459">
        <f>'Inputs_NT INM'!M376</f>
        <v>1582.3214134000002</v>
      </c>
      <c r="G379" s="459">
        <f>'Inputs_NT INM'!N376</f>
        <v>1582.3214134000002</v>
      </c>
      <c r="H379" s="459">
        <f>'Inputs_NT INM'!O376</f>
        <v>1582.3214134000002</v>
      </c>
      <c r="I379" s="459">
        <f>'Inputs_NT INM'!P376</f>
        <v>1582.3214134000002</v>
      </c>
      <c r="J379" s="459">
        <f>'Inputs_NT INM'!Q376</f>
        <v>1582.3214134000002</v>
      </c>
      <c r="K379" s="459">
        <f>'Inputs_NT INM'!R376</f>
        <v>1582.3214134000002</v>
      </c>
      <c r="L379" s="459">
        <f>'Inputs_NT INM'!S376</f>
        <v>1582.3214134000002</v>
      </c>
      <c r="M379" s="459">
        <f>'Inputs_NT INM'!T376</f>
        <v>1582.3214134000002</v>
      </c>
      <c r="N379" s="459">
        <f>'Inputs_NT INM'!U376</f>
        <v>1582.3214134000002</v>
      </c>
      <c r="O379" s="459">
        <f>'Inputs_NT INM'!V376</f>
        <v>1582.3214134000002</v>
      </c>
      <c r="P379" s="459">
        <f>'Inputs_NT INM'!W376</f>
        <v>1582.3214134000002</v>
      </c>
      <c r="Q379" s="459">
        <f>'Inputs_NT INM'!X376</f>
        <v>1582.3214134000002</v>
      </c>
      <c r="R379" s="459">
        <f>'Inputs_NT INM'!Y376</f>
        <v>1582.3214134000002</v>
      </c>
      <c r="S379" s="459">
        <f>'Inputs_NT INM'!Z376</f>
        <v>1582.3214134000002</v>
      </c>
      <c r="T379" s="459">
        <f>'Inputs_NT INM'!AA376</f>
        <v>1582.3214134000002</v>
      </c>
      <c r="U379" s="459">
        <f>'Inputs_NT INM'!AB376</f>
        <v>1582.3214134000002</v>
      </c>
      <c r="V379" s="459">
        <f>'Inputs_NT INM'!AC376</f>
        <v>1582.3214134000002</v>
      </c>
      <c r="W379" s="459">
        <f>'Inputs_NT INM'!AD376</f>
        <v>1582.3214134000002</v>
      </c>
      <c r="X379" s="459">
        <f>'Inputs_NT INM'!AE376</f>
        <v>1582.3214134000002</v>
      </c>
      <c r="Y379" s="459">
        <f>'Inputs_NT INM'!AF376</f>
        <v>1582.3214134000002</v>
      </c>
      <c r="Z379" s="459">
        <f>'Inputs_NT INM'!AG376</f>
        <v>1582.3214134000002</v>
      </c>
      <c r="AA379" s="459">
        <f>'Inputs_NT INM'!AH376</f>
        <v>1582.3214134000002</v>
      </c>
      <c r="AB379" s="459">
        <f>'Inputs_NT INM'!AI376</f>
        <v>1582.3214134000002</v>
      </c>
      <c r="AC379" s="459">
        <f>'Inputs_NT INM'!AJ376</f>
        <v>1582.3214134000002</v>
      </c>
      <c r="AD379" s="459">
        <f>'Inputs_NT INM'!AK376</f>
        <v>1582.3214134000002</v>
      </c>
      <c r="AE379" s="459">
        <f>'Inputs_NT INM'!AL376</f>
        <v>1582.3214134000002</v>
      </c>
      <c r="AF379" s="459">
        <f>'Inputs_NT INM'!AM376</f>
        <v>1582.3214134000002</v>
      </c>
      <c r="AG379" s="459">
        <f>'Inputs_NT INM'!AN376</f>
        <v>1582.3214134000002</v>
      </c>
      <c r="AH379" s="459"/>
      <c r="AI379" s="459"/>
      <c r="AJ379" s="459"/>
    </row>
    <row r="380" spans="1:36" x14ac:dyDescent="0.25">
      <c r="A380" s="9" t="s">
        <v>575</v>
      </c>
      <c r="B380" s="9" t="s">
        <v>558</v>
      </c>
      <c r="C380" s="9" t="s">
        <v>558</v>
      </c>
      <c r="D380" s="9" t="s">
        <v>558</v>
      </c>
      <c r="E380" s="9" t="s">
        <v>558</v>
      </c>
      <c r="F380" s="459">
        <f>'Inputs_NT INM'!M377</f>
        <v>1582.3214134000002</v>
      </c>
      <c r="G380" s="459">
        <f>'Inputs_NT INM'!N377</f>
        <v>1582.3214134000002</v>
      </c>
      <c r="H380" s="459">
        <f>'Inputs_NT INM'!O377</f>
        <v>1582.3214134000002</v>
      </c>
      <c r="I380" s="459">
        <f>'Inputs_NT INM'!P377</f>
        <v>1582.3214134000002</v>
      </c>
      <c r="J380" s="459">
        <f>'Inputs_NT INM'!Q377</f>
        <v>1582.3214134000002</v>
      </c>
      <c r="K380" s="459">
        <f>'Inputs_NT INM'!R377</f>
        <v>1582.3214134000002</v>
      </c>
      <c r="L380" s="459">
        <f>'Inputs_NT INM'!S377</f>
        <v>1582.3214134000002</v>
      </c>
      <c r="M380" s="459">
        <f>'Inputs_NT INM'!T377</f>
        <v>1582.3214134000002</v>
      </c>
      <c r="N380" s="459">
        <f>'Inputs_NT INM'!U377</f>
        <v>1582.3214134000002</v>
      </c>
      <c r="O380" s="459">
        <f>'Inputs_NT INM'!V377</f>
        <v>1582.3214134000002</v>
      </c>
      <c r="P380" s="459">
        <f>'Inputs_NT INM'!W377</f>
        <v>1582.3214134000002</v>
      </c>
      <c r="Q380" s="459">
        <f>'Inputs_NT INM'!X377</f>
        <v>1582.3214134000002</v>
      </c>
      <c r="R380" s="459">
        <f>'Inputs_NT INM'!Y377</f>
        <v>1582.3214134000002</v>
      </c>
      <c r="S380" s="459">
        <f>'Inputs_NT INM'!Z377</f>
        <v>1582.3214134000002</v>
      </c>
      <c r="T380" s="459">
        <f>'Inputs_NT INM'!AA377</f>
        <v>1582.3214134000002</v>
      </c>
      <c r="U380" s="459">
        <f>'Inputs_NT INM'!AB377</f>
        <v>1582.3214134000002</v>
      </c>
      <c r="V380" s="459">
        <f>'Inputs_NT INM'!AC377</f>
        <v>1582.3214134000002</v>
      </c>
      <c r="W380" s="459">
        <f>'Inputs_NT INM'!AD377</f>
        <v>1582.3214134000002</v>
      </c>
      <c r="X380" s="459">
        <f>'Inputs_NT INM'!AE377</f>
        <v>1582.3214134000002</v>
      </c>
      <c r="Y380" s="459">
        <f>'Inputs_NT INM'!AF377</f>
        <v>1582.3214134000002</v>
      </c>
      <c r="Z380" s="459">
        <f>'Inputs_NT INM'!AG377</f>
        <v>1582.3214134000002</v>
      </c>
      <c r="AA380" s="459">
        <f>'Inputs_NT INM'!AH377</f>
        <v>1582.3214134000002</v>
      </c>
      <c r="AB380" s="459">
        <f>'Inputs_NT INM'!AI377</f>
        <v>1582.3214134000002</v>
      </c>
      <c r="AC380" s="459">
        <f>'Inputs_NT INM'!AJ377</f>
        <v>1582.3214134000002</v>
      </c>
      <c r="AD380" s="459">
        <f>'Inputs_NT INM'!AK377</f>
        <v>1582.3214134000002</v>
      </c>
      <c r="AE380" s="459">
        <f>'Inputs_NT INM'!AL377</f>
        <v>1582.3214134000002</v>
      </c>
      <c r="AF380" s="459">
        <f>'Inputs_NT INM'!AM377</f>
        <v>1582.3214134000002</v>
      </c>
      <c r="AG380" s="459">
        <f>'Inputs_NT INM'!AN377</f>
        <v>1582.3214134000002</v>
      </c>
      <c r="AH380" s="459"/>
      <c r="AI380" s="459"/>
      <c r="AJ380" s="459"/>
    </row>
    <row r="381" spans="1:36" x14ac:dyDescent="0.25">
      <c r="A381" s="9" t="s">
        <v>575</v>
      </c>
      <c r="B381" s="9" t="s">
        <v>558</v>
      </c>
      <c r="C381" s="9" t="s">
        <v>558</v>
      </c>
      <c r="D381" s="9" t="s">
        <v>558</v>
      </c>
      <c r="E381" s="9" t="s">
        <v>558</v>
      </c>
      <c r="F381" s="459">
        <f>'Inputs_NT INM'!M378</f>
        <v>1582.3214134000002</v>
      </c>
      <c r="G381" s="459">
        <f>'Inputs_NT INM'!N378</f>
        <v>1582.3214134000002</v>
      </c>
      <c r="H381" s="459">
        <f>'Inputs_NT INM'!O378</f>
        <v>1582.3214134000002</v>
      </c>
      <c r="I381" s="459">
        <f>'Inputs_NT INM'!P378</f>
        <v>1582.3214134000002</v>
      </c>
      <c r="J381" s="459">
        <f>'Inputs_NT INM'!Q378</f>
        <v>1582.3214134000002</v>
      </c>
      <c r="K381" s="459">
        <f>'Inputs_NT INM'!R378</f>
        <v>1582.3214134000002</v>
      </c>
      <c r="L381" s="459">
        <f>'Inputs_NT INM'!S378</f>
        <v>1582.3214134000002</v>
      </c>
      <c r="M381" s="459">
        <f>'Inputs_NT INM'!T378</f>
        <v>1582.3214134000002</v>
      </c>
      <c r="N381" s="459">
        <f>'Inputs_NT INM'!U378</f>
        <v>1582.3214134000002</v>
      </c>
      <c r="O381" s="459">
        <f>'Inputs_NT INM'!V378</f>
        <v>1582.3214134000002</v>
      </c>
      <c r="P381" s="459">
        <f>'Inputs_NT INM'!W378</f>
        <v>1582.3214134000002</v>
      </c>
      <c r="Q381" s="459">
        <f>'Inputs_NT INM'!X378</f>
        <v>1582.3214134000002</v>
      </c>
      <c r="R381" s="459">
        <f>'Inputs_NT INM'!Y378</f>
        <v>1582.3214134000002</v>
      </c>
      <c r="S381" s="459">
        <f>'Inputs_NT INM'!Z378</f>
        <v>1582.3214134000002</v>
      </c>
      <c r="T381" s="459">
        <f>'Inputs_NT INM'!AA378</f>
        <v>1582.3214134000002</v>
      </c>
      <c r="U381" s="459">
        <f>'Inputs_NT INM'!AB378</f>
        <v>1582.3214134000002</v>
      </c>
      <c r="V381" s="459">
        <f>'Inputs_NT INM'!AC378</f>
        <v>1582.3214134000002</v>
      </c>
      <c r="W381" s="459">
        <f>'Inputs_NT INM'!AD378</f>
        <v>1582.3214134000002</v>
      </c>
      <c r="X381" s="459">
        <f>'Inputs_NT INM'!AE378</f>
        <v>1582.3214134000002</v>
      </c>
      <c r="Y381" s="459">
        <f>'Inputs_NT INM'!AF378</f>
        <v>1582.3214134000002</v>
      </c>
      <c r="Z381" s="459">
        <f>'Inputs_NT INM'!AG378</f>
        <v>1582.3214134000002</v>
      </c>
      <c r="AA381" s="459">
        <f>'Inputs_NT INM'!AH378</f>
        <v>1582.3214134000002</v>
      </c>
      <c r="AB381" s="459">
        <f>'Inputs_NT INM'!AI378</f>
        <v>1582.3214134000002</v>
      </c>
      <c r="AC381" s="459">
        <f>'Inputs_NT INM'!AJ378</f>
        <v>1582.3214134000002</v>
      </c>
      <c r="AD381" s="459">
        <f>'Inputs_NT INM'!AK378</f>
        <v>1582.3214134000002</v>
      </c>
      <c r="AE381" s="459">
        <f>'Inputs_NT INM'!AL378</f>
        <v>1582.3214134000002</v>
      </c>
      <c r="AF381" s="459">
        <f>'Inputs_NT INM'!AM378</f>
        <v>1582.3214134000002</v>
      </c>
      <c r="AG381" s="459">
        <f>'Inputs_NT INM'!AN378</f>
        <v>1582.3214134000002</v>
      </c>
      <c r="AH381" s="459"/>
      <c r="AI381" s="459"/>
      <c r="AJ381" s="459"/>
    </row>
    <row r="382" spans="1:36" x14ac:dyDescent="0.25">
      <c r="A382" s="9" t="s">
        <v>575</v>
      </c>
      <c r="B382" s="9" t="s">
        <v>558</v>
      </c>
      <c r="C382" s="9" t="s">
        <v>558</v>
      </c>
      <c r="D382" s="9" t="s">
        <v>558</v>
      </c>
      <c r="E382" s="9" t="s">
        <v>558</v>
      </c>
      <c r="F382" s="459">
        <f>'Inputs_NT INM'!M379</f>
        <v>1582.3214134000002</v>
      </c>
      <c r="G382" s="459">
        <f>'Inputs_NT INM'!N379</f>
        <v>1582.3214134000002</v>
      </c>
      <c r="H382" s="459">
        <f>'Inputs_NT INM'!O379</f>
        <v>1582.3214134000002</v>
      </c>
      <c r="I382" s="459">
        <f>'Inputs_NT INM'!P379</f>
        <v>1582.3214134000002</v>
      </c>
      <c r="J382" s="459">
        <f>'Inputs_NT INM'!Q379</f>
        <v>1582.3214134000002</v>
      </c>
      <c r="K382" s="459">
        <f>'Inputs_NT INM'!R379</f>
        <v>1582.3214134000002</v>
      </c>
      <c r="L382" s="459">
        <f>'Inputs_NT INM'!S379</f>
        <v>1582.3214134000002</v>
      </c>
      <c r="M382" s="459">
        <f>'Inputs_NT INM'!T379</f>
        <v>1582.3214134000002</v>
      </c>
      <c r="N382" s="459">
        <f>'Inputs_NT INM'!U379</f>
        <v>1582.3214134000002</v>
      </c>
      <c r="O382" s="459">
        <f>'Inputs_NT INM'!V379</f>
        <v>1582.3214134000002</v>
      </c>
      <c r="P382" s="459">
        <f>'Inputs_NT INM'!W379</f>
        <v>1582.3214134000002</v>
      </c>
      <c r="Q382" s="459">
        <f>'Inputs_NT INM'!X379</f>
        <v>1582.3214134000002</v>
      </c>
      <c r="R382" s="459">
        <f>'Inputs_NT INM'!Y379</f>
        <v>1582.3214134000002</v>
      </c>
      <c r="S382" s="459">
        <f>'Inputs_NT INM'!Z379</f>
        <v>1582.3214134000002</v>
      </c>
      <c r="T382" s="459">
        <f>'Inputs_NT INM'!AA379</f>
        <v>1582.3214134000002</v>
      </c>
      <c r="U382" s="459">
        <f>'Inputs_NT INM'!AB379</f>
        <v>1582.3214134000002</v>
      </c>
      <c r="V382" s="459">
        <f>'Inputs_NT INM'!AC379</f>
        <v>1582.3214134000002</v>
      </c>
      <c r="W382" s="459">
        <f>'Inputs_NT INM'!AD379</f>
        <v>1582.3214134000002</v>
      </c>
      <c r="X382" s="459">
        <f>'Inputs_NT INM'!AE379</f>
        <v>1582.3214134000002</v>
      </c>
      <c r="Y382" s="459">
        <f>'Inputs_NT INM'!AF379</f>
        <v>1582.3214134000002</v>
      </c>
      <c r="Z382" s="459">
        <f>'Inputs_NT INM'!AG379</f>
        <v>1582.3214134000002</v>
      </c>
      <c r="AA382" s="459">
        <f>'Inputs_NT INM'!AH379</f>
        <v>1582.3214134000002</v>
      </c>
      <c r="AB382" s="459">
        <f>'Inputs_NT INM'!AI379</f>
        <v>1582.3214134000002</v>
      </c>
      <c r="AC382" s="459">
        <f>'Inputs_NT INM'!AJ379</f>
        <v>1582.3214134000002</v>
      </c>
      <c r="AD382" s="459">
        <f>'Inputs_NT INM'!AK379</f>
        <v>1582.3214134000002</v>
      </c>
      <c r="AE382" s="459">
        <f>'Inputs_NT INM'!AL379</f>
        <v>1582.3214134000002</v>
      </c>
      <c r="AF382" s="459">
        <f>'Inputs_NT INM'!AM379</f>
        <v>1582.3214134000002</v>
      </c>
      <c r="AG382" s="459">
        <f>'Inputs_NT INM'!AN379</f>
        <v>1582.3214134000002</v>
      </c>
      <c r="AH382" s="459"/>
      <c r="AI382" s="459"/>
      <c r="AJ382" s="459"/>
    </row>
    <row r="383" spans="1:36" x14ac:dyDescent="0.25">
      <c r="A383" s="455" t="s">
        <v>996</v>
      </c>
      <c r="B383" s="59"/>
      <c r="C383" s="59"/>
      <c r="D383" s="59"/>
      <c r="E383" s="59"/>
      <c r="F383" s="456" t="s">
        <v>558</v>
      </c>
      <c r="G383" s="457" t="s">
        <v>558</v>
      </c>
      <c r="H383" s="457" t="s">
        <v>558</v>
      </c>
      <c r="I383" s="457" t="s">
        <v>558</v>
      </c>
      <c r="J383" s="458" t="s">
        <v>558</v>
      </c>
      <c r="K383" s="458" t="s">
        <v>558</v>
      </c>
      <c r="L383" s="458" t="s">
        <v>558</v>
      </c>
      <c r="M383" s="458" t="s">
        <v>558</v>
      </c>
      <c r="N383" s="458" t="s">
        <v>558</v>
      </c>
      <c r="O383" s="458" t="s">
        <v>558</v>
      </c>
      <c r="P383" s="458" t="s">
        <v>558</v>
      </c>
      <c r="Q383" s="458" t="s">
        <v>558</v>
      </c>
      <c r="R383" s="458" t="s">
        <v>558</v>
      </c>
      <c r="S383" s="458" t="s">
        <v>558</v>
      </c>
      <c r="T383" s="458" t="s">
        <v>558</v>
      </c>
      <c r="U383" s="458" t="s">
        <v>558</v>
      </c>
      <c r="V383" s="458" t="s">
        <v>558</v>
      </c>
      <c r="W383" s="458" t="s">
        <v>558</v>
      </c>
      <c r="X383" s="458" t="s">
        <v>558</v>
      </c>
      <c r="Y383" s="458" t="s">
        <v>558</v>
      </c>
      <c r="Z383" s="458" t="s">
        <v>558</v>
      </c>
      <c r="AA383" s="458" t="s">
        <v>558</v>
      </c>
      <c r="AB383" s="458" t="s">
        <v>558</v>
      </c>
      <c r="AC383" s="458" t="s">
        <v>558</v>
      </c>
      <c r="AD383" s="458" t="s">
        <v>558</v>
      </c>
      <c r="AE383" s="458" t="s">
        <v>558</v>
      </c>
      <c r="AF383" s="458" t="s">
        <v>558</v>
      </c>
      <c r="AG383" s="458" t="s">
        <v>558</v>
      </c>
      <c r="AH383" s="458"/>
      <c r="AI383" s="68"/>
      <c r="AJ383" s="68"/>
    </row>
    <row r="384" spans="1:36" x14ac:dyDescent="0.25">
      <c r="A384" s="9" t="s">
        <v>575</v>
      </c>
      <c r="B384" s="9" t="s">
        <v>558</v>
      </c>
      <c r="C384" s="9" t="s">
        <v>558</v>
      </c>
      <c r="D384" s="9" t="s">
        <v>558</v>
      </c>
      <c r="E384" s="9" t="s">
        <v>997</v>
      </c>
      <c r="F384" s="460" t="s">
        <v>558</v>
      </c>
      <c r="G384" s="460" t="s">
        <v>558</v>
      </c>
      <c r="H384" s="460" t="s">
        <v>558</v>
      </c>
      <c r="I384" s="460" t="s">
        <v>558</v>
      </c>
      <c r="J384" s="460" t="s">
        <v>558</v>
      </c>
      <c r="K384" s="460" t="s">
        <v>558</v>
      </c>
      <c r="L384" s="460" t="s">
        <v>558</v>
      </c>
      <c r="M384" s="460" t="s">
        <v>558</v>
      </c>
      <c r="N384" s="460" t="s">
        <v>558</v>
      </c>
      <c r="O384" s="460" t="s">
        <v>558</v>
      </c>
      <c r="P384" s="460" t="s">
        <v>558</v>
      </c>
      <c r="Q384" s="460" t="s">
        <v>558</v>
      </c>
      <c r="R384" s="460" t="s">
        <v>558</v>
      </c>
      <c r="S384" s="460" t="s">
        <v>558</v>
      </c>
      <c r="T384" s="460" t="s">
        <v>558</v>
      </c>
      <c r="U384" s="460" t="s">
        <v>558</v>
      </c>
      <c r="V384" s="460" t="s">
        <v>558</v>
      </c>
      <c r="W384" s="460" t="s">
        <v>558</v>
      </c>
      <c r="X384" s="460" t="s">
        <v>558</v>
      </c>
      <c r="Y384" s="460" t="s">
        <v>558</v>
      </c>
      <c r="Z384" s="460" t="s">
        <v>558</v>
      </c>
      <c r="AA384" s="460" t="s">
        <v>558</v>
      </c>
      <c r="AB384" s="460" t="s">
        <v>558</v>
      </c>
      <c r="AC384" s="460" t="s">
        <v>558</v>
      </c>
      <c r="AD384" s="460" t="s">
        <v>558</v>
      </c>
      <c r="AE384" s="460" t="s">
        <v>558</v>
      </c>
      <c r="AF384" s="460" t="s">
        <v>558</v>
      </c>
      <c r="AG384" s="460" t="s">
        <v>558</v>
      </c>
      <c r="AH384" s="460"/>
      <c r="AI384" s="460"/>
      <c r="AJ384" s="460"/>
    </row>
    <row r="385" spans="1:36" x14ac:dyDescent="0.25">
      <c r="A385" s="9" t="s">
        <v>814</v>
      </c>
      <c r="B385" s="9" t="s">
        <v>938</v>
      </c>
      <c r="C385" s="9" t="s">
        <v>547</v>
      </c>
      <c r="D385" s="9">
        <v>2020</v>
      </c>
      <c r="E385" s="9" t="s">
        <v>997</v>
      </c>
      <c r="F385" s="460">
        <f>F266*'Inputs_NT INM'!M$257</f>
        <v>14.462403586203187</v>
      </c>
      <c r="G385" s="460">
        <f>G266*'Inputs_NT INM'!N$257</f>
        <v>14.462403586203187</v>
      </c>
      <c r="H385" s="460">
        <f>H266*'Inputs_NT INM'!O$257</f>
        <v>14.462403586203187</v>
      </c>
      <c r="I385" s="460">
        <f>I266*'Inputs_NT INM'!P$257</f>
        <v>14.462403586203187</v>
      </c>
      <c r="J385" s="460">
        <f>J266*'Inputs_NT INM'!Q$257</f>
        <v>14.462403586203187</v>
      </c>
      <c r="K385" s="460">
        <f>K266*'Inputs_NT INM'!R$257</f>
        <v>14.462403586203187</v>
      </c>
      <c r="L385" s="460">
        <f>L266*'Inputs_NT INM'!S$257</f>
        <v>14.462403586203187</v>
      </c>
      <c r="M385" s="460">
        <f>M266*'Inputs_NT INM'!T$257</f>
        <v>14.462403586203187</v>
      </c>
      <c r="N385" s="460">
        <f>N266*'Inputs_NT INM'!U$257</f>
        <v>14.462403586203187</v>
      </c>
      <c r="O385" s="460">
        <f>O266*'Inputs_NT INM'!V$257</f>
        <v>14.462403586203187</v>
      </c>
      <c r="P385" s="460">
        <f>P266*'Inputs_NT INM'!W$257</f>
        <v>14.462403586203187</v>
      </c>
      <c r="Q385" s="460">
        <f>Q266*'Inputs_NT INM'!X$257</f>
        <v>14.462403586203187</v>
      </c>
      <c r="R385" s="460">
        <f>R266*'Inputs_NT INM'!Y$257</f>
        <v>14.462403586203187</v>
      </c>
      <c r="S385" s="460">
        <f>S266*'Inputs_NT INM'!Z$257</f>
        <v>14.462403586203187</v>
      </c>
      <c r="T385" s="460">
        <f>T266*'Inputs_NT INM'!AA$257</f>
        <v>14.462403586203187</v>
      </c>
      <c r="U385" s="460">
        <f>U266*'Inputs_NT INM'!AB$257</f>
        <v>14.462403586203187</v>
      </c>
      <c r="V385" s="460">
        <f>V266*'Inputs_NT INM'!AC$257</f>
        <v>14.462403586203187</v>
      </c>
      <c r="W385" s="460">
        <f>W266*'Inputs_NT INM'!AD$257</f>
        <v>14.462403586203187</v>
      </c>
      <c r="X385" s="460">
        <f>X266*'Inputs_NT INM'!AE$257</f>
        <v>14.462403586203187</v>
      </c>
      <c r="Y385" s="460">
        <f>Y266*'Inputs_NT INM'!AF$257</f>
        <v>14.462403586203187</v>
      </c>
      <c r="Z385" s="460">
        <f>Z266*'Inputs_NT INM'!AG$257</f>
        <v>14.462403586203187</v>
      </c>
      <c r="AA385" s="460">
        <f>AA266*'Inputs_NT INM'!AH$257</f>
        <v>14.462403586203187</v>
      </c>
      <c r="AB385" s="460">
        <f>AB266*'Inputs_NT INM'!AI$257</f>
        <v>14.462403586203187</v>
      </c>
      <c r="AC385" s="460">
        <f>AC266*'Inputs_NT INM'!AJ$257</f>
        <v>14.462403586203187</v>
      </c>
      <c r="AD385" s="460">
        <f>AD266*'Inputs_NT INM'!AK$257</f>
        <v>14.462403586203187</v>
      </c>
      <c r="AE385" s="460">
        <f>AE266*'Inputs_NT INM'!AL$257</f>
        <v>14.462403586203187</v>
      </c>
      <c r="AF385" s="460">
        <f>AF266*'Inputs_NT INM'!AM$257</f>
        <v>14.462403586203187</v>
      </c>
      <c r="AG385" s="460">
        <f>AG266*'Inputs_NT INM'!AN$257</f>
        <v>14.462403586203187</v>
      </c>
      <c r="AH385" s="460"/>
      <c r="AI385" s="460"/>
      <c r="AJ385" s="460"/>
    </row>
    <row r="386" spans="1:36" x14ac:dyDescent="0.25">
      <c r="A386" s="9" t="s">
        <v>815</v>
      </c>
      <c r="B386" s="9" t="s">
        <v>940</v>
      </c>
      <c r="C386" s="9" t="s">
        <v>547</v>
      </c>
      <c r="D386" s="9">
        <v>2020</v>
      </c>
      <c r="E386" s="9" t="s">
        <v>997</v>
      </c>
      <c r="F386" s="460">
        <f>F267*'Inputs_NT INM'!M$257</f>
        <v>14.462403586203187</v>
      </c>
      <c r="G386" s="460">
        <f>G267*'Inputs_NT INM'!N$257</f>
        <v>14.462403586203187</v>
      </c>
      <c r="H386" s="460">
        <f>H267*'Inputs_NT INM'!O$257</f>
        <v>14.462403586203187</v>
      </c>
      <c r="I386" s="460">
        <f>I267*'Inputs_NT INM'!P$257</f>
        <v>14.462403586203187</v>
      </c>
      <c r="J386" s="460">
        <f>J267*'Inputs_NT INM'!Q$257</f>
        <v>14.462403586203187</v>
      </c>
      <c r="K386" s="460">
        <f>K267*'Inputs_NT INM'!R$257</f>
        <v>14.462403586203187</v>
      </c>
      <c r="L386" s="460">
        <f>L267*'Inputs_NT INM'!S$257</f>
        <v>14.462403586203187</v>
      </c>
      <c r="M386" s="460">
        <f>M267*'Inputs_NT INM'!T$257</f>
        <v>14.462403586203187</v>
      </c>
      <c r="N386" s="460">
        <f>N267*'Inputs_NT INM'!U$257</f>
        <v>14.462403586203187</v>
      </c>
      <c r="O386" s="460">
        <f>O267*'Inputs_NT INM'!V$257</f>
        <v>14.462403586203187</v>
      </c>
      <c r="P386" s="460">
        <f>P267*'Inputs_NT INM'!W$257</f>
        <v>14.462403586203187</v>
      </c>
      <c r="Q386" s="460">
        <f>Q267*'Inputs_NT INM'!X$257</f>
        <v>14.462403586203187</v>
      </c>
      <c r="R386" s="460">
        <f>R267*'Inputs_NT INM'!Y$257</f>
        <v>14.462403586203187</v>
      </c>
      <c r="S386" s="460">
        <f>S267*'Inputs_NT INM'!Z$257</f>
        <v>14.462403586203187</v>
      </c>
      <c r="T386" s="460">
        <f>T267*'Inputs_NT INM'!AA$257</f>
        <v>14.462403586203187</v>
      </c>
      <c r="U386" s="460">
        <f>U267*'Inputs_NT INM'!AB$257</f>
        <v>14.462403586203187</v>
      </c>
      <c r="V386" s="460">
        <f>V267*'Inputs_NT INM'!AC$257</f>
        <v>14.462403586203187</v>
      </c>
      <c r="W386" s="460">
        <f>W267*'Inputs_NT INM'!AD$257</f>
        <v>14.462403586203187</v>
      </c>
      <c r="X386" s="460">
        <f>X267*'Inputs_NT INM'!AE$257</f>
        <v>14.462403586203187</v>
      </c>
      <c r="Y386" s="460">
        <f>Y267*'Inputs_NT INM'!AF$257</f>
        <v>14.462403586203187</v>
      </c>
      <c r="Z386" s="460">
        <f>Z267*'Inputs_NT INM'!AG$257</f>
        <v>14.462403586203187</v>
      </c>
      <c r="AA386" s="460">
        <f>AA267*'Inputs_NT INM'!AH$257</f>
        <v>14.462403586203187</v>
      </c>
      <c r="AB386" s="460">
        <f>AB267*'Inputs_NT INM'!AI$257</f>
        <v>14.462403586203187</v>
      </c>
      <c r="AC386" s="460">
        <f>AC267*'Inputs_NT INM'!AJ$257</f>
        <v>14.462403586203187</v>
      </c>
      <c r="AD386" s="460">
        <f>AD267*'Inputs_NT INM'!AK$257</f>
        <v>14.462403586203187</v>
      </c>
      <c r="AE386" s="460">
        <f>AE267*'Inputs_NT INM'!AL$257</f>
        <v>14.462403586203187</v>
      </c>
      <c r="AF386" s="460">
        <f>AF267*'Inputs_NT INM'!AM$257</f>
        <v>14.462403586203187</v>
      </c>
      <c r="AG386" s="460">
        <f>AG267*'Inputs_NT INM'!AN$257</f>
        <v>14.462403586203187</v>
      </c>
      <c r="AH386" s="460"/>
      <c r="AI386" s="460"/>
      <c r="AJ386" s="460"/>
    </row>
    <row r="387" spans="1:36" x14ac:dyDescent="0.25">
      <c r="A387" s="9" t="s">
        <v>816</v>
      </c>
      <c r="B387" s="9" t="s">
        <v>942</v>
      </c>
      <c r="C387" s="9" t="s">
        <v>547</v>
      </c>
      <c r="D387" s="9">
        <v>2020</v>
      </c>
      <c r="E387" s="9" t="s">
        <v>997</v>
      </c>
      <c r="F387" s="460">
        <f>F268*'Inputs_NT INM'!M$257</f>
        <v>14.462403586203187</v>
      </c>
      <c r="G387" s="460">
        <f>G268*'Inputs_NT INM'!N$257</f>
        <v>14.462403586203187</v>
      </c>
      <c r="H387" s="460">
        <f>H268*'Inputs_NT INM'!O$257</f>
        <v>14.462403586203187</v>
      </c>
      <c r="I387" s="460">
        <f>I268*'Inputs_NT INM'!P$257</f>
        <v>14.462403586203187</v>
      </c>
      <c r="J387" s="460">
        <f>J268*'Inputs_NT INM'!Q$257</f>
        <v>14.462403586203187</v>
      </c>
      <c r="K387" s="460">
        <f>K268*'Inputs_NT INM'!R$257</f>
        <v>14.462403586203187</v>
      </c>
      <c r="L387" s="460">
        <f>L268*'Inputs_NT INM'!S$257</f>
        <v>14.462403586203187</v>
      </c>
      <c r="M387" s="460">
        <f>M268*'Inputs_NT INM'!T$257</f>
        <v>14.462403586203187</v>
      </c>
      <c r="N387" s="460">
        <f>N268*'Inputs_NT INM'!U$257</f>
        <v>14.462403586203187</v>
      </c>
      <c r="O387" s="460">
        <f>O268*'Inputs_NT INM'!V$257</f>
        <v>14.462403586203187</v>
      </c>
      <c r="P387" s="460">
        <f>P268*'Inputs_NT INM'!W$257</f>
        <v>14.462403586203187</v>
      </c>
      <c r="Q387" s="460">
        <f>Q268*'Inputs_NT INM'!X$257</f>
        <v>14.462403586203187</v>
      </c>
      <c r="R387" s="460">
        <f>R268*'Inputs_NT INM'!Y$257</f>
        <v>14.462403586203187</v>
      </c>
      <c r="S387" s="460">
        <f>S268*'Inputs_NT INM'!Z$257</f>
        <v>14.462403586203187</v>
      </c>
      <c r="T387" s="460">
        <f>T268*'Inputs_NT INM'!AA$257</f>
        <v>14.462403586203187</v>
      </c>
      <c r="U387" s="460">
        <f>U268*'Inputs_NT INM'!AB$257</f>
        <v>14.462403586203187</v>
      </c>
      <c r="V387" s="460">
        <f>V268*'Inputs_NT INM'!AC$257</f>
        <v>14.462403586203187</v>
      </c>
      <c r="W387" s="460">
        <f>W268*'Inputs_NT INM'!AD$257</f>
        <v>14.462403586203187</v>
      </c>
      <c r="X387" s="460">
        <f>X268*'Inputs_NT INM'!AE$257</f>
        <v>14.462403586203187</v>
      </c>
      <c r="Y387" s="460">
        <f>Y268*'Inputs_NT INM'!AF$257</f>
        <v>14.462403586203187</v>
      </c>
      <c r="Z387" s="460">
        <f>Z268*'Inputs_NT INM'!AG$257</f>
        <v>14.462403586203187</v>
      </c>
      <c r="AA387" s="460">
        <f>AA268*'Inputs_NT INM'!AH$257</f>
        <v>14.462403586203187</v>
      </c>
      <c r="AB387" s="460">
        <f>AB268*'Inputs_NT INM'!AI$257</f>
        <v>14.462403586203187</v>
      </c>
      <c r="AC387" s="460">
        <f>AC268*'Inputs_NT INM'!AJ$257</f>
        <v>14.462403586203187</v>
      </c>
      <c r="AD387" s="460">
        <f>AD268*'Inputs_NT INM'!AK$257</f>
        <v>14.462403586203187</v>
      </c>
      <c r="AE387" s="460">
        <f>AE268*'Inputs_NT INM'!AL$257</f>
        <v>14.462403586203187</v>
      </c>
      <c r="AF387" s="460">
        <f>AF268*'Inputs_NT INM'!AM$257</f>
        <v>14.462403586203187</v>
      </c>
      <c r="AG387" s="460">
        <f>AG268*'Inputs_NT INM'!AN$257</f>
        <v>14.462403586203187</v>
      </c>
      <c r="AH387" s="460"/>
      <c r="AI387" s="460"/>
      <c r="AJ387" s="460"/>
    </row>
    <row r="388" spans="1:36" x14ac:dyDescent="0.25">
      <c r="A388" s="9" t="s">
        <v>817</v>
      </c>
      <c r="B388" s="9" t="s">
        <v>943</v>
      </c>
      <c r="C388" s="9" t="s">
        <v>547</v>
      </c>
      <c r="D388" s="9">
        <v>2020</v>
      </c>
      <c r="E388" s="9" t="s">
        <v>997</v>
      </c>
      <c r="F388" s="460">
        <f>F269*'Inputs_NT INM'!M$257</f>
        <v>14.462403586203187</v>
      </c>
      <c r="G388" s="460">
        <f>G269*'Inputs_NT INM'!N$257</f>
        <v>14.462403586203187</v>
      </c>
      <c r="H388" s="460">
        <f>H269*'Inputs_NT INM'!O$257</f>
        <v>14.462403586203187</v>
      </c>
      <c r="I388" s="460">
        <f>I269*'Inputs_NT INM'!P$257</f>
        <v>14.462403586203187</v>
      </c>
      <c r="J388" s="460">
        <f>J269*'Inputs_NT INM'!Q$257</f>
        <v>14.462403586203187</v>
      </c>
      <c r="K388" s="460">
        <f>K269*'Inputs_NT INM'!R$257</f>
        <v>14.462403586203187</v>
      </c>
      <c r="L388" s="460">
        <f>L269*'Inputs_NT INM'!S$257</f>
        <v>14.462403586203187</v>
      </c>
      <c r="M388" s="460">
        <f>M269*'Inputs_NT INM'!T$257</f>
        <v>14.462403586203187</v>
      </c>
      <c r="N388" s="460">
        <f>N269*'Inputs_NT INM'!U$257</f>
        <v>14.462403586203187</v>
      </c>
      <c r="O388" s="460">
        <f>O269*'Inputs_NT INM'!V$257</f>
        <v>14.462403586203187</v>
      </c>
      <c r="P388" s="460">
        <f>P269*'Inputs_NT INM'!W$257</f>
        <v>14.462403586203187</v>
      </c>
      <c r="Q388" s="460">
        <f>Q269*'Inputs_NT INM'!X$257</f>
        <v>14.462403586203187</v>
      </c>
      <c r="R388" s="460">
        <f>R269*'Inputs_NT INM'!Y$257</f>
        <v>14.462403586203187</v>
      </c>
      <c r="S388" s="460">
        <f>S269*'Inputs_NT INM'!Z$257</f>
        <v>14.462403586203187</v>
      </c>
      <c r="T388" s="460">
        <f>T269*'Inputs_NT INM'!AA$257</f>
        <v>14.462403586203187</v>
      </c>
      <c r="U388" s="460">
        <f>U269*'Inputs_NT INM'!AB$257</f>
        <v>14.462403586203187</v>
      </c>
      <c r="V388" s="460">
        <f>V269*'Inputs_NT INM'!AC$257</f>
        <v>14.462403586203187</v>
      </c>
      <c r="W388" s="460">
        <f>W269*'Inputs_NT INM'!AD$257</f>
        <v>14.462403586203187</v>
      </c>
      <c r="X388" s="460">
        <f>X269*'Inputs_NT INM'!AE$257</f>
        <v>14.462403586203187</v>
      </c>
      <c r="Y388" s="460">
        <f>Y269*'Inputs_NT INM'!AF$257</f>
        <v>14.462403586203187</v>
      </c>
      <c r="Z388" s="460">
        <f>Z269*'Inputs_NT INM'!AG$257</f>
        <v>14.462403586203187</v>
      </c>
      <c r="AA388" s="460">
        <f>AA269*'Inputs_NT INM'!AH$257</f>
        <v>14.462403586203187</v>
      </c>
      <c r="AB388" s="460">
        <f>AB269*'Inputs_NT INM'!AI$257</f>
        <v>14.462403586203187</v>
      </c>
      <c r="AC388" s="460">
        <f>AC269*'Inputs_NT INM'!AJ$257</f>
        <v>14.462403586203187</v>
      </c>
      <c r="AD388" s="460">
        <f>AD269*'Inputs_NT INM'!AK$257</f>
        <v>14.462403586203187</v>
      </c>
      <c r="AE388" s="460">
        <f>AE269*'Inputs_NT INM'!AL$257</f>
        <v>14.462403586203187</v>
      </c>
      <c r="AF388" s="460">
        <f>AF269*'Inputs_NT INM'!AM$257</f>
        <v>14.462403586203187</v>
      </c>
      <c r="AG388" s="460">
        <f>AG269*'Inputs_NT INM'!AN$257</f>
        <v>14.462403586203187</v>
      </c>
      <c r="AH388" s="460"/>
      <c r="AI388" s="460"/>
      <c r="AJ388" s="460"/>
    </row>
    <row r="389" spans="1:36" x14ac:dyDescent="0.25">
      <c r="A389" s="9" t="s">
        <v>575</v>
      </c>
      <c r="B389" s="9" t="s">
        <v>558</v>
      </c>
      <c r="C389" s="9" t="s">
        <v>558</v>
      </c>
      <c r="D389" s="9" t="s">
        <v>558</v>
      </c>
      <c r="E389" s="9" t="s">
        <v>997</v>
      </c>
      <c r="F389" s="460"/>
      <c r="G389" s="460"/>
      <c r="H389" s="460"/>
      <c r="I389" s="460"/>
      <c r="J389" s="460"/>
      <c r="K389" s="460"/>
      <c r="L389" s="460"/>
      <c r="M389" s="460"/>
      <c r="N389" s="460"/>
      <c r="O389" s="460"/>
      <c r="P389" s="460"/>
      <c r="Q389" s="460"/>
      <c r="R389" s="460"/>
      <c r="S389" s="460"/>
      <c r="T389" s="460"/>
      <c r="U389" s="460"/>
      <c r="V389" s="460"/>
      <c r="W389" s="460"/>
      <c r="X389" s="460"/>
      <c r="Y389" s="460"/>
      <c r="Z389" s="460"/>
      <c r="AA389" s="460"/>
      <c r="AB389" s="460"/>
      <c r="AC389" s="460"/>
      <c r="AD389" s="460"/>
      <c r="AE389" s="460"/>
      <c r="AF389" s="460"/>
      <c r="AG389" s="460"/>
      <c r="AH389" s="460"/>
      <c r="AI389" s="460"/>
      <c r="AJ389" s="460"/>
    </row>
    <row r="390" spans="1:36" x14ac:dyDescent="0.25">
      <c r="A390" s="9" t="s">
        <v>575</v>
      </c>
      <c r="B390" s="9" t="s">
        <v>558</v>
      </c>
      <c r="C390" s="9" t="s">
        <v>558</v>
      </c>
      <c r="D390" s="9" t="s">
        <v>558</v>
      </c>
      <c r="E390" s="9" t="s">
        <v>997</v>
      </c>
      <c r="F390" s="460"/>
      <c r="G390" s="460"/>
      <c r="H390" s="460"/>
      <c r="I390" s="460"/>
      <c r="J390" s="460"/>
      <c r="K390" s="460"/>
      <c r="L390" s="460"/>
      <c r="M390" s="460"/>
      <c r="N390" s="460"/>
      <c r="O390" s="460"/>
      <c r="P390" s="460"/>
      <c r="Q390" s="460"/>
      <c r="R390" s="460"/>
      <c r="S390" s="460"/>
      <c r="T390" s="460"/>
      <c r="U390" s="460"/>
      <c r="V390" s="460"/>
      <c r="W390" s="460"/>
      <c r="X390" s="460"/>
      <c r="Y390" s="460"/>
      <c r="Z390" s="460"/>
      <c r="AA390" s="460"/>
      <c r="AB390" s="460"/>
      <c r="AC390" s="460"/>
      <c r="AD390" s="460"/>
      <c r="AE390" s="460"/>
      <c r="AF390" s="460"/>
      <c r="AG390" s="460"/>
      <c r="AH390" s="460"/>
      <c r="AI390" s="460"/>
      <c r="AJ390" s="460"/>
    </row>
    <row r="391" spans="1:36" x14ac:dyDescent="0.25">
      <c r="A391" s="9" t="s">
        <v>820</v>
      </c>
      <c r="B391" s="9" t="s">
        <v>944</v>
      </c>
      <c r="C391" s="9" t="s">
        <v>547</v>
      </c>
      <c r="D391" s="9">
        <v>2025</v>
      </c>
      <c r="E391" s="9" t="s">
        <v>997</v>
      </c>
      <c r="F391" s="460">
        <f>F272*'Inputs_NT INM'!M$257</f>
        <v>14.462403586203187</v>
      </c>
      <c r="G391" s="460">
        <f>G272*'Inputs_NT INM'!N$257</f>
        <v>14.462403586203187</v>
      </c>
      <c r="H391" s="460">
        <f>H272*'Inputs_NT INM'!O$257</f>
        <v>14.462403586203187</v>
      </c>
      <c r="I391" s="460">
        <f>I272*'Inputs_NT INM'!P$257</f>
        <v>14.462403586203187</v>
      </c>
      <c r="J391" s="460">
        <f>J272*'Inputs_NT INM'!Q$257</f>
        <v>14.462403586203187</v>
      </c>
      <c r="K391" s="460">
        <f>K272*'Inputs_NT INM'!R$257</f>
        <v>14.462403586203187</v>
      </c>
      <c r="L391" s="460">
        <f>L272*'Inputs_NT INM'!S$257</f>
        <v>14.462403586203187</v>
      </c>
      <c r="M391" s="460">
        <f>M272*'Inputs_NT INM'!T$257</f>
        <v>14.462403586203187</v>
      </c>
      <c r="N391" s="460">
        <f>N272*'Inputs_NT INM'!U$257</f>
        <v>14.462403586203187</v>
      </c>
      <c r="O391" s="460">
        <f>O272*'Inputs_NT INM'!V$257</f>
        <v>14.462403586203187</v>
      </c>
      <c r="P391" s="460">
        <f>P272*'Inputs_NT INM'!W$257</f>
        <v>14.462403586203187</v>
      </c>
      <c r="Q391" s="460">
        <f>Q272*'Inputs_NT INM'!X$257</f>
        <v>14.462403586203187</v>
      </c>
      <c r="R391" s="460">
        <f>R272*'Inputs_NT INM'!Y$257</f>
        <v>14.462403586203187</v>
      </c>
      <c r="S391" s="460">
        <f>S272*'Inputs_NT INM'!Z$257</f>
        <v>14.462403586203187</v>
      </c>
      <c r="T391" s="460">
        <f>T272*'Inputs_NT INM'!AA$257</f>
        <v>14.462403586203187</v>
      </c>
      <c r="U391" s="460">
        <f>U272*'Inputs_NT INM'!AB$257</f>
        <v>14.462403586203187</v>
      </c>
      <c r="V391" s="460">
        <f>V272*'Inputs_NT INM'!AC$257</f>
        <v>14.462403586203187</v>
      </c>
      <c r="W391" s="460">
        <f>W272*'Inputs_NT INM'!AD$257</f>
        <v>14.462403586203187</v>
      </c>
      <c r="X391" s="460">
        <f>X272*'Inputs_NT INM'!AE$257</f>
        <v>14.462403586203187</v>
      </c>
      <c r="Y391" s="460">
        <f>Y272*'Inputs_NT INM'!AF$257</f>
        <v>14.462403586203187</v>
      </c>
      <c r="Z391" s="460">
        <f>Z272*'Inputs_NT INM'!AG$257</f>
        <v>14.462403586203187</v>
      </c>
      <c r="AA391" s="460">
        <f>AA272*'Inputs_NT INM'!AH$257</f>
        <v>14.462403586203187</v>
      </c>
      <c r="AB391" s="460">
        <f>AB272*'Inputs_NT INM'!AI$257</f>
        <v>14.462403586203187</v>
      </c>
      <c r="AC391" s="460">
        <f>AC272*'Inputs_NT INM'!AJ$257</f>
        <v>14.462403586203187</v>
      </c>
      <c r="AD391" s="460">
        <f>AD272*'Inputs_NT INM'!AK$257</f>
        <v>14.462403586203187</v>
      </c>
      <c r="AE391" s="460">
        <f>AE272*'Inputs_NT INM'!AL$257</f>
        <v>14.462403586203187</v>
      </c>
      <c r="AF391" s="460">
        <f>AF272*'Inputs_NT INM'!AM$257</f>
        <v>14.462403586203187</v>
      </c>
      <c r="AG391" s="460">
        <f>AG272*'Inputs_NT INM'!AN$257</f>
        <v>14.462403586203187</v>
      </c>
      <c r="AH391" s="460"/>
      <c r="AI391" s="460"/>
      <c r="AJ391" s="460"/>
    </row>
    <row r="392" spans="1:36" x14ac:dyDescent="0.25">
      <c r="A392" s="9" t="s">
        <v>821</v>
      </c>
      <c r="B392" s="9" t="s">
        <v>945</v>
      </c>
      <c r="C392" s="9" t="s">
        <v>547</v>
      </c>
      <c r="D392" s="9">
        <v>2025</v>
      </c>
      <c r="E392" s="9" t="s">
        <v>997</v>
      </c>
      <c r="F392" s="460">
        <f>F273*'Inputs_NT INM'!M$257</f>
        <v>14.462403586203187</v>
      </c>
      <c r="G392" s="460">
        <f>G273*'Inputs_NT INM'!N$257</f>
        <v>14.462403586203187</v>
      </c>
      <c r="H392" s="460">
        <f>H273*'Inputs_NT INM'!O$257</f>
        <v>14.462403586203187</v>
      </c>
      <c r="I392" s="460">
        <f>I273*'Inputs_NT INM'!P$257</f>
        <v>14.462403586203187</v>
      </c>
      <c r="J392" s="460">
        <f>J273*'Inputs_NT INM'!Q$257</f>
        <v>14.462403586203187</v>
      </c>
      <c r="K392" s="460">
        <f>K273*'Inputs_NT INM'!R$257</f>
        <v>14.462403586203187</v>
      </c>
      <c r="L392" s="460">
        <f>L273*'Inputs_NT INM'!S$257</f>
        <v>14.462403586203187</v>
      </c>
      <c r="M392" s="460">
        <f>M273*'Inputs_NT INM'!T$257</f>
        <v>14.462403586203187</v>
      </c>
      <c r="N392" s="460">
        <f>N273*'Inputs_NT INM'!U$257</f>
        <v>14.462403586203187</v>
      </c>
      <c r="O392" s="460">
        <f>O273*'Inputs_NT INM'!V$257</f>
        <v>14.462403586203187</v>
      </c>
      <c r="P392" s="460">
        <f>P273*'Inputs_NT INM'!W$257</f>
        <v>14.462403586203187</v>
      </c>
      <c r="Q392" s="460">
        <f>Q273*'Inputs_NT INM'!X$257</f>
        <v>14.462403586203187</v>
      </c>
      <c r="R392" s="460">
        <f>R273*'Inputs_NT INM'!Y$257</f>
        <v>14.462403586203187</v>
      </c>
      <c r="S392" s="460">
        <f>S273*'Inputs_NT INM'!Z$257</f>
        <v>14.462403586203187</v>
      </c>
      <c r="T392" s="460">
        <f>T273*'Inputs_NT INM'!AA$257</f>
        <v>14.462403586203187</v>
      </c>
      <c r="U392" s="460">
        <f>U273*'Inputs_NT INM'!AB$257</f>
        <v>14.462403586203187</v>
      </c>
      <c r="V392" s="460">
        <f>V273*'Inputs_NT INM'!AC$257</f>
        <v>14.462403586203187</v>
      </c>
      <c r="W392" s="460">
        <f>W273*'Inputs_NT INM'!AD$257</f>
        <v>14.462403586203187</v>
      </c>
      <c r="X392" s="460">
        <f>X273*'Inputs_NT INM'!AE$257</f>
        <v>14.462403586203187</v>
      </c>
      <c r="Y392" s="460">
        <f>Y273*'Inputs_NT INM'!AF$257</f>
        <v>14.462403586203187</v>
      </c>
      <c r="Z392" s="460">
        <f>Z273*'Inputs_NT INM'!AG$257</f>
        <v>14.462403586203187</v>
      </c>
      <c r="AA392" s="460">
        <f>AA273*'Inputs_NT INM'!AH$257</f>
        <v>14.462403586203187</v>
      </c>
      <c r="AB392" s="460">
        <f>AB273*'Inputs_NT INM'!AI$257</f>
        <v>14.462403586203187</v>
      </c>
      <c r="AC392" s="460">
        <f>AC273*'Inputs_NT INM'!AJ$257</f>
        <v>14.462403586203187</v>
      </c>
      <c r="AD392" s="460">
        <f>AD273*'Inputs_NT INM'!AK$257</f>
        <v>14.462403586203187</v>
      </c>
      <c r="AE392" s="460">
        <f>AE273*'Inputs_NT INM'!AL$257</f>
        <v>14.462403586203187</v>
      </c>
      <c r="AF392" s="460">
        <f>AF273*'Inputs_NT INM'!AM$257</f>
        <v>14.462403586203187</v>
      </c>
      <c r="AG392" s="460">
        <f>AG273*'Inputs_NT INM'!AN$257</f>
        <v>14.462403586203187</v>
      </c>
      <c r="AH392" s="460"/>
      <c r="AI392" s="460"/>
      <c r="AJ392" s="460"/>
    </row>
    <row r="393" spans="1:36" x14ac:dyDescent="0.25">
      <c r="A393" s="9" t="s">
        <v>822</v>
      </c>
      <c r="B393" s="9" t="s">
        <v>946</v>
      </c>
      <c r="C393" s="9" t="s">
        <v>547</v>
      </c>
      <c r="D393" s="9">
        <v>2025</v>
      </c>
      <c r="E393" s="9" t="s">
        <v>997</v>
      </c>
      <c r="F393" s="460">
        <f>F274*'Inputs_NT INM'!M$257</f>
        <v>14.462403586203187</v>
      </c>
      <c r="G393" s="460">
        <f>G274*'Inputs_NT INM'!N$257</f>
        <v>14.462403586203187</v>
      </c>
      <c r="H393" s="460">
        <f>H274*'Inputs_NT INM'!O$257</f>
        <v>14.462403586203187</v>
      </c>
      <c r="I393" s="460">
        <f>I274*'Inputs_NT INM'!P$257</f>
        <v>14.462403586203187</v>
      </c>
      <c r="J393" s="460">
        <f>J274*'Inputs_NT INM'!Q$257</f>
        <v>14.462403586203187</v>
      </c>
      <c r="K393" s="460">
        <f>K274*'Inputs_NT INM'!R$257</f>
        <v>14.462403586203187</v>
      </c>
      <c r="L393" s="460">
        <f>L274*'Inputs_NT INM'!S$257</f>
        <v>14.462403586203187</v>
      </c>
      <c r="M393" s="460">
        <f>M274*'Inputs_NT INM'!T$257</f>
        <v>14.462403586203187</v>
      </c>
      <c r="N393" s="460">
        <f>N274*'Inputs_NT INM'!U$257</f>
        <v>14.462403586203187</v>
      </c>
      <c r="O393" s="460">
        <f>O274*'Inputs_NT INM'!V$257</f>
        <v>14.462403586203187</v>
      </c>
      <c r="P393" s="460">
        <f>P274*'Inputs_NT INM'!W$257</f>
        <v>14.462403586203187</v>
      </c>
      <c r="Q393" s="460">
        <f>Q274*'Inputs_NT INM'!X$257</f>
        <v>14.462403586203187</v>
      </c>
      <c r="R393" s="460">
        <f>R274*'Inputs_NT INM'!Y$257</f>
        <v>14.462403586203187</v>
      </c>
      <c r="S393" s="460">
        <f>S274*'Inputs_NT INM'!Z$257</f>
        <v>14.462403586203187</v>
      </c>
      <c r="T393" s="460">
        <f>T274*'Inputs_NT INM'!AA$257</f>
        <v>14.462403586203187</v>
      </c>
      <c r="U393" s="460">
        <f>U274*'Inputs_NT INM'!AB$257</f>
        <v>14.462403586203187</v>
      </c>
      <c r="V393" s="460">
        <f>V274*'Inputs_NT INM'!AC$257</f>
        <v>14.462403586203187</v>
      </c>
      <c r="W393" s="460">
        <f>W274*'Inputs_NT INM'!AD$257</f>
        <v>14.462403586203187</v>
      </c>
      <c r="X393" s="460">
        <f>X274*'Inputs_NT INM'!AE$257</f>
        <v>14.462403586203187</v>
      </c>
      <c r="Y393" s="460">
        <f>Y274*'Inputs_NT INM'!AF$257</f>
        <v>14.462403586203187</v>
      </c>
      <c r="Z393" s="460">
        <f>Z274*'Inputs_NT INM'!AG$257</f>
        <v>14.462403586203187</v>
      </c>
      <c r="AA393" s="460">
        <f>AA274*'Inputs_NT INM'!AH$257</f>
        <v>14.462403586203187</v>
      </c>
      <c r="AB393" s="460">
        <f>AB274*'Inputs_NT INM'!AI$257</f>
        <v>14.462403586203187</v>
      </c>
      <c r="AC393" s="460">
        <f>AC274*'Inputs_NT INM'!AJ$257</f>
        <v>14.462403586203187</v>
      </c>
      <c r="AD393" s="460">
        <f>AD274*'Inputs_NT INM'!AK$257</f>
        <v>14.462403586203187</v>
      </c>
      <c r="AE393" s="460">
        <f>AE274*'Inputs_NT INM'!AL$257</f>
        <v>14.462403586203187</v>
      </c>
      <c r="AF393" s="460">
        <f>AF274*'Inputs_NT INM'!AM$257</f>
        <v>14.462403586203187</v>
      </c>
      <c r="AG393" s="460">
        <f>AG274*'Inputs_NT INM'!AN$257</f>
        <v>14.462403586203187</v>
      </c>
      <c r="AH393" s="460"/>
      <c r="AI393" s="460"/>
      <c r="AJ393" s="460"/>
    </row>
    <row r="394" spans="1:36" x14ac:dyDescent="0.25">
      <c r="A394" s="9" t="s">
        <v>823</v>
      </c>
      <c r="B394" s="9" t="s">
        <v>947</v>
      </c>
      <c r="C394" s="9" t="s">
        <v>547</v>
      </c>
      <c r="D394" s="9">
        <v>2025</v>
      </c>
      <c r="E394" s="9" t="s">
        <v>997</v>
      </c>
      <c r="F394" s="460">
        <f>F275*'Inputs_NT INM'!M$257</f>
        <v>14.462403586203187</v>
      </c>
      <c r="G394" s="460">
        <f>G275*'Inputs_NT INM'!N$257</f>
        <v>14.462403586203187</v>
      </c>
      <c r="H394" s="460">
        <f>H275*'Inputs_NT INM'!O$257</f>
        <v>14.462403586203187</v>
      </c>
      <c r="I394" s="460">
        <f>I275*'Inputs_NT INM'!P$257</f>
        <v>14.462403586203187</v>
      </c>
      <c r="J394" s="460">
        <f>J275*'Inputs_NT INM'!Q$257</f>
        <v>14.462403586203187</v>
      </c>
      <c r="K394" s="460">
        <f>K275*'Inputs_NT INM'!R$257</f>
        <v>14.462403586203187</v>
      </c>
      <c r="L394" s="460">
        <f>L275*'Inputs_NT INM'!S$257</f>
        <v>14.462403586203187</v>
      </c>
      <c r="M394" s="460">
        <f>M275*'Inputs_NT INM'!T$257</f>
        <v>14.462403586203187</v>
      </c>
      <c r="N394" s="460">
        <f>N275*'Inputs_NT INM'!U$257</f>
        <v>14.462403586203187</v>
      </c>
      <c r="O394" s="460">
        <f>O275*'Inputs_NT INM'!V$257</f>
        <v>14.462403586203187</v>
      </c>
      <c r="P394" s="460">
        <f>P275*'Inputs_NT INM'!W$257</f>
        <v>14.462403586203187</v>
      </c>
      <c r="Q394" s="460">
        <f>Q275*'Inputs_NT INM'!X$257</f>
        <v>14.462403586203187</v>
      </c>
      <c r="R394" s="460">
        <f>R275*'Inputs_NT INM'!Y$257</f>
        <v>14.462403586203187</v>
      </c>
      <c r="S394" s="460">
        <f>S275*'Inputs_NT INM'!Z$257</f>
        <v>14.462403586203187</v>
      </c>
      <c r="T394" s="460">
        <f>T275*'Inputs_NT INM'!AA$257</f>
        <v>14.462403586203187</v>
      </c>
      <c r="U394" s="460">
        <f>U275*'Inputs_NT INM'!AB$257</f>
        <v>14.462403586203187</v>
      </c>
      <c r="V394" s="460">
        <f>V275*'Inputs_NT INM'!AC$257</f>
        <v>14.462403586203187</v>
      </c>
      <c r="W394" s="460">
        <f>W275*'Inputs_NT INM'!AD$257</f>
        <v>14.462403586203187</v>
      </c>
      <c r="X394" s="460">
        <f>X275*'Inputs_NT INM'!AE$257</f>
        <v>14.462403586203187</v>
      </c>
      <c r="Y394" s="460">
        <f>Y275*'Inputs_NT INM'!AF$257</f>
        <v>14.462403586203187</v>
      </c>
      <c r="Z394" s="460">
        <f>Z275*'Inputs_NT INM'!AG$257</f>
        <v>14.462403586203187</v>
      </c>
      <c r="AA394" s="460">
        <f>AA275*'Inputs_NT INM'!AH$257</f>
        <v>14.462403586203187</v>
      </c>
      <c r="AB394" s="460">
        <f>AB275*'Inputs_NT INM'!AI$257</f>
        <v>14.462403586203187</v>
      </c>
      <c r="AC394" s="460">
        <f>AC275*'Inputs_NT INM'!AJ$257</f>
        <v>14.462403586203187</v>
      </c>
      <c r="AD394" s="460">
        <f>AD275*'Inputs_NT INM'!AK$257</f>
        <v>14.462403586203187</v>
      </c>
      <c r="AE394" s="460">
        <f>AE275*'Inputs_NT INM'!AL$257</f>
        <v>14.462403586203187</v>
      </c>
      <c r="AF394" s="460">
        <f>AF275*'Inputs_NT INM'!AM$257</f>
        <v>14.462403586203187</v>
      </c>
      <c r="AG394" s="460">
        <f>AG275*'Inputs_NT INM'!AN$257</f>
        <v>14.462403586203187</v>
      </c>
      <c r="AH394" s="460"/>
      <c r="AI394" s="460"/>
      <c r="AJ394" s="460"/>
    </row>
    <row r="395" spans="1:36" x14ac:dyDescent="0.25">
      <c r="A395" s="9" t="s">
        <v>575</v>
      </c>
      <c r="B395" s="9" t="s">
        <v>558</v>
      </c>
      <c r="C395" s="9" t="s">
        <v>558</v>
      </c>
      <c r="D395" s="9" t="s">
        <v>558</v>
      </c>
      <c r="E395" s="9" t="s">
        <v>997</v>
      </c>
      <c r="F395" s="460"/>
      <c r="G395" s="460"/>
      <c r="H395" s="460"/>
      <c r="I395" s="460"/>
      <c r="J395" s="460"/>
      <c r="K395" s="460"/>
      <c r="L395" s="460"/>
      <c r="M395" s="460"/>
      <c r="N395" s="460"/>
      <c r="O395" s="460"/>
      <c r="P395" s="460"/>
      <c r="Q395" s="460"/>
      <c r="R395" s="460"/>
      <c r="S395" s="460"/>
      <c r="T395" s="460"/>
      <c r="U395" s="460"/>
      <c r="V395" s="460"/>
      <c r="W395" s="460"/>
      <c r="X395" s="460"/>
      <c r="Y395" s="460"/>
      <c r="Z395" s="460"/>
      <c r="AA395" s="460"/>
      <c r="AB395" s="460"/>
      <c r="AC395" s="460"/>
      <c r="AD395" s="460"/>
      <c r="AE395" s="460"/>
      <c r="AF395" s="460"/>
      <c r="AG395" s="460"/>
      <c r="AH395" s="460"/>
      <c r="AI395" s="460"/>
      <c r="AJ395" s="460"/>
    </row>
    <row r="396" spans="1:36" x14ac:dyDescent="0.25">
      <c r="A396" s="9" t="s">
        <v>575</v>
      </c>
      <c r="B396" s="9" t="s">
        <v>558</v>
      </c>
      <c r="C396" s="9" t="s">
        <v>558</v>
      </c>
      <c r="D396" s="9" t="s">
        <v>558</v>
      </c>
      <c r="E396" s="9" t="s">
        <v>997</v>
      </c>
      <c r="F396" s="460"/>
      <c r="G396" s="460"/>
      <c r="H396" s="460"/>
      <c r="I396" s="460"/>
      <c r="J396" s="460"/>
      <c r="K396" s="460"/>
      <c r="L396" s="460"/>
      <c r="M396" s="460"/>
      <c r="N396" s="460"/>
      <c r="O396" s="460"/>
      <c r="P396" s="460"/>
      <c r="Q396" s="460"/>
      <c r="R396" s="460"/>
      <c r="S396" s="460"/>
      <c r="T396" s="460"/>
      <c r="U396" s="460"/>
      <c r="V396" s="460"/>
      <c r="W396" s="460"/>
      <c r="X396" s="460"/>
      <c r="Y396" s="460"/>
      <c r="Z396" s="460"/>
      <c r="AA396" s="460"/>
      <c r="AB396" s="460"/>
      <c r="AC396" s="460"/>
      <c r="AD396" s="460"/>
      <c r="AE396" s="460"/>
      <c r="AF396" s="460"/>
      <c r="AG396" s="460"/>
      <c r="AH396" s="460"/>
      <c r="AI396" s="460"/>
      <c r="AJ396" s="460"/>
    </row>
    <row r="397" spans="1:36" x14ac:dyDescent="0.25">
      <c r="A397" s="9" t="s">
        <v>820</v>
      </c>
      <c r="B397" s="9" t="s">
        <v>944</v>
      </c>
      <c r="C397" s="9" t="s">
        <v>547</v>
      </c>
      <c r="D397" s="9">
        <v>2030</v>
      </c>
      <c r="E397" s="9" t="s">
        <v>997</v>
      </c>
      <c r="F397" s="460">
        <f>F278*'Inputs_NT INM'!M$257</f>
        <v>13.016163227582869</v>
      </c>
      <c r="G397" s="460">
        <f>G278*'Inputs_NT INM'!N$257</f>
        <v>13.016163227582869</v>
      </c>
      <c r="H397" s="460">
        <f>H278*'Inputs_NT INM'!O$257</f>
        <v>13.016163227582869</v>
      </c>
      <c r="I397" s="460">
        <f>I278*'Inputs_NT INM'!P$257</f>
        <v>13.016163227582869</v>
      </c>
      <c r="J397" s="460">
        <f>J278*'Inputs_NT INM'!Q$257</f>
        <v>13.016163227582869</v>
      </c>
      <c r="K397" s="460">
        <f>K278*'Inputs_NT INM'!R$257</f>
        <v>13.016163227582869</v>
      </c>
      <c r="L397" s="460">
        <f>L278*'Inputs_NT INM'!S$257</f>
        <v>13.016163227582869</v>
      </c>
      <c r="M397" s="460">
        <f>M278*'Inputs_NT INM'!T$257</f>
        <v>13.016163227582869</v>
      </c>
      <c r="N397" s="460">
        <f>N278*'Inputs_NT INM'!U$257</f>
        <v>13.016163227582869</v>
      </c>
      <c r="O397" s="460">
        <f>O278*'Inputs_NT INM'!V$257</f>
        <v>13.016163227582869</v>
      </c>
      <c r="P397" s="460">
        <f>P278*'Inputs_NT INM'!W$257</f>
        <v>13.016163227582869</v>
      </c>
      <c r="Q397" s="460">
        <f>Q278*'Inputs_NT INM'!X$257</f>
        <v>13.016163227582869</v>
      </c>
      <c r="R397" s="460">
        <f>R278*'Inputs_NT INM'!Y$257</f>
        <v>13.016163227582869</v>
      </c>
      <c r="S397" s="460">
        <f>S278*'Inputs_NT INM'!Z$257</f>
        <v>13.016163227582869</v>
      </c>
      <c r="T397" s="460">
        <f>T278*'Inputs_NT INM'!AA$257</f>
        <v>13.016163227582869</v>
      </c>
      <c r="U397" s="460">
        <f>U278*'Inputs_NT INM'!AB$257</f>
        <v>13.016163227582869</v>
      </c>
      <c r="V397" s="460">
        <f>V278*'Inputs_NT INM'!AC$257</f>
        <v>13.016163227582869</v>
      </c>
      <c r="W397" s="460">
        <f>W278*'Inputs_NT INM'!AD$257</f>
        <v>13.016163227582869</v>
      </c>
      <c r="X397" s="460">
        <f>X278*'Inputs_NT INM'!AE$257</f>
        <v>13.016163227582869</v>
      </c>
      <c r="Y397" s="460">
        <f>Y278*'Inputs_NT INM'!AF$257</f>
        <v>13.016163227582869</v>
      </c>
      <c r="Z397" s="460">
        <f>Z278*'Inputs_NT INM'!AG$257</f>
        <v>13.016163227582869</v>
      </c>
      <c r="AA397" s="460">
        <f>AA278*'Inputs_NT INM'!AH$257</f>
        <v>13.016163227582869</v>
      </c>
      <c r="AB397" s="460">
        <f>AB278*'Inputs_NT INM'!AI$257</f>
        <v>13.016163227582869</v>
      </c>
      <c r="AC397" s="460">
        <f>AC278*'Inputs_NT INM'!AJ$257</f>
        <v>13.016163227582869</v>
      </c>
      <c r="AD397" s="460">
        <f>AD278*'Inputs_NT INM'!AK$257</f>
        <v>13.016163227582869</v>
      </c>
      <c r="AE397" s="460">
        <f>AE278*'Inputs_NT INM'!AL$257</f>
        <v>13.016163227582869</v>
      </c>
      <c r="AF397" s="460">
        <f>AF278*'Inputs_NT INM'!AM$257</f>
        <v>13.016163227582869</v>
      </c>
      <c r="AG397" s="460">
        <f>AG278*'Inputs_NT INM'!AN$257</f>
        <v>13.016163227582869</v>
      </c>
      <c r="AH397" s="460"/>
      <c r="AI397" s="460"/>
      <c r="AJ397" s="460"/>
    </row>
    <row r="398" spans="1:36" x14ac:dyDescent="0.25">
      <c r="A398" s="9" t="s">
        <v>821</v>
      </c>
      <c r="B398" s="9" t="s">
        <v>945</v>
      </c>
      <c r="C398" s="9" t="s">
        <v>547</v>
      </c>
      <c r="D398" s="9">
        <v>2030</v>
      </c>
      <c r="E398" s="9" t="s">
        <v>997</v>
      </c>
      <c r="F398" s="460">
        <f>F279*'Inputs_NT INM'!M$257</f>
        <v>13.016163227582869</v>
      </c>
      <c r="G398" s="460">
        <f>G279*'Inputs_NT INM'!N$257</f>
        <v>13.016163227582869</v>
      </c>
      <c r="H398" s="460">
        <f>H279*'Inputs_NT INM'!O$257</f>
        <v>13.016163227582869</v>
      </c>
      <c r="I398" s="460">
        <f>I279*'Inputs_NT INM'!P$257</f>
        <v>13.016163227582869</v>
      </c>
      <c r="J398" s="460">
        <f>J279*'Inputs_NT INM'!Q$257</f>
        <v>13.016163227582869</v>
      </c>
      <c r="K398" s="460">
        <f>K279*'Inputs_NT INM'!R$257</f>
        <v>13.016163227582869</v>
      </c>
      <c r="L398" s="460">
        <f>L279*'Inputs_NT INM'!S$257</f>
        <v>13.016163227582869</v>
      </c>
      <c r="M398" s="460">
        <f>M279*'Inputs_NT INM'!T$257</f>
        <v>13.016163227582869</v>
      </c>
      <c r="N398" s="460">
        <f>N279*'Inputs_NT INM'!U$257</f>
        <v>13.016163227582869</v>
      </c>
      <c r="O398" s="460">
        <f>O279*'Inputs_NT INM'!V$257</f>
        <v>13.016163227582869</v>
      </c>
      <c r="P398" s="460">
        <f>P279*'Inputs_NT INM'!W$257</f>
        <v>13.016163227582869</v>
      </c>
      <c r="Q398" s="460">
        <f>Q279*'Inputs_NT INM'!X$257</f>
        <v>13.016163227582869</v>
      </c>
      <c r="R398" s="460">
        <f>R279*'Inputs_NT INM'!Y$257</f>
        <v>13.016163227582869</v>
      </c>
      <c r="S398" s="460">
        <f>S279*'Inputs_NT INM'!Z$257</f>
        <v>13.016163227582869</v>
      </c>
      <c r="T398" s="460">
        <f>T279*'Inputs_NT INM'!AA$257</f>
        <v>13.016163227582869</v>
      </c>
      <c r="U398" s="460">
        <f>U279*'Inputs_NT INM'!AB$257</f>
        <v>13.016163227582869</v>
      </c>
      <c r="V398" s="460">
        <f>V279*'Inputs_NT INM'!AC$257</f>
        <v>13.016163227582869</v>
      </c>
      <c r="W398" s="460">
        <f>W279*'Inputs_NT INM'!AD$257</f>
        <v>13.016163227582869</v>
      </c>
      <c r="X398" s="460">
        <f>X279*'Inputs_NT INM'!AE$257</f>
        <v>13.016163227582869</v>
      </c>
      <c r="Y398" s="460">
        <f>Y279*'Inputs_NT INM'!AF$257</f>
        <v>13.016163227582869</v>
      </c>
      <c r="Z398" s="460">
        <f>Z279*'Inputs_NT INM'!AG$257</f>
        <v>13.016163227582869</v>
      </c>
      <c r="AA398" s="460">
        <f>AA279*'Inputs_NT INM'!AH$257</f>
        <v>13.016163227582869</v>
      </c>
      <c r="AB398" s="460">
        <f>AB279*'Inputs_NT INM'!AI$257</f>
        <v>13.016163227582869</v>
      </c>
      <c r="AC398" s="460">
        <f>AC279*'Inputs_NT INM'!AJ$257</f>
        <v>13.016163227582869</v>
      </c>
      <c r="AD398" s="460">
        <f>AD279*'Inputs_NT INM'!AK$257</f>
        <v>13.016163227582869</v>
      </c>
      <c r="AE398" s="460">
        <f>AE279*'Inputs_NT INM'!AL$257</f>
        <v>13.016163227582869</v>
      </c>
      <c r="AF398" s="460">
        <f>AF279*'Inputs_NT INM'!AM$257</f>
        <v>13.016163227582869</v>
      </c>
      <c r="AG398" s="460">
        <f>AG279*'Inputs_NT INM'!AN$257</f>
        <v>13.016163227582869</v>
      </c>
      <c r="AH398" s="460"/>
      <c r="AI398" s="460"/>
      <c r="AJ398" s="460"/>
    </row>
    <row r="399" spans="1:36" x14ac:dyDescent="0.25">
      <c r="A399" s="9" t="s">
        <v>822</v>
      </c>
      <c r="B399" s="9" t="s">
        <v>946</v>
      </c>
      <c r="C399" s="9" t="s">
        <v>547</v>
      </c>
      <c r="D399" s="9">
        <v>2030</v>
      </c>
      <c r="E399" s="9" t="s">
        <v>997</v>
      </c>
      <c r="F399" s="460">
        <f>F280*'Inputs_NT INM'!M$257</f>
        <v>13.016163227582869</v>
      </c>
      <c r="G399" s="460">
        <f>G280*'Inputs_NT INM'!N$257</f>
        <v>13.016163227582869</v>
      </c>
      <c r="H399" s="460">
        <f>H280*'Inputs_NT INM'!O$257</f>
        <v>13.016163227582869</v>
      </c>
      <c r="I399" s="460">
        <f>I280*'Inputs_NT INM'!P$257</f>
        <v>13.016163227582869</v>
      </c>
      <c r="J399" s="460">
        <f>J280*'Inputs_NT INM'!Q$257</f>
        <v>13.016163227582869</v>
      </c>
      <c r="K399" s="460">
        <f>K280*'Inputs_NT INM'!R$257</f>
        <v>13.016163227582869</v>
      </c>
      <c r="L399" s="460">
        <f>L280*'Inputs_NT INM'!S$257</f>
        <v>13.016163227582869</v>
      </c>
      <c r="M399" s="460">
        <f>M280*'Inputs_NT INM'!T$257</f>
        <v>13.016163227582869</v>
      </c>
      <c r="N399" s="460">
        <f>N280*'Inputs_NT INM'!U$257</f>
        <v>13.016163227582869</v>
      </c>
      <c r="O399" s="460">
        <f>O280*'Inputs_NT INM'!V$257</f>
        <v>13.016163227582869</v>
      </c>
      <c r="P399" s="460">
        <f>P280*'Inputs_NT INM'!W$257</f>
        <v>13.016163227582869</v>
      </c>
      <c r="Q399" s="460">
        <f>Q280*'Inputs_NT INM'!X$257</f>
        <v>13.016163227582869</v>
      </c>
      <c r="R399" s="460">
        <f>R280*'Inputs_NT INM'!Y$257</f>
        <v>13.016163227582869</v>
      </c>
      <c r="S399" s="460">
        <f>S280*'Inputs_NT INM'!Z$257</f>
        <v>13.016163227582869</v>
      </c>
      <c r="T399" s="460">
        <f>T280*'Inputs_NT INM'!AA$257</f>
        <v>13.016163227582869</v>
      </c>
      <c r="U399" s="460">
        <f>U280*'Inputs_NT INM'!AB$257</f>
        <v>13.016163227582869</v>
      </c>
      <c r="V399" s="460">
        <f>V280*'Inputs_NT INM'!AC$257</f>
        <v>13.016163227582869</v>
      </c>
      <c r="W399" s="460">
        <f>W280*'Inputs_NT INM'!AD$257</f>
        <v>13.016163227582869</v>
      </c>
      <c r="X399" s="460">
        <f>X280*'Inputs_NT INM'!AE$257</f>
        <v>13.016163227582869</v>
      </c>
      <c r="Y399" s="460">
        <f>Y280*'Inputs_NT INM'!AF$257</f>
        <v>13.016163227582869</v>
      </c>
      <c r="Z399" s="460">
        <f>Z280*'Inputs_NT INM'!AG$257</f>
        <v>13.016163227582869</v>
      </c>
      <c r="AA399" s="460">
        <f>AA280*'Inputs_NT INM'!AH$257</f>
        <v>13.016163227582869</v>
      </c>
      <c r="AB399" s="460">
        <f>AB280*'Inputs_NT INM'!AI$257</f>
        <v>13.016163227582869</v>
      </c>
      <c r="AC399" s="460">
        <f>AC280*'Inputs_NT INM'!AJ$257</f>
        <v>13.016163227582869</v>
      </c>
      <c r="AD399" s="460">
        <f>AD280*'Inputs_NT INM'!AK$257</f>
        <v>13.016163227582869</v>
      </c>
      <c r="AE399" s="460">
        <f>AE280*'Inputs_NT INM'!AL$257</f>
        <v>13.016163227582869</v>
      </c>
      <c r="AF399" s="460">
        <f>AF280*'Inputs_NT INM'!AM$257</f>
        <v>13.016163227582869</v>
      </c>
      <c r="AG399" s="460">
        <f>AG280*'Inputs_NT INM'!AN$257</f>
        <v>13.016163227582869</v>
      </c>
      <c r="AH399" s="460"/>
      <c r="AI399" s="460"/>
      <c r="AJ399" s="460"/>
    </row>
    <row r="400" spans="1:36" x14ac:dyDescent="0.25">
      <c r="A400" s="9" t="s">
        <v>823</v>
      </c>
      <c r="B400" s="9" t="s">
        <v>947</v>
      </c>
      <c r="C400" s="9" t="s">
        <v>547</v>
      </c>
      <c r="D400" s="9">
        <v>2030</v>
      </c>
      <c r="E400" s="9" t="s">
        <v>997</v>
      </c>
      <c r="F400" s="460">
        <f>F281*'Inputs_NT INM'!M$257</f>
        <v>13.016163227582869</v>
      </c>
      <c r="G400" s="460">
        <f>G281*'Inputs_NT INM'!N$257</f>
        <v>13.016163227582869</v>
      </c>
      <c r="H400" s="460">
        <f>H281*'Inputs_NT INM'!O$257</f>
        <v>13.016163227582869</v>
      </c>
      <c r="I400" s="460">
        <f>I281*'Inputs_NT INM'!P$257</f>
        <v>13.016163227582869</v>
      </c>
      <c r="J400" s="460">
        <f>J281*'Inputs_NT INM'!Q$257</f>
        <v>13.016163227582869</v>
      </c>
      <c r="K400" s="460">
        <f>K281*'Inputs_NT INM'!R$257</f>
        <v>13.016163227582869</v>
      </c>
      <c r="L400" s="460">
        <f>L281*'Inputs_NT INM'!S$257</f>
        <v>13.016163227582869</v>
      </c>
      <c r="M400" s="460">
        <f>M281*'Inputs_NT INM'!T$257</f>
        <v>13.016163227582869</v>
      </c>
      <c r="N400" s="460">
        <f>N281*'Inputs_NT INM'!U$257</f>
        <v>13.016163227582869</v>
      </c>
      <c r="O400" s="460">
        <f>O281*'Inputs_NT INM'!V$257</f>
        <v>13.016163227582869</v>
      </c>
      <c r="P400" s="460">
        <f>P281*'Inputs_NT INM'!W$257</f>
        <v>13.016163227582869</v>
      </c>
      <c r="Q400" s="460">
        <f>Q281*'Inputs_NT INM'!X$257</f>
        <v>13.016163227582869</v>
      </c>
      <c r="R400" s="460">
        <f>R281*'Inputs_NT INM'!Y$257</f>
        <v>13.016163227582869</v>
      </c>
      <c r="S400" s="460">
        <f>S281*'Inputs_NT INM'!Z$257</f>
        <v>13.016163227582869</v>
      </c>
      <c r="T400" s="460">
        <f>T281*'Inputs_NT INM'!AA$257</f>
        <v>13.016163227582869</v>
      </c>
      <c r="U400" s="460">
        <f>U281*'Inputs_NT INM'!AB$257</f>
        <v>13.016163227582869</v>
      </c>
      <c r="V400" s="460">
        <f>V281*'Inputs_NT INM'!AC$257</f>
        <v>13.016163227582869</v>
      </c>
      <c r="W400" s="460">
        <f>W281*'Inputs_NT INM'!AD$257</f>
        <v>13.016163227582869</v>
      </c>
      <c r="X400" s="460">
        <f>X281*'Inputs_NT INM'!AE$257</f>
        <v>13.016163227582869</v>
      </c>
      <c r="Y400" s="460">
        <f>Y281*'Inputs_NT INM'!AF$257</f>
        <v>13.016163227582869</v>
      </c>
      <c r="Z400" s="460">
        <f>Z281*'Inputs_NT INM'!AG$257</f>
        <v>13.016163227582869</v>
      </c>
      <c r="AA400" s="460">
        <f>AA281*'Inputs_NT INM'!AH$257</f>
        <v>13.016163227582869</v>
      </c>
      <c r="AB400" s="460">
        <f>AB281*'Inputs_NT INM'!AI$257</f>
        <v>13.016163227582869</v>
      </c>
      <c r="AC400" s="460">
        <f>AC281*'Inputs_NT INM'!AJ$257</f>
        <v>13.016163227582869</v>
      </c>
      <c r="AD400" s="460">
        <f>AD281*'Inputs_NT INM'!AK$257</f>
        <v>13.016163227582869</v>
      </c>
      <c r="AE400" s="460">
        <f>AE281*'Inputs_NT INM'!AL$257</f>
        <v>13.016163227582869</v>
      </c>
      <c r="AF400" s="460">
        <f>AF281*'Inputs_NT INM'!AM$257</f>
        <v>13.016163227582869</v>
      </c>
      <c r="AG400" s="460">
        <f>AG281*'Inputs_NT INM'!AN$257</f>
        <v>13.016163227582869</v>
      </c>
      <c r="AH400" s="460"/>
      <c r="AI400" s="460"/>
      <c r="AJ400" s="460"/>
    </row>
    <row r="401" spans="1:36" x14ac:dyDescent="0.25">
      <c r="A401" s="9" t="s">
        <v>575</v>
      </c>
      <c r="B401" s="9" t="s">
        <v>558</v>
      </c>
      <c r="C401" s="9" t="s">
        <v>558</v>
      </c>
      <c r="D401" s="9" t="s">
        <v>558</v>
      </c>
      <c r="E401" s="9" t="s">
        <v>997</v>
      </c>
      <c r="F401" s="460"/>
      <c r="G401" s="460"/>
      <c r="H401" s="460"/>
      <c r="I401" s="460"/>
      <c r="J401" s="460"/>
      <c r="K401" s="460"/>
      <c r="L401" s="460"/>
      <c r="M401" s="460"/>
      <c r="N401" s="460"/>
      <c r="O401" s="460"/>
      <c r="P401" s="460"/>
      <c r="Q401" s="460"/>
      <c r="R401" s="460"/>
      <c r="S401" s="460"/>
      <c r="T401" s="460"/>
      <c r="U401" s="460"/>
      <c r="V401" s="460"/>
      <c r="W401" s="460"/>
      <c r="X401" s="460"/>
      <c r="Y401" s="460"/>
      <c r="Z401" s="460"/>
      <c r="AA401" s="460"/>
      <c r="AB401" s="460"/>
      <c r="AC401" s="460"/>
      <c r="AD401" s="460"/>
      <c r="AE401" s="460"/>
      <c r="AF401" s="460"/>
      <c r="AG401" s="460"/>
      <c r="AH401" s="460"/>
      <c r="AI401" s="460"/>
      <c r="AJ401" s="460"/>
    </row>
    <row r="402" spans="1:36" x14ac:dyDescent="0.25">
      <c r="A402" s="9" t="s">
        <v>575</v>
      </c>
      <c r="B402" s="9" t="s">
        <v>558</v>
      </c>
      <c r="C402" s="9" t="s">
        <v>558</v>
      </c>
      <c r="D402" s="9" t="s">
        <v>558</v>
      </c>
      <c r="E402" s="9" t="s">
        <v>997</v>
      </c>
      <c r="F402" s="460"/>
      <c r="G402" s="460"/>
      <c r="H402" s="460"/>
      <c r="I402" s="460"/>
      <c r="J402" s="460"/>
      <c r="K402" s="460"/>
      <c r="L402" s="460"/>
      <c r="M402" s="460"/>
      <c r="N402" s="460"/>
      <c r="O402" s="460"/>
      <c r="P402" s="460"/>
      <c r="Q402" s="460"/>
      <c r="R402" s="460"/>
      <c r="S402" s="460"/>
      <c r="T402" s="460"/>
      <c r="U402" s="460"/>
      <c r="V402" s="460"/>
      <c r="W402" s="460"/>
      <c r="X402" s="460"/>
      <c r="Y402" s="460"/>
      <c r="Z402" s="460"/>
      <c r="AA402" s="460"/>
      <c r="AB402" s="460"/>
      <c r="AC402" s="460"/>
      <c r="AD402" s="460"/>
      <c r="AE402" s="460"/>
      <c r="AF402" s="460"/>
      <c r="AG402" s="460"/>
      <c r="AH402" s="460"/>
      <c r="AI402" s="460"/>
      <c r="AJ402" s="460"/>
    </row>
    <row r="403" spans="1:36" x14ac:dyDescent="0.25">
      <c r="A403" s="9" t="s">
        <v>820</v>
      </c>
      <c r="B403" s="9" t="s">
        <v>944</v>
      </c>
      <c r="C403" s="9" t="s">
        <v>547</v>
      </c>
      <c r="D403" s="9">
        <v>2050</v>
      </c>
      <c r="E403" s="9" t="s">
        <v>997</v>
      </c>
      <c r="F403" s="460">
        <f>F284*'Inputs_NT INM'!M$257</f>
        <v>11.56992286896255</v>
      </c>
      <c r="G403" s="460">
        <f>G284*'Inputs_NT INM'!N$257</f>
        <v>11.56992286896255</v>
      </c>
      <c r="H403" s="460">
        <f>H284*'Inputs_NT INM'!O$257</f>
        <v>11.56992286896255</v>
      </c>
      <c r="I403" s="460">
        <f>I284*'Inputs_NT INM'!P$257</f>
        <v>11.56992286896255</v>
      </c>
      <c r="J403" s="460">
        <f>J284*'Inputs_NT INM'!Q$257</f>
        <v>11.56992286896255</v>
      </c>
      <c r="K403" s="460">
        <f>K284*'Inputs_NT INM'!R$257</f>
        <v>11.56992286896255</v>
      </c>
      <c r="L403" s="460">
        <f>L284*'Inputs_NT INM'!S$257</f>
        <v>11.56992286896255</v>
      </c>
      <c r="M403" s="460">
        <f>M284*'Inputs_NT INM'!T$257</f>
        <v>11.56992286896255</v>
      </c>
      <c r="N403" s="460">
        <f>N284*'Inputs_NT INM'!U$257</f>
        <v>11.56992286896255</v>
      </c>
      <c r="O403" s="460">
        <f>O284*'Inputs_NT INM'!V$257</f>
        <v>11.56992286896255</v>
      </c>
      <c r="P403" s="460">
        <f>P284*'Inputs_NT INM'!W$257</f>
        <v>11.56992286896255</v>
      </c>
      <c r="Q403" s="460">
        <f>Q284*'Inputs_NT INM'!X$257</f>
        <v>11.56992286896255</v>
      </c>
      <c r="R403" s="460">
        <f>R284*'Inputs_NT INM'!Y$257</f>
        <v>11.56992286896255</v>
      </c>
      <c r="S403" s="460">
        <f>S284*'Inputs_NT INM'!Z$257</f>
        <v>11.56992286896255</v>
      </c>
      <c r="T403" s="460">
        <f>T284*'Inputs_NT INM'!AA$257</f>
        <v>11.56992286896255</v>
      </c>
      <c r="U403" s="460">
        <f>U284*'Inputs_NT INM'!AB$257</f>
        <v>11.56992286896255</v>
      </c>
      <c r="V403" s="460">
        <f>V284*'Inputs_NT INM'!AC$257</f>
        <v>11.56992286896255</v>
      </c>
      <c r="W403" s="460">
        <f>W284*'Inputs_NT INM'!AD$257</f>
        <v>11.56992286896255</v>
      </c>
      <c r="X403" s="460">
        <f>X284*'Inputs_NT INM'!AE$257</f>
        <v>11.56992286896255</v>
      </c>
      <c r="Y403" s="460">
        <f>Y284*'Inputs_NT INM'!AF$257</f>
        <v>11.56992286896255</v>
      </c>
      <c r="Z403" s="460">
        <f>Z284*'Inputs_NT INM'!AG$257</f>
        <v>11.56992286896255</v>
      </c>
      <c r="AA403" s="460">
        <f>AA284*'Inputs_NT INM'!AH$257</f>
        <v>11.56992286896255</v>
      </c>
      <c r="AB403" s="460">
        <f>AB284*'Inputs_NT INM'!AI$257</f>
        <v>11.56992286896255</v>
      </c>
      <c r="AC403" s="460">
        <f>AC284*'Inputs_NT INM'!AJ$257</f>
        <v>11.56992286896255</v>
      </c>
      <c r="AD403" s="460">
        <f>AD284*'Inputs_NT INM'!AK$257</f>
        <v>11.56992286896255</v>
      </c>
      <c r="AE403" s="460">
        <f>AE284*'Inputs_NT INM'!AL$257</f>
        <v>11.56992286896255</v>
      </c>
      <c r="AF403" s="460">
        <f>AF284*'Inputs_NT INM'!AM$257</f>
        <v>11.56992286896255</v>
      </c>
      <c r="AG403" s="460">
        <f>AG284*'Inputs_NT INM'!AN$257</f>
        <v>11.56992286896255</v>
      </c>
      <c r="AH403" s="460"/>
      <c r="AI403" s="460"/>
      <c r="AJ403" s="460"/>
    </row>
    <row r="404" spans="1:36" x14ac:dyDescent="0.25">
      <c r="A404" s="9" t="s">
        <v>821</v>
      </c>
      <c r="B404" s="9" t="s">
        <v>945</v>
      </c>
      <c r="C404" s="9" t="s">
        <v>547</v>
      </c>
      <c r="D404" s="9">
        <v>2050</v>
      </c>
      <c r="E404" s="9" t="s">
        <v>997</v>
      </c>
      <c r="F404" s="460">
        <f>F285*'Inputs_NT INM'!M$257</f>
        <v>11.56992286896255</v>
      </c>
      <c r="G404" s="460">
        <f>G285*'Inputs_NT INM'!N$257</f>
        <v>11.56992286896255</v>
      </c>
      <c r="H404" s="460">
        <f>H285*'Inputs_NT INM'!O$257</f>
        <v>11.56992286896255</v>
      </c>
      <c r="I404" s="460">
        <f>I285*'Inputs_NT INM'!P$257</f>
        <v>11.56992286896255</v>
      </c>
      <c r="J404" s="460">
        <f>J285*'Inputs_NT INM'!Q$257</f>
        <v>11.56992286896255</v>
      </c>
      <c r="K404" s="460">
        <f>K285*'Inputs_NT INM'!R$257</f>
        <v>11.56992286896255</v>
      </c>
      <c r="L404" s="460">
        <f>L285*'Inputs_NT INM'!S$257</f>
        <v>11.56992286896255</v>
      </c>
      <c r="M404" s="460">
        <f>M285*'Inputs_NT INM'!T$257</f>
        <v>11.56992286896255</v>
      </c>
      <c r="N404" s="460">
        <f>N285*'Inputs_NT INM'!U$257</f>
        <v>11.56992286896255</v>
      </c>
      <c r="O404" s="460">
        <f>O285*'Inputs_NT INM'!V$257</f>
        <v>11.56992286896255</v>
      </c>
      <c r="P404" s="460">
        <f>P285*'Inputs_NT INM'!W$257</f>
        <v>11.56992286896255</v>
      </c>
      <c r="Q404" s="460">
        <f>Q285*'Inputs_NT INM'!X$257</f>
        <v>11.56992286896255</v>
      </c>
      <c r="R404" s="460">
        <f>R285*'Inputs_NT INM'!Y$257</f>
        <v>11.56992286896255</v>
      </c>
      <c r="S404" s="460">
        <f>S285*'Inputs_NT INM'!Z$257</f>
        <v>11.56992286896255</v>
      </c>
      <c r="T404" s="460">
        <f>T285*'Inputs_NT INM'!AA$257</f>
        <v>11.56992286896255</v>
      </c>
      <c r="U404" s="460">
        <f>U285*'Inputs_NT INM'!AB$257</f>
        <v>11.56992286896255</v>
      </c>
      <c r="V404" s="460">
        <f>V285*'Inputs_NT INM'!AC$257</f>
        <v>11.56992286896255</v>
      </c>
      <c r="W404" s="460">
        <f>W285*'Inputs_NT INM'!AD$257</f>
        <v>11.56992286896255</v>
      </c>
      <c r="X404" s="460">
        <f>X285*'Inputs_NT INM'!AE$257</f>
        <v>11.56992286896255</v>
      </c>
      <c r="Y404" s="460">
        <f>Y285*'Inputs_NT INM'!AF$257</f>
        <v>11.56992286896255</v>
      </c>
      <c r="Z404" s="460">
        <f>Z285*'Inputs_NT INM'!AG$257</f>
        <v>11.56992286896255</v>
      </c>
      <c r="AA404" s="460">
        <f>AA285*'Inputs_NT INM'!AH$257</f>
        <v>11.56992286896255</v>
      </c>
      <c r="AB404" s="460">
        <f>AB285*'Inputs_NT INM'!AI$257</f>
        <v>11.56992286896255</v>
      </c>
      <c r="AC404" s="460">
        <f>AC285*'Inputs_NT INM'!AJ$257</f>
        <v>11.56992286896255</v>
      </c>
      <c r="AD404" s="460">
        <f>AD285*'Inputs_NT INM'!AK$257</f>
        <v>11.56992286896255</v>
      </c>
      <c r="AE404" s="460">
        <f>AE285*'Inputs_NT INM'!AL$257</f>
        <v>11.56992286896255</v>
      </c>
      <c r="AF404" s="460">
        <f>AF285*'Inputs_NT INM'!AM$257</f>
        <v>11.56992286896255</v>
      </c>
      <c r="AG404" s="460">
        <f>AG285*'Inputs_NT INM'!AN$257</f>
        <v>11.56992286896255</v>
      </c>
      <c r="AH404" s="460"/>
      <c r="AI404" s="460"/>
      <c r="AJ404" s="460"/>
    </row>
    <row r="405" spans="1:36" x14ac:dyDescent="0.25">
      <c r="A405" s="9" t="s">
        <v>822</v>
      </c>
      <c r="B405" s="9" t="s">
        <v>946</v>
      </c>
      <c r="C405" s="9" t="s">
        <v>547</v>
      </c>
      <c r="D405" s="9">
        <v>2050</v>
      </c>
      <c r="E405" s="9" t="s">
        <v>997</v>
      </c>
      <c r="F405" s="460">
        <f>F286*'Inputs_NT INM'!M$257</f>
        <v>11.56992286896255</v>
      </c>
      <c r="G405" s="460">
        <f>G286*'Inputs_NT INM'!N$257</f>
        <v>11.56992286896255</v>
      </c>
      <c r="H405" s="460">
        <f>H286*'Inputs_NT INM'!O$257</f>
        <v>11.56992286896255</v>
      </c>
      <c r="I405" s="460">
        <f>I286*'Inputs_NT INM'!P$257</f>
        <v>11.56992286896255</v>
      </c>
      <c r="J405" s="460">
        <f>J286*'Inputs_NT INM'!Q$257</f>
        <v>11.56992286896255</v>
      </c>
      <c r="K405" s="460">
        <f>K286*'Inputs_NT INM'!R$257</f>
        <v>11.56992286896255</v>
      </c>
      <c r="L405" s="460">
        <f>L286*'Inputs_NT INM'!S$257</f>
        <v>11.56992286896255</v>
      </c>
      <c r="M405" s="460">
        <f>M286*'Inputs_NT INM'!T$257</f>
        <v>11.56992286896255</v>
      </c>
      <c r="N405" s="460">
        <f>N286*'Inputs_NT INM'!U$257</f>
        <v>11.56992286896255</v>
      </c>
      <c r="O405" s="460">
        <f>O286*'Inputs_NT INM'!V$257</f>
        <v>11.56992286896255</v>
      </c>
      <c r="P405" s="460">
        <f>P286*'Inputs_NT INM'!W$257</f>
        <v>11.56992286896255</v>
      </c>
      <c r="Q405" s="460">
        <f>Q286*'Inputs_NT INM'!X$257</f>
        <v>11.56992286896255</v>
      </c>
      <c r="R405" s="460">
        <f>R286*'Inputs_NT INM'!Y$257</f>
        <v>11.56992286896255</v>
      </c>
      <c r="S405" s="460">
        <f>S286*'Inputs_NT INM'!Z$257</f>
        <v>11.56992286896255</v>
      </c>
      <c r="T405" s="460">
        <f>T286*'Inputs_NT INM'!AA$257</f>
        <v>11.56992286896255</v>
      </c>
      <c r="U405" s="460">
        <f>U286*'Inputs_NT INM'!AB$257</f>
        <v>11.56992286896255</v>
      </c>
      <c r="V405" s="460">
        <f>V286*'Inputs_NT INM'!AC$257</f>
        <v>11.56992286896255</v>
      </c>
      <c r="W405" s="460">
        <f>W286*'Inputs_NT INM'!AD$257</f>
        <v>11.56992286896255</v>
      </c>
      <c r="X405" s="460">
        <f>X286*'Inputs_NT INM'!AE$257</f>
        <v>11.56992286896255</v>
      </c>
      <c r="Y405" s="460">
        <f>Y286*'Inputs_NT INM'!AF$257</f>
        <v>11.56992286896255</v>
      </c>
      <c r="Z405" s="460">
        <f>Z286*'Inputs_NT INM'!AG$257</f>
        <v>11.56992286896255</v>
      </c>
      <c r="AA405" s="460">
        <f>AA286*'Inputs_NT INM'!AH$257</f>
        <v>11.56992286896255</v>
      </c>
      <c r="AB405" s="460">
        <f>AB286*'Inputs_NT INM'!AI$257</f>
        <v>11.56992286896255</v>
      </c>
      <c r="AC405" s="460">
        <f>AC286*'Inputs_NT INM'!AJ$257</f>
        <v>11.56992286896255</v>
      </c>
      <c r="AD405" s="460">
        <f>AD286*'Inputs_NT INM'!AK$257</f>
        <v>11.56992286896255</v>
      </c>
      <c r="AE405" s="460">
        <f>AE286*'Inputs_NT INM'!AL$257</f>
        <v>11.56992286896255</v>
      </c>
      <c r="AF405" s="460">
        <f>AF286*'Inputs_NT INM'!AM$257</f>
        <v>11.56992286896255</v>
      </c>
      <c r="AG405" s="460">
        <f>AG286*'Inputs_NT INM'!AN$257</f>
        <v>11.56992286896255</v>
      </c>
      <c r="AH405" s="460"/>
      <c r="AI405" s="460"/>
      <c r="AJ405" s="460"/>
    </row>
    <row r="406" spans="1:36" x14ac:dyDescent="0.25">
      <c r="A406" s="9" t="s">
        <v>823</v>
      </c>
      <c r="B406" s="9" t="s">
        <v>947</v>
      </c>
      <c r="C406" s="9" t="s">
        <v>547</v>
      </c>
      <c r="D406" s="9">
        <v>2050</v>
      </c>
      <c r="E406" s="9" t="s">
        <v>997</v>
      </c>
      <c r="F406" s="460">
        <f>F287*'Inputs_NT INM'!M$257</f>
        <v>11.56992286896255</v>
      </c>
      <c r="G406" s="460">
        <f>G287*'Inputs_NT INM'!N$257</f>
        <v>11.56992286896255</v>
      </c>
      <c r="H406" s="460">
        <f>H287*'Inputs_NT INM'!O$257</f>
        <v>11.56992286896255</v>
      </c>
      <c r="I406" s="460">
        <f>I287*'Inputs_NT INM'!P$257</f>
        <v>11.56992286896255</v>
      </c>
      <c r="J406" s="460">
        <f>J287*'Inputs_NT INM'!Q$257</f>
        <v>11.56992286896255</v>
      </c>
      <c r="K406" s="460">
        <f>K287*'Inputs_NT INM'!R$257</f>
        <v>11.56992286896255</v>
      </c>
      <c r="L406" s="460">
        <f>L287*'Inputs_NT INM'!S$257</f>
        <v>11.56992286896255</v>
      </c>
      <c r="M406" s="460">
        <f>M287*'Inputs_NT INM'!T$257</f>
        <v>11.56992286896255</v>
      </c>
      <c r="N406" s="460">
        <f>N287*'Inputs_NT INM'!U$257</f>
        <v>11.56992286896255</v>
      </c>
      <c r="O406" s="460">
        <f>O287*'Inputs_NT INM'!V$257</f>
        <v>11.56992286896255</v>
      </c>
      <c r="P406" s="460">
        <f>P287*'Inputs_NT INM'!W$257</f>
        <v>11.56992286896255</v>
      </c>
      <c r="Q406" s="460">
        <f>Q287*'Inputs_NT INM'!X$257</f>
        <v>11.56992286896255</v>
      </c>
      <c r="R406" s="460">
        <f>R287*'Inputs_NT INM'!Y$257</f>
        <v>11.56992286896255</v>
      </c>
      <c r="S406" s="460">
        <f>S287*'Inputs_NT INM'!Z$257</f>
        <v>11.56992286896255</v>
      </c>
      <c r="T406" s="460">
        <f>T287*'Inputs_NT INM'!AA$257</f>
        <v>11.56992286896255</v>
      </c>
      <c r="U406" s="460">
        <f>U287*'Inputs_NT INM'!AB$257</f>
        <v>11.56992286896255</v>
      </c>
      <c r="V406" s="460">
        <f>V287*'Inputs_NT INM'!AC$257</f>
        <v>11.56992286896255</v>
      </c>
      <c r="W406" s="460">
        <f>W287*'Inputs_NT INM'!AD$257</f>
        <v>11.56992286896255</v>
      </c>
      <c r="X406" s="460">
        <f>X287*'Inputs_NT INM'!AE$257</f>
        <v>11.56992286896255</v>
      </c>
      <c r="Y406" s="460">
        <f>Y287*'Inputs_NT INM'!AF$257</f>
        <v>11.56992286896255</v>
      </c>
      <c r="Z406" s="460">
        <f>Z287*'Inputs_NT INM'!AG$257</f>
        <v>11.56992286896255</v>
      </c>
      <c r="AA406" s="460">
        <f>AA287*'Inputs_NT INM'!AH$257</f>
        <v>11.56992286896255</v>
      </c>
      <c r="AB406" s="460">
        <f>AB287*'Inputs_NT INM'!AI$257</f>
        <v>11.56992286896255</v>
      </c>
      <c r="AC406" s="460">
        <f>AC287*'Inputs_NT INM'!AJ$257</f>
        <v>11.56992286896255</v>
      </c>
      <c r="AD406" s="460">
        <f>AD287*'Inputs_NT INM'!AK$257</f>
        <v>11.56992286896255</v>
      </c>
      <c r="AE406" s="460">
        <f>AE287*'Inputs_NT INM'!AL$257</f>
        <v>11.56992286896255</v>
      </c>
      <c r="AF406" s="460">
        <f>AF287*'Inputs_NT INM'!AM$257</f>
        <v>11.56992286896255</v>
      </c>
      <c r="AG406" s="460">
        <f>AG287*'Inputs_NT INM'!AN$257</f>
        <v>11.56992286896255</v>
      </c>
      <c r="AH406" s="460"/>
      <c r="AI406" s="460"/>
      <c r="AJ406" s="460"/>
    </row>
    <row r="407" spans="1:36" x14ac:dyDescent="0.25">
      <c r="A407" s="9" t="s">
        <v>575</v>
      </c>
      <c r="B407" s="9" t="s">
        <v>558</v>
      </c>
      <c r="C407" s="9" t="s">
        <v>558</v>
      </c>
      <c r="D407" s="9" t="s">
        <v>558</v>
      </c>
      <c r="E407" s="9" t="s">
        <v>997</v>
      </c>
      <c r="F407" s="460"/>
      <c r="G407" s="460"/>
      <c r="H407" s="460"/>
      <c r="I407" s="460"/>
      <c r="J407" s="460"/>
      <c r="K407" s="460"/>
      <c r="L407" s="460"/>
      <c r="M407" s="460"/>
      <c r="N407" s="460"/>
      <c r="O407" s="460"/>
      <c r="P407" s="460"/>
      <c r="Q407" s="460"/>
      <c r="R407" s="460"/>
      <c r="S407" s="460"/>
      <c r="T407" s="460"/>
      <c r="U407" s="460"/>
      <c r="V407" s="460"/>
      <c r="W407" s="460"/>
      <c r="X407" s="460"/>
      <c r="Y407" s="460"/>
      <c r="Z407" s="460"/>
      <c r="AA407" s="460"/>
      <c r="AB407" s="460"/>
      <c r="AC407" s="460"/>
      <c r="AD407" s="460"/>
      <c r="AE407" s="460"/>
      <c r="AF407" s="460"/>
      <c r="AG407" s="460"/>
      <c r="AH407" s="460"/>
      <c r="AI407" s="460"/>
      <c r="AJ407" s="460"/>
    </row>
    <row r="408" spans="1:36" x14ac:dyDescent="0.25">
      <c r="A408" s="9" t="s">
        <v>825</v>
      </c>
      <c r="B408" s="9" t="s">
        <v>949</v>
      </c>
      <c r="C408" s="9" t="s">
        <v>547</v>
      </c>
      <c r="D408" s="9">
        <v>2030</v>
      </c>
      <c r="E408" s="9" t="s">
        <v>997</v>
      </c>
      <c r="F408" s="460">
        <f>F289*'Inputs_NT INM'!M$257</f>
        <v>69.855142001460521</v>
      </c>
      <c r="G408" s="460">
        <f>G289*'Inputs_NT INM'!N$257</f>
        <v>69.855142001460521</v>
      </c>
      <c r="H408" s="460">
        <f>H289*'Inputs_NT INM'!O$257</f>
        <v>69.855142001460521</v>
      </c>
      <c r="I408" s="460">
        <f>I289*'Inputs_NT INM'!P$257</f>
        <v>69.855142001460521</v>
      </c>
      <c r="J408" s="460">
        <f>J289*'Inputs_NT INM'!Q$257</f>
        <v>69.855142001460521</v>
      </c>
      <c r="K408" s="460">
        <f>K289*'Inputs_NT INM'!R$257</f>
        <v>69.855142001460521</v>
      </c>
      <c r="L408" s="460">
        <f>L289*'Inputs_NT INM'!S$257</f>
        <v>69.855142001460521</v>
      </c>
      <c r="M408" s="460">
        <f>M289*'Inputs_NT INM'!T$257</f>
        <v>69.855142001460521</v>
      </c>
      <c r="N408" s="460">
        <f>N289*'Inputs_NT INM'!U$257</f>
        <v>69.855142001460521</v>
      </c>
      <c r="O408" s="460">
        <f>O289*'Inputs_NT INM'!V$257</f>
        <v>69.855142001460521</v>
      </c>
      <c r="P408" s="460">
        <f>P289*'Inputs_NT INM'!W$257</f>
        <v>69.855142001460521</v>
      </c>
      <c r="Q408" s="460">
        <f>Q289*'Inputs_NT INM'!X$257</f>
        <v>69.855142001460521</v>
      </c>
      <c r="R408" s="460">
        <f>R289*'Inputs_NT INM'!Y$257</f>
        <v>69.855142001460521</v>
      </c>
      <c r="S408" s="460">
        <f>S289*'Inputs_NT INM'!Z$257</f>
        <v>69.855142001460521</v>
      </c>
      <c r="T408" s="460">
        <f>T289*'Inputs_NT INM'!AA$257</f>
        <v>69.855142001460521</v>
      </c>
      <c r="U408" s="460">
        <f>U289*'Inputs_NT INM'!AB$257</f>
        <v>69.855142001460521</v>
      </c>
      <c r="V408" s="460">
        <f>V289*'Inputs_NT INM'!AC$257</f>
        <v>69.855142001460521</v>
      </c>
      <c r="W408" s="460">
        <f>W289*'Inputs_NT INM'!AD$257</f>
        <v>69.855142001460521</v>
      </c>
      <c r="X408" s="460">
        <f>X289*'Inputs_NT INM'!AE$257</f>
        <v>69.855142001460521</v>
      </c>
      <c r="Y408" s="460">
        <f>Y289*'Inputs_NT INM'!AF$257</f>
        <v>69.855142001460521</v>
      </c>
      <c r="Z408" s="460">
        <f>Z289*'Inputs_NT INM'!AG$257</f>
        <v>69.855142001460521</v>
      </c>
      <c r="AA408" s="460">
        <f>AA289*'Inputs_NT INM'!AH$257</f>
        <v>69.855142001460521</v>
      </c>
      <c r="AB408" s="460">
        <f>AB289*'Inputs_NT INM'!AI$257</f>
        <v>69.855142001460521</v>
      </c>
      <c r="AC408" s="460">
        <f>AC289*'Inputs_NT INM'!AJ$257</f>
        <v>69.855142001460521</v>
      </c>
      <c r="AD408" s="460">
        <f>AD289*'Inputs_NT INM'!AK$257</f>
        <v>69.855142001460521</v>
      </c>
      <c r="AE408" s="460">
        <f>AE289*'Inputs_NT INM'!AL$257</f>
        <v>69.855142001460521</v>
      </c>
      <c r="AF408" s="460">
        <f>AF289*'Inputs_NT INM'!AM$257</f>
        <v>69.855142001460521</v>
      </c>
      <c r="AG408" s="460">
        <f>AG289*'Inputs_NT INM'!AN$257</f>
        <v>69.855142001460521</v>
      </c>
      <c r="AH408" s="460"/>
      <c r="AI408" s="460"/>
      <c r="AJ408" s="460"/>
    </row>
    <row r="409" spans="1:36" x14ac:dyDescent="0.25">
      <c r="A409" s="9" t="s">
        <v>826</v>
      </c>
      <c r="B409" s="9" t="s">
        <v>950</v>
      </c>
      <c r="C409" s="9" t="s">
        <v>547</v>
      </c>
      <c r="D409" s="9">
        <v>2030</v>
      </c>
      <c r="E409" s="9" t="s">
        <v>997</v>
      </c>
      <c r="F409" s="460">
        <f>F290*'Inputs_NT INM'!M$257</f>
        <v>69.855142001460521</v>
      </c>
      <c r="G409" s="460">
        <f>G290*'Inputs_NT INM'!N$257</f>
        <v>69.855142001460521</v>
      </c>
      <c r="H409" s="460">
        <f>H290*'Inputs_NT INM'!O$257</f>
        <v>69.855142001460521</v>
      </c>
      <c r="I409" s="460">
        <f>I290*'Inputs_NT INM'!P$257</f>
        <v>69.855142001460521</v>
      </c>
      <c r="J409" s="460">
        <f>J290*'Inputs_NT INM'!Q$257</f>
        <v>69.855142001460521</v>
      </c>
      <c r="K409" s="460">
        <f>K290*'Inputs_NT INM'!R$257</f>
        <v>69.855142001460521</v>
      </c>
      <c r="L409" s="460">
        <f>L290*'Inputs_NT INM'!S$257</f>
        <v>69.855142001460521</v>
      </c>
      <c r="M409" s="460">
        <f>M290*'Inputs_NT INM'!T$257</f>
        <v>69.855142001460521</v>
      </c>
      <c r="N409" s="460">
        <f>N290*'Inputs_NT INM'!U$257</f>
        <v>69.855142001460521</v>
      </c>
      <c r="O409" s="460">
        <f>O290*'Inputs_NT INM'!V$257</f>
        <v>69.855142001460521</v>
      </c>
      <c r="P409" s="460">
        <f>P290*'Inputs_NT INM'!W$257</f>
        <v>69.855142001460521</v>
      </c>
      <c r="Q409" s="460">
        <f>Q290*'Inputs_NT INM'!X$257</f>
        <v>69.855142001460521</v>
      </c>
      <c r="R409" s="460">
        <f>R290*'Inputs_NT INM'!Y$257</f>
        <v>69.855142001460521</v>
      </c>
      <c r="S409" s="460">
        <f>S290*'Inputs_NT INM'!Z$257</f>
        <v>69.855142001460521</v>
      </c>
      <c r="T409" s="460">
        <f>T290*'Inputs_NT INM'!AA$257</f>
        <v>69.855142001460521</v>
      </c>
      <c r="U409" s="460">
        <f>U290*'Inputs_NT INM'!AB$257</f>
        <v>69.855142001460521</v>
      </c>
      <c r="V409" s="460">
        <f>V290*'Inputs_NT INM'!AC$257</f>
        <v>69.855142001460521</v>
      </c>
      <c r="W409" s="460">
        <f>W290*'Inputs_NT INM'!AD$257</f>
        <v>69.855142001460521</v>
      </c>
      <c r="X409" s="460">
        <f>X290*'Inputs_NT INM'!AE$257</f>
        <v>69.855142001460521</v>
      </c>
      <c r="Y409" s="460">
        <f>Y290*'Inputs_NT INM'!AF$257</f>
        <v>69.855142001460521</v>
      </c>
      <c r="Z409" s="460">
        <f>Z290*'Inputs_NT INM'!AG$257</f>
        <v>69.855142001460521</v>
      </c>
      <c r="AA409" s="460">
        <f>AA290*'Inputs_NT INM'!AH$257</f>
        <v>69.855142001460521</v>
      </c>
      <c r="AB409" s="460">
        <f>AB290*'Inputs_NT INM'!AI$257</f>
        <v>69.855142001460521</v>
      </c>
      <c r="AC409" s="460">
        <f>AC290*'Inputs_NT INM'!AJ$257</f>
        <v>69.855142001460521</v>
      </c>
      <c r="AD409" s="460">
        <f>AD290*'Inputs_NT INM'!AK$257</f>
        <v>69.855142001460521</v>
      </c>
      <c r="AE409" s="460">
        <f>AE290*'Inputs_NT INM'!AL$257</f>
        <v>69.855142001460521</v>
      </c>
      <c r="AF409" s="460">
        <f>AF290*'Inputs_NT INM'!AM$257</f>
        <v>69.855142001460521</v>
      </c>
      <c r="AG409" s="460">
        <f>AG290*'Inputs_NT INM'!AN$257</f>
        <v>69.855142001460521</v>
      </c>
      <c r="AH409" s="460"/>
      <c r="AI409" s="460"/>
      <c r="AJ409" s="460"/>
    </row>
    <row r="410" spans="1:36" x14ac:dyDescent="0.25">
      <c r="A410" s="9" t="s">
        <v>827</v>
      </c>
      <c r="B410" s="9" t="s">
        <v>951</v>
      </c>
      <c r="C410" s="9" t="s">
        <v>547</v>
      </c>
      <c r="D410" s="9">
        <v>2030</v>
      </c>
      <c r="E410" s="9" t="s">
        <v>997</v>
      </c>
      <c r="F410" s="460">
        <f>F291*'Inputs_NT INM'!M$257</f>
        <v>69.855142001460521</v>
      </c>
      <c r="G410" s="460">
        <f>G291*'Inputs_NT INM'!N$257</f>
        <v>69.855142001460521</v>
      </c>
      <c r="H410" s="460">
        <f>H291*'Inputs_NT INM'!O$257</f>
        <v>69.855142001460521</v>
      </c>
      <c r="I410" s="460">
        <f>I291*'Inputs_NT INM'!P$257</f>
        <v>69.855142001460521</v>
      </c>
      <c r="J410" s="460">
        <f>J291*'Inputs_NT INM'!Q$257</f>
        <v>69.855142001460521</v>
      </c>
      <c r="K410" s="460">
        <f>K291*'Inputs_NT INM'!R$257</f>
        <v>69.855142001460521</v>
      </c>
      <c r="L410" s="460">
        <f>L291*'Inputs_NT INM'!S$257</f>
        <v>69.855142001460521</v>
      </c>
      <c r="M410" s="460">
        <f>M291*'Inputs_NT INM'!T$257</f>
        <v>69.855142001460521</v>
      </c>
      <c r="N410" s="460">
        <f>N291*'Inputs_NT INM'!U$257</f>
        <v>69.855142001460521</v>
      </c>
      <c r="O410" s="460">
        <f>O291*'Inputs_NT INM'!V$257</f>
        <v>69.855142001460521</v>
      </c>
      <c r="P410" s="460">
        <f>P291*'Inputs_NT INM'!W$257</f>
        <v>69.855142001460521</v>
      </c>
      <c r="Q410" s="460">
        <f>Q291*'Inputs_NT INM'!X$257</f>
        <v>69.855142001460521</v>
      </c>
      <c r="R410" s="460">
        <f>R291*'Inputs_NT INM'!Y$257</f>
        <v>69.855142001460521</v>
      </c>
      <c r="S410" s="460">
        <f>S291*'Inputs_NT INM'!Z$257</f>
        <v>69.855142001460521</v>
      </c>
      <c r="T410" s="460">
        <f>T291*'Inputs_NT INM'!AA$257</f>
        <v>69.855142001460521</v>
      </c>
      <c r="U410" s="460">
        <f>U291*'Inputs_NT INM'!AB$257</f>
        <v>69.855142001460521</v>
      </c>
      <c r="V410" s="460">
        <f>V291*'Inputs_NT INM'!AC$257</f>
        <v>69.855142001460521</v>
      </c>
      <c r="W410" s="460">
        <f>W291*'Inputs_NT INM'!AD$257</f>
        <v>69.855142001460521</v>
      </c>
      <c r="X410" s="460">
        <f>X291*'Inputs_NT INM'!AE$257</f>
        <v>69.855142001460521</v>
      </c>
      <c r="Y410" s="460">
        <f>Y291*'Inputs_NT INM'!AF$257</f>
        <v>69.855142001460521</v>
      </c>
      <c r="Z410" s="460">
        <f>Z291*'Inputs_NT INM'!AG$257</f>
        <v>69.855142001460521</v>
      </c>
      <c r="AA410" s="460">
        <f>AA291*'Inputs_NT INM'!AH$257</f>
        <v>69.855142001460521</v>
      </c>
      <c r="AB410" s="460">
        <f>AB291*'Inputs_NT INM'!AI$257</f>
        <v>69.855142001460521</v>
      </c>
      <c r="AC410" s="460">
        <f>AC291*'Inputs_NT INM'!AJ$257</f>
        <v>69.855142001460521</v>
      </c>
      <c r="AD410" s="460">
        <f>AD291*'Inputs_NT INM'!AK$257</f>
        <v>69.855142001460521</v>
      </c>
      <c r="AE410" s="460">
        <f>AE291*'Inputs_NT INM'!AL$257</f>
        <v>69.855142001460521</v>
      </c>
      <c r="AF410" s="460">
        <f>AF291*'Inputs_NT INM'!AM$257</f>
        <v>69.855142001460521</v>
      </c>
      <c r="AG410" s="460">
        <f>AG291*'Inputs_NT INM'!AN$257</f>
        <v>69.855142001460521</v>
      </c>
      <c r="AH410" s="460"/>
      <c r="AI410" s="460"/>
      <c r="AJ410" s="460"/>
    </row>
    <row r="411" spans="1:36" x14ac:dyDescent="0.25">
      <c r="A411" s="9" t="s">
        <v>828</v>
      </c>
      <c r="B411" s="9" t="s">
        <v>952</v>
      </c>
      <c r="C411" s="9" t="s">
        <v>547</v>
      </c>
      <c r="D411" s="9">
        <v>2030</v>
      </c>
      <c r="E411" s="9" t="s">
        <v>997</v>
      </c>
      <c r="F411" s="460">
        <f>F292*'Inputs_NT INM'!M$257</f>
        <v>69.855142001460521</v>
      </c>
      <c r="G411" s="460">
        <f>G292*'Inputs_NT INM'!N$257</f>
        <v>69.855142001460521</v>
      </c>
      <c r="H411" s="460">
        <f>H292*'Inputs_NT INM'!O$257</f>
        <v>69.855142001460521</v>
      </c>
      <c r="I411" s="460">
        <f>I292*'Inputs_NT INM'!P$257</f>
        <v>69.855142001460521</v>
      </c>
      <c r="J411" s="460">
        <f>J292*'Inputs_NT INM'!Q$257</f>
        <v>69.855142001460521</v>
      </c>
      <c r="K411" s="460">
        <f>K292*'Inputs_NT INM'!R$257</f>
        <v>69.855142001460521</v>
      </c>
      <c r="L411" s="460">
        <f>L292*'Inputs_NT INM'!S$257</f>
        <v>69.855142001460521</v>
      </c>
      <c r="M411" s="460">
        <f>M292*'Inputs_NT INM'!T$257</f>
        <v>69.855142001460521</v>
      </c>
      <c r="N411" s="460">
        <f>N292*'Inputs_NT INM'!U$257</f>
        <v>69.855142001460521</v>
      </c>
      <c r="O411" s="460">
        <f>O292*'Inputs_NT INM'!V$257</f>
        <v>69.855142001460521</v>
      </c>
      <c r="P411" s="460">
        <f>P292*'Inputs_NT INM'!W$257</f>
        <v>69.855142001460521</v>
      </c>
      <c r="Q411" s="460">
        <f>Q292*'Inputs_NT INM'!X$257</f>
        <v>69.855142001460521</v>
      </c>
      <c r="R411" s="460">
        <f>R292*'Inputs_NT INM'!Y$257</f>
        <v>69.855142001460521</v>
      </c>
      <c r="S411" s="460">
        <f>S292*'Inputs_NT INM'!Z$257</f>
        <v>69.855142001460521</v>
      </c>
      <c r="T411" s="460">
        <f>T292*'Inputs_NT INM'!AA$257</f>
        <v>69.855142001460521</v>
      </c>
      <c r="U411" s="460">
        <f>U292*'Inputs_NT INM'!AB$257</f>
        <v>69.855142001460521</v>
      </c>
      <c r="V411" s="460">
        <f>V292*'Inputs_NT INM'!AC$257</f>
        <v>69.855142001460521</v>
      </c>
      <c r="W411" s="460">
        <f>W292*'Inputs_NT INM'!AD$257</f>
        <v>69.855142001460521</v>
      </c>
      <c r="X411" s="460">
        <f>X292*'Inputs_NT INM'!AE$257</f>
        <v>69.855142001460521</v>
      </c>
      <c r="Y411" s="460">
        <f>Y292*'Inputs_NT INM'!AF$257</f>
        <v>69.855142001460521</v>
      </c>
      <c r="Z411" s="460">
        <f>Z292*'Inputs_NT INM'!AG$257</f>
        <v>69.855142001460521</v>
      </c>
      <c r="AA411" s="460">
        <f>AA292*'Inputs_NT INM'!AH$257</f>
        <v>69.855142001460521</v>
      </c>
      <c r="AB411" s="460">
        <f>AB292*'Inputs_NT INM'!AI$257</f>
        <v>69.855142001460521</v>
      </c>
      <c r="AC411" s="460">
        <f>AC292*'Inputs_NT INM'!AJ$257</f>
        <v>69.855142001460521</v>
      </c>
      <c r="AD411" s="460">
        <f>AD292*'Inputs_NT INM'!AK$257</f>
        <v>69.855142001460521</v>
      </c>
      <c r="AE411" s="460">
        <f>AE292*'Inputs_NT INM'!AL$257</f>
        <v>69.855142001460521</v>
      </c>
      <c r="AF411" s="460">
        <f>AF292*'Inputs_NT INM'!AM$257</f>
        <v>69.855142001460521</v>
      </c>
      <c r="AG411" s="460">
        <f>AG292*'Inputs_NT INM'!AN$257</f>
        <v>69.855142001460521</v>
      </c>
      <c r="AH411" s="460"/>
      <c r="AI411" s="460"/>
      <c r="AJ411" s="460"/>
    </row>
    <row r="412" spans="1:36" x14ac:dyDescent="0.25">
      <c r="A412" s="9" t="s">
        <v>829</v>
      </c>
      <c r="B412" s="9" t="s">
        <v>953</v>
      </c>
      <c r="C412" s="9" t="s">
        <v>547</v>
      </c>
      <c r="D412" s="9">
        <v>2030</v>
      </c>
      <c r="E412" s="9" t="s">
        <v>997</v>
      </c>
      <c r="F412" s="460">
        <f>F293*'Inputs_NT INM'!M$257</f>
        <v>69.855142001460521</v>
      </c>
      <c r="G412" s="460">
        <f>G293*'Inputs_NT INM'!N$257</f>
        <v>69.855142001460521</v>
      </c>
      <c r="H412" s="460">
        <f>H293*'Inputs_NT INM'!O$257</f>
        <v>69.855142001460521</v>
      </c>
      <c r="I412" s="460">
        <f>I293*'Inputs_NT INM'!P$257</f>
        <v>69.855142001460521</v>
      </c>
      <c r="J412" s="460">
        <f>J293*'Inputs_NT INM'!Q$257</f>
        <v>69.855142001460521</v>
      </c>
      <c r="K412" s="460">
        <f>K293*'Inputs_NT INM'!R$257</f>
        <v>69.855142001460521</v>
      </c>
      <c r="L412" s="460">
        <f>L293*'Inputs_NT INM'!S$257</f>
        <v>69.855142001460521</v>
      </c>
      <c r="M412" s="460">
        <f>M293*'Inputs_NT INM'!T$257</f>
        <v>69.855142001460521</v>
      </c>
      <c r="N412" s="460">
        <f>N293*'Inputs_NT INM'!U$257</f>
        <v>69.855142001460521</v>
      </c>
      <c r="O412" s="460">
        <f>O293*'Inputs_NT INM'!V$257</f>
        <v>69.855142001460521</v>
      </c>
      <c r="P412" s="460">
        <f>P293*'Inputs_NT INM'!W$257</f>
        <v>69.855142001460521</v>
      </c>
      <c r="Q412" s="460">
        <f>Q293*'Inputs_NT INM'!X$257</f>
        <v>69.855142001460521</v>
      </c>
      <c r="R412" s="460">
        <f>R293*'Inputs_NT INM'!Y$257</f>
        <v>69.855142001460521</v>
      </c>
      <c r="S412" s="460">
        <f>S293*'Inputs_NT INM'!Z$257</f>
        <v>69.855142001460521</v>
      </c>
      <c r="T412" s="460">
        <f>T293*'Inputs_NT INM'!AA$257</f>
        <v>69.855142001460521</v>
      </c>
      <c r="U412" s="460">
        <f>U293*'Inputs_NT INM'!AB$257</f>
        <v>69.855142001460521</v>
      </c>
      <c r="V412" s="460">
        <f>V293*'Inputs_NT INM'!AC$257</f>
        <v>69.855142001460521</v>
      </c>
      <c r="W412" s="460">
        <f>W293*'Inputs_NT INM'!AD$257</f>
        <v>69.855142001460521</v>
      </c>
      <c r="X412" s="460">
        <f>X293*'Inputs_NT INM'!AE$257</f>
        <v>69.855142001460521</v>
      </c>
      <c r="Y412" s="460">
        <f>Y293*'Inputs_NT INM'!AF$257</f>
        <v>69.855142001460521</v>
      </c>
      <c r="Z412" s="460">
        <f>Z293*'Inputs_NT INM'!AG$257</f>
        <v>69.855142001460521</v>
      </c>
      <c r="AA412" s="460">
        <f>AA293*'Inputs_NT INM'!AH$257</f>
        <v>69.855142001460521</v>
      </c>
      <c r="AB412" s="460">
        <f>AB293*'Inputs_NT INM'!AI$257</f>
        <v>69.855142001460521</v>
      </c>
      <c r="AC412" s="460">
        <f>AC293*'Inputs_NT INM'!AJ$257</f>
        <v>69.855142001460521</v>
      </c>
      <c r="AD412" s="460">
        <f>AD293*'Inputs_NT INM'!AK$257</f>
        <v>69.855142001460521</v>
      </c>
      <c r="AE412" s="460">
        <f>AE293*'Inputs_NT INM'!AL$257</f>
        <v>69.855142001460521</v>
      </c>
      <c r="AF412" s="460">
        <f>AF293*'Inputs_NT INM'!AM$257</f>
        <v>69.855142001460521</v>
      </c>
      <c r="AG412" s="460">
        <f>AG293*'Inputs_NT INM'!AN$257</f>
        <v>69.855142001460521</v>
      </c>
      <c r="AH412" s="460"/>
      <c r="AI412" s="460"/>
      <c r="AJ412" s="460"/>
    </row>
    <row r="413" spans="1:36" x14ac:dyDescent="0.25">
      <c r="A413" s="9" t="s">
        <v>830</v>
      </c>
      <c r="B413" s="9" t="s">
        <v>955</v>
      </c>
      <c r="C413" s="9" t="s">
        <v>547</v>
      </c>
      <c r="D413" s="9">
        <v>2030</v>
      </c>
      <c r="E413" s="9" t="s">
        <v>997</v>
      </c>
      <c r="F413" s="460">
        <f>F294*'Inputs_NT INM'!M$257</f>
        <v>69.855142001460521</v>
      </c>
      <c r="G413" s="460">
        <f>G294*'Inputs_NT INM'!N$257</f>
        <v>69.855142001460521</v>
      </c>
      <c r="H413" s="460">
        <f>H294*'Inputs_NT INM'!O$257</f>
        <v>69.855142001460521</v>
      </c>
      <c r="I413" s="460">
        <f>I294*'Inputs_NT INM'!P$257</f>
        <v>69.855142001460521</v>
      </c>
      <c r="J413" s="460">
        <f>J294*'Inputs_NT INM'!Q$257</f>
        <v>69.855142001460521</v>
      </c>
      <c r="K413" s="460">
        <f>K294*'Inputs_NT INM'!R$257</f>
        <v>69.855142001460521</v>
      </c>
      <c r="L413" s="460">
        <f>L294*'Inputs_NT INM'!S$257</f>
        <v>69.855142001460521</v>
      </c>
      <c r="M413" s="460">
        <f>M294*'Inputs_NT INM'!T$257</f>
        <v>69.855142001460521</v>
      </c>
      <c r="N413" s="460">
        <f>N294*'Inputs_NT INM'!U$257</f>
        <v>69.855142001460521</v>
      </c>
      <c r="O413" s="460">
        <f>O294*'Inputs_NT INM'!V$257</f>
        <v>69.855142001460521</v>
      </c>
      <c r="P413" s="460">
        <f>P294*'Inputs_NT INM'!W$257</f>
        <v>69.855142001460521</v>
      </c>
      <c r="Q413" s="460">
        <f>Q294*'Inputs_NT INM'!X$257</f>
        <v>69.855142001460521</v>
      </c>
      <c r="R413" s="460">
        <f>R294*'Inputs_NT INM'!Y$257</f>
        <v>69.855142001460521</v>
      </c>
      <c r="S413" s="460">
        <f>S294*'Inputs_NT INM'!Z$257</f>
        <v>69.855142001460521</v>
      </c>
      <c r="T413" s="460">
        <f>T294*'Inputs_NT INM'!AA$257</f>
        <v>69.855142001460521</v>
      </c>
      <c r="U413" s="460">
        <f>U294*'Inputs_NT INM'!AB$257</f>
        <v>69.855142001460521</v>
      </c>
      <c r="V413" s="460">
        <f>V294*'Inputs_NT INM'!AC$257</f>
        <v>69.855142001460521</v>
      </c>
      <c r="W413" s="460">
        <f>W294*'Inputs_NT INM'!AD$257</f>
        <v>69.855142001460521</v>
      </c>
      <c r="X413" s="460">
        <f>X294*'Inputs_NT INM'!AE$257</f>
        <v>69.855142001460521</v>
      </c>
      <c r="Y413" s="460">
        <f>Y294*'Inputs_NT INM'!AF$257</f>
        <v>69.855142001460521</v>
      </c>
      <c r="Z413" s="460">
        <f>Z294*'Inputs_NT INM'!AG$257</f>
        <v>69.855142001460521</v>
      </c>
      <c r="AA413" s="460">
        <f>AA294*'Inputs_NT INM'!AH$257</f>
        <v>69.855142001460521</v>
      </c>
      <c r="AB413" s="460">
        <f>AB294*'Inputs_NT INM'!AI$257</f>
        <v>69.855142001460521</v>
      </c>
      <c r="AC413" s="460">
        <f>AC294*'Inputs_NT INM'!AJ$257</f>
        <v>69.855142001460521</v>
      </c>
      <c r="AD413" s="460">
        <f>AD294*'Inputs_NT INM'!AK$257</f>
        <v>69.855142001460521</v>
      </c>
      <c r="AE413" s="460">
        <f>AE294*'Inputs_NT INM'!AL$257</f>
        <v>69.855142001460521</v>
      </c>
      <c r="AF413" s="460">
        <f>AF294*'Inputs_NT INM'!AM$257</f>
        <v>69.855142001460521</v>
      </c>
      <c r="AG413" s="460">
        <f>AG294*'Inputs_NT INM'!AN$257</f>
        <v>69.855142001460521</v>
      </c>
      <c r="AH413" s="460"/>
      <c r="AI413" s="460"/>
      <c r="AJ413" s="460"/>
    </row>
    <row r="414" spans="1:36" x14ac:dyDescent="0.25">
      <c r="A414" s="9" t="s">
        <v>832</v>
      </c>
      <c r="B414" s="9" t="s">
        <v>956</v>
      </c>
      <c r="C414" s="9" t="s">
        <v>547</v>
      </c>
      <c r="D414" s="9">
        <v>2030</v>
      </c>
      <c r="E414" s="9" t="s">
        <v>997</v>
      </c>
      <c r="F414" s="460">
        <f>F295*'Inputs_NT INM'!M$257</f>
        <v>69.855142001460521</v>
      </c>
      <c r="G414" s="460">
        <f>G295*'Inputs_NT INM'!N$257</f>
        <v>69.855142001460521</v>
      </c>
      <c r="H414" s="460">
        <f>H295*'Inputs_NT INM'!O$257</f>
        <v>69.855142001460521</v>
      </c>
      <c r="I414" s="460">
        <f>I295*'Inputs_NT INM'!P$257</f>
        <v>69.855142001460521</v>
      </c>
      <c r="J414" s="460">
        <f>J295*'Inputs_NT INM'!Q$257</f>
        <v>69.855142001460521</v>
      </c>
      <c r="K414" s="460">
        <f>K295*'Inputs_NT INM'!R$257</f>
        <v>69.855142001460521</v>
      </c>
      <c r="L414" s="460">
        <f>L295*'Inputs_NT INM'!S$257</f>
        <v>69.855142001460521</v>
      </c>
      <c r="M414" s="460">
        <f>M295*'Inputs_NT INM'!T$257</f>
        <v>69.855142001460521</v>
      </c>
      <c r="N414" s="460">
        <f>N295*'Inputs_NT INM'!U$257</f>
        <v>69.855142001460521</v>
      </c>
      <c r="O414" s="460">
        <f>O295*'Inputs_NT INM'!V$257</f>
        <v>69.855142001460521</v>
      </c>
      <c r="P414" s="460">
        <f>P295*'Inputs_NT INM'!W$257</f>
        <v>69.855142001460521</v>
      </c>
      <c r="Q414" s="460">
        <f>Q295*'Inputs_NT INM'!X$257</f>
        <v>69.855142001460521</v>
      </c>
      <c r="R414" s="460">
        <f>R295*'Inputs_NT INM'!Y$257</f>
        <v>69.855142001460521</v>
      </c>
      <c r="S414" s="460">
        <f>S295*'Inputs_NT INM'!Z$257</f>
        <v>69.855142001460521</v>
      </c>
      <c r="T414" s="460">
        <f>T295*'Inputs_NT INM'!AA$257</f>
        <v>69.855142001460521</v>
      </c>
      <c r="U414" s="460">
        <f>U295*'Inputs_NT INM'!AB$257</f>
        <v>69.855142001460521</v>
      </c>
      <c r="V414" s="460">
        <f>V295*'Inputs_NT INM'!AC$257</f>
        <v>69.855142001460521</v>
      </c>
      <c r="W414" s="460">
        <f>W295*'Inputs_NT INM'!AD$257</f>
        <v>69.855142001460521</v>
      </c>
      <c r="X414" s="460">
        <f>X295*'Inputs_NT INM'!AE$257</f>
        <v>69.855142001460521</v>
      </c>
      <c r="Y414" s="460">
        <f>Y295*'Inputs_NT INM'!AF$257</f>
        <v>69.855142001460521</v>
      </c>
      <c r="Z414" s="460">
        <f>Z295*'Inputs_NT INM'!AG$257</f>
        <v>69.855142001460521</v>
      </c>
      <c r="AA414" s="460">
        <f>AA295*'Inputs_NT INM'!AH$257</f>
        <v>69.855142001460521</v>
      </c>
      <c r="AB414" s="460">
        <f>AB295*'Inputs_NT INM'!AI$257</f>
        <v>69.855142001460521</v>
      </c>
      <c r="AC414" s="460">
        <f>AC295*'Inputs_NT INM'!AJ$257</f>
        <v>69.855142001460521</v>
      </c>
      <c r="AD414" s="460">
        <f>AD295*'Inputs_NT INM'!AK$257</f>
        <v>69.855142001460521</v>
      </c>
      <c r="AE414" s="460">
        <f>AE295*'Inputs_NT INM'!AL$257</f>
        <v>69.855142001460521</v>
      </c>
      <c r="AF414" s="460">
        <f>AF295*'Inputs_NT INM'!AM$257</f>
        <v>69.855142001460521</v>
      </c>
      <c r="AG414" s="460">
        <f>AG295*'Inputs_NT INM'!AN$257</f>
        <v>69.855142001460521</v>
      </c>
      <c r="AH414" s="460"/>
      <c r="AI414" s="460"/>
      <c r="AJ414" s="460"/>
    </row>
    <row r="415" spans="1:36" x14ac:dyDescent="0.25">
      <c r="A415" s="9" t="s">
        <v>825</v>
      </c>
      <c r="B415" s="9" t="s">
        <v>949</v>
      </c>
      <c r="C415" s="9" t="s">
        <v>547</v>
      </c>
      <c r="D415" s="9">
        <v>2050</v>
      </c>
      <c r="E415" s="9" t="s">
        <v>997</v>
      </c>
      <c r="F415" s="460">
        <f>F296*'Inputs_NT INM'!M$257</f>
        <v>48.545925670617791</v>
      </c>
      <c r="G415" s="460">
        <f>G296*'Inputs_NT INM'!N$257</f>
        <v>48.545925670617791</v>
      </c>
      <c r="H415" s="460">
        <f>H296*'Inputs_NT INM'!O$257</f>
        <v>48.545925670617791</v>
      </c>
      <c r="I415" s="460">
        <f>I296*'Inputs_NT INM'!P$257</f>
        <v>48.545925670617791</v>
      </c>
      <c r="J415" s="460">
        <f>J296*'Inputs_NT INM'!Q$257</f>
        <v>48.545925670617791</v>
      </c>
      <c r="K415" s="460">
        <f>K296*'Inputs_NT INM'!R$257</f>
        <v>48.545925670617791</v>
      </c>
      <c r="L415" s="460">
        <f>L296*'Inputs_NT INM'!S$257</f>
        <v>48.545925670617791</v>
      </c>
      <c r="M415" s="460">
        <f>M296*'Inputs_NT INM'!T$257</f>
        <v>48.545925670617791</v>
      </c>
      <c r="N415" s="460">
        <f>N296*'Inputs_NT INM'!U$257</f>
        <v>48.545925670617791</v>
      </c>
      <c r="O415" s="460">
        <f>O296*'Inputs_NT INM'!V$257</f>
        <v>48.545925670617791</v>
      </c>
      <c r="P415" s="460">
        <f>P296*'Inputs_NT INM'!W$257</f>
        <v>48.545925670617791</v>
      </c>
      <c r="Q415" s="460">
        <f>Q296*'Inputs_NT INM'!X$257</f>
        <v>48.545925670617791</v>
      </c>
      <c r="R415" s="460">
        <f>R296*'Inputs_NT INM'!Y$257</f>
        <v>48.545925670617791</v>
      </c>
      <c r="S415" s="460">
        <f>S296*'Inputs_NT INM'!Z$257</f>
        <v>48.545925670617791</v>
      </c>
      <c r="T415" s="460">
        <f>T296*'Inputs_NT INM'!AA$257</f>
        <v>48.545925670617791</v>
      </c>
      <c r="U415" s="460">
        <f>U296*'Inputs_NT INM'!AB$257</f>
        <v>48.545925670617791</v>
      </c>
      <c r="V415" s="460">
        <f>V296*'Inputs_NT INM'!AC$257</f>
        <v>48.545925670617791</v>
      </c>
      <c r="W415" s="460">
        <f>W296*'Inputs_NT INM'!AD$257</f>
        <v>48.545925670617791</v>
      </c>
      <c r="X415" s="460">
        <f>X296*'Inputs_NT INM'!AE$257</f>
        <v>48.545925670617791</v>
      </c>
      <c r="Y415" s="460">
        <f>Y296*'Inputs_NT INM'!AF$257</f>
        <v>48.545925670617791</v>
      </c>
      <c r="Z415" s="460">
        <f>Z296*'Inputs_NT INM'!AG$257</f>
        <v>48.545925670617791</v>
      </c>
      <c r="AA415" s="460">
        <f>AA296*'Inputs_NT INM'!AH$257</f>
        <v>48.545925670617791</v>
      </c>
      <c r="AB415" s="460">
        <f>AB296*'Inputs_NT INM'!AI$257</f>
        <v>48.545925670617791</v>
      </c>
      <c r="AC415" s="460">
        <f>AC296*'Inputs_NT INM'!AJ$257</f>
        <v>48.545925670617791</v>
      </c>
      <c r="AD415" s="460">
        <f>AD296*'Inputs_NT INM'!AK$257</f>
        <v>48.545925670617791</v>
      </c>
      <c r="AE415" s="460">
        <f>AE296*'Inputs_NT INM'!AL$257</f>
        <v>48.545925670617791</v>
      </c>
      <c r="AF415" s="460">
        <f>AF296*'Inputs_NT INM'!AM$257</f>
        <v>48.545925670617791</v>
      </c>
      <c r="AG415" s="460">
        <f>AG296*'Inputs_NT INM'!AN$257</f>
        <v>48.545925670617791</v>
      </c>
      <c r="AH415" s="460"/>
      <c r="AI415" s="460"/>
      <c r="AJ415" s="460"/>
    </row>
    <row r="416" spans="1:36" x14ac:dyDescent="0.25">
      <c r="A416" s="9" t="s">
        <v>826</v>
      </c>
      <c r="B416" s="9" t="s">
        <v>950</v>
      </c>
      <c r="C416" s="9" t="s">
        <v>547</v>
      </c>
      <c r="D416" s="9">
        <v>2050</v>
      </c>
      <c r="E416" s="9" t="s">
        <v>997</v>
      </c>
      <c r="F416" s="460">
        <f>F297*'Inputs_NT INM'!M$257</f>
        <v>48.545925670617791</v>
      </c>
      <c r="G416" s="460">
        <f>G297*'Inputs_NT INM'!N$257</f>
        <v>48.545925670617791</v>
      </c>
      <c r="H416" s="460">
        <f>H297*'Inputs_NT INM'!O$257</f>
        <v>48.545925670617791</v>
      </c>
      <c r="I416" s="460">
        <f>I297*'Inputs_NT INM'!P$257</f>
        <v>48.545925670617791</v>
      </c>
      <c r="J416" s="460">
        <f>J297*'Inputs_NT INM'!Q$257</f>
        <v>48.545925670617791</v>
      </c>
      <c r="K416" s="460">
        <f>K297*'Inputs_NT INM'!R$257</f>
        <v>48.545925670617791</v>
      </c>
      <c r="L416" s="460">
        <f>L297*'Inputs_NT INM'!S$257</f>
        <v>48.545925670617791</v>
      </c>
      <c r="M416" s="460">
        <f>M297*'Inputs_NT INM'!T$257</f>
        <v>48.545925670617791</v>
      </c>
      <c r="N416" s="460">
        <f>N297*'Inputs_NT INM'!U$257</f>
        <v>48.545925670617791</v>
      </c>
      <c r="O416" s="460">
        <f>O297*'Inputs_NT INM'!V$257</f>
        <v>48.545925670617791</v>
      </c>
      <c r="P416" s="460">
        <f>P297*'Inputs_NT INM'!W$257</f>
        <v>48.545925670617791</v>
      </c>
      <c r="Q416" s="460">
        <f>Q297*'Inputs_NT INM'!X$257</f>
        <v>48.545925670617791</v>
      </c>
      <c r="R416" s="460">
        <f>R297*'Inputs_NT INM'!Y$257</f>
        <v>48.545925670617791</v>
      </c>
      <c r="S416" s="460">
        <f>S297*'Inputs_NT INM'!Z$257</f>
        <v>48.545925670617791</v>
      </c>
      <c r="T416" s="460">
        <f>T297*'Inputs_NT INM'!AA$257</f>
        <v>48.545925670617791</v>
      </c>
      <c r="U416" s="460">
        <f>U297*'Inputs_NT INM'!AB$257</f>
        <v>48.545925670617791</v>
      </c>
      <c r="V416" s="460">
        <f>V297*'Inputs_NT INM'!AC$257</f>
        <v>48.545925670617791</v>
      </c>
      <c r="W416" s="460">
        <f>W297*'Inputs_NT INM'!AD$257</f>
        <v>48.545925670617791</v>
      </c>
      <c r="X416" s="460">
        <f>X297*'Inputs_NT INM'!AE$257</f>
        <v>48.545925670617791</v>
      </c>
      <c r="Y416" s="460">
        <f>Y297*'Inputs_NT INM'!AF$257</f>
        <v>48.545925670617791</v>
      </c>
      <c r="Z416" s="460">
        <f>Z297*'Inputs_NT INM'!AG$257</f>
        <v>48.545925670617791</v>
      </c>
      <c r="AA416" s="460">
        <f>AA297*'Inputs_NT INM'!AH$257</f>
        <v>48.545925670617791</v>
      </c>
      <c r="AB416" s="460">
        <f>AB297*'Inputs_NT INM'!AI$257</f>
        <v>48.545925670617791</v>
      </c>
      <c r="AC416" s="460">
        <f>AC297*'Inputs_NT INM'!AJ$257</f>
        <v>48.545925670617791</v>
      </c>
      <c r="AD416" s="460">
        <f>AD297*'Inputs_NT INM'!AK$257</f>
        <v>48.545925670617791</v>
      </c>
      <c r="AE416" s="460">
        <f>AE297*'Inputs_NT INM'!AL$257</f>
        <v>48.545925670617791</v>
      </c>
      <c r="AF416" s="460">
        <f>AF297*'Inputs_NT INM'!AM$257</f>
        <v>48.545925670617791</v>
      </c>
      <c r="AG416" s="460">
        <f>AG297*'Inputs_NT INM'!AN$257</f>
        <v>48.545925670617791</v>
      </c>
      <c r="AH416" s="460"/>
      <c r="AI416" s="460"/>
      <c r="AJ416" s="460"/>
    </row>
    <row r="417" spans="1:36" x14ac:dyDescent="0.25">
      <c r="A417" s="9" t="s">
        <v>827</v>
      </c>
      <c r="B417" s="9" t="s">
        <v>951</v>
      </c>
      <c r="C417" s="9" t="s">
        <v>547</v>
      </c>
      <c r="D417" s="9">
        <v>2050</v>
      </c>
      <c r="E417" s="9" t="s">
        <v>997</v>
      </c>
      <c r="F417" s="460">
        <f>F298*'Inputs_NT INM'!M$257</f>
        <v>48.545925670617791</v>
      </c>
      <c r="G417" s="460">
        <f>G298*'Inputs_NT INM'!N$257</f>
        <v>48.545925670617791</v>
      </c>
      <c r="H417" s="460">
        <f>H298*'Inputs_NT INM'!O$257</f>
        <v>48.545925670617791</v>
      </c>
      <c r="I417" s="460">
        <f>I298*'Inputs_NT INM'!P$257</f>
        <v>48.545925670617791</v>
      </c>
      <c r="J417" s="460">
        <f>J298*'Inputs_NT INM'!Q$257</f>
        <v>48.545925670617791</v>
      </c>
      <c r="K417" s="460">
        <f>K298*'Inputs_NT INM'!R$257</f>
        <v>48.545925670617791</v>
      </c>
      <c r="L417" s="460">
        <f>L298*'Inputs_NT INM'!S$257</f>
        <v>48.545925670617791</v>
      </c>
      <c r="M417" s="460">
        <f>M298*'Inputs_NT INM'!T$257</f>
        <v>48.545925670617791</v>
      </c>
      <c r="N417" s="460">
        <f>N298*'Inputs_NT INM'!U$257</f>
        <v>48.545925670617791</v>
      </c>
      <c r="O417" s="460">
        <f>O298*'Inputs_NT INM'!V$257</f>
        <v>48.545925670617791</v>
      </c>
      <c r="P417" s="460">
        <f>P298*'Inputs_NT INM'!W$257</f>
        <v>48.545925670617791</v>
      </c>
      <c r="Q417" s="460">
        <f>Q298*'Inputs_NT INM'!X$257</f>
        <v>48.545925670617791</v>
      </c>
      <c r="R417" s="460">
        <f>R298*'Inputs_NT INM'!Y$257</f>
        <v>48.545925670617791</v>
      </c>
      <c r="S417" s="460">
        <f>S298*'Inputs_NT INM'!Z$257</f>
        <v>48.545925670617791</v>
      </c>
      <c r="T417" s="460">
        <f>T298*'Inputs_NT INM'!AA$257</f>
        <v>48.545925670617791</v>
      </c>
      <c r="U417" s="460">
        <f>U298*'Inputs_NT INM'!AB$257</f>
        <v>48.545925670617791</v>
      </c>
      <c r="V417" s="460">
        <f>V298*'Inputs_NT INM'!AC$257</f>
        <v>48.545925670617791</v>
      </c>
      <c r="W417" s="460">
        <f>W298*'Inputs_NT INM'!AD$257</f>
        <v>48.545925670617791</v>
      </c>
      <c r="X417" s="460">
        <f>X298*'Inputs_NT INM'!AE$257</f>
        <v>48.545925670617791</v>
      </c>
      <c r="Y417" s="460">
        <f>Y298*'Inputs_NT INM'!AF$257</f>
        <v>48.545925670617791</v>
      </c>
      <c r="Z417" s="460">
        <f>Z298*'Inputs_NT INM'!AG$257</f>
        <v>48.545925670617791</v>
      </c>
      <c r="AA417" s="460">
        <f>AA298*'Inputs_NT INM'!AH$257</f>
        <v>48.545925670617791</v>
      </c>
      <c r="AB417" s="460">
        <f>AB298*'Inputs_NT INM'!AI$257</f>
        <v>48.545925670617791</v>
      </c>
      <c r="AC417" s="460">
        <f>AC298*'Inputs_NT INM'!AJ$257</f>
        <v>48.545925670617791</v>
      </c>
      <c r="AD417" s="460">
        <f>AD298*'Inputs_NT INM'!AK$257</f>
        <v>48.545925670617791</v>
      </c>
      <c r="AE417" s="460">
        <f>AE298*'Inputs_NT INM'!AL$257</f>
        <v>48.545925670617791</v>
      </c>
      <c r="AF417" s="460">
        <f>AF298*'Inputs_NT INM'!AM$257</f>
        <v>48.545925670617791</v>
      </c>
      <c r="AG417" s="460">
        <f>AG298*'Inputs_NT INM'!AN$257</f>
        <v>48.545925670617791</v>
      </c>
      <c r="AH417" s="460"/>
      <c r="AI417" s="460"/>
      <c r="AJ417" s="460"/>
    </row>
    <row r="418" spans="1:36" x14ac:dyDescent="0.25">
      <c r="A418" s="9" t="s">
        <v>828</v>
      </c>
      <c r="B418" s="9" t="s">
        <v>952</v>
      </c>
      <c r="C418" s="9" t="s">
        <v>547</v>
      </c>
      <c r="D418" s="9">
        <v>2050</v>
      </c>
      <c r="E418" s="9" t="s">
        <v>997</v>
      </c>
      <c r="F418" s="460">
        <f>F299*'Inputs_NT INM'!M$257</f>
        <v>48.545925670617791</v>
      </c>
      <c r="G418" s="460">
        <f>G299*'Inputs_NT INM'!N$257</f>
        <v>48.545925670617791</v>
      </c>
      <c r="H418" s="460">
        <f>H299*'Inputs_NT INM'!O$257</f>
        <v>48.545925670617791</v>
      </c>
      <c r="I418" s="460">
        <f>I299*'Inputs_NT INM'!P$257</f>
        <v>48.545925670617791</v>
      </c>
      <c r="J418" s="460">
        <f>J299*'Inputs_NT INM'!Q$257</f>
        <v>48.545925670617791</v>
      </c>
      <c r="K418" s="460">
        <f>K299*'Inputs_NT INM'!R$257</f>
        <v>48.545925670617791</v>
      </c>
      <c r="L418" s="460">
        <f>L299*'Inputs_NT INM'!S$257</f>
        <v>48.545925670617791</v>
      </c>
      <c r="M418" s="460">
        <f>M299*'Inputs_NT INM'!T$257</f>
        <v>48.545925670617791</v>
      </c>
      <c r="N418" s="460">
        <f>N299*'Inputs_NT INM'!U$257</f>
        <v>48.545925670617791</v>
      </c>
      <c r="O418" s="460">
        <f>O299*'Inputs_NT INM'!V$257</f>
        <v>48.545925670617791</v>
      </c>
      <c r="P418" s="460">
        <f>P299*'Inputs_NT INM'!W$257</f>
        <v>48.545925670617791</v>
      </c>
      <c r="Q418" s="460">
        <f>Q299*'Inputs_NT INM'!X$257</f>
        <v>48.545925670617791</v>
      </c>
      <c r="R418" s="460">
        <f>R299*'Inputs_NT INM'!Y$257</f>
        <v>48.545925670617791</v>
      </c>
      <c r="S418" s="460">
        <f>S299*'Inputs_NT INM'!Z$257</f>
        <v>48.545925670617791</v>
      </c>
      <c r="T418" s="460">
        <f>T299*'Inputs_NT INM'!AA$257</f>
        <v>48.545925670617791</v>
      </c>
      <c r="U418" s="460">
        <f>U299*'Inputs_NT INM'!AB$257</f>
        <v>48.545925670617791</v>
      </c>
      <c r="V418" s="460">
        <f>V299*'Inputs_NT INM'!AC$257</f>
        <v>48.545925670617791</v>
      </c>
      <c r="W418" s="460">
        <f>W299*'Inputs_NT INM'!AD$257</f>
        <v>48.545925670617791</v>
      </c>
      <c r="X418" s="460">
        <f>X299*'Inputs_NT INM'!AE$257</f>
        <v>48.545925670617791</v>
      </c>
      <c r="Y418" s="460">
        <f>Y299*'Inputs_NT INM'!AF$257</f>
        <v>48.545925670617791</v>
      </c>
      <c r="Z418" s="460">
        <f>Z299*'Inputs_NT INM'!AG$257</f>
        <v>48.545925670617791</v>
      </c>
      <c r="AA418" s="460">
        <f>AA299*'Inputs_NT INM'!AH$257</f>
        <v>48.545925670617791</v>
      </c>
      <c r="AB418" s="460">
        <f>AB299*'Inputs_NT INM'!AI$257</f>
        <v>48.545925670617791</v>
      </c>
      <c r="AC418" s="460">
        <f>AC299*'Inputs_NT INM'!AJ$257</f>
        <v>48.545925670617791</v>
      </c>
      <c r="AD418" s="460">
        <f>AD299*'Inputs_NT INM'!AK$257</f>
        <v>48.545925670617791</v>
      </c>
      <c r="AE418" s="460">
        <f>AE299*'Inputs_NT INM'!AL$257</f>
        <v>48.545925670617791</v>
      </c>
      <c r="AF418" s="460">
        <f>AF299*'Inputs_NT INM'!AM$257</f>
        <v>48.545925670617791</v>
      </c>
      <c r="AG418" s="460">
        <f>AG299*'Inputs_NT INM'!AN$257</f>
        <v>48.545925670617791</v>
      </c>
      <c r="AH418" s="460"/>
      <c r="AI418" s="460"/>
      <c r="AJ418" s="460"/>
    </row>
    <row r="419" spans="1:36" x14ac:dyDescent="0.25">
      <c r="A419" s="9" t="s">
        <v>829</v>
      </c>
      <c r="B419" s="9" t="s">
        <v>953</v>
      </c>
      <c r="C419" s="9" t="s">
        <v>547</v>
      </c>
      <c r="D419" s="9">
        <v>2050</v>
      </c>
      <c r="E419" s="9" t="s">
        <v>997</v>
      </c>
      <c r="F419" s="460">
        <f>F300*'Inputs_NT INM'!M$257</f>
        <v>48.545925670617791</v>
      </c>
      <c r="G419" s="460">
        <f>G300*'Inputs_NT INM'!N$257</f>
        <v>48.545925670617791</v>
      </c>
      <c r="H419" s="460">
        <f>H300*'Inputs_NT INM'!O$257</f>
        <v>48.545925670617791</v>
      </c>
      <c r="I419" s="460">
        <f>I300*'Inputs_NT INM'!P$257</f>
        <v>48.545925670617791</v>
      </c>
      <c r="J419" s="460">
        <f>J300*'Inputs_NT INM'!Q$257</f>
        <v>48.545925670617791</v>
      </c>
      <c r="K419" s="460">
        <f>K300*'Inputs_NT INM'!R$257</f>
        <v>48.545925670617791</v>
      </c>
      <c r="L419" s="460">
        <f>L300*'Inputs_NT INM'!S$257</f>
        <v>48.545925670617791</v>
      </c>
      <c r="M419" s="460">
        <f>M300*'Inputs_NT INM'!T$257</f>
        <v>48.545925670617791</v>
      </c>
      <c r="N419" s="460">
        <f>N300*'Inputs_NT INM'!U$257</f>
        <v>48.545925670617791</v>
      </c>
      <c r="O419" s="460">
        <f>O300*'Inputs_NT INM'!V$257</f>
        <v>48.545925670617791</v>
      </c>
      <c r="P419" s="460">
        <f>P300*'Inputs_NT INM'!W$257</f>
        <v>48.545925670617791</v>
      </c>
      <c r="Q419" s="460">
        <f>Q300*'Inputs_NT INM'!X$257</f>
        <v>48.545925670617791</v>
      </c>
      <c r="R419" s="460">
        <f>R300*'Inputs_NT INM'!Y$257</f>
        <v>48.545925670617791</v>
      </c>
      <c r="S419" s="460">
        <f>S300*'Inputs_NT INM'!Z$257</f>
        <v>48.545925670617791</v>
      </c>
      <c r="T419" s="460">
        <f>T300*'Inputs_NT INM'!AA$257</f>
        <v>48.545925670617791</v>
      </c>
      <c r="U419" s="460">
        <f>U300*'Inputs_NT INM'!AB$257</f>
        <v>48.545925670617791</v>
      </c>
      <c r="V419" s="460">
        <f>V300*'Inputs_NT INM'!AC$257</f>
        <v>48.545925670617791</v>
      </c>
      <c r="W419" s="460">
        <f>W300*'Inputs_NT INM'!AD$257</f>
        <v>48.545925670617791</v>
      </c>
      <c r="X419" s="460">
        <f>X300*'Inputs_NT INM'!AE$257</f>
        <v>48.545925670617791</v>
      </c>
      <c r="Y419" s="460">
        <f>Y300*'Inputs_NT INM'!AF$257</f>
        <v>48.545925670617791</v>
      </c>
      <c r="Z419" s="460">
        <f>Z300*'Inputs_NT INM'!AG$257</f>
        <v>48.545925670617791</v>
      </c>
      <c r="AA419" s="460">
        <f>AA300*'Inputs_NT INM'!AH$257</f>
        <v>48.545925670617791</v>
      </c>
      <c r="AB419" s="460">
        <f>AB300*'Inputs_NT INM'!AI$257</f>
        <v>48.545925670617791</v>
      </c>
      <c r="AC419" s="460">
        <f>AC300*'Inputs_NT INM'!AJ$257</f>
        <v>48.545925670617791</v>
      </c>
      <c r="AD419" s="460">
        <f>AD300*'Inputs_NT INM'!AK$257</f>
        <v>48.545925670617791</v>
      </c>
      <c r="AE419" s="460">
        <f>AE300*'Inputs_NT INM'!AL$257</f>
        <v>48.545925670617791</v>
      </c>
      <c r="AF419" s="460">
        <f>AF300*'Inputs_NT INM'!AM$257</f>
        <v>48.545925670617791</v>
      </c>
      <c r="AG419" s="460">
        <f>AG300*'Inputs_NT INM'!AN$257</f>
        <v>48.545925670617791</v>
      </c>
      <c r="AH419" s="460"/>
      <c r="AI419" s="460"/>
      <c r="AJ419" s="460"/>
    </row>
    <row r="420" spans="1:36" x14ac:dyDescent="0.25">
      <c r="A420" s="9" t="s">
        <v>830</v>
      </c>
      <c r="B420" s="9" t="s">
        <v>955</v>
      </c>
      <c r="C420" s="9" t="s">
        <v>547</v>
      </c>
      <c r="D420" s="9">
        <v>2050</v>
      </c>
      <c r="E420" s="9" t="s">
        <v>997</v>
      </c>
      <c r="F420" s="460">
        <f>F301*'Inputs_NT INM'!M$257</f>
        <v>48.545925670617791</v>
      </c>
      <c r="G420" s="460">
        <f>G301*'Inputs_NT INM'!N$257</f>
        <v>48.545925670617791</v>
      </c>
      <c r="H420" s="460">
        <f>H301*'Inputs_NT INM'!O$257</f>
        <v>48.545925670617791</v>
      </c>
      <c r="I420" s="460">
        <f>I301*'Inputs_NT INM'!P$257</f>
        <v>48.545925670617791</v>
      </c>
      <c r="J420" s="460">
        <f>J301*'Inputs_NT INM'!Q$257</f>
        <v>48.545925670617791</v>
      </c>
      <c r="K420" s="460">
        <f>K301*'Inputs_NT INM'!R$257</f>
        <v>48.545925670617791</v>
      </c>
      <c r="L420" s="460">
        <f>L301*'Inputs_NT INM'!S$257</f>
        <v>48.545925670617791</v>
      </c>
      <c r="M420" s="460">
        <f>M301*'Inputs_NT INM'!T$257</f>
        <v>48.545925670617791</v>
      </c>
      <c r="N420" s="460">
        <f>N301*'Inputs_NT INM'!U$257</f>
        <v>48.545925670617791</v>
      </c>
      <c r="O420" s="460">
        <f>O301*'Inputs_NT INM'!V$257</f>
        <v>48.545925670617791</v>
      </c>
      <c r="P420" s="460">
        <f>P301*'Inputs_NT INM'!W$257</f>
        <v>48.545925670617791</v>
      </c>
      <c r="Q420" s="460">
        <f>Q301*'Inputs_NT INM'!X$257</f>
        <v>48.545925670617791</v>
      </c>
      <c r="R420" s="460">
        <f>R301*'Inputs_NT INM'!Y$257</f>
        <v>48.545925670617791</v>
      </c>
      <c r="S420" s="460">
        <f>S301*'Inputs_NT INM'!Z$257</f>
        <v>48.545925670617791</v>
      </c>
      <c r="T420" s="460">
        <f>T301*'Inputs_NT INM'!AA$257</f>
        <v>48.545925670617791</v>
      </c>
      <c r="U420" s="460">
        <f>U301*'Inputs_NT INM'!AB$257</f>
        <v>48.545925670617791</v>
      </c>
      <c r="V420" s="460">
        <f>V301*'Inputs_NT INM'!AC$257</f>
        <v>48.545925670617791</v>
      </c>
      <c r="W420" s="460">
        <f>W301*'Inputs_NT INM'!AD$257</f>
        <v>48.545925670617791</v>
      </c>
      <c r="X420" s="460">
        <f>X301*'Inputs_NT INM'!AE$257</f>
        <v>48.545925670617791</v>
      </c>
      <c r="Y420" s="460">
        <f>Y301*'Inputs_NT INM'!AF$257</f>
        <v>48.545925670617791</v>
      </c>
      <c r="Z420" s="460">
        <f>Z301*'Inputs_NT INM'!AG$257</f>
        <v>48.545925670617791</v>
      </c>
      <c r="AA420" s="460">
        <f>AA301*'Inputs_NT INM'!AH$257</f>
        <v>48.545925670617791</v>
      </c>
      <c r="AB420" s="460">
        <f>AB301*'Inputs_NT INM'!AI$257</f>
        <v>48.545925670617791</v>
      </c>
      <c r="AC420" s="460">
        <f>AC301*'Inputs_NT INM'!AJ$257</f>
        <v>48.545925670617791</v>
      </c>
      <c r="AD420" s="460">
        <f>AD301*'Inputs_NT INM'!AK$257</f>
        <v>48.545925670617791</v>
      </c>
      <c r="AE420" s="460">
        <f>AE301*'Inputs_NT INM'!AL$257</f>
        <v>48.545925670617791</v>
      </c>
      <c r="AF420" s="460">
        <f>AF301*'Inputs_NT INM'!AM$257</f>
        <v>48.545925670617791</v>
      </c>
      <c r="AG420" s="460">
        <f>AG301*'Inputs_NT INM'!AN$257</f>
        <v>48.545925670617791</v>
      </c>
      <c r="AH420" s="460"/>
      <c r="AI420" s="460"/>
      <c r="AJ420" s="460"/>
    </row>
    <row r="421" spans="1:36" x14ac:dyDescent="0.25">
      <c r="A421" s="9" t="s">
        <v>832</v>
      </c>
      <c r="B421" s="9" t="s">
        <v>956</v>
      </c>
      <c r="C421" s="9" t="s">
        <v>547</v>
      </c>
      <c r="D421" s="9">
        <v>2050</v>
      </c>
      <c r="E421" s="9" t="s">
        <v>997</v>
      </c>
      <c r="F421" s="460">
        <f>F302*'Inputs_NT INM'!M$257</f>
        <v>48.545925670617791</v>
      </c>
      <c r="G421" s="460">
        <f>G302*'Inputs_NT INM'!N$257</f>
        <v>48.545925670617791</v>
      </c>
      <c r="H421" s="460">
        <f>H302*'Inputs_NT INM'!O$257</f>
        <v>48.545925670617791</v>
      </c>
      <c r="I421" s="460">
        <f>I302*'Inputs_NT INM'!P$257</f>
        <v>48.545925670617791</v>
      </c>
      <c r="J421" s="460">
        <f>J302*'Inputs_NT INM'!Q$257</f>
        <v>48.545925670617791</v>
      </c>
      <c r="K421" s="460">
        <f>K302*'Inputs_NT INM'!R$257</f>
        <v>48.545925670617791</v>
      </c>
      <c r="L421" s="460">
        <f>L302*'Inputs_NT INM'!S$257</f>
        <v>48.545925670617791</v>
      </c>
      <c r="M421" s="460">
        <f>M302*'Inputs_NT INM'!T$257</f>
        <v>48.545925670617791</v>
      </c>
      <c r="N421" s="460">
        <f>N302*'Inputs_NT INM'!U$257</f>
        <v>48.545925670617791</v>
      </c>
      <c r="O421" s="460">
        <f>O302*'Inputs_NT INM'!V$257</f>
        <v>48.545925670617791</v>
      </c>
      <c r="P421" s="460">
        <f>P302*'Inputs_NT INM'!W$257</f>
        <v>48.545925670617791</v>
      </c>
      <c r="Q421" s="460">
        <f>Q302*'Inputs_NT INM'!X$257</f>
        <v>48.545925670617791</v>
      </c>
      <c r="R421" s="460">
        <f>R302*'Inputs_NT INM'!Y$257</f>
        <v>48.545925670617791</v>
      </c>
      <c r="S421" s="460">
        <f>S302*'Inputs_NT INM'!Z$257</f>
        <v>48.545925670617791</v>
      </c>
      <c r="T421" s="460">
        <f>T302*'Inputs_NT INM'!AA$257</f>
        <v>48.545925670617791</v>
      </c>
      <c r="U421" s="460">
        <f>U302*'Inputs_NT INM'!AB$257</f>
        <v>48.545925670617791</v>
      </c>
      <c r="V421" s="460">
        <f>V302*'Inputs_NT INM'!AC$257</f>
        <v>48.545925670617791</v>
      </c>
      <c r="W421" s="460">
        <f>W302*'Inputs_NT INM'!AD$257</f>
        <v>48.545925670617791</v>
      </c>
      <c r="X421" s="460">
        <f>X302*'Inputs_NT INM'!AE$257</f>
        <v>48.545925670617791</v>
      </c>
      <c r="Y421" s="460">
        <f>Y302*'Inputs_NT INM'!AF$257</f>
        <v>48.545925670617791</v>
      </c>
      <c r="Z421" s="460">
        <f>Z302*'Inputs_NT INM'!AG$257</f>
        <v>48.545925670617791</v>
      </c>
      <c r="AA421" s="460">
        <f>AA302*'Inputs_NT INM'!AH$257</f>
        <v>48.545925670617791</v>
      </c>
      <c r="AB421" s="460">
        <f>AB302*'Inputs_NT INM'!AI$257</f>
        <v>48.545925670617791</v>
      </c>
      <c r="AC421" s="460">
        <f>AC302*'Inputs_NT INM'!AJ$257</f>
        <v>48.545925670617791</v>
      </c>
      <c r="AD421" s="460">
        <f>AD302*'Inputs_NT INM'!AK$257</f>
        <v>48.545925670617791</v>
      </c>
      <c r="AE421" s="460">
        <f>AE302*'Inputs_NT INM'!AL$257</f>
        <v>48.545925670617791</v>
      </c>
      <c r="AF421" s="460">
        <f>AF302*'Inputs_NT INM'!AM$257</f>
        <v>48.545925670617791</v>
      </c>
      <c r="AG421" s="460">
        <f>AG302*'Inputs_NT INM'!AN$257</f>
        <v>48.545925670617791</v>
      </c>
      <c r="AH421" s="460"/>
      <c r="AI421" s="460"/>
      <c r="AJ421" s="460"/>
    </row>
    <row r="422" spans="1:36" x14ac:dyDescent="0.25">
      <c r="A422" s="9" t="s">
        <v>833</v>
      </c>
      <c r="B422" s="9" t="s">
        <v>957</v>
      </c>
      <c r="C422" s="9" t="s">
        <v>547</v>
      </c>
      <c r="D422" s="9">
        <v>2020</v>
      </c>
      <c r="E422" s="9" t="s">
        <v>997</v>
      </c>
      <c r="F422" s="460">
        <f>F303*'Inputs_NT INM'!M$257</f>
        <v>43.387210758609562</v>
      </c>
      <c r="G422" s="460">
        <f>G303*'Inputs_NT INM'!N$257</f>
        <v>43.387210758609562</v>
      </c>
      <c r="H422" s="460">
        <f>H303*'Inputs_NT INM'!O$257</f>
        <v>43.387210758609562</v>
      </c>
      <c r="I422" s="460">
        <f>I303*'Inputs_NT INM'!P$257</f>
        <v>43.387210758609562</v>
      </c>
      <c r="J422" s="460">
        <f>J303*'Inputs_NT INM'!Q$257</f>
        <v>43.387210758609562</v>
      </c>
      <c r="K422" s="460">
        <f>K303*'Inputs_NT INM'!R$257</f>
        <v>43.387210758609562</v>
      </c>
      <c r="L422" s="460">
        <f>L303*'Inputs_NT INM'!S$257</f>
        <v>43.387210758609562</v>
      </c>
      <c r="M422" s="460">
        <f>M303*'Inputs_NT INM'!T$257</f>
        <v>43.387210758609562</v>
      </c>
      <c r="N422" s="460">
        <f>N303*'Inputs_NT INM'!U$257</f>
        <v>43.387210758609562</v>
      </c>
      <c r="O422" s="460">
        <f>O303*'Inputs_NT INM'!V$257</f>
        <v>43.387210758609562</v>
      </c>
      <c r="P422" s="460">
        <f>P303*'Inputs_NT INM'!W$257</f>
        <v>43.387210758609562</v>
      </c>
      <c r="Q422" s="460">
        <f>Q303*'Inputs_NT INM'!X$257</f>
        <v>43.387210758609562</v>
      </c>
      <c r="R422" s="460">
        <f>R303*'Inputs_NT INM'!Y$257</f>
        <v>43.387210758609562</v>
      </c>
      <c r="S422" s="460">
        <f>S303*'Inputs_NT INM'!Z$257</f>
        <v>43.387210758609562</v>
      </c>
      <c r="T422" s="460">
        <f>T303*'Inputs_NT INM'!AA$257</f>
        <v>43.387210758609562</v>
      </c>
      <c r="U422" s="460">
        <f>U303*'Inputs_NT INM'!AB$257</f>
        <v>43.387210758609562</v>
      </c>
      <c r="V422" s="460">
        <f>V303*'Inputs_NT INM'!AC$257</f>
        <v>43.387210758609562</v>
      </c>
      <c r="W422" s="460">
        <f>W303*'Inputs_NT INM'!AD$257</f>
        <v>43.387210758609562</v>
      </c>
      <c r="X422" s="460">
        <f>X303*'Inputs_NT INM'!AE$257</f>
        <v>43.387210758609562</v>
      </c>
      <c r="Y422" s="460">
        <f>Y303*'Inputs_NT INM'!AF$257</f>
        <v>43.387210758609562</v>
      </c>
      <c r="Z422" s="460">
        <f>Z303*'Inputs_NT INM'!AG$257</f>
        <v>43.387210758609562</v>
      </c>
      <c r="AA422" s="460">
        <f>AA303*'Inputs_NT INM'!AH$257</f>
        <v>43.387210758609562</v>
      </c>
      <c r="AB422" s="460">
        <f>AB303*'Inputs_NT INM'!AI$257</f>
        <v>43.387210758609562</v>
      </c>
      <c r="AC422" s="460">
        <f>AC303*'Inputs_NT INM'!AJ$257</f>
        <v>43.387210758609562</v>
      </c>
      <c r="AD422" s="460">
        <f>AD303*'Inputs_NT INM'!AK$257</f>
        <v>43.387210758609562</v>
      </c>
      <c r="AE422" s="460">
        <f>AE303*'Inputs_NT INM'!AL$257</f>
        <v>43.387210758609562</v>
      </c>
      <c r="AF422" s="460">
        <f>AF303*'Inputs_NT INM'!AM$257</f>
        <v>43.387210758609562</v>
      </c>
      <c r="AG422" s="460">
        <f>AG303*'Inputs_NT INM'!AN$257</f>
        <v>43.387210758609562</v>
      </c>
      <c r="AH422" s="460"/>
      <c r="AI422" s="460"/>
      <c r="AJ422" s="460"/>
    </row>
    <row r="423" spans="1:36" x14ac:dyDescent="0.25">
      <c r="A423" s="9" t="s">
        <v>834</v>
      </c>
      <c r="B423" s="9" t="s">
        <v>958</v>
      </c>
      <c r="C423" s="9" t="s">
        <v>547</v>
      </c>
      <c r="D423" s="9">
        <v>2020</v>
      </c>
      <c r="E423" s="9" t="s">
        <v>997</v>
      </c>
      <c r="F423" s="460">
        <f>F304*'Inputs_NT INM'!M$257</f>
        <v>43.387210758609562</v>
      </c>
      <c r="G423" s="460">
        <f>G304*'Inputs_NT INM'!N$257</f>
        <v>43.387210758609562</v>
      </c>
      <c r="H423" s="460">
        <f>H304*'Inputs_NT INM'!O$257</f>
        <v>43.387210758609562</v>
      </c>
      <c r="I423" s="460">
        <f>I304*'Inputs_NT INM'!P$257</f>
        <v>43.387210758609562</v>
      </c>
      <c r="J423" s="460">
        <f>J304*'Inputs_NT INM'!Q$257</f>
        <v>43.387210758609562</v>
      </c>
      <c r="K423" s="460">
        <f>K304*'Inputs_NT INM'!R$257</f>
        <v>43.387210758609562</v>
      </c>
      <c r="L423" s="460">
        <f>L304*'Inputs_NT INM'!S$257</f>
        <v>43.387210758609562</v>
      </c>
      <c r="M423" s="460">
        <f>M304*'Inputs_NT INM'!T$257</f>
        <v>43.387210758609562</v>
      </c>
      <c r="N423" s="460">
        <f>N304*'Inputs_NT INM'!U$257</f>
        <v>43.387210758609562</v>
      </c>
      <c r="O423" s="460">
        <f>O304*'Inputs_NT INM'!V$257</f>
        <v>43.387210758609562</v>
      </c>
      <c r="P423" s="460">
        <f>P304*'Inputs_NT INM'!W$257</f>
        <v>43.387210758609562</v>
      </c>
      <c r="Q423" s="460">
        <f>Q304*'Inputs_NT INM'!X$257</f>
        <v>43.387210758609562</v>
      </c>
      <c r="R423" s="460">
        <f>R304*'Inputs_NT INM'!Y$257</f>
        <v>43.387210758609562</v>
      </c>
      <c r="S423" s="460">
        <f>S304*'Inputs_NT INM'!Z$257</f>
        <v>43.387210758609562</v>
      </c>
      <c r="T423" s="460">
        <f>T304*'Inputs_NT INM'!AA$257</f>
        <v>43.387210758609562</v>
      </c>
      <c r="U423" s="460">
        <f>U304*'Inputs_NT INM'!AB$257</f>
        <v>43.387210758609562</v>
      </c>
      <c r="V423" s="460">
        <f>V304*'Inputs_NT INM'!AC$257</f>
        <v>43.387210758609562</v>
      </c>
      <c r="W423" s="460">
        <f>W304*'Inputs_NT INM'!AD$257</f>
        <v>43.387210758609562</v>
      </c>
      <c r="X423" s="460">
        <f>X304*'Inputs_NT INM'!AE$257</f>
        <v>43.387210758609562</v>
      </c>
      <c r="Y423" s="460">
        <f>Y304*'Inputs_NT INM'!AF$257</f>
        <v>43.387210758609562</v>
      </c>
      <c r="Z423" s="460">
        <f>Z304*'Inputs_NT INM'!AG$257</f>
        <v>43.387210758609562</v>
      </c>
      <c r="AA423" s="460">
        <f>AA304*'Inputs_NT INM'!AH$257</f>
        <v>43.387210758609562</v>
      </c>
      <c r="AB423" s="460">
        <f>AB304*'Inputs_NT INM'!AI$257</f>
        <v>43.387210758609562</v>
      </c>
      <c r="AC423" s="460">
        <f>AC304*'Inputs_NT INM'!AJ$257</f>
        <v>43.387210758609562</v>
      </c>
      <c r="AD423" s="460">
        <f>AD304*'Inputs_NT INM'!AK$257</f>
        <v>43.387210758609562</v>
      </c>
      <c r="AE423" s="460">
        <f>AE304*'Inputs_NT INM'!AL$257</f>
        <v>43.387210758609562</v>
      </c>
      <c r="AF423" s="460">
        <f>AF304*'Inputs_NT INM'!AM$257</f>
        <v>43.387210758609562</v>
      </c>
      <c r="AG423" s="460">
        <f>AG304*'Inputs_NT INM'!AN$257</f>
        <v>43.387210758609562</v>
      </c>
      <c r="AH423" s="460"/>
      <c r="AI423" s="460"/>
      <c r="AJ423" s="460"/>
    </row>
    <row r="424" spans="1:36" x14ac:dyDescent="0.25">
      <c r="A424" s="9" t="s">
        <v>835</v>
      </c>
      <c r="B424" s="9" t="s">
        <v>959</v>
      </c>
      <c r="C424" s="9" t="s">
        <v>547</v>
      </c>
      <c r="D424" s="9">
        <v>2020</v>
      </c>
      <c r="E424" s="9" t="s">
        <v>997</v>
      </c>
      <c r="F424" s="460">
        <f>F305*'Inputs_NT INM'!M$257</f>
        <v>43.387210758609562</v>
      </c>
      <c r="G424" s="460">
        <f>G305*'Inputs_NT INM'!N$257</f>
        <v>43.387210758609562</v>
      </c>
      <c r="H424" s="460">
        <f>H305*'Inputs_NT INM'!O$257</f>
        <v>43.387210758609562</v>
      </c>
      <c r="I424" s="460">
        <f>I305*'Inputs_NT INM'!P$257</f>
        <v>43.387210758609562</v>
      </c>
      <c r="J424" s="460">
        <f>J305*'Inputs_NT INM'!Q$257</f>
        <v>43.387210758609562</v>
      </c>
      <c r="K424" s="460">
        <f>K305*'Inputs_NT INM'!R$257</f>
        <v>43.387210758609562</v>
      </c>
      <c r="L424" s="460">
        <f>L305*'Inputs_NT INM'!S$257</f>
        <v>43.387210758609562</v>
      </c>
      <c r="M424" s="460">
        <f>M305*'Inputs_NT INM'!T$257</f>
        <v>43.387210758609562</v>
      </c>
      <c r="N424" s="460">
        <f>N305*'Inputs_NT INM'!U$257</f>
        <v>43.387210758609562</v>
      </c>
      <c r="O424" s="460">
        <f>O305*'Inputs_NT INM'!V$257</f>
        <v>43.387210758609562</v>
      </c>
      <c r="P424" s="460">
        <f>P305*'Inputs_NT INM'!W$257</f>
        <v>43.387210758609562</v>
      </c>
      <c r="Q424" s="460">
        <f>Q305*'Inputs_NT INM'!X$257</f>
        <v>43.387210758609562</v>
      </c>
      <c r="R424" s="460">
        <f>R305*'Inputs_NT INM'!Y$257</f>
        <v>43.387210758609562</v>
      </c>
      <c r="S424" s="460">
        <f>S305*'Inputs_NT INM'!Z$257</f>
        <v>43.387210758609562</v>
      </c>
      <c r="T424" s="460">
        <f>T305*'Inputs_NT INM'!AA$257</f>
        <v>43.387210758609562</v>
      </c>
      <c r="U424" s="460">
        <f>U305*'Inputs_NT INM'!AB$257</f>
        <v>43.387210758609562</v>
      </c>
      <c r="V424" s="460">
        <f>V305*'Inputs_NT INM'!AC$257</f>
        <v>43.387210758609562</v>
      </c>
      <c r="W424" s="460">
        <f>W305*'Inputs_NT INM'!AD$257</f>
        <v>43.387210758609562</v>
      </c>
      <c r="X424" s="460">
        <f>X305*'Inputs_NT INM'!AE$257</f>
        <v>43.387210758609562</v>
      </c>
      <c r="Y424" s="460">
        <f>Y305*'Inputs_NT INM'!AF$257</f>
        <v>43.387210758609562</v>
      </c>
      <c r="Z424" s="460">
        <f>Z305*'Inputs_NT INM'!AG$257</f>
        <v>43.387210758609562</v>
      </c>
      <c r="AA424" s="460">
        <f>AA305*'Inputs_NT INM'!AH$257</f>
        <v>43.387210758609562</v>
      </c>
      <c r="AB424" s="460">
        <f>AB305*'Inputs_NT INM'!AI$257</f>
        <v>43.387210758609562</v>
      </c>
      <c r="AC424" s="460">
        <f>AC305*'Inputs_NT INM'!AJ$257</f>
        <v>43.387210758609562</v>
      </c>
      <c r="AD424" s="460">
        <f>AD305*'Inputs_NT INM'!AK$257</f>
        <v>43.387210758609562</v>
      </c>
      <c r="AE424" s="460">
        <f>AE305*'Inputs_NT INM'!AL$257</f>
        <v>43.387210758609562</v>
      </c>
      <c r="AF424" s="460">
        <f>AF305*'Inputs_NT INM'!AM$257</f>
        <v>43.387210758609562</v>
      </c>
      <c r="AG424" s="460">
        <f>AG305*'Inputs_NT INM'!AN$257</f>
        <v>43.387210758609562</v>
      </c>
      <c r="AH424" s="460"/>
      <c r="AI424" s="460"/>
      <c r="AJ424" s="460"/>
    </row>
    <row r="425" spans="1:36" x14ac:dyDescent="0.25">
      <c r="A425" s="9" t="s">
        <v>836</v>
      </c>
      <c r="B425" s="9" t="s">
        <v>960</v>
      </c>
      <c r="C425" s="9" t="s">
        <v>547</v>
      </c>
      <c r="D425" s="9">
        <v>2020</v>
      </c>
      <c r="E425" s="9" t="s">
        <v>997</v>
      </c>
      <c r="F425" s="460">
        <f>F306*'Inputs_NT INM'!M$257</f>
        <v>43.387210758609562</v>
      </c>
      <c r="G425" s="460">
        <f>G306*'Inputs_NT INM'!N$257</f>
        <v>43.387210758609562</v>
      </c>
      <c r="H425" s="460">
        <f>H306*'Inputs_NT INM'!O$257</f>
        <v>43.387210758609562</v>
      </c>
      <c r="I425" s="460">
        <f>I306*'Inputs_NT INM'!P$257</f>
        <v>43.387210758609562</v>
      </c>
      <c r="J425" s="460">
        <f>J306*'Inputs_NT INM'!Q$257</f>
        <v>43.387210758609562</v>
      </c>
      <c r="K425" s="460">
        <f>K306*'Inputs_NT INM'!R$257</f>
        <v>43.387210758609562</v>
      </c>
      <c r="L425" s="460">
        <f>L306*'Inputs_NT INM'!S$257</f>
        <v>43.387210758609562</v>
      </c>
      <c r="M425" s="460">
        <f>M306*'Inputs_NT INM'!T$257</f>
        <v>43.387210758609562</v>
      </c>
      <c r="N425" s="460">
        <f>N306*'Inputs_NT INM'!U$257</f>
        <v>43.387210758609562</v>
      </c>
      <c r="O425" s="460">
        <f>O306*'Inputs_NT INM'!V$257</f>
        <v>43.387210758609562</v>
      </c>
      <c r="P425" s="460">
        <f>P306*'Inputs_NT INM'!W$257</f>
        <v>43.387210758609562</v>
      </c>
      <c r="Q425" s="460">
        <f>Q306*'Inputs_NT INM'!X$257</f>
        <v>43.387210758609562</v>
      </c>
      <c r="R425" s="460">
        <f>R306*'Inputs_NT INM'!Y$257</f>
        <v>43.387210758609562</v>
      </c>
      <c r="S425" s="460">
        <f>S306*'Inputs_NT INM'!Z$257</f>
        <v>43.387210758609562</v>
      </c>
      <c r="T425" s="460">
        <f>T306*'Inputs_NT INM'!AA$257</f>
        <v>43.387210758609562</v>
      </c>
      <c r="U425" s="460">
        <f>U306*'Inputs_NT INM'!AB$257</f>
        <v>43.387210758609562</v>
      </c>
      <c r="V425" s="460">
        <f>V306*'Inputs_NT INM'!AC$257</f>
        <v>43.387210758609562</v>
      </c>
      <c r="W425" s="460">
        <f>W306*'Inputs_NT INM'!AD$257</f>
        <v>43.387210758609562</v>
      </c>
      <c r="X425" s="460">
        <f>X306*'Inputs_NT INM'!AE$257</f>
        <v>43.387210758609562</v>
      </c>
      <c r="Y425" s="460">
        <f>Y306*'Inputs_NT INM'!AF$257</f>
        <v>43.387210758609562</v>
      </c>
      <c r="Z425" s="460">
        <f>Z306*'Inputs_NT INM'!AG$257</f>
        <v>43.387210758609562</v>
      </c>
      <c r="AA425" s="460">
        <f>AA306*'Inputs_NT INM'!AH$257</f>
        <v>43.387210758609562</v>
      </c>
      <c r="AB425" s="460">
        <f>AB306*'Inputs_NT INM'!AI$257</f>
        <v>43.387210758609562</v>
      </c>
      <c r="AC425" s="460">
        <f>AC306*'Inputs_NT INM'!AJ$257</f>
        <v>43.387210758609562</v>
      </c>
      <c r="AD425" s="460">
        <f>AD306*'Inputs_NT INM'!AK$257</f>
        <v>43.387210758609562</v>
      </c>
      <c r="AE425" s="460">
        <f>AE306*'Inputs_NT INM'!AL$257</f>
        <v>43.387210758609562</v>
      </c>
      <c r="AF425" s="460">
        <f>AF306*'Inputs_NT INM'!AM$257</f>
        <v>43.387210758609562</v>
      </c>
      <c r="AG425" s="460">
        <f>AG306*'Inputs_NT INM'!AN$257</f>
        <v>43.387210758609562</v>
      </c>
      <c r="AH425" s="460"/>
      <c r="AI425" s="460"/>
      <c r="AJ425" s="460"/>
    </row>
    <row r="426" spans="1:36" x14ac:dyDescent="0.25">
      <c r="A426" s="9" t="s">
        <v>837</v>
      </c>
      <c r="B426" s="9" t="s">
        <v>961</v>
      </c>
      <c r="C426" s="9" t="s">
        <v>547</v>
      </c>
      <c r="D426" s="9">
        <v>2020</v>
      </c>
      <c r="E426" s="9" t="s">
        <v>997</v>
      </c>
      <c r="F426" s="460">
        <f>F307*'Inputs_NT INM'!M$257</f>
        <v>43.387210758609562</v>
      </c>
      <c r="G426" s="460">
        <f>G307*'Inputs_NT INM'!N$257</f>
        <v>43.387210758609562</v>
      </c>
      <c r="H426" s="460">
        <f>H307*'Inputs_NT INM'!O$257</f>
        <v>43.387210758609562</v>
      </c>
      <c r="I426" s="460">
        <f>I307*'Inputs_NT INM'!P$257</f>
        <v>43.387210758609562</v>
      </c>
      <c r="J426" s="460">
        <f>J307*'Inputs_NT INM'!Q$257</f>
        <v>43.387210758609562</v>
      </c>
      <c r="K426" s="460">
        <f>K307*'Inputs_NT INM'!R$257</f>
        <v>43.387210758609562</v>
      </c>
      <c r="L426" s="460">
        <f>L307*'Inputs_NT INM'!S$257</f>
        <v>43.387210758609562</v>
      </c>
      <c r="M426" s="460">
        <f>M307*'Inputs_NT INM'!T$257</f>
        <v>43.387210758609562</v>
      </c>
      <c r="N426" s="460">
        <f>N307*'Inputs_NT INM'!U$257</f>
        <v>43.387210758609562</v>
      </c>
      <c r="O426" s="460">
        <f>O307*'Inputs_NT INM'!V$257</f>
        <v>43.387210758609562</v>
      </c>
      <c r="P426" s="460">
        <f>P307*'Inputs_NT INM'!W$257</f>
        <v>43.387210758609562</v>
      </c>
      <c r="Q426" s="460">
        <f>Q307*'Inputs_NT INM'!X$257</f>
        <v>43.387210758609562</v>
      </c>
      <c r="R426" s="460">
        <f>R307*'Inputs_NT INM'!Y$257</f>
        <v>43.387210758609562</v>
      </c>
      <c r="S426" s="460">
        <f>S307*'Inputs_NT INM'!Z$257</f>
        <v>43.387210758609562</v>
      </c>
      <c r="T426" s="460">
        <f>T307*'Inputs_NT INM'!AA$257</f>
        <v>43.387210758609562</v>
      </c>
      <c r="U426" s="460">
        <f>U307*'Inputs_NT INM'!AB$257</f>
        <v>43.387210758609562</v>
      </c>
      <c r="V426" s="460">
        <f>V307*'Inputs_NT INM'!AC$257</f>
        <v>43.387210758609562</v>
      </c>
      <c r="W426" s="460">
        <f>W307*'Inputs_NT INM'!AD$257</f>
        <v>43.387210758609562</v>
      </c>
      <c r="X426" s="460">
        <f>X307*'Inputs_NT INM'!AE$257</f>
        <v>43.387210758609562</v>
      </c>
      <c r="Y426" s="460">
        <f>Y307*'Inputs_NT INM'!AF$257</f>
        <v>43.387210758609562</v>
      </c>
      <c r="Z426" s="460">
        <f>Z307*'Inputs_NT INM'!AG$257</f>
        <v>43.387210758609562</v>
      </c>
      <c r="AA426" s="460">
        <f>AA307*'Inputs_NT INM'!AH$257</f>
        <v>43.387210758609562</v>
      </c>
      <c r="AB426" s="460">
        <f>AB307*'Inputs_NT INM'!AI$257</f>
        <v>43.387210758609562</v>
      </c>
      <c r="AC426" s="460">
        <f>AC307*'Inputs_NT INM'!AJ$257</f>
        <v>43.387210758609562</v>
      </c>
      <c r="AD426" s="460">
        <f>AD307*'Inputs_NT INM'!AK$257</f>
        <v>43.387210758609562</v>
      </c>
      <c r="AE426" s="460">
        <f>AE307*'Inputs_NT INM'!AL$257</f>
        <v>43.387210758609562</v>
      </c>
      <c r="AF426" s="460">
        <f>AF307*'Inputs_NT INM'!AM$257</f>
        <v>43.387210758609562</v>
      </c>
      <c r="AG426" s="460">
        <f>AG307*'Inputs_NT INM'!AN$257</f>
        <v>43.387210758609562</v>
      </c>
      <c r="AH426" s="460"/>
      <c r="AI426" s="460"/>
      <c r="AJ426" s="460"/>
    </row>
    <row r="427" spans="1:36" x14ac:dyDescent="0.25">
      <c r="A427" s="9" t="s">
        <v>838</v>
      </c>
      <c r="B427" s="9" t="s">
        <v>962</v>
      </c>
      <c r="C427" s="9" t="s">
        <v>547</v>
      </c>
      <c r="D427" s="9">
        <v>2020</v>
      </c>
      <c r="E427" s="9" t="s">
        <v>997</v>
      </c>
      <c r="F427" s="460">
        <f>F308*'Inputs_NT INM'!M$257</f>
        <v>43.387210758609562</v>
      </c>
      <c r="G427" s="460">
        <f>G308*'Inputs_NT INM'!N$257</f>
        <v>43.387210758609562</v>
      </c>
      <c r="H427" s="460">
        <f>H308*'Inputs_NT INM'!O$257</f>
        <v>43.387210758609562</v>
      </c>
      <c r="I427" s="460">
        <f>I308*'Inputs_NT INM'!P$257</f>
        <v>43.387210758609562</v>
      </c>
      <c r="J427" s="460">
        <f>J308*'Inputs_NT INM'!Q$257</f>
        <v>43.387210758609562</v>
      </c>
      <c r="K427" s="460">
        <f>K308*'Inputs_NT INM'!R$257</f>
        <v>43.387210758609562</v>
      </c>
      <c r="L427" s="460">
        <f>L308*'Inputs_NT INM'!S$257</f>
        <v>43.387210758609562</v>
      </c>
      <c r="M427" s="460">
        <f>M308*'Inputs_NT INM'!T$257</f>
        <v>43.387210758609562</v>
      </c>
      <c r="N427" s="460">
        <f>N308*'Inputs_NT INM'!U$257</f>
        <v>43.387210758609562</v>
      </c>
      <c r="O427" s="460">
        <f>O308*'Inputs_NT INM'!V$257</f>
        <v>43.387210758609562</v>
      </c>
      <c r="P427" s="460">
        <f>P308*'Inputs_NT INM'!W$257</f>
        <v>43.387210758609562</v>
      </c>
      <c r="Q427" s="460">
        <f>Q308*'Inputs_NT INM'!X$257</f>
        <v>43.387210758609562</v>
      </c>
      <c r="R427" s="460">
        <f>R308*'Inputs_NT INM'!Y$257</f>
        <v>43.387210758609562</v>
      </c>
      <c r="S427" s="460">
        <f>S308*'Inputs_NT INM'!Z$257</f>
        <v>43.387210758609562</v>
      </c>
      <c r="T427" s="460">
        <f>T308*'Inputs_NT INM'!AA$257</f>
        <v>43.387210758609562</v>
      </c>
      <c r="U427" s="460">
        <f>U308*'Inputs_NT INM'!AB$257</f>
        <v>43.387210758609562</v>
      </c>
      <c r="V427" s="460">
        <f>V308*'Inputs_NT INM'!AC$257</f>
        <v>43.387210758609562</v>
      </c>
      <c r="W427" s="460">
        <f>W308*'Inputs_NT INM'!AD$257</f>
        <v>43.387210758609562</v>
      </c>
      <c r="X427" s="460">
        <f>X308*'Inputs_NT INM'!AE$257</f>
        <v>43.387210758609562</v>
      </c>
      <c r="Y427" s="460">
        <f>Y308*'Inputs_NT INM'!AF$257</f>
        <v>43.387210758609562</v>
      </c>
      <c r="Z427" s="460">
        <f>Z308*'Inputs_NT INM'!AG$257</f>
        <v>43.387210758609562</v>
      </c>
      <c r="AA427" s="460">
        <f>AA308*'Inputs_NT INM'!AH$257</f>
        <v>43.387210758609562</v>
      </c>
      <c r="AB427" s="460">
        <f>AB308*'Inputs_NT INM'!AI$257</f>
        <v>43.387210758609562</v>
      </c>
      <c r="AC427" s="460">
        <f>AC308*'Inputs_NT INM'!AJ$257</f>
        <v>43.387210758609562</v>
      </c>
      <c r="AD427" s="460">
        <f>AD308*'Inputs_NT INM'!AK$257</f>
        <v>43.387210758609562</v>
      </c>
      <c r="AE427" s="460">
        <f>AE308*'Inputs_NT INM'!AL$257</f>
        <v>43.387210758609562</v>
      </c>
      <c r="AF427" s="460">
        <f>AF308*'Inputs_NT INM'!AM$257</f>
        <v>43.387210758609562</v>
      </c>
      <c r="AG427" s="460">
        <f>AG308*'Inputs_NT INM'!AN$257</f>
        <v>43.387210758609562</v>
      </c>
      <c r="AH427" s="460"/>
      <c r="AI427" s="460"/>
      <c r="AJ427" s="460"/>
    </row>
    <row r="428" spans="1:36" x14ac:dyDescent="0.25">
      <c r="A428" s="9" t="s">
        <v>839</v>
      </c>
      <c r="B428" s="9" t="s">
        <v>963</v>
      </c>
      <c r="C428" s="9" t="s">
        <v>547</v>
      </c>
      <c r="D428" s="9">
        <v>2025</v>
      </c>
      <c r="E428" s="9" t="s">
        <v>997</v>
      </c>
      <c r="F428" s="460">
        <f>F309*'Inputs_NT INM'!M$257</f>
        <v>43.387210758609562</v>
      </c>
      <c r="G428" s="460">
        <f>G309*'Inputs_NT INM'!N$257</f>
        <v>43.387210758609562</v>
      </c>
      <c r="H428" s="460">
        <f>H309*'Inputs_NT INM'!O$257</f>
        <v>43.387210758609562</v>
      </c>
      <c r="I428" s="460">
        <f>I309*'Inputs_NT INM'!P$257</f>
        <v>43.387210758609562</v>
      </c>
      <c r="J428" s="460">
        <f>J309*'Inputs_NT INM'!Q$257</f>
        <v>43.387210758609562</v>
      </c>
      <c r="K428" s="460">
        <f>K309*'Inputs_NT INM'!R$257</f>
        <v>43.387210758609562</v>
      </c>
      <c r="L428" s="460">
        <f>L309*'Inputs_NT INM'!S$257</f>
        <v>43.387210758609562</v>
      </c>
      <c r="M428" s="460">
        <f>M309*'Inputs_NT INM'!T$257</f>
        <v>43.387210758609562</v>
      </c>
      <c r="N428" s="460">
        <f>N309*'Inputs_NT INM'!U$257</f>
        <v>43.387210758609562</v>
      </c>
      <c r="O428" s="460">
        <f>O309*'Inputs_NT INM'!V$257</f>
        <v>43.387210758609562</v>
      </c>
      <c r="P428" s="460">
        <f>P309*'Inputs_NT INM'!W$257</f>
        <v>43.387210758609562</v>
      </c>
      <c r="Q428" s="460">
        <f>Q309*'Inputs_NT INM'!X$257</f>
        <v>43.387210758609562</v>
      </c>
      <c r="R428" s="460">
        <f>R309*'Inputs_NT INM'!Y$257</f>
        <v>43.387210758609562</v>
      </c>
      <c r="S428" s="460">
        <f>S309*'Inputs_NT INM'!Z$257</f>
        <v>43.387210758609562</v>
      </c>
      <c r="T428" s="460">
        <f>T309*'Inputs_NT INM'!AA$257</f>
        <v>43.387210758609562</v>
      </c>
      <c r="U428" s="460">
        <f>U309*'Inputs_NT INM'!AB$257</f>
        <v>43.387210758609562</v>
      </c>
      <c r="V428" s="460">
        <f>V309*'Inputs_NT INM'!AC$257</f>
        <v>43.387210758609562</v>
      </c>
      <c r="W428" s="460">
        <f>W309*'Inputs_NT INM'!AD$257</f>
        <v>43.387210758609562</v>
      </c>
      <c r="X428" s="460">
        <f>X309*'Inputs_NT INM'!AE$257</f>
        <v>43.387210758609562</v>
      </c>
      <c r="Y428" s="460">
        <f>Y309*'Inputs_NT INM'!AF$257</f>
        <v>43.387210758609562</v>
      </c>
      <c r="Z428" s="460">
        <f>Z309*'Inputs_NT INM'!AG$257</f>
        <v>43.387210758609562</v>
      </c>
      <c r="AA428" s="460">
        <f>AA309*'Inputs_NT INM'!AH$257</f>
        <v>43.387210758609562</v>
      </c>
      <c r="AB428" s="460">
        <f>AB309*'Inputs_NT INM'!AI$257</f>
        <v>43.387210758609562</v>
      </c>
      <c r="AC428" s="460">
        <f>AC309*'Inputs_NT INM'!AJ$257</f>
        <v>43.387210758609562</v>
      </c>
      <c r="AD428" s="460">
        <f>AD309*'Inputs_NT INM'!AK$257</f>
        <v>43.387210758609562</v>
      </c>
      <c r="AE428" s="460">
        <f>AE309*'Inputs_NT INM'!AL$257</f>
        <v>43.387210758609562</v>
      </c>
      <c r="AF428" s="460">
        <f>AF309*'Inputs_NT INM'!AM$257</f>
        <v>43.387210758609562</v>
      </c>
      <c r="AG428" s="460">
        <f>AG309*'Inputs_NT INM'!AN$257</f>
        <v>43.387210758609562</v>
      </c>
      <c r="AH428" s="460"/>
      <c r="AI428" s="460"/>
      <c r="AJ428" s="460"/>
    </row>
    <row r="429" spans="1:36" x14ac:dyDescent="0.25">
      <c r="A429" s="9" t="s">
        <v>840</v>
      </c>
      <c r="B429" s="9" t="s">
        <v>964</v>
      </c>
      <c r="C429" s="9" t="s">
        <v>547</v>
      </c>
      <c r="D429" s="9">
        <v>2025</v>
      </c>
      <c r="E429" s="9" t="s">
        <v>997</v>
      </c>
      <c r="F429" s="460">
        <f>F310*'Inputs_NT INM'!M$257</f>
        <v>43.387210758609562</v>
      </c>
      <c r="G429" s="460">
        <f>G310*'Inputs_NT INM'!N$257</f>
        <v>43.387210758609562</v>
      </c>
      <c r="H429" s="460">
        <f>H310*'Inputs_NT INM'!O$257</f>
        <v>43.387210758609562</v>
      </c>
      <c r="I429" s="460">
        <f>I310*'Inputs_NT INM'!P$257</f>
        <v>43.387210758609562</v>
      </c>
      <c r="J429" s="460">
        <f>J310*'Inputs_NT INM'!Q$257</f>
        <v>43.387210758609562</v>
      </c>
      <c r="K429" s="460">
        <f>K310*'Inputs_NT INM'!R$257</f>
        <v>43.387210758609562</v>
      </c>
      <c r="L429" s="460">
        <f>L310*'Inputs_NT INM'!S$257</f>
        <v>43.387210758609562</v>
      </c>
      <c r="M429" s="460">
        <f>M310*'Inputs_NT INM'!T$257</f>
        <v>43.387210758609562</v>
      </c>
      <c r="N429" s="460">
        <f>N310*'Inputs_NT INM'!U$257</f>
        <v>43.387210758609562</v>
      </c>
      <c r="O429" s="460">
        <f>O310*'Inputs_NT INM'!V$257</f>
        <v>43.387210758609562</v>
      </c>
      <c r="P429" s="460">
        <f>P310*'Inputs_NT INM'!W$257</f>
        <v>43.387210758609562</v>
      </c>
      <c r="Q429" s="460">
        <f>Q310*'Inputs_NT INM'!X$257</f>
        <v>43.387210758609562</v>
      </c>
      <c r="R429" s="460">
        <f>R310*'Inputs_NT INM'!Y$257</f>
        <v>43.387210758609562</v>
      </c>
      <c r="S429" s="460">
        <f>S310*'Inputs_NT INM'!Z$257</f>
        <v>43.387210758609562</v>
      </c>
      <c r="T429" s="460">
        <f>T310*'Inputs_NT INM'!AA$257</f>
        <v>43.387210758609562</v>
      </c>
      <c r="U429" s="460">
        <f>U310*'Inputs_NT INM'!AB$257</f>
        <v>43.387210758609562</v>
      </c>
      <c r="V429" s="460">
        <f>V310*'Inputs_NT INM'!AC$257</f>
        <v>43.387210758609562</v>
      </c>
      <c r="W429" s="460">
        <f>W310*'Inputs_NT INM'!AD$257</f>
        <v>43.387210758609562</v>
      </c>
      <c r="X429" s="460">
        <f>X310*'Inputs_NT INM'!AE$257</f>
        <v>43.387210758609562</v>
      </c>
      <c r="Y429" s="460">
        <f>Y310*'Inputs_NT INM'!AF$257</f>
        <v>43.387210758609562</v>
      </c>
      <c r="Z429" s="460">
        <f>Z310*'Inputs_NT INM'!AG$257</f>
        <v>43.387210758609562</v>
      </c>
      <c r="AA429" s="460">
        <f>AA310*'Inputs_NT INM'!AH$257</f>
        <v>43.387210758609562</v>
      </c>
      <c r="AB429" s="460">
        <f>AB310*'Inputs_NT INM'!AI$257</f>
        <v>43.387210758609562</v>
      </c>
      <c r="AC429" s="460">
        <f>AC310*'Inputs_NT INM'!AJ$257</f>
        <v>43.387210758609562</v>
      </c>
      <c r="AD429" s="460">
        <f>AD310*'Inputs_NT INM'!AK$257</f>
        <v>43.387210758609562</v>
      </c>
      <c r="AE429" s="460">
        <f>AE310*'Inputs_NT INM'!AL$257</f>
        <v>43.387210758609562</v>
      </c>
      <c r="AF429" s="460">
        <f>AF310*'Inputs_NT INM'!AM$257</f>
        <v>43.387210758609562</v>
      </c>
      <c r="AG429" s="460">
        <f>AG310*'Inputs_NT INM'!AN$257</f>
        <v>43.387210758609562</v>
      </c>
      <c r="AH429" s="460"/>
      <c r="AI429" s="460"/>
      <c r="AJ429" s="460"/>
    </row>
    <row r="430" spans="1:36" x14ac:dyDescent="0.25">
      <c r="A430" s="9" t="s">
        <v>841</v>
      </c>
      <c r="B430" s="9" t="s">
        <v>965</v>
      </c>
      <c r="C430" s="9" t="s">
        <v>547</v>
      </c>
      <c r="D430" s="9">
        <v>2025</v>
      </c>
      <c r="E430" s="9" t="s">
        <v>997</v>
      </c>
      <c r="F430" s="460">
        <f>F311*'Inputs_NT INM'!M$257</f>
        <v>43.387210758609562</v>
      </c>
      <c r="G430" s="460">
        <f>G311*'Inputs_NT INM'!N$257</f>
        <v>43.387210758609562</v>
      </c>
      <c r="H430" s="460">
        <f>H311*'Inputs_NT INM'!O$257</f>
        <v>43.387210758609562</v>
      </c>
      <c r="I430" s="460">
        <f>I311*'Inputs_NT INM'!P$257</f>
        <v>43.387210758609562</v>
      </c>
      <c r="J430" s="460">
        <f>J311*'Inputs_NT INM'!Q$257</f>
        <v>43.387210758609562</v>
      </c>
      <c r="K430" s="460">
        <f>K311*'Inputs_NT INM'!R$257</f>
        <v>43.387210758609562</v>
      </c>
      <c r="L430" s="460">
        <f>L311*'Inputs_NT INM'!S$257</f>
        <v>43.387210758609562</v>
      </c>
      <c r="M430" s="460">
        <f>M311*'Inputs_NT INM'!T$257</f>
        <v>43.387210758609562</v>
      </c>
      <c r="N430" s="460">
        <f>N311*'Inputs_NT INM'!U$257</f>
        <v>43.387210758609562</v>
      </c>
      <c r="O430" s="460">
        <f>O311*'Inputs_NT INM'!V$257</f>
        <v>43.387210758609562</v>
      </c>
      <c r="P430" s="460">
        <f>P311*'Inputs_NT INM'!W$257</f>
        <v>43.387210758609562</v>
      </c>
      <c r="Q430" s="460">
        <f>Q311*'Inputs_NT INM'!X$257</f>
        <v>43.387210758609562</v>
      </c>
      <c r="R430" s="460">
        <f>R311*'Inputs_NT INM'!Y$257</f>
        <v>43.387210758609562</v>
      </c>
      <c r="S430" s="460">
        <f>S311*'Inputs_NT INM'!Z$257</f>
        <v>43.387210758609562</v>
      </c>
      <c r="T430" s="460">
        <f>T311*'Inputs_NT INM'!AA$257</f>
        <v>43.387210758609562</v>
      </c>
      <c r="U430" s="460">
        <f>U311*'Inputs_NT INM'!AB$257</f>
        <v>43.387210758609562</v>
      </c>
      <c r="V430" s="460">
        <f>V311*'Inputs_NT INM'!AC$257</f>
        <v>43.387210758609562</v>
      </c>
      <c r="W430" s="460">
        <f>W311*'Inputs_NT INM'!AD$257</f>
        <v>43.387210758609562</v>
      </c>
      <c r="X430" s="460">
        <f>X311*'Inputs_NT INM'!AE$257</f>
        <v>43.387210758609562</v>
      </c>
      <c r="Y430" s="460">
        <f>Y311*'Inputs_NT INM'!AF$257</f>
        <v>43.387210758609562</v>
      </c>
      <c r="Z430" s="460">
        <f>Z311*'Inputs_NT INM'!AG$257</f>
        <v>43.387210758609562</v>
      </c>
      <c r="AA430" s="460">
        <f>AA311*'Inputs_NT INM'!AH$257</f>
        <v>43.387210758609562</v>
      </c>
      <c r="AB430" s="460">
        <f>AB311*'Inputs_NT INM'!AI$257</f>
        <v>43.387210758609562</v>
      </c>
      <c r="AC430" s="460">
        <f>AC311*'Inputs_NT INM'!AJ$257</f>
        <v>43.387210758609562</v>
      </c>
      <c r="AD430" s="460">
        <f>AD311*'Inputs_NT INM'!AK$257</f>
        <v>43.387210758609562</v>
      </c>
      <c r="AE430" s="460">
        <f>AE311*'Inputs_NT INM'!AL$257</f>
        <v>43.387210758609562</v>
      </c>
      <c r="AF430" s="460">
        <f>AF311*'Inputs_NT INM'!AM$257</f>
        <v>43.387210758609562</v>
      </c>
      <c r="AG430" s="460">
        <f>AG311*'Inputs_NT INM'!AN$257</f>
        <v>43.387210758609562</v>
      </c>
      <c r="AH430" s="460"/>
      <c r="AI430" s="460"/>
      <c r="AJ430" s="460"/>
    </row>
    <row r="431" spans="1:36" x14ac:dyDescent="0.25">
      <c r="A431" s="9" t="s">
        <v>842</v>
      </c>
      <c r="B431" s="9" t="s">
        <v>966</v>
      </c>
      <c r="C431" s="9" t="s">
        <v>547</v>
      </c>
      <c r="D431" s="9">
        <v>2025</v>
      </c>
      <c r="E431" s="9" t="s">
        <v>997</v>
      </c>
      <c r="F431" s="460">
        <f>F312*'Inputs_NT INM'!M$257</f>
        <v>43.387210758609562</v>
      </c>
      <c r="G431" s="460">
        <f>G312*'Inputs_NT INM'!N$257</f>
        <v>43.387210758609562</v>
      </c>
      <c r="H431" s="460">
        <f>H312*'Inputs_NT INM'!O$257</f>
        <v>43.387210758609562</v>
      </c>
      <c r="I431" s="460">
        <f>I312*'Inputs_NT INM'!P$257</f>
        <v>43.387210758609562</v>
      </c>
      <c r="J431" s="460">
        <f>J312*'Inputs_NT INM'!Q$257</f>
        <v>43.387210758609562</v>
      </c>
      <c r="K431" s="460">
        <f>K312*'Inputs_NT INM'!R$257</f>
        <v>43.387210758609562</v>
      </c>
      <c r="L431" s="460">
        <f>L312*'Inputs_NT INM'!S$257</f>
        <v>43.387210758609562</v>
      </c>
      <c r="M431" s="460">
        <f>M312*'Inputs_NT INM'!T$257</f>
        <v>43.387210758609562</v>
      </c>
      <c r="N431" s="460">
        <f>N312*'Inputs_NT INM'!U$257</f>
        <v>43.387210758609562</v>
      </c>
      <c r="O431" s="460">
        <f>O312*'Inputs_NT INM'!V$257</f>
        <v>43.387210758609562</v>
      </c>
      <c r="P431" s="460">
        <f>P312*'Inputs_NT INM'!W$257</f>
        <v>43.387210758609562</v>
      </c>
      <c r="Q431" s="460">
        <f>Q312*'Inputs_NT INM'!X$257</f>
        <v>43.387210758609562</v>
      </c>
      <c r="R431" s="460">
        <f>R312*'Inputs_NT INM'!Y$257</f>
        <v>43.387210758609562</v>
      </c>
      <c r="S431" s="460">
        <f>S312*'Inputs_NT INM'!Z$257</f>
        <v>43.387210758609562</v>
      </c>
      <c r="T431" s="460">
        <f>T312*'Inputs_NT INM'!AA$257</f>
        <v>43.387210758609562</v>
      </c>
      <c r="U431" s="460">
        <f>U312*'Inputs_NT INM'!AB$257</f>
        <v>43.387210758609562</v>
      </c>
      <c r="V431" s="460">
        <f>V312*'Inputs_NT INM'!AC$257</f>
        <v>43.387210758609562</v>
      </c>
      <c r="W431" s="460">
        <f>W312*'Inputs_NT INM'!AD$257</f>
        <v>43.387210758609562</v>
      </c>
      <c r="X431" s="460">
        <f>X312*'Inputs_NT INM'!AE$257</f>
        <v>43.387210758609562</v>
      </c>
      <c r="Y431" s="460">
        <f>Y312*'Inputs_NT INM'!AF$257</f>
        <v>43.387210758609562</v>
      </c>
      <c r="Z431" s="460">
        <f>Z312*'Inputs_NT INM'!AG$257</f>
        <v>43.387210758609562</v>
      </c>
      <c r="AA431" s="460">
        <f>AA312*'Inputs_NT INM'!AH$257</f>
        <v>43.387210758609562</v>
      </c>
      <c r="AB431" s="460">
        <f>AB312*'Inputs_NT INM'!AI$257</f>
        <v>43.387210758609562</v>
      </c>
      <c r="AC431" s="460">
        <f>AC312*'Inputs_NT INM'!AJ$257</f>
        <v>43.387210758609562</v>
      </c>
      <c r="AD431" s="460">
        <f>AD312*'Inputs_NT INM'!AK$257</f>
        <v>43.387210758609562</v>
      </c>
      <c r="AE431" s="460">
        <f>AE312*'Inputs_NT INM'!AL$257</f>
        <v>43.387210758609562</v>
      </c>
      <c r="AF431" s="460">
        <f>AF312*'Inputs_NT INM'!AM$257</f>
        <v>43.387210758609562</v>
      </c>
      <c r="AG431" s="460">
        <f>AG312*'Inputs_NT INM'!AN$257</f>
        <v>43.387210758609562</v>
      </c>
      <c r="AH431" s="460"/>
      <c r="AI431" s="460"/>
      <c r="AJ431" s="460"/>
    </row>
    <row r="432" spans="1:36" x14ac:dyDescent="0.25">
      <c r="A432" s="9" t="s">
        <v>843</v>
      </c>
      <c r="B432" s="9" t="s">
        <v>967</v>
      </c>
      <c r="C432" s="9" t="s">
        <v>547</v>
      </c>
      <c r="D432" s="9">
        <v>2025</v>
      </c>
      <c r="E432" s="9" t="s">
        <v>997</v>
      </c>
      <c r="F432" s="460">
        <f>F313*'Inputs_NT INM'!M$257</f>
        <v>43.387210758609562</v>
      </c>
      <c r="G432" s="460">
        <f>G313*'Inputs_NT INM'!N$257</f>
        <v>43.387210758609562</v>
      </c>
      <c r="H432" s="460">
        <f>H313*'Inputs_NT INM'!O$257</f>
        <v>43.387210758609562</v>
      </c>
      <c r="I432" s="460">
        <f>I313*'Inputs_NT INM'!P$257</f>
        <v>43.387210758609562</v>
      </c>
      <c r="J432" s="460">
        <f>J313*'Inputs_NT INM'!Q$257</f>
        <v>43.387210758609562</v>
      </c>
      <c r="K432" s="460">
        <f>K313*'Inputs_NT INM'!R$257</f>
        <v>43.387210758609562</v>
      </c>
      <c r="L432" s="460">
        <f>L313*'Inputs_NT INM'!S$257</f>
        <v>43.387210758609562</v>
      </c>
      <c r="M432" s="460">
        <f>M313*'Inputs_NT INM'!T$257</f>
        <v>43.387210758609562</v>
      </c>
      <c r="N432" s="460">
        <f>N313*'Inputs_NT INM'!U$257</f>
        <v>43.387210758609562</v>
      </c>
      <c r="O432" s="460">
        <f>O313*'Inputs_NT INM'!V$257</f>
        <v>43.387210758609562</v>
      </c>
      <c r="P432" s="460">
        <f>P313*'Inputs_NT INM'!W$257</f>
        <v>43.387210758609562</v>
      </c>
      <c r="Q432" s="460">
        <f>Q313*'Inputs_NT INM'!X$257</f>
        <v>43.387210758609562</v>
      </c>
      <c r="R432" s="460">
        <f>R313*'Inputs_NT INM'!Y$257</f>
        <v>43.387210758609562</v>
      </c>
      <c r="S432" s="460">
        <f>S313*'Inputs_NT INM'!Z$257</f>
        <v>43.387210758609562</v>
      </c>
      <c r="T432" s="460">
        <f>T313*'Inputs_NT INM'!AA$257</f>
        <v>43.387210758609562</v>
      </c>
      <c r="U432" s="460">
        <f>U313*'Inputs_NT INM'!AB$257</f>
        <v>43.387210758609562</v>
      </c>
      <c r="V432" s="460">
        <f>V313*'Inputs_NT INM'!AC$257</f>
        <v>43.387210758609562</v>
      </c>
      <c r="W432" s="460">
        <f>W313*'Inputs_NT INM'!AD$257</f>
        <v>43.387210758609562</v>
      </c>
      <c r="X432" s="460">
        <f>X313*'Inputs_NT INM'!AE$257</f>
        <v>43.387210758609562</v>
      </c>
      <c r="Y432" s="460">
        <f>Y313*'Inputs_NT INM'!AF$257</f>
        <v>43.387210758609562</v>
      </c>
      <c r="Z432" s="460">
        <f>Z313*'Inputs_NT INM'!AG$257</f>
        <v>43.387210758609562</v>
      </c>
      <c r="AA432" s="460">
        <f>AA313*'Inputs_NT INM'!AH$257</f>
        <v>43.387210758609562</v>
      </c>
      <c r="AB432" s="460">
        <f>AB313*'Inputs_NT INM'!AI$257</f>
        <v>43.387210758609562</v>
      </c>
      <c r="AC432" s="460">
        <f>AC313*'Inputs_NT INM'!AJ$257</f>
        <v>43.387210758609562</v>
      </c>
      <c r="AD432" s="460">
        <f>AD313*'Inputs_NT INM'!AK$257</f>
        <v>43.387210758609562</v>
      </c>
      <c r="AE432" s="460">
        <f>AE313*'Inputs_NT INM'!AL$257</f>
        <v>43.387210758609562</v>
      </c>
      <c r="AF432" s="460">
        <f>AF313*'Inputs_NT INM'!AM$257</f>
        <v>43.387210758609562</v>
      </c>
      <c r="AG432" s="460">
        <f>AG313*'Inputs_NT INM'!AN$257</f>
        <v>43.387210758609562</v>
      </c>
      <c r="AH432" s="460"/>
      <c r="AI432" s="460"/>
      <c r="AJ432" s="460"/>
    </row>
    <row r="433" spans="1:36" x14ac:dyDescent="0.25">
      <c r="A433" s="9" t="s">
        <v>844</v>
      </c>
      <c r="B433" s="9" t="s">
        <v>968</v>
      </c>
      <c r="C433" s="9" t="s">
        <v>547</v>
      </c>
      <c r="D433" s="9">
        <v>2025</v>
      </c>
      <c r="E433" s="9" t="s">
        <v>997</v>
      </c>
      <c r="F433" s="460">
        <f>F314*'Inputs_NT INM'!M$257</f>
        <v>43.387210758609562</v>
      </c>
      <c r="G433" s="460">
        <f>G314*'Inputs_NT INM'!N$257</f>
        <v>43.387210758609562</v>
      </c>
      <c r="H433" s="460">
        <f>H314*'Inputs_NT INM'!O$257</f>
        <v>43.387210758609562</v>
      </c>
      <c r="I433" s="460">
        <f>I314*'Inputs_NT INM'!P$257</f>
        <v>43.387210758609562</v>
      </c>
      <c r="J433" s="460">
        <f>J314*'Inputs_NT INM'!Q$257</f>
        <v>43.387210758609562</v>
      </c>
      <c r="K433" s="460">
        <f>K314*'Inputs_NT INM'!R$257</f>
        <v>43.387210758609562</v>
      </c>
      <c r="L433" s="460">
        <f>L314*'Inputs_NT INM'!S$257</f>
        <v>43.387210758609562</v>
      </c>
      <c r="M433" s="460">
        <f>M314*'Inputs_NT INM'!T$257</f>
        <v>43.387210758609562</v>
      </c>
      <c r="N433" s="460">
        <f>N314*'Inputs_NT INM'!U$257</f>
        <v>43.387210758609562</v>
      </c>
      <c r="O433" s="460">
        <f>O314*'Inputs_NT INM'!V$257</f>
        <v>43.387210758609562</v>
      </c>
      <c r="P433" s="460">
        <f>P314*'Inputs_NT INM'!W$257</f>
        <v>43.387210758609562</v>
      </c>
      <c r="Q433" s="460">
        <f>Q314*'Inputs_NT INM'!X$257</f>
        <v>43.387210758609562</v>
      </c>
      <c r="R433" s="460">
        <f>R314*'Inputs_NT INM'!Y$257</f>
        <v>43.387210758609562</v>
      </c>
      <c r="S433" s="460">
        <f>S314*'Inputs_NT INM'!Z$257</f>
        <v>43.387210758609562</v>
      </c>
      <c r="T433" s="460">
        <f>T314*'Inputs_NT INM'!AA$257</f>
        <v>43.387210758609562</v>
      </c>
      <c r="U433" s="460">
        <f>U314*'Inputs_NT INM'!AB$257</f>
        <v>43.387210758609562</v>
      </c>
      <c r="V433" s="460">
        <f>V314*'Inputs_NT INM'!AC$257</f>
        <v>43.387210758609562</v>
      </c>
      <c r="W433" s="460">
        <f>W314*'Inputs_NT INM'!AD$257</f>
        <v>43.387210758609562</v>
      </c>
      <c r="X433" s="460">
        <f>X314*'Inputs_NT INM'!AE$257</f>
        <v>43.387210758609562</v>
      </c>
      <c r="Y433" s="460">
        <f>Y314*'Inputs_NT INM'!AF$257</f>
        <v>43.387210758609562</v>
      </c>
      <c r="Z433" s="460">
        <f>Z314*'Inputs_NT INM'!AG$257</f>
        <v>43.387210758609562</v>
      </c>
      <c r="AA433" s="460">
        <f>AA314*'Inputs_NT INM'!AH$257</f>
        <v>43.387210758609562</v>
      </c>
      <c r="AB433" s="460">
        <f>AB314*'Inputs_NT INM'!AI$257</f>
        <v>43.387210758609562</v>
      </c>
      <c r="AC433" s="460">
        <f>AC314*'Inputs_NT INM'!AJ$257</f>
        <v>43.387210758609562</v>
      </c>
      <c r="AD433" s="460">
        <f>AD314*'Inputs_NT INM'!AK$257</f>
        <v>43.387210758609562</v>
      </c>
      <c r="AE433" s="460">
        <f>AE314*'Inputs_NT INM'!AL$257</f>
        <v>43.387210758609562</v>
      </c>
      <c r="AF433" s="460">
        <f>AF314*'Inputs_NT INM'!AM$257</f>
        <v>43.387210758609562</v>
      </c>
      <c r="AG433" s="460">
        <f>AG314*'Inputs_NT INM'!AN$257</f>
        <v>43.387210758609562</v>
      </c>
      <c r="AH433" s="460"/>
      <c r="AI433" s="460"/>
      <c r="AJ433" s="460"/>
    </row>
    <row r="434" spans="1:36" x14ac:dyDescent="0.25">
      <c r="A434" s="9" t="s">
        <v>839</v>
      </c>
      <c r="B434" s="9" t="s">
        <v>963</v>
      </c>
      <c r="C434" s="9" t="s">
        <v>547</v>
      </c>
      <c r="D434" s="9">
        <v>2030</v>
      </c>
      <c r="E434" s="9" t="s">
        <v>997</v>
      </c>
      <c r="F434" s="460">
        <f>F315*'Inputs_NT INM'!M$257</f>
        <v>39.091876893507219</v>
      </c>
      <c r="G434" s="460">
        <f>G315*'Inputs_NT INM'!N$257</f>
        <v>39.091876893507219</v>
      </c>
      <c r="H434" s="460">
        <f>H315*'Inputs_NT INM'!O$257</f>
        <v>39.091876893507219</v>
      </c>
      <c r="I434" s="460">
        <f>I315*'Inputs_NT INM'!P$257</f>
        <v>39.091876893507219</v>
      </c>
      <c r="J434" s="460">
        <f>J315*'Inputs_NT INM'!Q$257</f>
        <v>39.091876893507219</v>
      </c>
      <c r="K434" s="460">
        <f>K315*'Inputs_NT INM'!R$257</f>
        <v>39.091876893507219</v>
      </c>
      <c r="L434" s="460">
        <f>L315*'Inputs_NT INM'!S$257</f>
        <v>39.091876893507219</v>
      </c>
      <c r="M434" s="460">
        <f>M315*'Inputs_NT INM'!T$257</f>
        <v>39.091876893507219</v>
      </c>
      <c r="N434" s="460">
        <f>N315*'Inputs_NT INM'!U$257</f>
        <v>39.091876893507219</v>
      </c>
      <c r="O434" s="460">
        <f>O315*'Inputs_NT INM'!V$257</f>
        <v>39.091876893507219</v>
      </c>
      <c r="P434" s="460">
        <f>P315*'Inputs_NT INM'!W$257</f>
        <v>39.091876893507219</v>
      </c>
      <c r="Q434" s="460">
        <f>Q315*'Inputs_NT INM'!X$257</f>
        <v>39.091876893507219</v>
      </c>
      <c r="R434" s="460">
        <f>R315*'Inputs_NT INM'!Y$257</f>
        <v>39.091876893507219</v>
      </c>
      <c r="S434" s="460">
        <f>S315*'Inputs_NT INM'!Z$257</f>
        <v>39.091876893507219</v>
      </c>
      <c r="T434" s="460">
        <f>T315*'Inputs_NT INM'!AA$257</f>
        <v>39.091876893507219</v>
      </c>
      <c r="U434" s="460">
        <f>U315*'Inputs_NT INM'!AB$257</f>
        <v>39.091876893507219</v>
      </c>
      <c r="V434" s="460">
        <f>V315*'Inputs_NT INM'!AC$257</f>
        <v>39.091876893507219</v>
      </c>
      <c r="W434" s="460">
        <f>W315*'Inputs_NT INM'!AD$257</f>
        <v>39.091876893507219</v>
      </c>
      <c r="X434" s="460">
        <f>X315*'Inputs_NT INM'!AE$257</f>
        <v>39.091876893507219</v>
      </c>
      <c r="Y434" s="460">
        <f>Y315*'Inputs_NT INM'!AF$257</f>
        <v>39.091876893507219</v>
      </c>
      <c r="Z434" s="460">
        <f>Z315*'Inputs_NT INM'!AG$257</f>
        <v>39.091876893507219</v>
      </c>
      <c r="AA434" s="460">
        <f>AA315*'Inputs_NT INM'!AH$257</f>
        <v>39.091876893507219</v>
      </c>
      <c r="AB434" s="460">
        <f>AB315*'Inputs_NT INM'!AI$257</f>
        <v>39.091876893507219</v>
      </c>
      <c r="AC434" s="460">
        <f>AC315*'Inputs_NT INM'!AJ$257</f>
        <v>39.091876893507219</v>
      </c>
      <c r="AD434" s="460">
        <f>AD315*'Inputs_NT INM'!AK$257</f>
        <v>39.091876893507219</v>
      </c>
      <c r="AE434" s="460">
        <f>AE315*'Inputs_NT INM'!AL$257</f>
        <v>39.091876893507219</v>
      </c>
      <c r="AF434" s="460">
        <f>AF315*'Inputs_NT INM'!AM$257</f>
        <v>39.091876893507219</v>
      </c>
      <c r="AG434" s="460">
        <f>AG315*'Inputs_NT INM'!AN$257</f>
        <v>39.091876893507219</v>
      </c>
      <c r="AH434" s="460"/>
      <c r="AI434" s="460"/>
      <c r="AJ434" s="460"/>
    </row>
    <row r="435" spans="1:36" x14ac:dyDescent="0.25">
      <c r="A435" s="9" t="s">
        <v>840</v>
      </c>
      <c r="B435" s="9" t="s">
        <v>964</v>
      </c>
      <c r="C435" s="9" t="s">
        <v>547</v>
      </c>
      <c r="D435" s="9">
        <v>2030</v>
      </c>
      <c r="E435" s="9" t="s">
        <v>997</v>
      </c>
      <c r="F435" s="460">
        <f>F316*'Inputs_NT INM'!M$257</f>
        <v>39.091876893507219</v>
      </c>
      <c r="G435" s="460">
        <f>G316*'Inputs_NT INM'!N$257</f>
        <v>39.091876893507219</v>
      </c>
      <c r="H435" s="460">
        <f>H316*'Inputs_NT INM'!O$257</f>
        <v>39.091876893507219</v>
      </c>
      <c r="I435" s="460">
        <f>I316*'Inputs_NT INM'!P$257</f>
        <v>39.091876893507219</v>
      </c>
      <c r="J435" s="460">
        <f>J316*'Inputs_NT INM'!Q$257</f>
        <v>39.091876893507219</v>
      </c>
      <c r="K435" s="460">
        <f>K316*'Inputs_NT INM'!R$257</f>
        <v>39.091876893507219</v>
      </c>
      <c r="L435" s="460">
        <f>L316*'Inputs_NT INM'!S$257</f>
        <v>39.091876893507219</v>
      </c>
      <c r="M435" s="460">
        <f>M316*'Inputs_NT INM'!T$257</f>
        <v>39.091876893507219</v>
      </c>
      <c r="N435" s="460">
        <f>N316*'Inputs_NT INM'!U$257</f>
        <v>39.091876893507219</v>
      </c>
      <c r="O435" s="460">
        <f>O316*'Inputs_NT INM'!V$257</f>
        <v>39.091876893507219</v>
      </c>
      <c r="P435" s="460">
        <f>P316*'Inputs_NT INM'!W$257</f>
        <v>39.091876893507219</v>
      </c>
      <c r="Q435" s="460">
        <f>Q316*'Inputs_NT INM'!X$257</f>
        <v>39.091876893507219</v>
      </c>
      <c r="R435" s="460">
        <f>R316*'Inputs_NT INM'!Y$257</f>
        <v>39.091876893507219</v>
      </c>
      <c r="S435" s="460">
        <f>S316*'Inputs_NT INM'!Z$257</f>
        <v>39.091876893507219</v>
      </c>
      <c r="T435" s="460">
        <f>T316*'Inputs_NT INM'!AA$257</f>
        <v>39.091876893507219</v>
      </c>
      <c r="U435" s="460">
        <f>U316*'Inputs_NT INM'!AB$257</f>
        <v>39.091876893507219</v>
      </c>
      <c r="V435" s="460">
        <f>V316*'Inputs_NT INM'!AC$257</f>
        <v>39.091876893507219</v>
      </c>
      <c r="W435" s="460">
        <f>W316*'Inputs_NT INM'!AD$257</f>
        <v>39.091876893507219</v>
      </c>
      <c r="X435" s="460">
        <f>X316*'Inputs_NT INM'!AE$257</f>
        <v>39.091876893507219</v>
      </c>
      <c r="Y435" s="460">
        <f>Y316*'Inputs_NT INM'!AF$257</f>
        <v>39.091876893507219</v>
      </c>
      <c r="Z435" s="460">
        <f>Z316*'Inputs_NT INM'!AG$257</f>
        <v>39.091876893507219</v>
      </c>
      <c r="AA435" s="460">
        <f>AA316*'Inputs_NT INM'!AH$257</f>
        <v>39.091876893507219</v>
      </c>
      <c r="AB435" s="460">
        <f>AB316*'Inputs_NT INM'!AI$257</f>
        <v>39.091876893507219</v>
      </c>
      <c r="AC435" s="460">
        <f>AC316*'Inputs_NT INM'!AJ$257</f>
        <v>39.091876893507219</v>
      </c>
      <c r="AD435" s="460">
        <f>AD316*'Inputs_NT INM'!AK$257</f>
        <v>39.091876893507219</v>
      </c>
      <c r="AE435" s="460">
        <f>AE316*'Inputs_NT INM'!AL$257</f>
        <v>39.091876893507219</v>
      </c>
      <c r="AF435" s="460">
        <f>AF316*'Inputs_NT INM'!AM$257</f>
        <v>39.091876893507219</v>
      </c>
      <c r="AG435" s="460">
        <f>AG316*'Inputs_NT INM'!AN$257</f>
        <v>39.091876893507219</v>
      </c>
      <c r="AH435" s="460"/>
      <c r="AI435" s="460"/>
      <c r="AJ435" s="460"/>
    </row>
    <row r="436" spans="1:36" x14ac:dyDescent="0.25">
      <c r="A436" s="9" t="s">
        <v>841</v>
      </c>
      <c r="B436" s="9" t="s">
        <v>965</v>
      </c>
      <c r="C436" s="9" t="s">
        <v>547</v>
      </c>
      <c r="D436" s="9">
        <v>2030</v>
      </c>
      <c r="E436" s="9" t="s">
        <v>997</v>
      </c>
      <c r="F436" s="460">
        <f>F317*'Inputs_NT INM'!M$257</f>
        <v>39.091876893507219</v>
      </c>
      <c r="G436" s="460">
        <f>G317*'Inputs_NT INM'!N$257</f>
        <v>39.091876893507219</v>
      </c>
      <c r="H436" s="460">
        <f>H317*'Inputs_NT INM'!O$257</f>
        <v>39.091876893507219</v>
      </c>
      <c r="I436" s="460">
        <f>I317*'Inputs_NT INM'!P$257</f>
        <v>39.091876893507219</v>
      </c>
      <c r="J436" s="460">
        <f>J317*'Inputs_NT INM'!Q$257</f>
        <v>39.091876893507219</v>
      </c>
      <c r="K436" s="460">
        <f>K317*'Inputs_NT INM'!R$257</f>
        <v>39.091876893507219</v>
      </c>
      <c r="L436" s="460">
        <f>L317*'Inputs_NT INM'!S$257</f>
        <v>39.091876893507219</v>
      </c>
      <c r="M436" s="460">
        <f>M317*'Inputs_NT INM'!T$257</f>
        <v>39.091876893507219</v>
      </c>
      <c r="N436" s="460">
        <f>N317*'Inputs_NT INM'!U$257</f>
        <v>39.091876893507219</v>
      </c>
      <c r="O436" s="460">
        <f>O317*'Inputs_NT INM'!V$257</f>
        <v>39.091876893507219</v>
      </c>
      <c r="P436" s="460">
        <f>P317*'Inputs_NT INM'!W$257</f>
        <v>39.091876893507219</v>
      </c>
      <c r="Q436" s="460">
        <f>Q317*'Inputs_NT INM'!X$257</f>
        <v>39.091876893507219</v>
      </c>
      <c r="R436" s="460">
        <f>R317*'Inputs_NT INM'!Y$257</f>
        <v>39.091876893507219</v>
      </c>
      <c r="S436" s="460">
        <f>S317*'Inputs_NT INM'!Z$257</f>
        <v>39.091876893507219</v>
      </c>
      <c r="T436" s="460">
        <f>T317*'Inputs_NT INM'!AA$257</f>
        <v>39.091876893507219</v>
      </c>
      <c r="U436" s="460">
        <f>U317*'Inputs_NT INM'!AB$257</f>
        <v>39.091876893507219</v>
      </c>
      <c r="V436" s="460">
        <f>V317*'Inputs_NT INM'!AC$257</f>
        <v>39.091876893507219</v>
      </c>
      <c r="W436" s="460">
        <f>W317*'Inputs_NT INM'!AD$257</f>
        <v>39.091876893507219</v>
      </c>
      <c r="X436" s="460">
        <f>X317*'Inputs_NT INM'!AE$257</f>
        <v>39.091876893507219</v>
      </c>
      <c r="Y436" s="460">
        <f>Y317*'Inputs_NT INM'!AF$257</f>
        <v>39.091876893507219</v>
      </c>
      <c r="Z436" s="460">
        <f>Z317*'Inputs_NT INM'!AG$257</f>
        <v>39.091876893507219</v>
      </c>
      <c r="AA436" s="460">
        <f>AA317*'Inputs_NT INM'!AH$257</f>
        <v>39.091876893507219</v>
      </c>
      <c r="AB436" s="460">
        <f>AB317*'Inputs_NT INM'!AI$257</f>
        <v>39.091876893507219</v>
      </c>
      <c r="AC436" s="460">
        <f>AC317*'Inputs_NT INM'!AJ$257</f>
        <v>39.091876893507219</v>
      </c>
      <c r="AD436" s="460">
        <f>AD317*'Inputs_NT INM'!AK$257</f>
        <v>39.091876893507219</v>
      </c>
      <c r="AE436" s="460">
        <f>AE317*'Inputs_NT INM'!AL$257</f>
        <v>39.091876893507219</v>
      </c>
      <c r="AF436" s="460">
        <f>AF317*'Inputs_NT INM'!AM$257</f>
        <v>39.091876893507219</v>
      </c>
      <c r="AG436" s="460">
        <f>AG317*'Inputs_NT INM'!AN$257</f>
        <v>39.091876893507219</v>
      </c>
      <c r="AH436" s="460"/>
      <c r="AI436" s="460"/>
      <c r="AJ436" s="460"/>
    </row>
    <row r="437" spans="1:36" x14ac:dyDescent="0.25">
      <c r="A437" s="9" t="s">
        <v>842</v>
      </c>
      <c r="B437" s="9" t="s">
        <v>966</v>
      </c>
      <c r="C437" s="9" t="s">
        <v>547</v>
      </c>
      <c r="D437" s="9">
        <v>2030</v>
      </c>
      <c r="E437" s="9" t="s">
        <v>997</v>
      </c>
      <c r="F437" s="460">
        <f>F318*'Inputs_NT INM'!M$257</f>
        <v>39.091876893507219</v>
      </c>
      <c r="G437" s="460">
        <f>G318*'Inputs_NT INM'!N$257</f>
        <v>39.091876893507219</v>
      </c>
      <c r="H437" s="460">
        <f>H318*'Inputs_NT INM'!O$257</f>
        <v>39.091876893507219</v>
      </c>
      <c r="I437" s="460">
        <f>I318*'Inputs_NT INM'!P$257</f>
        <v>39.091876893507219</v>
      </c>
      <c r="J437" s="460">
        <f>J318*'Inputs_NT INM'!Q$257</f>
        <v>39.091876893507219</v>
      </c>
      <c r="K437" s="460">
        <f>K318*'Inputs_NT INM'!R$257</f>
        <v>39.091876893507219</v>
      </c>
      <c r="L437" s="460">
        <f>L318*'Inputs_NT INM'!S$257</f>
        <v>39.091876893507219</v>
      </c>
      <c r="M437" s="460">
        <f>M318*'Inputs_NT INM'!T$257</f>
        <v>39.091876893507219</v>
      </c>
      <c r="N437" s="460">
        <f>N318*'Inputs_NT INM'!U$257</f>
        <v>39.091876893507219</v>
      </c>
      <c r="O437" s="460">
        <f>O318*'Inputs_NT INM'!V$257</f>
        <v>39.091876893507219</v>
      </c>
      <c r="P437" s="460">
        <f>P318*'Inputs_NT INM'!W$257</f>
        <v>39.091876893507219</v>
      </c>
      <c r="Q437" s="460">
        <f>Q318*'Inputs_NT INM'!X$257</f>
        <v>39.091876893507219</v>
      </c>
      <c r="R437" s="460">
        <f>R318*'Inputs_NT INM'!Y$257</f>
        <v>39.091876893507219</v>
      </c>
      <c r="S437" s="460">
        <f>S318*'Inputs_NT INM'!Z$257</f>
        <v>39.091876893507219</v>
      </c>
      <c r="T437" s="460">
        <f>T318*'Inputs_NT INM'!AA$257</f>
        <v>39.091876893507219</v>
      </c>
      <c r="U437" s="460">
        <f>U318*'Inputs_NT INM'!AB$257</f>
        <v>39.091876893507219</v>
      </c>
      <c r="V437" s="460">
        <f>V318*'Inputs_NT INM'!AC$257</f>
        <v>39.091876893507219</v>
      </c>
      <c r="W437" s="460">
        <f>W318*'Inputs_NT INM'!AD$257</f>
        <v>39.091876893507219</v>
      </c>
      <c r="X437" s="460">
        <f>X318*'Inputs_NT INM'!AE$257</f>
        <v>39.091876893507219</v>
      </c>
      <c r="Y437" s="460">
        <f>Y318*'Inputs_NT INM'!AF$257</f>
        <v>39.091876893507219</v>
      </c>
      <c r="Z437" s="460">
        <f>Z318*'Inputs_NT INM'!AG$257</f>
        <v>39.091876893507219</v>
      </c>
      <c r="AA437" s="460">
        <f>AA318*'Inputs_NT INM'!AH$257</f>
        <v>39.091876893507219</v>
      </c>
      <c r="AB437" s="460">
        <f>AB318*'Inputs_NT INM'!AI$257</f>
        <v>39.091876893507219</v>
      </c>
      <c r="AC437" s="460">
        <f>AC318*'Inputs_NT INM'!AJ$257</f>
        <v>39.091876893507219</v>
      </c>
      <c r="AD437" s="460">
        <f>AD318*'Inputs_NT INM'!AK$257</f>
        <v>39.091876893507219</v>
      </c>
      <c r="AE437" s="460">
        <f>AE318*'Inputs_NT INM'!AL$257</f>
        <v>39.091876893507219</v>
      </c>
      <c r="AF437" s="460">
        <f>AF318*'Inputs_NT INM'!AM$257</f>
        <v>39.091876893507219</v>
      </c>
      <c r="AG437" s="460">
        <f>AG318*'Inputs_NT INM'!AN$257</f>
        <v>39.091876893507219</v>
      </c>
      <c r="AH437" s="460"/>
      <c r="AI437" s="460"/>
      <c r="AJ437" s="460"/>
    </row>
    <row r="438" spans="1:36" x14ac:dyDescent="0.25">
      <c r="A438" s="9" t="s">
        <v>843</v>
      </c>
      <c r="B438" s="9" t="s">
        <v>967</v>
      </c>
      <c r="C438" s="9" t="s">
        <v>547</v>
      </c>
      <c r="D438" s="9">
        <v>2030</v>
      </c>
      <c r="E438" s="9" t="s">
        <v>997</v>
      </c>
      <c r="F438" s="460">
        <f>F319*'Inputs_NT INM'!M$257</f>
        <v>39.091876893507219</v>
      </c>
      <c r="G438" s="460">
        <f>G319*'Inputs_NT INM'!N$257</f>
        <v>39.091876893507219</v>
      </c>
      <c r="H438" s="460">
        <f>H319*'Inputs_NT INM'!O$257</f>
        <v>39.091876893507219</v>
      </c>
      <c r="I438" s="460">
        <f>I319*'Inputs_NT INM'!P$257</f>
        <v>39.091876893507219</v>
      </c>
      <c r="J438" s="460">
        <f>J319*'Inputs_NT INM'!Q$257</f>
        <v>39.091876893507219</v>
      </c>
      <c r="K438" s="460">
        <f>K319*'Inputs_NT INM'!R$257</f>
        <v>39.091876893507219</v>
      </c>
      <c r="L438" s="460">
        <f>L319*'Inputs_NT INM'!S$257</f>
        <v>39.091876893507219</v>
      </c>
      <c r="M438" s="460">
        <f>M319*'Inputs_NT INM'!T$257</f>
        <v>39.091876893507219</v>
      </c>
      <c r="N438" s="460">
        <f>N319*'Inputs_NT INM'!U$257</f>
        <v>39.091876893507219</v>
      </c>
      <c r="O438" s="460">
        <f>O319*'Inputs_NT INM'!V$257</f>
        <v>39.091876893507219</v>
      </c>
      <c r="P438" s="460">
        <f>P319*'Inputs_NT INM'!W$257</f>
        <v>39.091876893507219</v>
      </c>
      <c r="Q438" s="460">
        <f>Q319*'Inputs_NT INM'!X$257</f>
        <v>39.091876893507219</v>
      </c>
      <c r="R438" s="460">
        <f>R319*'Inputs_NT INM'!Y$257</f>
        <v>39.091876893507219</v>
      </c>
      <c r="S438" s="460">
        <f>S319*'Inputs_NT INM'!Z$257</f>
        <v>39.091876893507219</v>
      </c>
      <c r="T438" s="460">
        <f>T319*'Inputs_NT INM'!AA$257</f>
        <v>39.091876893507219</v>
      </c>
      <c r="U438" s="460">
        <f>U319*'Inputs_NT INM'!AB$257</f>
        <v>39.091876893507219</v>
      </c>
      <c r="V438" s="460">
        <f>V319*'Inputs_NT INM'!AC$257</f>
        <v>39.091876893507219</v>
      </c>
      <c r="W438" s="460">
        <f>W319*'Inputs_NT INM'!AD$257</f>
        <v>39.091876893507219</v>
      </c>
      <c r="X438" s="460">
        <f>X319*'Inputs_NT INM'!AE$257</f>
        <v>39.091876893507219</v>
      </c>
      <c r="Y438" s="460">
        <f>Y319*'Inputs_NT INM'!AF$257</f>
        <v>39.091876893507219</v>
      </c>
      <c r="Z438" s="460">
        <f>Z319*'Inputs_NT INM'!AG$257</f>
        <v>39.091876893507219</v>
      </c>
      <c r="AA438" s="460">
        <f>AA319*'Inputs_NT INM'!AH$257</f>
        <v>39.091876893507219</v>
      </c>
      <c r="AB438" s="460">
        <f>AB319*'Inputs_NT INM'!AI$257</f>
        <v>39.091876893507219</v>
      </c>
      <c r="AC438" s="460">
        <f>AC319*'Inputs_NT INM'!AJ$257</f>
        <v>39.091876893507219</v>
      </c>
      <c r="AD438" s="460">
        <f>AD319*'Inputs_NT INM'!AK$257</f>
        <v>39.091876893507219</v>
      </c>
      <c r="AE438" s="460">
        <f>AE319*'Inputs_NT INM'!AL$257</f>
        <v>39.091876893507219</v>
      </c>
      <c r="AF438" s="460">
        <f>AF319*'Inputs_NT INM'!AM$257</f>
        <v>39.091876893507219</v>
      </c>
      <c r="AG438" s="460">
        <f>AG319*'Inputs_NT INM'!AN$257</f>
        <v>39.091876893507219</v>
      </c>
      <c r="AH438" s="460"/>
      <c r="AI438" s="460"/>
      <c r="AJ438" s="460"/>
    </row>
    <row r="439" spans="1:36" x14ac:dyDescent="0.25">
      <c r="A439" s="9" t="s">
        <v>844</v>
      </c>
      <c r="B439" s="9" t="s">
        <v>968</v>
      </c>
      <c r="C439" s="9" t="s">
        <v>547</v>
      </c>
      <c r="D439" s="9">
        <v>2030</v>
      </c>
      <c r="E439" s="9" t="s">
        <v>997</v>
      </c>
      <c r="F439" s="460">
        <f>F320*'Inputs_NT INM'!M$257</f>
        <v>39.091876893507219</v>
      </c>
      <c r="G439" s="460">
        <f>G320*'Inputs_NT INM'!N$257</f>
        <v>39.091876893507219</v>
      </c>
      <c r="H439" s="460">
        <f>H320*'Inputs_NT INM'!O$257</f>
        <v>39.091876893507219</v>
      </c>
      <c r="I439" s="460">
        <f>I320*'Inputs_NT INM'!P$257</f>
        <v>39.091876893507219</v>
      </c>
      <c r="J439" s="460">
        <f>J320*'Inputs_NT INM'!Q$257</f>
        <v>39.091876893507219</v>
      </c>
      <c r="K439" s="460">
        <f>K320*'Inputs_NT INM'!R$257</f>
        <v>39.091876893507219</v>
      </c>
      <c r="L439" s="460">
        <f>L320*'Inputs_NT INM'!S$257</f>
        <v>39.091876893507219</v>
      </c>
      <c r="M439" s="460">
        <f>M320*'Inputs_NT INM'!T$257</f>
        <v>39.091876893507219</v>
      </c>
      <c r="N439" s="460">
        <f>N320*'Inputs_NT INM'!U$257</f>
        <v>39.091876893507219</v>
      </c>
      <c r="O439" s="460">
        <f>O320*'Inputs_NT INM'!V$257</f>
        <v>39.091876893507219</v>
      </c>
      <c r="P439" s="460">
        <f>P320*'Inputs_NT INM'!W$257</f>
        <v>39.091876893507219</v>
      </c>
      <c r="Q439" s="460">
        <f>Q320*'Inputs_NT INM'!X$257</f>
        <v>39.091876893507219</v>
      </c>
      <c r="R439" s="460">
        <f>R320*'Inputs_NT INM'!Y$257</f>
        <v>39.091876893507219</v>
      </c>
      <c r="S439" s="460">
        <f>S320*'Inputs_NT INM'!Z$257</f>
        <v>39.091876893507219</v>
      </c>
      <c r="T439" s="460">
        <f>T320*'Inputs_NT INM'!AA$257</f>
        <v>39.091876893507219</v>
      </c>
      <c r="U439" s="460">
        <f>U320*'Inputs_NT INM'!AB$257</f>
        <v>39.091876893507219</v>
      </c>
      <c r="V439" s="460">
        <f>V320*'Inputs_NT INM'!AC$257</f>
        <v>39.091876893507219</v>
      </c>
      <c r="W439" s="460">
        <f>W320*'Inputs_NT INM'!AD$257</f>
        <v>39.091876893507219</v>
      </c>
      <c r="X439" s="460">
        <f>X320*'Inputs_NT INM'!AE$257</f>
        <v>39.091876893507219</v>
      </c>
      <c r="Y439" s="460">
        <f>Y320*'Inputs_NT INM'!AF$257</f>
        <v>39.091876893507219</v>
      </c>
      <c r="Z439" s="460">
        <f>Z320*'Inputs_NT INM'!AG$257</f>
        <v>39.091876893507219</v>
      </c>
      <c r="AA439" s="460">
        <f>AA320*'Inputs_NT INM'!AH$257</f>
        <v>39.091876893507219</v>
      </c>
      <c r="AB439" s="460">
        <f>AB320*'Inputs_NT INM'!AI$257</f>
        <v>39.091876893507219</v>
      </c>
      <c r="AC439" s="460">
        <f>AC320*'Inputs_NT INM'!AJ$257</f>
        <v>39.091876893507219</v>
      </c>
      <c r="AD439" s="460">
        <f>AD320*'Inputs_NT INM'!AK$257</f>
        <v>39.091876893507219</v>
      </c>
      <c r="AE439" s="460">
        <f>AE320*'Inputs_NT INM'!AL$257</f>
        <v>39.091876893507219</v>
      </c>
      <c r="AF439" s="460">
        <f>AF320*'Inputs_NT INM'!AM$257</f>
        <v>39.091876893507219</v>
      </c>
      <c r="AG439" s="460">
        <f>AG320*'Inputs_NT INM'!AN$257</f>
        <v>39.091876893507219</v>
      </c>
      <c r="AH439" s="460"/>
      <c r="AI439" s="460"/>
      <c r="AJ439" s="460"/>
    </row>
    <row r="440" spans="1:36" x14ac:dyDescent="0.25">
      <c r="A440" s="9" t="s">
        <v>839</v>
      </c>
      <c r="B440" s="9" t="s">
        <v>963</v>
      </c>
      <c r="C440" s="9" t="s">
        <v>547</v>
      </c>
      <c r="D440" s="9">
        <v>2050</v>
      </c>
      <c r="E440" s="9" t="s">
        <v>997</v>
      </c>
      <c r="F440" s="460">
        <f>F321*'Inputs_NT INM'!M$257</f>
        <v>34.671245001330618</v>
      </c>
      <c r="G440" s="460">
        <f>G321*'Inputs_NT INM'!N$257</f>
        <v>34.671245001330618</v>
      </c>
      <c r="H440" s="460">
        <f>H321*'Inputs_NT INM'!O$257</f>
        <v>34.671245001330618</v>
      </c>
      <c r="I440" s="460">
        <f>I321*'Inputs_NT INM'!P$257</f>
        <v>34.671245001330618</v>
      </c>
      <c r="J440" s="460">
        <f>J321*'Inputs_NT INM'!Q$257</f>
        <v>34.671245001330618</v>
      </c>
      <c r="K440" s="460">
        <f>K321*'Inputs_NT INM'!R$257</f>
        <v>34.671245001330618</v>
      </c>
      <c r="L440" s="460">
        <f>L321*'Inputs_NT INM'!S$257</f>
        <v>34.671245001330618</v>
      </c>
      <c r="M440" s="460">
        <f>M321*'Inputs_NT INM'!T$257</f>
        <v>34.671245001330618</v>
      </c>
      <c r="N440" s="460">
        <f>N321*'Inputs_NT INM'!U$257</f>
        <v>34.671245001330618</v>
      </c>
      <c r="O440" s="460">
        <f>O321*'Inputs_NT INM'!V$257</f>
        <v>34.671245001330618</v>
      </c>
      <c r="P440" s="460">
        <f>P321*'Inputs_NT INM'!W$257</f>
        <v>34.671245001330618</v>
      </c>
      <c r="Q440" s="460">
        <f>Q321*'Inputs_NT INM'!X$257</f>
        <v>34.671245001330618</v>
      </c>
      <c r="R440" s="460">
        <f>R321*'Inputs_NT INM'!Y$257</f>
        <v>34.671245001330618</v>
      </c>
      <c r="S440" s="460">
        <f>S321*'Inputs_NT INM'!Z$257</f>
        <v>34.671245001330618</v>
      </c>
      <c r="T440" s="460">
        <f>T321*'Inputs_NT INM'!AA$257</f>
        <v>34.671245001330618</v>
      </c>
      <c r="U440" s="460">
        <f>U321*'Inputs_NT INM'!AB$257</f>
        <v>34.671245001330618</v>
      </c>
      <c r="V440" s="460">
        <f>V321*'Inputs_NT INM'!AC$257</f>
        <v>34.671245001330618</v>
      </c>
      <c r="W440" s="460">
        <f>W321*'Inputs_NT INM'!AD$257</f>
        <v>34.671245001330618</v>
      </c>
      <c r="X440" s="460">
        <f>X321*'Inputs_NT INM'!AE$257</f>
        <v>34.671245001330618</v>
      </c>
      <c r="Y440" s="460">
        <f>Y321*'Inputs_NT INM'!AF$257</f>
        <v>34.671245001330618</v>
      </c>
      <c r="Z440" s="460">
        <f>Z321*'Inputs_NT INM'!AG$257</f>
        <v>34.671245001330618</v>
      </c>
      <c r="AA440" s="460">
        <f>AA321*'Inputs_NT INM'!AH$257</f>
        <v>34.671245001330618</v>
      </c>
      <c r="AB440" s="460">
        <f>AB321*'Inputs_NT INM'!AI$257</f>
        <v>34.671245001330618</v>
      </c>
      <c r="AC440" s="460">
        <f>AC321*'Inputs_NT INM'!AJ$257</f>
        <v>34.671245001330618</v>
      </c>
      <c r="AD440" s="460">
        <f>AD321*'Inputs_NT INM'!AK$257</f>
        <v>34.671245001330618</v>
      </c>
      <c r="AE440" s="460">
        <f>AE321*'Inputs_NT INM'!AL$257</f>
        <v>34.671245001330618</v>
      </c>
      <c r="AF440" s="460">
        <f>AF321*'Inputs_NT INM'!AM$257</f>
        <v>34.671245001330618</v>
      </c>
      <c r="AG440" s="460">
        <f>AG321*'Inputs_NT INM'!AN$257</f>
        <v>34.671245001330618</v>
      </c>
      <c r="AH440" s="460"/>
      <c r="AI440" s="460"/>
      <c r="AJ440" s="460"/>
    </row>
    <row r="441" spans="1:36" x14ac:dyDescent="0.25">
      <c r="A441" s="9" t="s">
        <v>840</v>
      </c>
      <c r="B441" s="9" t="s">
        <v>964</v>
      </c>
      <c r="C441" s="9" t="s">
        <v>547</v>
      </c>
      <c r="D441" s="9">
        <v>2050</v>
      </c>
      <c r="E441" s="9" t="s">
        <v>997</v>
      </c>
      <c r="F441" s="460">
        <f>F322*'Inputs_NT INM'!M$257</f>
        <v>34.671245001330618</v>
      </c>
      <c r="G441" s="460">
        <f>G322*'Inputs_NT INM'!N$257</f>
        <v>34.671245001330618</v>
      </c>
      <c r="H441" s="460">
        <f>H322*'Inputs_NT INM'!O$257</f>
        <v>34.671245001330618</v>
      </c>
      <c r="I441" s="460">
        <f>I322*'Inputs_NT INM'!P$257</f>
        <v>34.671245001330618</v>
      </c>
      <c r="J441" s="460">
        <f>J322*'Inputs_NT INM'!Q$257</f>
        <v>34.671245001330618</v>
      </c>
      <c r="K441" s="460">
        <f>K322*'Inputs_NT INM'!R$257</f>
        <v>34.671245001330618</v>
      </c>
      <c r="L441" s="460">
        <f>L322*'Inputs_NT INM'!S$257</f>
        <v>34.671245001330618</v>
      </c>
      <c r="M441" s="460">
        <f>M322*'Inputs_NT INM'!T$257</f>
        <v>34.671245001330618</v>
      </c>
      <c r="N441" s="460">
        <f>N322*'Inputs_NT INM'!U$257</f>
        <v>34.671245001330618</v>
      </c>
      <c r="O441" s="460">
        <f>O322*'Inputs_NT INM'!V$257</f>
        <v>34.671245001330618</v>
      </c>
      <c r="P441" s="460">
        <f>P322*'Inputs_NT INM'!W$257</f>
        <v>34.671245001330618</v>
      </c>
      <c r="Q441" s="460">
        <f>Q322*'Inputs_NT INM'!X$257</f>
        <v>34.671245001330618</v>
      </c>
      <c r="R441" s="460">
        <f>R322*'Inputs_NT INM'!Y$257</f>
        <v>34.671245001330618</v>
      </c>
      <c r="S441" s="460">
        <f>S322*'Inputs_NT INM'!Z$257</f>
        <v>34.671245001330618</v>
      </c>
      <c r="T441" s="460">
        <f>T322*'Inputs_NT INM'!AA$257</f>
        <v>34.671245001330618</v>
      </c>
      <c r="U441" s="460">
        <f>U322*'Inputs_NT INM'!AB$257</f>
        <v>34.671245001330618</v>
      </c>
      <c r="V441" s="460">
        <f>V322*'Inputs_NT INM'!AC$257</f>
        <v>34.671245001330618</v>
      </c>
      <c r="W441" s="460">
        <f>W322*'Inputs_NT INM'!AD$257</f>
        <v>34.671245001330618</v>
      </c>
      <c r="X441" s="460">
        <f>X322*'Inputs_NT INM'!AE$257</f>
        <v>34.671245001330618</v>
      </c>
      <c r="Y441" s="460">
        <f>Y322*'Inputs_NT INM'!AF$257</f>
        <v>34.671245001330618</v>
      </c>
      <c r="Z441" s="460">
        <f>Z322*'Inputs_NT INM'!AG$257</f>
        <v>34.671245001330618</v>
      </c>
      <c r="AA441" s="460">
        <f>AA322*'Inputs_NT INM'!AH$257</f>
        <v>34.671245001330618</v>
      </c>
      <c r="AB441" s="460">
        <f>AB322*'Inputs_NT INM'!AI$257</f>
        <v>34.671245001330618</v>
      </c>
      <c r="AC441" s="460">
        <f>AC322*'Inputs_NT INM'!AJ$257</f>
        <v>34.671245001330618</v>
      </c>
      <c r="AD441" s="460">
        <f>AD322*'Inputs_NT INM'!AK$257</f>
        <v>34.671245001330618</v>
      </c>
      <c r="AE441" s="460">
        <f>AE322*'Inputs_NT INM'!AL$257</f>
        <v>34.671245001330618</v>
      </c>
      <c r="AF441" s="460">
        <f>AF322*'Inputs_NT INM'!AM$257</f>
        <v>34.671245001330618</v>
      </c>
      <c r="AG441" s="460">
        <f>AG322*'Inputs_NT INM'!AN$257</f>
        <v>34.671245001330618</v>
      </c>
      <c r="AH441" s="460"/>
      <c r="AI441" s="460"/>
      <c r="AJ441" s="460"/>
    </row>
    <row r="442" spans="1:36" x14ac:dyDescent="0.25">
      <c r="A442" s="9" t="s">
        <v>841</v>
      </c>
      <c r="B442" s="9" t="s">
        <v>965</v>
      </c>
      <c r="C442" s="9" t="s">
        <v>547</v>
      </c>
      <c r="D442" s="9">
        <v>2050</v>
      </c>
      <c r="E442" s="9" t="s">
        <v>997</v>
      </c>
      <c r="F442" s="460">
        <f>F323*'Inputs_NT INM'!M$257</f>
        <v>34.671245001330618</v>
      </c>
      <c r="G442" s="460">
        <f>G323*'Inputs_NT INM'!N$257</f>
        <v>34.671245001330618</v>
      </c>
      <c r="H442" s="460">
        <f>H323*'Inputs_NT INM'!O$257</f>
        <v>34.671245001330618</v>
      </c>
      <c r="I442" s="460">
        <f>I323*'Inputs_NT INM'!P$257</f>
        <v>34.671245001330618</v>
      </c>
      <c r="J442" s="460">
        <f>J323*'Inputs_NT INM'!Q$257</f>
        <v>34.671245001330618</v>
      </c>
      <c r="K442" s="460">
        <f>K323*'Inputs_NT INM'!R$257</f>
        <v>34.671245001330618</v>
      </c>
      <c r="L442" s="460">
        <f>L323*'Inputs_NT INM'!S$257</f>
        <v>34.671245001330618</v>
      </c>
      <c r="M442" s="460">
        <f>M323*'Inputs_NT INM'!T$257</f>
        <v>34.671245001330618</v>
      </c>
      <c r="N442" s="460">
        <f>N323*'Inputs_NT INM'!U$257</f>
        <v>34.671245001330618</v>
      </c>
      <c r="O442" s="460">
        <f>O323*'Inputs_NT INM'!V$257</f>
        <v>34.671245001330618</v>
      </c>
      <c r="P442" s="460">
        <f>P323*'Inputs_NT INM'!W$257</f>
        <v>34.671245001330618</v>
      </c>
      <c r="Q442" s="460">
        <f>Q323*'Inputs_NT INM'!X$257</f>
        <v>34.671245001330618</v>
      </c>
      <c r="R442" s="460">
        <f>R323*'Inputs_NT INM'!Y$257</f>
        <v>34.671245001330618</v>
      </c>
      <c r="S442" s="460">
        <f>S323*'Inputs_NT INM'!Z$257</f>
        <v>34.671245001330618</v>
      </c>
      <c r="T442" s="460">
        <f>T323*'Inputs_NT INM'!AA$257</f>
        <v>34.671245001330618</v>
      </c>
      <c r="U442" s="460">
        <f>U323*'Inputs_NT INM'!AB$257</f>
        <v>34.671245001330618</v>
      </c>
      <c r="V442" s="460">
        <f>V323*'Inputs_NT INM'!AC$257</f>
        <v>34.671245001330618</v>
      </c>
      <c r="W442" s="460">
        <f>W323*'Inputs_NT INM'!AD$257</f>
        <v>34.671245001330618</v>
      </c>
      <c r="X442" s="460">
        <f>X323*'Inputs_NT INM'!AE$257</f>
        <v>34.671245001330618</v>
      </c>
      <c r="Y442" s="460">
        <f>Y323*'Inputs_NT INM'!AF$257</f>
        <v>34.671245001330618</v>
      </c>
      <c r="Z442" s="460">
        <f>Z323*'Inputs_NT INM'!AG$257</f>
        <v>34.671245001330618</v>
      </c>
      <c r="AA442" s="460">
        <f>AA323*'Inputs_NT INM'!AH$257</f>
        <v>34.671245001330618</v>
      </c>
      <c r="AB442" s="460">
        <f>AB323*'Inputs_NT INM'!AI$257</f>
        <v>34.671245001330618</v>
      </c>
      <c r="AC442" s="460">
        <f>AC323*'Inputs_NT INM'!AJ$257</f>
        <v>34.671245001330618</v>
      </c>
      <c r="AD442" s="460">
        <f>AD323*'Inputs_NT INM'!AK$257</f>
        <v>34.671245001330618</v>
      </c>
      <c r="AE442" s="460">
        <f>AE323*'Inputs_NT INM'!AL$257</f>
        <v>34.671245001330618</v>
      </c>
      <c r="AF442" s="460">
        <f>AF323*'Inputs_NT INM'!AM$257</f>
        <v>34.671245001330618</v>
      </c>
      <c r="AG442" s="460">
        <f>AG323*'Inputs_NT INM'!AN$257</f>
        <v>34.671245001330618</v>
      </c>
      <c r="AH442" s="460"/>
      <c r="AI442" s="460"/>
      <c r="AJ442" s="460"/>
    </row>
    <row r="443" spans="1:36" x14ac:dyDescent="0.25">
      <c r="A443" s="9" t="s">
        <v>842</v>
      </c>
      <c r="B443" s="9" t="s">
        <v>966</v>
      </c>
      <c r="C443" s="9" t="s">
        <v>547</v>
      </c>
      <c r="D443" s="9">
        <v>2050</v>
      </c>
      <c r="E443" s="9" t="s">
        <v>997</v>
      </c>
      <c r="F443" s="460">
        <f>F324*'Inputs_NT INM'!M$257</f>
        <v>34.671245001330618</v>
      </c>
      <c r="G443" s="460">
        <f>G324*'Inputs_NT INM'!N$257</f>
        <v>34.671245001330618</v>
      </c>
      <c r="H443" s="460">
        <f>H324*'Inputs_NT INM'!O$257</f>
        <v>34.671245001330618</v>
      </c>
      <c r="I443" s="460">
        <f>I324*'Inputs_NT INM'!P$257</f>
        <v>34.671245001330618</v>
      </c>
      <c r="J443" s="460">
        <f>J324*'Inputs_NT INM'!Q$257</f>
        <v>34.671245001330618</v>
      </c>
      <c r="K443" s="460">
        <f>K324*'Inputs_NT INM'!R$257</f>
        <v>34.671245001330618</v>
      </c>
      <c r="L443" s="460">
        <f>L324*'Inputs_NT INM'!S$257</f>
        <v>34.671245001330618</v>
      </c>
      <c r="M443" s="460">
        <f>M324*'Inputs_NT INM'!T$257</f>
        <v>34.671245001330618</v>
      </c>
      <c r="N443" s="460">
        <f>N324*'Inputs_NT INM'!U$257</f>
        <v>34.671245001330618</v>
      </c>
      <c r="O443" s="460">
        <f>O324*'Inputs_NT INM'!V$257</f>
        <v>34.671245001330618</v>
      </c>
      <c r="P443" s="460">
        <f>P324*'Inputs_NT INM'!W$257</f>
        <v>34.671245001330618</v>
      </c>
      <c r="Q443" s="460">
        <f>Q324*'Inputs_NT INM'!X$257</f>
        <v>34.671245001330618</v>
      </c>
      <c r="R443" s="460">
        <f>R324*'Inputs_NT INM'!Y$257</f>
        <v>34.671245001330618</v>
      </c>
      <c r="S443" s="460">
        <f>S324*'Inputs_NT INM'!Z$257</f>
        <v>34.671245001330618</v>
      </c>
      <c r="T443" s="460">
        <f>T324*'Inputs_NT INM'!AA$257</f>
        <v>34.671245001330618</v>
      </c>
      <c r="U443" s="460">
        <f>U324*'Inputs_NT INM'!AB$257</f>
        <v>34.671245001330618</v>
      </c>
      <c r="V443" s="460">
        <f>V324*'Inputs_NT INM'!AC$257</f>
        <v>34.671245001330618</v>
      </c>
      <c r="W443" s="460">
        <f>W324*'Inputs_NT INM'!AD$257</f>
        <v>34.671245001330618</v>
      </c>
      <c r="X443" s="460">
        <f>X324*'Inputs_NT INM'!AE$257</f>
        <v>34.671245001330618</v>
      </c>
      <c r="Y443" s="460">
        <f>Y324*'Inputs_NT INM'!AF$257</f>
        <v>34.671245001330618</v>
      </c>
      <c r="Z443" s="460">
        <f>Z324*'Inputs_NT INM'!AG$257</f>
        <v>34.671245001330618</v>
      </c>
      <c r="AA443" s="460">
        <f>AA324*'Inputs_NT INM'!AH$257</f>
        <v>34.671245001330618</v>
      </c>
      <c r="AB443" s="460">
        <f>AB324*'Inputs_NT INM'!AI$257</f>
        <v>34.671245001330618</v>
      </c>
      <c r="AC443" s="460">
        <f>AC324*'Inputs_NT INM'!AJ$257</f>
        <v>34.671245001330618</v>
      </c>
      <c r="AD443" s="460">
        <f>AD324*'Inputs_NT INM'!AK$257</f>
        <v>34.671245001330618</v>
      </c>
      <c r="AE443" s="460">
        <f>AE324*'Inputs_NT INM'!AL$257</f>
        <v>34.671245001330618</v>
      </c>
      <c r="AF443" s="460">
        <f>AF324*'Inputs_NT INM'!AM$257</f>
        <v>34.671245001330618</v>
      </c>
      <c r="AG443" s="460">
        <f>AG324*'Inputs_NT INM'!AN$257</f>
        <v>34.671245001330618</v>
      </c>
      <c r="AH443" s="460"/>
      <c r="AI443" s="460"/>
      <c r="AJ443" s="460"/>
    </row>
    <row r="444" spans="1:36" x14ac:dyDescent="0.25">
      <c r="A444" s="9" t="s">
        <v>843</v>
      </c>
      <c r="B444" s="9" t="s">
        <v>967</v>
      </c>
      <c r="C444" s="9" t="s">
        <v>547</v>
      </c>
      <c r="D444" s="9">
        <v>2050</v>
      </c>
      <c r="E444" s="9" t="s">
        <v>997</v>
      </c>
      <c r="F444" s="460">
        <f>F325*'Inputs_NT INM'!M$257</f>
        <v>34.671245001330618</v>
      </c>
      <c r="G444" s="460">
        <f>G325*'Inputs_NT INM'!N$257</f>
        <v>34.671245001330618</v>
      </c>
      <c r="H444" s="460">
        <f>H325*'Inputs_NT INM'!O$257</f>
        <v>34.671245001330618</v>
      </c>
      <c r="I444" s="460">
        <f>I325*'Inputs_NT INM'!P$257</f>
        <v>34.671245001330618</v>
      </c>
      <c r="J444" s="460">
        <f>J325*'Inputs_NT INM'!Q$257</f>
        <v>34.671245001330618</v>
      </c>
      <c r="K444" s="460">
        <f>K325*'Inputs_NT INM'!R$257</f>
        <v>34.671245001330618</v>
      </c>
      <c r="L444" s="460">
        <f>L325*'Inputs_NT INM'!S$257</f>
        <v>34.671245001330618</v>
      </c>
      <c r="M444" s="460">
        <f>M325*'Inputs_NT INM'!T$257</f>
        <v>34.671245001330618</v>
      </c>
      <c r="N444" s="460">
        <f>N325*'Inputs_NT INM'!U$257</f>
        <v>34.671245001330618</v>
      </c>
      <c r="O444" s="460">
        <f>O325*'Inputs_NT INM'!V$257</f>
        <v>34.671245001330618</v>
      </c>
      <c r="P444" s="460">
        <f>P325*'Inputs_NT INM'!W$257</f>
        <v>34.671245001330618</v>
      </c>
      <c r="Q444" s="460">
        <f>Q325*'Inputs_NT INM'!X$257</f>
        <v>34.671245001330618</v>
      </c>
      <c r="R444" s="460">
        <f>R325*'Inputs_NT INM'!Y$257</f>
        <v>34.671245001330618</v>
      </c>
      <c r="S444" s="460">
        <f>S325*'Inputs_NT INM'!Z$257</f>
        <v>34.671245001330618</v>
      </c>
      <c r="T444" s="460">
        <f>T325*'Inputs_NT INM'!AA$257</f>
        <v>34.671245001330618</v>
      </c>
      <c r="U444" s="460">
        <f>U325*'Inputs_NT INM'!AB$257</f>
        <v>34.671245001330618</v>
      </c>
      <c r="V444" s="460">
        <f>V325*'Inputs_NT INM'!AC$257</f>
        <v>34.671245001330618</v>
      </c>
      <c r="W444" s="460">
        <f>W325*'Inputs_NT INM'!AD$257</f>
        <v>34.671245001330618</v>
      </c>
      <c r="X444" s="460">
        <f>X325*'Inputs_NT INM'!AE$257</f>
        <v>34.671245001330618</v>
      </c>
      <c r="Y444" s="460">
        <f>Y325*'Inputs_NT INM'!AF$257</f>
        <v>34.671245001330618</v>
      </c>
      <c r="Z444" s="460">
        <f>Z325*'Inputs_NT INM'!AG$257</f>
        <v>34.671245001330618</v>
      </c>
      <c r="AA444" s="460">
        <f>AA325*'Inputs_NT INM'!AH$257</f>
        <v>34.671245001330618</v>
      </c>
      <c r="AB444" s="460">
        <f>AB325*'Inputs_NT INM'!AI$257</f>
        <v>34.671245001330618</v>
      </c>
      <c r="AC444" s="460">
        <f>AC325*'Inputs_NT INM'!AJ$257</f>
        <v>34.671245001330618</v>
      </c>
      <c r="AD444" s="460">
        <f>AD325*'Inputs_NT INM'!AK$257</f>
        <v>34.671245001330618</v>
      </c>
      <c r="AE444" s="460">
        <f>AE325*'Inputs_NT INM'!AL$257</f>
        <v>34.671245001330618</v>
      </c>
      <c r="AF444" s="460">
        <f>AF325*'Inputs_NT INM'!AM$257</f>
        <v>34.671245001330618</v>
      </c>
      <c r="AG444" s="460">
        <f>AG325*'Inputs_NT INM'!AN$257</f>
        <v>34.671245001330618</v>
      </c>
      <c r="AH444" s="460"/>
      <c r="AI444" s="460"/>
      <c r="AJ444" s="460"/>
    </row>
    <row r="445" spans="1:36" x14ac:dyDescent="0.25">
      <c r="A445" s="9" t="s">
        <v>844</v>
      </c>
      <c r="B445" s="9" t="s">
        <v>968</v>
      </c>
      <c r="C445" s="9" t="s">
        <v>547</v>
      </c>
      <c r="D445" s="9">
        <v>2050</v>
      </c>
      <c r="E445" s="9" t="s">
        <v>997</v>
      </c>
      <c r="F445" s="460">
        <f>F326*'Inputs_NT INM'!M$257</f>
        <v>34.671245001330618</v>
      </c>
      <c r="G445" s="460">
        <f>G326*'Inputs_NT INM'!N$257</f>
        <v>34.671245001330618</v>
      </c>
      <c r="H445" s="460">
        <f>H326*'Inputs_NT INM'!O$257</f>
        <v>34.671245001330618</v>
      </c>
      <c r="I445" s="460">
        <f>I326*'Inputs_NT INM'!P$257</f>
        <v>34.671245001330618</v>
      </c>
      <c r="J445" s="460">
        <f>J326*'Inputs_NT INM'!Q$257</f>
        <v>34.671245001330618</v>
      </c>
      <c r="K445" s="460">
        <f>K326*'Inputs_NT INM'!R$257</f>
        <v>34.671245001330618</v>
      </c>
      <c r="L445" s="460">
        <f>L326*'Inputs_NT INM'!S$257</f>
        <v>34.671245001330618</v>
      </c>
      <c r="M445" s="460">
        <f>M326*'Inputs_NT INM'!T$257</f>
        <v>34.671245001330618</v>
      </c>
      <c r="N445" s="460">
        <f>N326*'Inputs_NT INM'!U$257</f>
        <v>34.671245001330618</v>
      </c>
      <c r="O445" s="460">
        <f>O326*'Inputs_NT INM'!V$257</f>
        <v>34.671245001330618</v>
      </c>
      <c r="P445" s="460">
        <f>P326*'Inputs_NT INM'!W$257</f>
        <v>34.671245001330618</v>
      </c>
      <c r="Q445" s="460">
        <f>Q326*'Inputs_NT INM'!X$257</f>
        <v>34.671245001330618</v>
      </c>
      <c r="R445" s="460">
        <f>R326*'Inputs_NT INM'!Y$257</f>
        <v>34.671245001330618</v>
      </c>
      <c r="S445" s="460">
        <f>S326*'Inputs_NT INM'!Z$257</f>
        <v>34.671245001330618</v>
      </c>
      <c r="T445" s="460">
        <f>T326*'Inputs_NT INM'!AA$257</f>
        <v>34.671245001330618</v>
      </c>
      <c r="U445" s="460">
        <f>U326*'Inputs_NT INM'!AB$257</f>
        <v>34.671245001330618</v>
      </c>
      <c r="V445" s="460">
        <f>V326*'Inputs_NT INM'!AC$257</f>
        <v>34.671245001330618</v>
      </c>
      <c r="W445" s="460">
        <f>W326*'Inputs_NT INM'!AD$257</f>
        <v>34.671245001330618</v>
      </c>
      <c r="X445" s="460">
        <f>X326*'Inputs_NT INM'!AE$257</f>
        <v>34.671245001330618</v>
      </c>
      <c r="Y445" s="460">
        <f>Y326*'Inputs_NT INM'!AF$257</f>
        <v>34.671245001330618</v>
      </c>
      <c r="Z445" s="460">
        <f>Z326*'Inputs_NT INM'!AG$257</f>
        <v>34.671245001330618</v>
      </c>
      <c r="AA445" s="460">
        <f>AA326*'Inputs_NT INM'!AH$257</f>
        <v>34.671245001330618</v>
      </c>
      <c r="AB445" s="460">
        <f>AB326*'Inputs_NT INM'!AI$257</f>
        <v>34.671245001330618</v>
      </c>
      <c r="AC445" s="460">
        <f>AC326*'Inputs_NT INM'!AJ$257</f>
        <v>34.671245001330618</v>
      </c>
      <c r="AD445" s="460">
        <f>AD326*'Inputs_NT INM'!AK$257</f>
        <v>34.671245001330618</v>
      </c>
      <c r="AE445" s="460">
        <f>AE326*'Inputs_NT INM'!AL$257</f>
        <v>34.671245001330618</v>
      </c>
      <c r="AF445" s="460">
        <f>AF326*'Inputs_NT INM'!AM$257</f>
        <v>34.671245001330618</v>
      </c>
      <c r="AG445" s="460">
        <f>AG326*'Inputs_NT INM'!AN$257</f>
        <v>34.671245001330618</v>
      </c>
      <c r="AH445" s="460"/>
      <c r="AI445" s="460"/>
      <c r="AJ445" s="460"/>
    </row>
    <row r="446" spans="1:36" x14ac:dyDescent="0.25">
      <c r="A446" s="9" t="s">
        <v>845</v>
      </c>
      <c r="B446" s="9" t="s">
        <v>969</v>
      </c>
      <c r="C446" s="9" t="s">
        <v>547</v>
      </c>
      <c r="D446" s="9">
        <v>2030</v>
      </c>
      <c r="E446" s="9" t="s">
        <v>997</v>
      </c>
      <c r="F446" s="460">
        <f>F327*'Inputs_NT INM'!M$257</f>
        <v>79.415704459000025</v>
      </c>
      <c r="G446" s="460">
        <f>G327*'Inputs_NT INM'!N$257</f>
        <v>79.415704459000025</v>
      </c>
      <c r="H446" s="460">
        <f>H327*'Inputs_NT INM'!O$257</f>
        <v>79.415704459000025</v>
      </c>
      <c r="I446" s="460">
        <f>I327*'Inputs_NT INM'!P$257</f>
        <v>79.415704459000025</v>
      </c>
      <c r="J446" s="460">
        <f>J327*'Inputs_NT INM'!Q$257</f>
        <v>79.415704459000025</v>
      </c>
      <c r="K446" s="460">
        <f>K327*'Inputs_NT INM'!R$257</f>
        <v>79.415704459000025</v>
      </c>
      <c r="L446" s="460">
        <f>L327*'Inputs_NT INM'!S$257</f>
        <v>79.415704459000025</v>
      </c>
      <c r="M446" s="460">
        <f>M327*'Inputs_NT INM'!T$257</f>
        <v>79.415704459000025</v>
      </c>
      <c r="N446" s="460">
        <f>N327*'Inputs_NT INM'!U$257</f>
        <v>79.415704459000025</v>
      </c>
      <c r="O446" s="460">
        <f>O327*'Inputs_NT INM'!V$257</f>
        <v>79.415704459000025</v>
      </c>
      <c r="P446" s="460">
        <f>P327*'Inputs_NT INM'!W$257</f>
        <v>79.415704459000025</v>
      </c>
      <c r="Q446" s="460">
        <f>Q327*'Inputs_NT INM'!X$257</f>
        <v>79.415704459000025</v>
      </c>
      <c r="R446" s="460">
        <f>R327*'Inputs_NT INM'!Y$257</f>
        <v>79.415704459000025</v>
      </c>
      <c r="S446" s="460">
        <f>S327*'Inputs_NT INM'!Z$257</f>
        <v>79.415704459000025</v>
      </c>
      <c r="T446" s="460">
        <f>T327*'Inputs_NT INM'!AA$257</f>
        <v>79.415704459000025</v>
      </c>
      <c r="U446" s="460">
        <f>U327*'Inputs_NT INM'!AB$257</f>
        <v>79.415704459000025</v>
      </c>
      <c r="V446" s="460">
        <f>V327*'Inputs_NT INM'!AC$257</f>
        <v>79.415704459000025</v>
      </c>
      <c r="W446" s="460">
        <f>W327*'Inputs_NT INM'!AD$257</f>
        <v>79.415704459000025</v>
      </c>
      <c r="X446" s="460">
        <f>X327*'Inputs_NT INM'!AE$257</f>
        <v>79.415704459000025</v>
      </c>
      <c r="Y446" s="460">
        <f>Y327*'Inputs_NT INM'!AF$257</f>
        <v>79.415704459000025</v>
      </c>
      <c r="Z446" s="460">
        <f>Z327*'Inputs_NT INM'!AG$257</f>
        <v>79.415704459000025</v>
      </c>
      <c r="AA446" s="460">
        <f>AA327*'Inputs_NT INM'!AH$257</f>
        <v>79.415704459000025</v>
      </c>
      <c r="AB446" s="460">
        <f>AB327*'Inputs_NT INM'!AI$257</f>
        <v>79.415704459000025</v>
      </c>
      <c r="AC446" s="460">
        <f>AC327*'Inputs_NT INM'!AJ$257</f>
        <v>79.415704459000025</v>
      </c>
      <c r="AD446" s="460">
        <f>AD327*'Inputs_NT INM'!AK$257</f>
        <v>79.415704459000025</v>
      </c>
      <c r="AE446" s="460">
        <f>AE327*'Inputs_NT INM'!AL$257</f>
        <v>79.415704459000025</v>
      </c>
      <c r="AF446" s="460">
        <f>AF327*'Inputs_NT INM'!AM$257</f>
        <v>79.415704459000025</v>
      </c>
      <c r="AG446" s="460">
        <f>AG327*'Inputs_NT INM'!AN$257</f>
        <v>79.415704459000025</v>
      </c>
      <c r="AH446" s="460"/>
      <c r="AI446" s="460"/>
      <c r="AJ446" s="460"/>
    </row>
    <row r="447" spans="1:36" x14ac:dyDescent="0.25">
      <c r="A447" s="9" t="s">
        <v>846</v>
      </c>
      <c r="B447" s="9" t="s">
        <v>970</v>
      </c>
      <c r="C447" s="9" t="s">
        <v>547</v>
      </c>
      <c r="D447" s="9">
        <v>2030</v>
      </c>
      <c r="E447" s="9" t="s">
        <v>997</v>
      </c>
      <c r="F447" s="460">
        <f>F328*'Inputs_NT INM'!M$257</f>
        <v>79.415704459000025</v>
      </c>
      <c r="G447" s="460">
        <f>G328*'Inputs_NT INM'!N$257</f>
        <v>79.415704459000025</v>
      </c>
      <c r="H447" s="460">
        <f>H328*'Inputs_NT INM'!O$257</f>
        <v>79.415704459000025</v>
      </c>
      <c r="I447" s="460">
        <f>I328*'Inputs_NT INM'!P$257</f>
        <v>79.415704459000025</v>
      </c>
      <c r="J447" s="460">
        <f>J328*'Inputs_NT INM'!Q$257</f>
        <v>79.415704459000025</v>
      </c>
      <c r="K447" s="460">
        <f>K328*'Inputs_NT INM'!R$257</f>
        <v>79.415704459000025</v>
      </c>
      <c r="L447" s="460">
        <f>L328*'Inputs_NT INM'!S$257</f>
        <v>79.415704459000025</v>
      </c>
      <c r="M447" s="460">
        <f>M328*'Inputs_NT INM'!T$257</f>
        <v>79.415704459000025</v>
      </c>
      <c r="N447" s="460">
        <f>N328*'Inputs_NT INM'!U$257</f>
        <v>79.415704459000025</v>
      </c>
      <c r="O447" s="460">
        <f>O328*'Inputs_NT INM'!V$257</f>
        <v>79.415704459000025</v>
      </c>
      <c r="P447" s="460">
        <f>P328*'Inputs_NT INM'!W$257</f>
        <v>79.415704459000025</v>
      </c>
      <c r="Q447" s="460">
        <f>Q328*'Inputs_NT INM'!X$257</f>
        <v>79.415704459000025</v>
      </c>
      <c r="R447" s="460">
        <f>R328*'Inputs_NT INM'!Y$257</f>
        <v>79.415704459000025</v>
      </c>
      <c r="S447" s="460">
        <f>S328*'Inputs_NT INM'!Z$257</f>
        <v>79.415704459000025</v>
      </c>
      <c r="T447" s="460">
        <f>T328*'Inputs_NT INM'!AA$257</f>
        <v>79.415704459000025</v>
      </c>
      <c r="U447" s="460">
        <f>U328*'Inputs_NT INM'!AB$257</f>
        <v>79.415704459000025</v>
      </c>
      <c r="V447" s="460">
        <f>V328*'Inputs_NT INM'!AC$257</f>
        <v>79.415704459000025</v>
      </c>
      <c r="W447" s="460">
        <f>W328*'Inputs_NT INM'!AD$257</f>
        <v>79.415704459000025</v>
      </c>
      <c r="X447" s="460">
        <f>X328*'Inputs_NT INM'!AE$257</f>
        <v>79.415704459000025</v>
      </c>
      <c r="Y447" s="460">
        <f>Y328*'Inputs_NT INM'!AF$257</f>
        <v>79.415704459000025</v>
      </c>
      <c r="Z447" s="460">
        <f>Z328*'Inputs_NT INM'!AG$257</f>
        <v>79.415704459000025</v>
      </c>
      <c r="AA447" s="460">
        <f>AA328*'Inputs_NT INM'!AH$257</f>
        <v>79.415704459000025</v>
      </c>
      <c r="AB447" s="460">
        <f>AB328*'Inputs_NT INM'!AI$257</f>
        <v>79.415704459000025</v>
      </c>
      <c r="AC447" s="460">
        <f>AC328*'Inputs_NT INM'!AJ$257</f>
        <v>79.415704459000025</v>
      </c>
      <c r="AD447" s="460">
        <f>AD328*'Inputs_NT INM'!AK$257</f>
        <v>79.415704459000025</v>
      </c>
      <c r="AE447" s="460">
        <f>AE328*'Inputs_NT INM'!AL$257</f>
        <v>79.415704459000025</v>
      </c>
      <c r="AF447" s="460">
        <f>AF328*'Inputs_NT INM'!AM$257</f>
        <v>79.415704459000025</v>
      </c>
      <c r="AG447" s="460">
        <f>AG328*'Inputs_NT INM'!AN$257</f>
        <v>79.415704459000025</v>
      </c>
      <c r="AH447" s="460"/>
      <c r="AI447" s="460"/>
      <c r="AJ447" s="460"/>
    </row>
    <row r="448" spans="1:36" x14ac:dyDescent="0.25">
      <c r="A448" s="9" t="s">
        <v>847</v>
      </c>
      <c r="B448" s="9" t="s">
        <v>971</v>
      </c>
      <c r="C448" s="9" t="s">
        <v>547</v>
      </c>
      <c r="D448" s="9">
        <v>2030</v>
      </c>
      <c r="E448" s="9" t="s">
        <v>997</v>
      </c>
      <c r="F448" s="460">
        <f>F329*'Inputs_NT INM'!M$257</f>
        <v>79.415704459000025</v>
      </c>
      <c r="G448" s="460">
        <f>G329*'Inputs_NT INM'!N$257</f>
        <v>79.415704459000025</v>
      </c>
      <c r="H448" s="460">
        <f>H329*'Inputs_NT INM'!O$257</f>
        <v>79.415704459000025</v>
      </c>
      <c r="I448" s="460">
        <f>I329*'Inputs_NT INM'!P$257</f>
        <v>79.415704459000025</v>
      </c>
      <c r="J448" s="460">
        <f>J329*'Inputs_NT INM'!Q$257</f>
        <v>79.415704459000025</v>
      </c>
      <c r="K448" s="460">
        <f>K329*'Inputs_NT INM'!R$257</f>
        <v>79.415704459000025</v>
      </c>
      <c r="L448" s="460">
        <f>L329*'Inputs_NT INM'!S$257</f>
        <v>79.415704459000025</v>
      </c>
      <c r="M448" s="460">
        <f>M329*'Inputs_NT INM'!T$257</f>
        <v>79.415704459000025</v>
      </c>
      <c r="N448" s="460">
        <f>N329*'Inputs_NT INM'!U$257</f>
        <v>79.415704459000025</v>
      </c>
      <c r="O448" s="460">
        <f>O329*'Inputs_NT INM'!V$257</f>
        <v>79.415704459000025</v>
      </c>
      <c r="P448" s="460">
        <f>P329*'Inputs_NT INM'!W$257</f>
        <v>79.415704459000025</v>
      </c>
      <c r="Q448" s="460">
        <f>Q329*'Inputs_NT INM'!X$257</f>
        <v>79.415704459000025</v>
      </c>
      <c r="R448" s="460">
        <f>R329*'Inputs_NT INM'!Y$257</f>
        <v>79.415704459000025</v>
      </c>
      <c r="S448" s="460">
        <f>S329*'Inputs_NT INM'!Z$257</f>
        <v>79.415704459000025</v>
      </c>
      <c r="T448" s="460">
        <f>T329*'Inputs_NT INM'!AA$257</f>
        <v>79.415704459000025</v>
      </c>
      <c r="U448" s="460">
        <f>U329*'Inputs_NT INM'!AB$257</f>
        <v>79.415704459000025</v>
      </c>
      <c r="V448" s="460">
        <f>V329*'Inputs_NT INM'!AC$257</f>
        <v>79.415704459000025</v>
      </c>
      <c r="W448" s="460">
        <f>W329*'Inputs_NT INM'!AD$257</f>
        <v>79.415704459000025</v>
      </c>
      <c r="X448" s="460">
        <f>X329*'Inputs_NT INM'!AE$257</f>
        <v>79.415704459000025</v>
      </c>
      <c r="Y448" s="460">
        <f>Y329*'Inputs_NT INM'!AF$257</f>
        <v>79.415704459000025</v>
      </c>
      <c r="Z448" s="460">
        <f>Z329*'Inputs_NT INM'!AG$257</f>
        <v>79.415704459000025</v>
      </c>
      <c r="AA448" s="460">
        <f>AA329*'Inputs_NT INM'!AH$257</f>
        <v>79.415704459000025</v>
      </c>
      <c r="AB448" s="460">
        <f>AB329*'Inputs_NT INM'!AI$257</f>
        <v>79.415704459000025</v>
      </c>
      <c r="AC448" s="460">
        <f>AC329*'Inputs_NT INM'!AJ$257</f>
        <v>79.415704459000025</v>
      </c>
      <c r="AD448" s="460">
        <f>AD329*'Inputs_NT INM'!AK$257</f>
        <v>79.415704459000025</v>
      </c>
      <c r="AE448" s="460">
        <f>AE329*'Inputs_NT INM'!AL$257</f>
        <v>79.415704459000025</v>
      </c>
      <c r="AF448" s="460">
        <f>AF329*'Inputs_NT INM'!AM$257</f>
        <v>79.415704459000025</v>
      </c>
      <c r="AG448" s="460">
        <f>AG329*'Inputs_NT INM'!AN$257</f>
        <v>79.415704459000025</v>
      </c>
      <c r="AH448" s="460"/>
      <c r="AI448" s="460"/>
      <c r="AJ448" s="460"/>
    </row>
    <row r="449" spans="1:36" x14ac:dyDescent="0.25">
      <c r="A449" s="9" t="s">
        <v>848</v>
      </c>
      <c r="B449" s="9" t="s">
        <v>972</v>
      </c>
      <c r="C449" s="9" t="s">
        <v>547</v>
      </c>
      <c r="D449" s="9">
        <v>2030</v>
      </c>
      <c r="E449" s="9" t="s">
        <v>997</v>
      </c>
      <c r="F449" s="460">
        <f>F330*'Inputs_NT INM'!M$257</f>
        <v>79.415704459000025</v>
      </c>
      <c r="G449" s="460">
        <f>G330*'Inputs_NT INM'!N$257</f>
        <v>79.415704459000025</v>
      </c>
      <c r="H449" s="460">
        <f>H330*'Inputs_NT INM'!O$257</f>
        <v>79.415704459000025</v>
      </c>
      <c r="I449" s="460">
        <f>I330*'Inputs_NT INM'!P$257</f>
        <v>79.415704459000025</v>
      </c>
      <c r="J449" s="460">
        <f>J330*'Inputs_NT INM'!Q$257</f>
        <v>79.415704459000025</v>
      </c>
      <c r="K449" s="460">
        <f>K330*'Inputs_NT INM'!R$257</f>
        <v>79.415704459000025</v>
      </c>
      <c r="L449" s="460">
        <f>L330*'Inputs_NT INM'!S$257</f>
        <v>79.415704459000025</v>
      </c>
      <c r="M449" s="460">
        <f>M330*'Inputs_NT INM'!T$257</f>
        <v>79.415704459000025</v>
      </c>
      <c r="N449" s="460">
        <f>N330*'Inputs_NT INM'!U$257</f>
        <v>79.415704459000025</v>
      </c>
      <c r="O449" s="460">
        <f>O330*'Inputs_NT INM'!V$257</f>
        <v>79.415704459000025</v>
      </c>
      <c r="P449" s="460">
        <f>P330*'Inputs_NT INM'!W$257</f>
        <v>79.415704459000025</v>
      </c>
      <c r="Q449" s="460">
        <f>Q330*'Inputs_NT INM'!X$257</f>
        <v>79.415704459000025</v>
      </c>
      <c r="R449" s="460">
        <f>R330*'Inputs_NT INM'!Y$257</f>
        <v>79.415704459000025</v>
      </c>
      <c r="S449" s="460">
        <f>S330*'Inputs_NT INM'!Z$257</f>
        <v>79.415704459000025</v>
      </c>
      <c r="T449" s="460">
        <f>T330*'Inputs_NT INM'!AA$257</f>
        <v>79.415704459000025</v>
      </c>
      <c r="U449" s="460">
        <f>U330*'Inputs_NT INM'!AB$257</f>
        <v>79.415704459000025</v>
      </c>
      <c r="V449" s="460">
        <f>V330*'Inputs_NT INM'!AC$257</f>
        <v>79.415704459000025</v>
      </c>
      <c r="W449" s="460">
        <f>W330*'Inputs_NT INM'!AD$257</f>
        <v>79.415704459000025</v>
      </c>
      <c r="X449" s="460">
        <f>X330*'Inputs_NT INM'!AE$257</f>
        <v>79.415704459000025</v>
      </c>
      <c r="Y449" s="460">
        <f>Y330*'Inputs_NT INM'!AF$257</f>
        <v>79.415704459000025</v>
      </c>
      <c r="Z449" s="460">
        <f>Z330*'Inputs_NT INM'!AG$257</f>
        <v>79.415704459000025</v>
      </c>
      <c r="AA449" s="460">
        <f>AA330*'Inputs_NT INM'!AH$257</f>
        <v>79.415704459000025</v>
      </c>
      <c r="AB449" s="460">
        <f>AB330*'Inputs_NT INM'!AI$257</f>
        <v>79.415704459000025</v>
      </c>
      <c r="AC449" s="460">
        <f>AC330*'Inputs_NT INM'!AJ$257</f>
        <v>79.415704459000025</v>
      </c>
      <c r="AD449" s="460">
        <f>AD330*'Inputs_NT INM'!AK$257</f>
        <v>79.415704459000025</v>
      </c>
      <c r="AE449" s="460">
        <f>AE330*'Inputs_NT INM'!AL$257</f>
        <v>79.415704459000025</v>
      </c>
      <c r="AF449" s="460">
        <f>AF330*'Inputs_NT INM'!AM$257</f>
        <v>79.415704459000025</v>
      </c>
      <c r="AG449" s="460">
        <f>AG330*'Inputs_NT INM'!AN$257</f>
        <v>79.415704459000025</v>
      </c>
      <c r="AH449" s="460"/>
      <c r="AI449" s="460"/>
      <c r="AJ449" s="460"/>
    </row>
    <row r="450" spans="1:36" x14ac:dyDescent="0.25">
      <c r="A450" s="9" t="s">
        <v>849</v>
      </c>
      <c r="B450" s="9" t="s">
        <v>973</v>
      </c>
      <c r="C450" s="9" t="s">
        <v>547</v>
      </c>
      <c r="D450" s="9">
        <v>2030</v>
      </c>
      <c r="E450" s="9" t="s">
        <v>997</v>
      </c>
      <c r="F450" s="460">
        <f>F331*'Inputs_NT INM'!M$257</f>
        <v>79.415704459000025</v>
      </c>
      <c r="G450" s="460">
        <f>G331*'Inputs_NT INM'!N$257</f>
        <v>79.415704459000025</v>
      </c>
      <c r="H450" s="460">
        <f>H331*'Inputs_NT INM'!O$257</f>
        <v>79.415704459000025</v>
      </c>
      <c r="I450" s="460">
        <f>I331*'Inputs_NT INM'!P$257</f>
        <v>79.415704459000025</v>
      </c>
      <c r="J450" s="460">
        <f>J331*'Inputs_NT INM'!Q$257</f>
        <v>79.415704459000025</v>
      </c>
      <c r="K450" s="460">
        <f>K331*'Inputs_NT INM'!R$257</f>
        <v>79.415704459000025</v>
      </c>
      <c r="L450" s="460">
        <f>L331*'Inputs_NT INM'!S$257</f>
        <v>79.415704459000025</v>
      </c>
      <c r="M450" s="460">
        <f>M331*'Inputs_NT INM'!T$257</f>
        <v>79.415704459000025</v>
      </c>
      <c r="N450" s="460">
        <f>N331*'Inputs_NT INM'!U$257</f>
        <v>79.415704459000025</v>
      </c>
      <c r="O450" s="460">
        <f>O331*'Inputs_NT INM'!V$257</f>
        <v>79.415704459000025</v>
      </c>
      <c r="P450" s="460">
        <f>P331*'Inputs_NT INM'!W$257</f>
        <v>79.415704459000025</v>
      </c>
      <c r="Q450" s="460">
        <f>Q331*'Inputs_NT INM'!X$257</f>
        <v>79.415704459000025</v>
      </c>
      <c r="R450" s="460">
        <f>R331*'Inputs_NT INM'!Y$257</f>
        <v>79.415704459000025</v>
      </c>
      <c r="S450" s="460">
        <f>S331*'Inputs_NT INM'!Z$257</f>
        <v>79.415704459000025</v>
      </c>
      <c r="T450" s="460">
        <f>T331*'Inputs_NT INM'!AA$257</f>
        <v>79.415704459000025</v>
      </c>
      <c r="U450" s="460">
        <f>U331*'Inputs_NT INM'!AB$257</f>
        <v>79.415704459000025</v>
      </c>
      <c r="V450" s="460">
        <f>V331*'Inputs_NT INM'!AC$257</f>
        <v>79.415704459000025</v>
      </c>
      <c r="W450" s="460">
        <f>W331*'Inputs_NT INM'!AD$257</f>
        <v>79.415704459000025</v>
      </c>
      <c r="X450" s="460">
        <f>X331*'Inputs_NT INM'!AE$257</f>
        <v>79.415704459000025</v>
      </c>
      <c r="Y450" s="460">
        <f>Y331*'Inputs_NT INM'!AF$257</f>
        <v>79.415704459000025</v>
      </c>
      <c r="Z450" s="460">
        <f>Z331*'Inputs_NT INM'!AG$257</f>
        <v>79.415704459000025</v>
      </c>
      <c r="AA450" s="460">
        <f>AA331*'Inputs_NT INM'!AH$257</f>
        <v>79.415704459000025</v>
      </c>
      <c r="AB450" s="460">
        <f>AB331*'Inputs_NT INM'!AI$257</f>
        <v>79.415704459000025</v>
      </c>
      <c r="AC450" s="460">
        <f>AC331*'Inputs_NT INM'!AJ$257</f>
        <v>79.415704459000025</v>
      </c>
      <c r="AD450" s="460">
        <f>AD331*'Inputs_NT INM'!AK$257</f>
        <v>79.415704459000025</v>
      </c>
      <c r="AE450" s="460">
        <f>AE331*'Inputs_NT INM'!AL$257</f>
        <v>79.415704459000025</v>
      </c>
      <c r="AF450" s="460">
        <f>AF331*'Inputs_NT INM'!AM$257</f>
        <v>79.415704459000025</v>
      </c>
      <c r="AG450" s="460">
        <f>AG331*'Inputs_NT INM'!AN$257</f>
        <v>79.415704459000025</v>
      </c>
      <c r="AH450" s="460"/>
      <c r="AI450" s="460"/>
      <c r="AJ450" s="460"/>
    </row>
    <row r="451" spans="1:36" x14ac:dyDescent="0.25">
      <c r="A451" s="9" t="s">
        <v>850</v>
      </c>
      <c r="B451" s="9" t="s">
        <v>974</v>
      </c>
      <c r="C451" s="9" t="s">
        <v>547</v>
      </c>
      <c r="D451" s="9">
        <v>2030</v>
      </c>
      <c r="E451" s="9" t="s">
        <v>997</v>
      </c>
      <c r="F451" s="460">
        <f>F332*'Inputs_NT INM'!M$257</f>
        <v>79.415704459000025</v>
      </c>
      <c r="G451" s="460">
        <f>G332*'Inputs_NT INM'!N$257</f>
        <v>79.415704459000025</v>
      </c>
      <c r="H451" s="460">
        <f>H332*'Inputs_NT INM'!O$257</f>
        <v>79.415704459000025</v>
      </c>
      <c r="I451" s="460">
        <f>I332*'Inputs_NT INM'!P$257</f>
        <v>79.415704459000025</v>
      </c>
      <c r="J451" s="460">
        <f>J332*'Inputs_NT INM'!Q$257</f>
        <v>79.415704459000025</v>
      </c>
      <c r="K451" s="460">
        <f>K332*'Inputs_NT INM'!R$257</f>
        <v>79.415704459000025</v>
      </c>
      <c r="L451" s="460">
        <f>L332*'Inputs_NT INM'!S$257</f>
        <v>79.415704459000025</v>
      </c>
      <c r="M451" s="460">
        <f>M332*'Inputs_NT INM'!T$257</f>
        <v>79.415704459000025</v>
      </c>
      <c r="N451" s="460">
        <f>N332*'Inputs_NT INM'!U$257</f>
        <v>79.415704459000025</v>
      </c>
      <c r="O451" s="460">
        <f>O332*'Inputs_NT INM'!V$257</f>
        <v>79.415704459000025</v>
      </c>
      <c r="P451" s="460">
        <f>P332*'Inputs_NT INM'!W$257</f>
        <v>79.415704459000025</v>
      </c>
      <c r="Q451" s="460">
        <f>Q332*'Inputs_NT INM'!X$257</f>
        <v>79.415704459000025</v>
      </c>
      <c r="R451" s="460">
        <f>R332*'Inputs_NT INM'!Y$257</f>
        <v>79.415704459000025</v>
      </c>
      <c r="S451" s="460">
        <f>S332*'Inputs_NT INM'!Z$257</f>
        <v>79.415704459000025</v>
      </c>
      <c r="T451" s="460">
        <f>T332*'Inputs_NT INM'!AA$257</f>
        <v>79.415704459000025</v>
      </c>
      <c r="U451" s="460">
        <f>U332*'Inputs_NT INM'!AB$257</f>
        <v>79.415704459000025</v>
      </c>
      <c r="V451" s="460">
        <f>V332*'Inputs_NT INM'!AC$257</f>
        <v>79.415704459000025</v>
      </c>
      <c r="W451" s="460">
        <f>W332*'Inputs_NT INM'!AD$257</f>
        <v>79.415704459000025</v>
      </c>
      <c r="X451" s="460">
        <f>X332*'Inputs_NT INM'!AE$257</f>
        <v>79.415704459000025</v>
      </c>
      <c r="Y451" s="460">
        <f>Y332*'Inputs_NT INM'!AF$257</f>
        <v>79.415704459000025</v>
      </c>
      <c r="Z451" s="460">
        <f>Z332*'Inputs_NT INM'!AG$257</f>
        <v>79.415704459000025</v>
      </c>
      <c r="AA451" s="460">
        <f>AA332*'Inputs_NT INM'!AH$257</f>
        <v>79.415704459000025</v>
      </c>
      <c r="AB451" s="460">
        <f>AB332*'Inputs_NT INM'!AI$257</f>
        <v>79.415704459000025</v>
      </c>
      <c r="AC451" s="460">
        <f>AC332*'Inputs_NT INM'!AJ$257</f>
        <v>79.415704459000025</v>
      </c>
      <c r="AD451" s="460">
        <f>AD332*'Inputs_NT INM'!AK$257</f>
        <v>79.415704459000025</v>
      </c>
      <c r="AE451" s="460">
        <f>AE332*'Inputs_NT INM'!AL$257</f>
        <v>79.415704459000025</v>
      </c>
      <c r="AF451" s="460">
        <f>AF332*'Inputs_NT INM'!AM$257</f>
        <v>79.415704459000025</v>
      </c>
      <c r="AG451" s="460">
        <f>AG332*'Inputs_NT INM'!AN$257</f>
        <v>79.415704459000025</v>
      </c>
      <c r="AH451" s="460"/>
      <c r="AI451" s="460"/>
      <c r="AJ451" s="460"/>
    </row>
    <row r="452" spans="1:36" x14ac:dyDescent="0.25">
      <c r="A452" s="9" t="s">
        <v>831</v>
      </c>
      <c r="B452" s="9" t="s">
        <v>975</v>
      </c>
      <c r="C452" s="9" t="s">
        <v>547</v>
      </c>
      <c r="D452" s="9">
        <v>2030</v>
      </c>
      <c r="E452" s="9" t="s">
        <v>997</v>
      </c>
      <c r="F452" s="460">
        <f>F333*'Inputs_NT INM'!M$257</f>
        <v>79.415704459000025</v>
      </c>
      <c r="G452" s="460">
        <f>G333*'Inputs_NT INM'!N$257</f>
        <v>79.415704459000025</v>
      </c>
      <c r="H452" s="460">
        <f>H333*'Inputs_NT INM'!O$257</f>
        <v>79.415704459000025</v>
      </c>
      <c r="I452" s="460">
        <f>I333*'Inputs_NT INM'!P$257</f>
        <v>79.415704459000025</v>
      </c>
      <c r="J452" s="460">
        <f>J333*'Inputs_NT INM'!Q$257</f>
        <v>79.415704459000025</v>
      </c>
      <c r="K452" s="460">
        <f>K333*'Inputs_NT INM'!R$257</f>
        <v>79.415704459000025</v>
      </c>
      <c r="L452" s="460">
        <f>L333*'Inputs_NT INM'!S$257</f>
        <v>79.415704459000025</v>
      </c>
      <c r="M452" s="460">
        <f>M333*'Inputs_NT INM'!T$257</f>
        <v>79.415704459000025</v>
      </c>
      <c r="N452" s="460">
        <f>N333*'Inputs_NT INM'!U$257</f>
        <v>79.415704459000025</v>
      </c>
      <c r="O452" s="460">
        <f>O333*'Inputs_NT INM'!V$257</f>
        <v>79.415704459000025</v>
      </c>
      <c r="P452" s="460">
        <f>P333*'Inputs_NT INM'!W$257</f>
        <v>79.415704459000025</v>
      </c>
      <c r="Q452" s="460">
        <f>Q333*'Inputs_NT INM'!X$257</f>
        <v>79.415704459000025</v>
      </c>
      <c r="R452" s="460">
        <f>R333*'Inputs_NT INM'!Y$257</f>
        <v>79.415704459000025</v>
      </c>
      <c r="S452" s="460">
        <f>S333*'Inputs_NT INM'!Z$257</f>
        <v>79.415704459000025</v>
      </c>
      <c r="T452" s="460">
        <f>T333*'Inputs_NT INM'!AA$257</f>
        <v>79.415704459000025</v>
      </c>
      <c r="U452" s="460">
        <f>U333*'Inputs_NT INM'!AB$257</f>
        <v>79.415704459000025</v>
      </c>
      <c r="V452" s="460">
        <f>V333*'Inputs_NT INM'!AC$257</f>
        <v>79.415704459000025</v>
      </c>
      <c r="W452" s="460">
        <f>W333*'Inputs_NT INM'!AD$257</f>
        <v>79.415704459000025</v>
      </c>
      <c r="X452" s="460">
        <f>X333*'Inputs_NT INM'!AE$257</f>
        <v>79.415704459000025</v>
      </c>
      <c r="Y452" s="460">
        <f>Y333*'Inputs_NT INM'!AF$257</f>
        <v>79.415704459000025</v>
      </c>
      <c r="Z452" s="460">
        <f>Z333*'Inputs_NT INM'!AG$257</f>
        <v>79.415704459000025</v>
      </c>
      <c r="AA452" s="460">
        <f>AA333*'Inputs_NT INM'!AH$257</f>
        <v>79.415704459000025</v>
      </c>
      <c r="AB452" s="460">
        <f>AB333*'Inputs_NT INM'!AI$257</f>
        <v>79.415704459000025</v>
      </c>
      <c r="AC452" s="460">
        <f>AC333*'Inputs_NT INM'!AJ$257</f>
        <v>79.415704459000025</v>
      </c>
      <c r="AD452" s="460">
        <f>AD333*'Inputs_NT INM'!AK$257</f>
        <v>79.415704459000025</v>
      </c>
      <c r="AE452" s="460">
        <f>AE333*'Inputs_NT INM'!AL$257</f>
        <v>79.415704459000025</v>
      </c>
      <c r="AF452" s="460">
        <f>AF333*'Inputs_NT INM'!AM$257</f>
        <v>79.415704459000025</v>
      </c>
      <c r="AG452" s="460">
        <f>AG333*'Inputs_NT INM'!AN$257</f>
        <v>79.415704459000025</v>
      </c>
      <c r="AH452" s="460"/>
      <c r="AI452" s="460"/>
      <c r="AJ452" s="460"/>
    </row>
    <row r="453" spans="1:36" x14ac:dyDescent="0.25">
      <c r="A453" s="9" t="s">
        <v>845</v>
      </c>
      <c r="B453" s="9" t="s">
        <v>969</v>
      </c>
      <c r="C453" s="9" t="s">
        <v>547</v>
      </c>
      <c r="D453" s="9">
        <v>2050</v>
      </c>
      <c r="E453" s="9" t="s">
        <v>997</v>
      </c>
      <c r="F453" s="460">
        <f>F334*'Inputs_NT INM'!M$257</f>
        <v>67.942790028200918</v>
      </c>
      <c r="G453" s="460">
        <f>G334*'Inputs_NT INM'!N$257</f>
        <v>67.942790028200918</v>
      </c>
      <c r="H453" s="460">
        <f>H334*'Inputs_NT INM'!O$257</f>
        <v>67.942790028200918</v>
      </c>
      <c r="I453" s="460">
        <f>I334*'Inputs_NT INM'!P$257</f>
        <v>67.942790028200918</v>
      </c>
      <c r="J453" s="460">
        <f>J334*'Inputs_NT INM'!Q$257</f>
        <v>67.942790028200918</v>
      </c>
      <c r="K453" s="460">
        <f>K334*'Inputs_NT INM'!R$257</f>
        <v>67.942790028200918</v>
      </c>
      <c r="L453" s="460">
        <f>L334*'Inputs_NT INM'!S$257</f>
        <v>67.942790028200918</v>
      </c>
      <c r="M453" s="460">
        <f>M334*'Inputs_NT INM'!T$257</f>
        <v>67.942790028200918</v>
      </c>
      <c r="N453" s="460">
        <f>N334*'Inputs_NT INM'!U$257</f>
        <v>67.942790028200918</v>
      </c>
      <c r="O453" s="460">
        <f>O334*'Inputs_NT INM'!V$257</f>
        <v>67.942790028200918</v>
      </c>
      <c r="P453" s="460">
        <f>P334*'Inputs_NT INM'!W$257</f>
        <v>67.942790028200918</v>
      </c>
      <c r="Q453" s="460">
        <f>Q334*'Inputs_NT INM'!X$257</f>
        <v>67.942790028200918</v>
      </c>
      <c r="R453" s="460">
        <f>R334*'Inputs_NT INM'!Y$257</f>
        <v>67.942790028200918</v>
      </c>
      <c r="S453" s="460">
        <f>S334*'Inputs_NT INM'!Z$257</f>
        <v>67.942790028200918</v>
      </c>
      <c r="T453" s="460">
        <f>T334*'Inputs_NT INM'!AA$257</f>
        <v>67.942790028200918</v>
      </c>
      <c r="U453" s="460">
        <f>U334*'Inputs_NT INM'!AB$257</f>
        <v>67.942790028200918</v>
      </c>
      <c r="V453" s="460">
        <f>V334*'Inputs_NT INM'!AC$257</f>
        <v>67.942790028200918</v>
      </c>
      <c r="W453" s="460">
        <f>W334*'Inputs_NT INM'!AD$257</f>
        <v>67.942790028200918</v>
      </c>
      <c r="X453" s="460">
        <f>X334*'Inputs_NT INM'!AE$257</f>
        <v>67.942790028200918</v>
      </c>
      <c r="Y453" s="460">
        <f>Y334*'Inputs_NT INM'!AF$257</f>
        <v>67.942790028200918</v>
      </c>
      <c r="Z453" s="460">
        <f>Z334*'Inputs_NT INM'!AG$257</f>
        <v>67.942790028200918</v>
      </c>
      <c r="AA453" s="460">
        <f>AA334*'Inputs_NT INM'!AH$257</f>
        <v>67.942790028200918</v>
      </c>
      <c r="AB453" s="460">
        <f>AB334*'Inputs_NT INM'!AI$257</f>
        <v>67.942790028200918</v>
      </c>
      <c r="AC453" s="460">
        <f>AC334*'Inputs_NT INM'!AJ$257</f>
        <v>67.942790028200918</v>
      </c>
      <c r="AD453" s="460">
        <f>AD334*'Inputs_NT INM'!AK$257</f>
        <v>67.942790028200918</v>
      </c>
      <c r="AE453" s="460">
        <f>AE334*'Inputs_NT INM'!AL$257</f>
        <v>67.942790028200918</v>
      </c>
      <c r="AF453" s="460">
        <f>AF334*'Inputs_NT INM'!AM$257</f>
        <v>67.942790028200918</v>
      </c>
      <c r="AG453" s="460">
        <f>AG334*'Inputs_NT INM'!AN$257</f>
        <v>67.942790028200918</v>
      </c>
      <c r="AH453" s="460"/>
      <c r="AI453" s="460"/>
      <c r="AJ453" s="460"/>
    </row>
    <row r="454" spans="1:36" x14ac:dyDescent="0.25">
      <c r="A454" s="9" t="s">
        <v>846</v>
      </c>
      <c r="B454" s="9" t="s">
        <v>970</v>
      </c>
      <c r="C454" s="9" t="s">
        <v>547</v>
      </c>
      <c r="D454" s="9">
        <v>2050</v>
      </c>
      <c r="E454" s="9" t="s">
        <v>997</v>
      </c>
      <c r="F454" s="460">
        <f>F335*'Inputs_NT INM'!M$257</f>
        <v>67.942790028200918</v>
      </c>
      <c r="G454" s="460">
        <f>G335*'Inputs_NT INM'!N$257</f>
        <v>67.942790028200918</v>
      </c>
      <c r="H454" s="460">
        <f>H335*'Inputs_NT INM'!O$257</f>
        <v>67.942790028200918</v>
      </c>
      <c r="I454" s="460">
        <f>I335*'Inputs_NT INM'!P$257</f>
        <v>67.942790028200918</v>
      </c>
      <c r="J454" s="460">
        <f>J335*'Inputs_NT INM'!Q$257</f>
        <v>67.942790028200918</v>
      </c>
      <c r="K454" s="460">
        <f>K335*'Inputs_NT INM'!R$257</f>
        <v>67.942790028200918</v>
      </c>
      <c r="L454" s="460">
        <f>L335*'Inputs_NT INM'!S$257</f>
        <v>67.942790028200918</v>
      </c>
      <c r="M454" s="460">
        <f>M335*'Inputs_NT INM'!T$257</f>
        <v>67.942790028200918</v>
      </c>
      <c r="N454" s="460">
        <f>N335*'Inputs_NT INM'!U$257</f>
        <v>67.942790028200918</v>
      </c>
      <c r="O454" s="460">
        <f>O335*'Inputs_NT INM'!V$257</f>
        <v>67.942790028200918</v>
      </c>
      <c r="P454" s="460">
        <f>P335*'Inputs_NT INM'!W$257</f>
        <v>67.942790028200918</v>
      </c>
      <c r="Q454" s="460">
        <f>Q335*'Inputs_NT INM'!X$257</f>
        <v>67.942790028200918</v>
      </c>
      <c r="R454" s="460">
        <f>R335*'Inputs_NT INM'!Y$257</f>
        <v>67.942790028200918</v>
      </c>
      <c r="S454" s="460">
        <f>S335*'Inputs_NT INM'!Z$257</f>
        <v>67.942790028200918</v>
      </c>
      <c r="T454" s="460">
        <f>T335*'Inputs_NT INM'!AA$257</f>
        <v>67.942790028200918</v>
      </c>
      <c r="U454" s="460">
        <f>U335*'Inputs_NT INM'!AB$257</f>
        <v>67.942790028200918</v>
      </c>
      <c r="V454" s="460">
        <f>V335*'Inputs_NT INM'!AC$257</f>
        <v>67.942790028200918</v>
      </c>
      <c r="W454" s="460">
        <f>W335*'Inputs_NT INM'!AD$257</f>
        <v>67.942790028200918</v>
      </c>
      <c r="X454" s="460">
        <f>X335*'Inputs_NT INM'!AE$257</f>
        <v>67.942790028200918</v>
      </c>
      <c r="Y454" s="460">
        <f>Y335*'Inputs_NT INM'!AF$257</f>
        <v>67.942790028200918</v>
      </c>
      <c r="Z454" s="460">
        <f>Z335*'Inputs_NT INM'!AG$257</f>
        <v>67.942790028200918</v>
      </c>
      <c r="AA454" s="460">
        <f>AA335*'Inputs_NT INM'!AH$257</f>
        <v>67.942790028200918</v>
      </c>
      <c r="AB454" s="460">
        <f>AB335*'Inputs_NT INM'!AI$257</f>
        <v>67.942790028200918</v>
      </c>
      <c r="AC454" s="460">
        <f>AC335*'Inputs_NT INM'!AJ$257</f>
        <v>67.942790028200918</v>
      </c>
      <c r="AD454" s="460">
        <f>AD335*'Inputs_NT INM'!AK$257</f>
        <v>67.942790028200918</v>
      </c>
      <c r="AE454" s="460">
        <f>AE335*'Inputs_NT INM'!AL$257</f>
        <v>67.942790028200918</v>
      </c>
      <c r="AF454" s="460">
        <f>AF335*'Inputs_NT INM'!AM$257</f>
        <v>67.942790028200918</v>
      </c>
      <c r="AG454" s="460">
        <f>AG335*'Inputs_NT INM'!AN$257</f>
        <v>67.942790028200918</v>
      </c>
      <c r="AH454" s="460"/>
      <c r="AI454" s="460"/>
      <c r="AJ454" s="460"/>
    </row>
    <row r="455" spans="1:36" x14ac:dyDescent="0.25">
      <c r="A455" s="9" t="s">
        <v>847</v>
      </c>
      <c r="B455" s="9" t="s">
        <v>971</v>
      </c>
      <c r="C455" s="9" t="s">
        <v>547</v>
      </c>
      <c r="D455" s="9">
        <v>2050</v>
      </c>
      <c r="E455" s="9" t="s">
        <v>997</v>
      </c>
      <c r="F455" s="460">
        <f>F336*'Inputs_NT INM'!M$257</f>
        <v>67.942790028200918</v>
      </c>
      <c r="G455" s="460">
        <f>G336*'Inputs_NT INM'!N$257</f>
        <v>67.942790028200918</v>
      </c>
      <c r="H455" s="460">
        <f>H336*'Inputs_NT INM'!O$257</f>
        <v>67.942790028200918</v>
      </c>
      <c r="I455" s="460">
        <f>I336*'Inputs_NT INM'!P$257</f>
        <v>67.942790028200918</v>
      </c>
      <c r="J455" s="460">
        <f>J336*'Inputs_NT INM'!Q$257</f>
        <v>67.942790028200918</v>
      </c>
      <c r="K455" s="460">
        <f>K336*'Inputs_NT INM'!R$257</f>
        <v>67.942790028200918</v>
      </c>
      <c r="L455" s="460">
        <f>L336*'Inputs_NT INM'!S$257</f>
        <v>67.942790028200918</v>
      </c>
      <c r="M455" s="460">
        <f>M336*'Inputs_NT INM'!T$257</f>
        <v>67.942790028200918</v>
      </c>
      <c r="N455" s="460">
        <f>N336*'Inputs_NT INM'!U$257</f>
        <v>67.942790028200918</v>
      </c>
      <c r="O455" s="460">
        <f>O336*'Inputs_NT INM'!V$257</f>
        <v>67.942790028200918</v>
      </c>
      <c r="P455" s="460">
        <f>P336*'Inputs_NT INM'!W$257</f>
        <v>67.942790028200918</v>
      </c>
      <c r="Q455" s="460">
        <f>Q336*'Inputs_NT INM'!X$257</f>
        <v>67.942790028200918</v>
      </c>
      <c r="R455" s="460">
        <f>R336*'Inputs_NT INM'!Y$257</f>
        <v>67.942790028200918</v>
      </c>
      <c r="S455" s="460">
        <f>S336*'Inputs_NT INM'!Z$257</f>
        <v>67.942790028200918</v>
      </c>
      <c r="T455" s="460">
        <f>T336*'Inputs_NT INM'!AA$257</f>
        <v>67.942790028200918</v>
      </c>
      <c r="U455" s="460">
        <f>U336*'Inputs_NT INM'!AB$257</f>
        <v>67.942790028200918</v>
      </c>
      <c r="V455" s="460">
        <f>V336*'Inputs_NT INM'!AC$257</f>
        <v>67.942790028200918</v>
      </c>
      <c r="W455" s="460">
        <f>W336*'Inputs_NT INM'!AD$257</f>
        <v>67.942790028200918</v>
      </c>
      <c r="X455" s="460">
        <f>X336*'Inputs_NT INM'!AE$257</f>
        <v>67.942790028200918</v>
      </c>
      <c r="Y455" s="460">
        <f>Y336*'Inputs_NT INM'!AF$257</f>
        <v>67.942790028200918</v>
      </c>
      <c r="Z455" s="460">
        <f>Z336*'Inputs_NT INM'!AG$257</f>
        <v>67.942790028200918</v>
      </c>
      <c r="AA455" s="460">
        <f>AA336*'Inputs_NT INM'!AH$257</f>
        <v>67.942790028200918</v>
      </c>
      <c r="AB455" s="460">
        <f>AB336*'Inputs_NT INM'!AI$257</f>
        <v>67.942790028200918</v>
      </c>
      <c r="AC455" s="460">
        <f>AC336*'Inputs_NT INM'!AJ$257</f>
        <v>67.942790028200918</v>
      </c>
      <c r="AD455" s="460">
        <f>AD336*'Inputs_NT INM'!AK$257</f>
        <v>67.942790028200918</v>
      </c>
      <c r="AE455" s="460">
        <f>AE336*'Inputs_NT INM'!AL$257</f>
        <v>67.942790028200918</v>
      </c>
      <c r="AF455" s="460">
        <f>AF336*'Inputs_NT INM'!AM$257</f>
        <v>67.942790028200918</v>
      </c>
      <c r="AG455" s="460">
        <f>AG336*'Inputs_NT INM'!AN$257</f>
        <v>67.942790028200918</v>
      </c>
      <c r="AH455" s="460"/>
      <c r="AI455" s="460"/>
      <c r="AJ455" s="460"/>
    </row>
    <row r="456" spans="1:36" x14ac:dyDescent="0.25">
      <c r="A456" s="9" t="s">
        <v>848</v>
      </c>
      <c r="B456" s="9" t="s">
        <v>972</v>
      </c>
      <c r="C456" s="9" t="s">
        <v>547</v>
      </c>
      <c r="D456" s="9">
        <v>2050</v>
      </c>
      <c r="E456" s="9" t="s">
        <v>997</v>
      </c>
      <c r="F456" s="460">
        <f>F337*'Inputs_NT INM'!M$257</f>
        <v>67.942790028200918</v>
      </c>
      <c r="G456" s="460">
        <f>G337*'Inputs_NT INM'!N$257</f>
        <v>67.942790028200918</v>
      </c>
      <c r="H456" s="460">
        <f>H337*'Inputs_NT INM'!O$257</f>
        <v>67.942790028200918</v>
      </c>
      <c r="I456" s="460">
        <f>I337*'Inputs_NT INM'!P$257</f>
        <v>67.942790028200918</v>
      </c>
      <c r="J456" s="460">
        <f>J337*'Inputs_NT INM'!Q$257</f>
        <v>67.942790028200918</v>
      </c>
      <c r="K456" s="460">
        <f>K337*'Inputs_NT INM'!R$257</f>
        <v>67.942790028200918</v>
      </c>
      <c r="L456" s="460">
        <f>L337*'Inputs_NT INM'!S$257</f>
        <v>67.942790028200918</v>
      </c>
      <c r="M456" s="460">
        <f>M337*'Inputs_NT INM'!T$257</f>
        <v>67.942790028200918</v>
      </c>
      <c r="N456" s="460">
        <f>N337*'Inputs_NT INM'!U$257</f>
        <v>67.942790028200918</v>
      </c>
      <c r="O456" s="460">
        <f>O337*'Inputs_NT INM'!V$257</f>
        <v>67.942790028200918</v>
      </c>
      <c r="P456" s="460">
        <f>P337*'Inputs_NT INM'!W$257</f>
        <v>67.942790028200918</v>
      </c>
      <c r="Q456" s="460">
        <f>Q337*'Inputs_NT INM'!X$257</f>
        <v>67.942790028200918</v>
      </c>
      <c r="R456" s="460">
        <f>R337*'Inputs_NT INM'!Y$257</f>
        <v>67.942790028200918</v>
      </c>
      <c r="S456" s="460">
        <f>S337*'Inputs_NT INM'!Z$257</f>
        <v>67.942790028200918</v>
      </c>
      <c r="T456" s="460">
        <f>T337*'Inputs_NT INM'!AA$257</f>
        <v>67.942790028200918</v>
      </c>
      <c r="U456" s="460">
        <f>U337*'Inputs_NT INM'!AB$257</f>
        <v>67.942790028200918</v>
      </c>
      <c r="V456" s="460">
        <f>V337*'Inputs_NT INM'!AC$257</f>
        <v>67.942790028200918</v>
      </c>
      <c r="W456" s="460">
        <f>W337*'Inputs_NT INM'!AD$257</f>
        <v>67.942790028200918</v>
      </c>
      <c r="X456" s="460">
        <f>X337*'Inputs_NT INM'!AE$257</f>
        <v>67.942790028200918</v>
      </c>
      <c r="Y456" s="460">
        <f>Y337*'Inputs_NT INM'!AF$257</f>
        <v>67.942790028200918</v>
      </c>
      <c r="Z456" s="460">
        <f>Z337*'Inputs_NT INM'!AG$257</f>
        <v>67.942790028200918</v>
      </c>
      <c r="AA456" s="460">
        <f>AA337*'Inputs_NT INM'!AH$257</f>
        <v>67.942790028200918</v>
      </c>
      <c r="AB456" s="460">
        <f>AB337*'Inputs_NT INM'!AI$257</f>
        <v>67.942790028200918</v>
      </c>
      <c r="AC456" s="460">
        <f>AC337*'Inputs_NT INM'!AJ$257</f>
        <v>67.942790028200918</v>
      </c>
      <c r="AD456" s="460">
        <f>AD337*'Inputs_NT INM'!AK$257</f>
        <v>67.942790028200918</v>
      </c>
      <c r="AE456" s="460">
        <f>AE337*'Inputs_NT INM'!AL$257</f>
        <v>67.942790028200918</v>
      </c>
      <c r="AF456" s="460">
        <f>AF337*'Inputs_NT INM'!AM$257</f>
        <v>67.942790028200918</v>
      </c>
      <c r="AG456" s="460">
        <f>AG337*'Inputs_NT INM'!AN$257</f>
        <v>67.942790028200918</v>
      </c>
      <c r="AH456" s="460"/>
      <c r="AI456" s="460"/>
      <c r="AJ456" s="460"/>
    </row>
    <row r="457" spans="1:36" x14ac:dyDescent="0.25">
      <c r="A457" s="9" t="s">
        <v>849</v>
      </c>
      <c r="B457" s="9" t="s">
        <v>973</v>
      </c>
      <c r="C457" s="9" t="s">
        <v>547</v>
      </c>
      <c r="D457" s="9">
        <v>2050</v>
      </c>
      <c r="E457" s="9" t="s">
        <v>997</v>
      </c>
      <c r="F457" s="460">
        <f>F338*'Inputs_NT INM'!M$257</f>
        <v>67.942790028200918</v>
      </c>
      <c r="G457" s="460">
        <f>G338*'Inputs_NT INM'!N$257</f>
        <v>67.942790028200918</v>
      </c>
      <c r="H457" s="460">
        <f>H338*'Inputs_NT INM'!O$257</f>
        <v>67.942790028200918</v>
      </c>
      <c r="I457" s="460">
        <f>I338*'Inputs_NT INM'!P$257</f>
        <v>67.942790028200918</v>
      </c>
      <c r="J457" s="460">
        <f>J338*'Inputs_NT INM'!Q$257</f>
        <v>67.942790028200918</v>
      </c>
      <c r="K457" s="460">
        <f>K338*'Inputs_NT INM'!R$257</f>
        <v>67.942790028200918</v>
      </c>
      <c r="L457" s="460">
        <f>L338*'Inputs_NT INM'!S$257</f>
        <v>67.942790028200918</v>
      </c>
      <c r="M457" s="460">
        <f>M338*'Inputs_NT INM'!T$257</f>
        <v>67.942790028200918</v>
      </c>
      <c r="N457" s="460">
        <f>N338*'Inputs_NT INM'!U$257</f>
        <v>67.942790028200918</v>
      </c>
      <c r="O457" s="460">
        <f>O338*'Inputs_NT INM'!V$257</f>
        <v>67.942790028200918</v>
      </c>
      <c r="P457" s="460">
        <f>P338*'Inputs_NT INM'!W$257</f>
        <v>67.942790028200918</v>
      </c>
      <c r="Q457" s="460">
        <f>Q338*'Inputs_NT INM'!X$257</f>
        <v>67.942790028200918</v>
      </c>
      <c r="R457" s="460">
        <f>R338*'Inputs_NT INM'!Y$257</f>
        <v>67.942790028200918</v>
      </c>
      <c r="S457" s="460">
        <f>S338*'Inputs_NT INM'!Z$257</f>
        <v>67.942790028200918</v>
      </c>
      <c r="T457" s="460">
        <f>T338*'Inputs_NT INM'!AA$257</f>
        <v>67.942790028200918</v>
      </c>
      <c r="U457" s="460">
        <f>U338*'Inputs_NT INM'!AB$257</f>
        <v>67.942790028200918</v>
      </c>
      <c r="V457" s="460">
        <f>V338*'Inputs_NT INM'!AC$257</f>
        <v>67.942790028200918</v>
      </c>
      <c r="W457" s="460">
        <f>W338*'Inputs_NT INM'!AD$257</f>
        <v>67.942790028200918</v>
      </c>
      <c r="X457" s="460">
        <f>X338*'Inputs_NT INM'!AE$257</f>
        <v>67.942790028200918</v>
      </c>
      <c r="Y457" s="460">
        <f>Y338*'Inputs_NT INM'!AF$257</f>
        <v>67.942790028200918</v>
      </c>
      <c r="Z457" s="460">
        <f>Z338*'Inputs_NT INM'!AG$257</f>
        <v>67.942790028200918</v>
      </c>
      <c r="AA457" s="460">
        <f>AA338*'Inputs_NT INM'!AH$257</f>
        <v>67.942790028200918</v>
      </c>
      <c r="AB457" s="460">
        <f>AB338*'Inputs_NT INM'!AI$257</f>
        <v>67.942790028200918</v>
      </c>
      <c r="AC457" s="460">
        <f>AC338*'Inputs_NT INM'!AJ$257</f>
        <v>67.942790028200918</v>
      </c>
      <c r="AD457" s="460">
        <f>AD338*'Inputs_NT INM'!AK$257</f>
        <v>67.942790028200918</v>
      </c>
      <c r="AE457" s="460">
        <f>AE338*'Inputs_NT INM'!AL$257</f>
        <v>67.942790028200918</v>
      </c>
      <c r="AF457" s="460">
        <f>AF338*'Inputs_NT INM'!AM$257</f>
        <v>67.942790028200918</v>
      </c>
      <c r="AG457" s="460">
        <f>AG338*'Inputs_NT INM'!AN$257</f>
        <v>67.942790028200918</v>
      </c>
      <c r="AH457" s="460"/>
      <c r="AI457" s="460"/>
      <c r="AJ457" s="460"/>
    </row>
    <row r="458" spans="1:36" x14ac:dyDescent="0.25">
      <c r="A458" s="9" t="s">
        <v>850</v>
      </c>
      <c r="B458" s="9" t="s">
        <v>974</v>
      </c>
      <c r="C458" s="9" t="s">
        <v>547</v>
      </c>
      <c r="D458" s="9">
        <v>2050</v>
      </c>
      <c r="E458" s="9" t="s">
        <v>997</v>
      </c>
      <c r="F458" s="460">
        <f>F339*'Inputs_NT INM'!M$257</f>
        <v>67.942790028200918</v>
      </c>
      <c r="G458" s="460">
        <f>G339*'Inputs_NT INM'!N$257</f>
        <v>67.942790028200918</v>
      </c>
      <c r="H458" s="460">
        <f>H339*'Inputs_NT INM'!O$257</f>
        <v>67.942790028200918</v>
      </c>
      <c r="I458" s="460">
        <f>I339*'Inputs_NT INM'!P$257</f>
        <v>67.942790028200918</v>
      </c>
      <c r="J458" s="460">
        <f>J339*'Inputs_NT INM'!Q$257</f>
        <v>67.942790028200918</v>
      </c>
      <c r="K458" s="460">
        <f>K339*'Inputs_NT INM'!R$257</f>
        <v>67.942790028200918</v>
      </c>
      <c r="L458" s="460">
        <f>L339*'Inputs_NT INM'!S$257</f>
        <v>67.942790028200918</v>
      </c>
      <c r="M458" s="460">
        <f>M339*'Inputs_NT INM'!T$257</f>
        <v>67.942790028200918</v>
      </c>
      <c r="N458" s="460">
        <f>N339*'Inputs_NT INM'!U$257</f>
        <v>67.942790028200918</v>
      </c>
      <c r="O458" s="460">
        <f>O339*'Inputs_NT INM'!V$257</f>
        <v>67.942790028200918</v>
      </c>
      <c r="P458" s="460">
        <f>P339*'Inputs_NT INM'!W$257</f>
        <v>67.942790028200918</v>
      </c>
      <c r="Q458" s="460">
        <f>Q339*'Inputs_NT INM'!X$257</f>
        <v>67.942790028200918</v>
      </c>
      <c r="R458" s="460">
        <f>R339*'Inputs_NT INM'!Y$257</f>
        <v>67.942790028200918</v>
      </c>
      <c r="S458" s="460">
        <f>S339*'Inputs_NT INM'!Z$257</f>
        <v>67.942790028200918</v>
      </c>
      <c r="T458" s="460">
        <f>T339*'Inputs_NT INM'!AA$257</f>
        <v>67.942790028200918</v>
      </c>
      <c r="U458" s="460">
        <f>U339*'Inputs_NT INM'!AB$257</f>
        <v>67.942790028200918</v>
      </c>
      <c r="V458" s="460">
        <f>V339*'Inputs_NT INM'!AC$257</f>
        <v>67.942790028200918</v>
      </c>
      <c r="W458" s="460">
        <f>W339*'Inputs_NT INM'!AD$257</f>
        <v>67.942790028200918</v>
      </c>
      <c r="X458" s="460">
        <f>X339*'Inputs_NT INM'!AE$257</f>
        <v>67.942790028200918</v>
      </c>
      <c r="Y458" s="460">
        <f>Y339*'Inputs_NT INM'!AF$257</f>
        <v>67.942790028200918</v>
      </c>
      <c r="Z458" s="460">
        <f>Z339*'Inputs_NT INM'!AG$257</f>
        <v>67.942790028200918</v>
      </c>
      <c r="AA458" s="460">
        <f>AA339*'Inputs_NT INM'!AH$257</f>
        <v>67.942790028200918</v>
      </c>
      <c r="AB458" s="460">
        <f>AB339*'Inputs_NT INM'!AI$257</f>
        <v>67.942790028200918</v>
      </c>
      <c r="AC458" s="460">
        <f>AC339*'Inputs_NT INM'!AJ$257</f>
        <v>67.942790028200918</v>
      </c>
      <c r="AD458" s="460">
        <f>AD339*'Inputs_NT INM'!AK$257</f>
        <v>67.942790028200918</v>
      </c>
      <c r="AE458" s="460">
        <f>AE339*'Inputs_NT INM'!AL$257</f>
        <v>67.942790028200918</v>
      </c>
      <c r="AF458" s="460">
        <f>AF339*'Inputs_NT INM'!AM$257</f>
        <v>67.942790028200918</v>
      </c>
      <c r="AG458" s="460">
        <f>AG339*'Inputs_NT INM'!AN$257</f>
        <v>67.942790028200918</v>
      </c>
      <c r="AH458" s="460"/>
      <c r="AI458" s="460"/>
      <c r="AJ458" s="460"/>
    </row>
    <row r="459" spans="1:36" x14ac:dyDescent="0.25">
      <c r="A459" s="9" t="s">
        <v>831</v>
      </c>
      <c r="B459" s="9" t="s">
        <v>975</v>
      </c>
      <c r="C459" s="9" t="s">
        <v>547</v>
      </c>
      <c r="D459" s="9">
        <v>2050</v>
      </c>
      <c r="E459" s="9" t="s">
        <v>997</v>
      </c>
      <c r="F459" s="460">
        <f>F340*'Inputs_NT INM'!M$257</f>
        <v>67.942790028200918</v>
      </c>
      <c r="G459" s="460">
        <f>G340*'Inputs_NT INM'!N$257</f>
        <v>67.942790028200918</v>
      </c>
      <c r="H459" s="460">
        <f>H340*'Inputs_NT INM'!O$257</f>
        <v>67.942790028200918</v>
      </c>
      <c r="I459" s="460">
        <f>I340*'Inputs_NT INM'!P$257</f>
        <v>67.942790028200918</v>
      </c>
      <c r="J459" s="460">
        <f>J340*'Inputs_NT INM'!Q$257</f>
        <v>67.942790028200918</v>
      </c>
      <c r="K459" s="460">
        <f>K340*'Inputs_NT INM'!R$257</f>
        <v>67.942790028200918</v>
      </c>
      <c r="L459" s="460">
        <f>L340*'Inputs_NT INM'!S$257</f>
        <v>67.942790028200918</v>
      </c>
      <c r="M459" s="460">
        <f>M340*'Inputs_NT INM'!T$257</f>
        <v>67.942790028200918</v>
      </c>
      <c r="N459" s="460">
        <f>N340*'Inputs_NT INM'!U$257</f>
        <v>67.942790028200918</v>
      </c>
      <c r="O459" s="460">
        <f>O340*'Inputs_NT INM'!V$257</f>
        <v>67.942790028200918</v>
      </c>
      <c r="P459" s="460">
        <f>P340*'Inputs_NT INM'!W$257</f>
        <v>67.942790028200918</v>
      </c>
      <c r="Q459" s="460">
        <f>Q340*'Inputs_NT INM'!X$257</f>
        <v>67.942790028200918</v>
      </c>
      <c r="R459" s="460">
        <f>R340*'Inputs_NT INM'!Y$257</f>
        <v>67.942790028200918</v>
      </c>
      <c r="S459" s="460">
        <f>S340*'Inputs_NT INM'!Z$257</f>
        <v>67.942790028200918</v>
      </c>
      <c r="T459" s="460">
        <f>T340*'Inputs_NT INM'!AA$257</f>
        <v>67.942790028200918</v>
      </c>
      <c r="U459" s="460">
        <f>U340*'Inputs_NT INM'!AB$257</f>
        <v>67.942790028200918</v>
      </c>
      <c r="V459" s="460">
        <f>V340*'Inputs_NT INM'!AC$257</f>
        <v>67.942790028200918</v>
      </c>
      <c r="W459" s="460">
        <f>W340*'Inputs_NT INM'!AD$257</f>
        <v>67.942790028200918</v>
      </c>
      <c r="X459" s="460">
        <f>X340*'Inputs_NT INM'!AE$257</f>
        <v>67.942790028200918</v>
      </c>
      <c r="Y459" s="460">
        <f>Y340*'Inputs_NT INM'!AF$257</f>
        <v>67.942790028200918</v>
      </c>
      <c r="Z459" s="460">
        <f>Z340*'Inputs_NT INM'!AG$257</f>
        <v>67.942790028200918</v>
      </c>
      <c r="AA459" s="460">
        <f>AA340*'Inputs_NT INM'!AH$257</f>
        <v>67.942790028200918</v>
      </c>
      <c r="AB459" s="460">
        <f>AB340*'Inputs_NT INM'!AI$257</f>
        <v>67.942790028200918</v>
      </c>
      <c r="AC459" s="460">
        <f>AC340*'Inputs_NT INM'!AJ$257</f>
        <v>67.942790028200918</v>
      </c>
      <c r="AD459" s="460">
        <f>AD340*'Inputs_NT INM'!AK$257</f>
        <v>67.942790028200918</v>
      </c>
      <c r="AE459" s="460">
        <f>AE340*'Inputs_NT INM'!AL$257</f>
        <v>67.942790028200918</v>
      </c>
      <c r="AF459" s="460">
        <f>AF340*'Inputs_NT INM'!AM$257</f>
        <v>67.942790028200918</v>
      </c>
      <c r="AG459" s="460">
        <f>AG340*'Inputs_NT INM'!AN$257</f>
        <v>67.942790028200918</v>
      </c>
      <c r="AH459" s="460"/>
      <c r="AI459" s="460"/>
      <c r="AJ459" s="460"/>
    </row>
    <row r="460" spans="1:36" x14ac:dyDescent="0.25">
      <c r="A460" s="9" t="s">
        <v>851</v>
      </c>
      <c r="B460" s="9" t="s">
        <v>976</v>
      </c>
      <c r="C460" s="9" t="s">
        <v>547</v>
      </c>
      <c r="D460" s="9">
        <v>2020</v>
      </c>
      <c r="E460" s="9" t="s">
        <v>997</v>
      </c>
      <c r="F460" s="460">
        <f>F341*'Inputs_NT INM'!M$257</f>
        <v>40.976810160909025</v>
      </c>
      <c r="G460" s="460">
        <f>G341*'Inputs_NT INM'!N$257</f>
        <v>40.976810160909025</v>
      </c>
      <c r="H460" s="460">
        <f>H341*'Inputs_NT INM'!O$257</f>
        <v>40.976810160909025</v>
      </c>
      <c r="I460" s="460">
        <f>I341*'Inputs_NT INM'!P$257</f>
        <v>40.976810160909025</v>
      </c>
      <c r="J460" s="460">
        <f>J341*'Inputs_NT INM'!Q$257</f>
        <v>40.976810160909025</v>
      </c>
      <c r="K460" s="460">
        <f>K341*'Inputs_NT INM'!R$257</f>
        <v>40.976810160909025</v>
      </c>
      <c r="L460" s="460">
        <f>L341*'Inputs_NT INM'!S$257</f>
        <v>40.976810160909025</v>
      </c>
      <c r="M460" s="460">
        <f>M341*'Inputs_NT INM'!T$257</f>
        <v>40.976810160909025</v>
      </c>
      <c r="N460" s="460">
        <f>N341*'Inputs_NT INM'!U$257</f>
        <v>40.976810160909025</v>
      </c>
      <c r="O460" s="460">
        <f>O341*'Inputs_NT INM'!V$257</f>
        <v>40.976810160909025</v>
      </c>
      <c r="P460" s="460">
        <f>P341*'Inputs_NT INM'!W$257</f>
        <v>40.976810160909025</v>
      </c>
      <c r="Q460" s="460">
        <f>Q341*'Inputs_NT INM'!X$257</f>
        <v>40.976810160909025</v>
      </c>
      <c r="R460" s="460">
        <f>R341*'Inputs_NT INM'!Y$257</f>
        <v>40.976810160909025</v>
      </c>
      <c r="S460" s="460">
        <f>S341*'Inputs_NT INM'!Z$257</f>
        <v>40.976810160909025</v>
      </c>
      <c r="T460" s="460">
        <f>T341*'Inputs_NT INM'!AA$257</f>
        <v>40.976810160909025</v>
      </c>
      <c r="U460" s="460">
        <f>U341*'Inputs_NT INM'!AB$257</f>
        <v>40.976810160909025</v>
      </c>
      <c r="V460" s="460">
        <f>V341*'Inputs_NT INM'!AC$257</f>
        <v>40.976810160909025</v>
      </c>
      <c r="W460" s="460">
        <f>W341*'Inputs_NT INM'!AD$257</f>
        <v>40.976810160909025</v>
      </c>
      <c r="X460" s="460">
        <f>X341*'Inputs_NT INM'!AE$257</f>
        <v>40.976810160909025</v>
      </c>
      <c r="Y460" s="460">
        <f>Y341*'Inputs_NT INM'!AF$257</f>
        <v>40.976810160909025</v>
      </c>
      <c r="Z460" s="460">
        <f>Z341*'Inputs_NT INM'!AG$257</f>
        <v>40.976810160909025</v>
      </c>
      <c r="AA460" s="460">
        <f>AA341*'Inputs_NT INM'!AH$257</f>
        <v>40.976810160909025</v>
      </c>
      <c r="AB460" s="460">
        <f>AB341*'Inputs_NT INM'!AI$257</f>
        <v>40.976810160909025</v>
      </c>
      <c r="AC460" s="460">
        <f>AC341*'Inputs_NT INM'!AJ$257</f>
        <v>40.976810160909025</v>
      </c>
      <c r="AD460" s="460">
        <f>AD341*'Inputs_NT INM'!AK$257</f>
        <v>40.976810160909025</v>
      </c>
      <c r="AE460" s="460">
        <f>AE341*'Inputs_NT INM'!AL$257</f>
        <v>40.976810160909025</v>
      </c>
      <c r="AF460" s="460">
        <f>AF341*'Inputs_NT INM'!AM$257</f>
        <v>40.976810160909025</v>
      </c>
      <c r="AG460" s="460">
        <f>AG341*'Inputs_NT INM'!AN$257</f>
        <v>40.976810160909025</v>
      </c>
      <c r="AH460" s="460"/>
      <c r="AI460" s="460"/>
      <c r="AJ460" s="460"/>
    </row>
    <row r="461" spans="1:36" x14ac:dyDescent="0.25">
      <c r="A461" s="9" t="s">
        <v>852</v>
      </c>
      <c r="B461" s="9" t="s">
        <v>977</v>
      </c>
      <c r="C461" s="9" t="s">
        <v>547</v>
      </c>
      <c r="D461" s="9">
        <v>2025</v>
      </c>
      <c r="E461" s="9" t="s">
        <v>997</v>
      </c>
      <c r="F461" s="460">
        <f>F342*'Inputs_NT INM'!M$257</f>
        <v>40.976810160909025</v>
      </c>
      <c r="G461" s="460">
        <f>G342*'Inputs_NT INM'!N$257</f>
        <v>40.976810160909025</v>
      </c>
      <c r="H461" s="460">
        <f>H342*'Inputs_NT INM'!O$257</f>
        <v>40.976810160909025</v>
      </c>
      <c r="I461" s="460">
        <f>I342*'Inputs_NT INM'!P$257</f>
        <v>40.976810160909025</v>
      </c>
      <c r="J461" s="460">
        <f>J342*'Inputs_NT INM'!Q$257</f>
        <v>40.976810160909025</v>
      </c>
      <c r="K461" s="460">
        <f>K342*'Inputs_NT INM'!R$257</f>
        <v>40.976810160909025</v>
      </c>
      <c r="L461" s="460">
        <f>L342*'Inputs_NT INM'!S$257</f>
        <v>40.976810160909025</v>
      </c>
      <c r="M461" s="460">
        <f>M342*'Inputs_NT INM'!T$257</f>
        <v>40.976810160909025</v>
      </c>
      <c r="N461" s="460">
        <f>N342*'Inputs_NT INM'!U$257</f>
        <v>40.976810160909025</v>
      </c>
      <c r="O461" s="460">
        <f>O342*'Inputs_NT INM'!V$257</f>
        <v>40.976810160909025</v>
      </c>
      <c r="P461" s="460">
        <f>P342*'Inputs_NT INM'!W$257</f>
        <v>40.976810160909025</v>
      </c>
      <c r="Q461" s="460">
        <f>Q342*'Inputs_NT INM'!X$257</f>
        <v>40.976810160909025</v>
      </c>
      <c r="R461" s="460">
        <f>R342*'Inputs_NT INM'!Y$257</f>
        <v>40.976810160909025</v>
      </c>
      <c r="S461" s="460">
        <f>S342*'Inputs_NT INM'!Z$257</f>
        <v>40.976810160909025</v>
      </c>
      <c r="T461" s="460">
        <f>T342*'Inputs_NT INM'!AA$257</f>
        <v>40.976810160909025</v>
      </c>
      <c r="U461" s="460">
        <f>U342*'Inputs_NT INM'!AB$257</f>
        <v>40.976810160909025</v>
      </c>
      <c r="V461" s="460">
        <f>V342*'Inputs_NT INM'!AC$257</f>
        <v>40.976810160909025</v>
      </c>
      <c r="W461" s="460">
        <f>W342*'Inputs_NT INM'!AD$257</f>
        <v>40.976810160909025</v>
      </c>
      <c r="X461" s="460">
        <f>X342*'Inputs_NT INM'!AE$257</f>
        <v>40.976810160909025</v>
      </c>
      <c r="Y461" s="460">
        <f>Y342*'Inputs_NT INM'!AF$257</f>
        <v>40.976810160909025</v>
      </c>
      <c r="Z461" s="460">
        <f>Z342*'Inputs_NT INM'!AG$257</f>
        <v>40.976810160909025</v>
      </c>
      <c r="AA461" s="460">
        <f>AA342*'Inputs_NT INM'!AH$257</f>
        <v>40.976810160909025</v>
      </c>
      <c r="AB461" s="460">
        <f>AB342*'Inputs_NT INM'!AI$257</f>
        <v>40.976810160909025</v>
      </c>
      <c r="AC461" s="460">
        <f>AC342*'Inputs_NT INM'!AJ$257</f>
        <v>40.976810160909025</v>
      </c>
      <c r="AD461" s="460">
        <f>AD342*'Inputs_NT INM'!AK$257</f>
        <v>40.976810160909025</v>
      </c>
      <c r="AE461" s="460">
        <f>AE342*'Inputs_NT INM'!AL$257</f>
        <v>40.976810160909025</v>
      </c>
      <c r="AF461" s="460">
        <f>AF342*'Inputs_NT INM'!AM$257</f>
        <v>40.976810160909025</v>
      </c>
      <c r="AG461" s="460">
        <f>AG342*'Inputs_NT INM'!AN$257</f>
        <v>40.976810160909025</v>
      </c>
      <c r="AH461" s="460"/>
      <c r="AI461" s="460"/>
      <c r="AJ461" s="460"/>
    </row>
    <row r="462" spans="1:36" x14ac:dyDescent="0.25">
      <c r="A462" s="9" t="s">
        <v>852</v>
      </c>
      <c r="B462" s="9" t="s">
        <v>977</v>
      </c>
      <c r="C462" s="9" t="s">
        <v>547</v>
      </c>
      <c r="D462" s="9">
        <v>2030</v>
      </c>
      <c r="E462" s="9" t="s">
        <v>997</v>
      </c>
      <c r="F462" s="460">
        <f>F343*'Inputs_NT INM'!M$257</f>
        <v>36.387407422887222</v>
      </c>
      <c r="G462" s="460">
        <f>G343*'Inputs_NT INM'!N$257</f>
        <v>36.387407422887222</v>
      </c>
      <c r="H462" s="460">
        <f>H343*'Inputs_NT INM'!O$257</f>
        <v>36.387407422887222</v>
      </c>
      <c r="I462" s="460">
        <f>I343*'Inputs_NT INM'!P$257</f>
        <v>36.387407422887222</v>
      </c>
      <c r="J462" s="460">
        <f>J343*'Inputs_NT INM'!Q$257</f>
        <v>36.387407422887222</v>
      </c>
      <c r="K462" s="460">
        <f>K343*'Inputs_NT INM'!R$257</f>
        <v>36.387407422887222</v>
      </c>
      <c r="L462" s="460">
        <f>L343*'Inputs_NT INM'!S$257</f>
        <v>36.387407422887222</v>
      </c>
      <c r="M462" s="460">
        <f>M343*'Inputs_NT INM'!T$257</f>
        <v>36.387407422887222</v>
      </c>
      <c r="N462" s="460">
        <f>N343*'Inputs_NT INM'!U$257</f>
        <v>36.387407422887222</v>
      </c>
      <c r="O462" s="460">
        <f>O343*'Inputs_NT INM'!V$257</f>
        <v>36.387407422887222</v>
      </c>
      <c r="P462" s="460">
        <f>P343*'Inputs_NT INM'!W$257</f>
        <v>36.387407422887222</v>
      </c>
      <c r="Q462" s="460">
        <f>Q343*'Inputs_NT INM'!X$257</f>
        <v>36.387407422887222</v>
      </c>
      <c r="R462" s="460">
        <f>R343*'Inputs_NT INM'!Y$257</f>
        <v>36.387407422887222</v>
      </c>
      <c r="S462" s="460">
        <f>S343*'Inputs_NT INM'!Z$257</f>
        <v>36.387407422887222</v>
      </c>
      <c r="T462" s="460">
        <f>T343*'Inputs_NT INM'!AA$257</f>
        <v>36.387407422887222</v>
      </c>
      <c r="U462" s="460">
        <f>U343*'Inputs_NT INM'!AB$257</f>
        <v>36.387407422887222</v>
      </c>
      <c r="V462" s="460">
        <f>V343*'Inputs_NT INM'!AC$257</f>
        <v>36.387407422887222</v>
      </c>
      <c r="W462" s="460">
        <f>W343*'Inputs_NT INM'!AD$257</f>
        <v>36.387407422887222</v>
      </c>
      <c r="X462" s="460">
        <f>X343*'Inputs_NT INM'!AE$257</f>
        <v>36.387407422887222</v>
      </c>
      <c r="Y462" s="460">
        <f>Y343*'Inputs_NT INM'!AF$257</f>
        <v>36.387407422887222</v>
      </c>
      <c r="Z462" s="460">
        <f>Z343*'Inputs_NT INM'!AG$257</f>
        <v>36.387407422887222</v>
      </c>
      <c r="AA462" s="460">
        <f>AA343*'Inputs_NT INM'!AH$257</f>
        <v>36.387407422887222</v>
      </c>
      <c r="AB462" s="460">
        <f>AB343*'Inputs_NT INM'!AI$257</f>
        <v>36.387407422887222</v>
      </c>
      <c r="AC462" s="460">
        <f>AC343*'Inputs_NT INM'!AJ$257</f>
        <v>36.387407422887222</v>
      </c>
      <c r="AD462" s="460">
        <f>AD343*'Inputs_NT INM'!AK$257</f>
        <v>36.387407422887222</v>
      </c>
      <c r="AE462" s="460">
        <f>AE343*'Inputs_NT INM'!AL$257</f>
        <v>36.387407422887222</v>
      </c>
      <c r="AF462" s="460">
        <f>AF343*'Inputs_NT INM'!AM$257</f>
        <v>36.387407422887222</v>
      </c>
      <c r="AG462" s="460">
        <f>AG343*'Inputs_NT INM'!AN$257</f>
        <v>36.387407422887222</v>
      </c>
      <c r="AH462" s="460"/>
      <c r="AI462" s="460"/>
      <c r="AJ462" s="460"/>
    </row>
    <row r="463" spans="1:36" x14ac:dyDescent="0.25">
      <c r="A463" s="9" t="s">
        <v>852</v>
      </c>
      <c r="B463" s="9" t="s">
        <v>977</v>
      </c>
      <c r="C463" s="9" t="s">
        <v>547</v>
      </c>
      <c r="D463" s="9">
        <v>2050</v>
      </c>
      <c r="E463" s="9" t="s">
        <v>997</v>
      </c>
      <c r="F463" s="460">
        <f>F344*'Inputs_NT INM'!M$257</f>
        <v>33.224440671007322</v>
      </c>
      <c r="G463" s="460">
        <f>G344*'Inputs_NT INM'!N$257</f>
        <v>33.224440671007322</v>
      </c>
      <c r="H463" s="460">
        <f>H344*'Inputs_NT INM'!O$257</f>
        <v>33.224440671007322</v>
      </c>
      <c r="I463" s="460">
        <f>I344*'Inputs_NT INM'!P$257</f>
        <v>33.224440671007322</v>
      </c>
      <c r="J463" s="460">
        <f>J344*'Inputs_NT INM'!Q$257</f>
        <v>33.224440671007322</v>
      </c>
      <c r="K463" s="460">
        <f>K344*'Inputs_NT INM'!R$257</f>
        <v>33.224440671007322</v>
      </c>
      <c r="L463" s="460">
        <f>L344*'Inputs_NT INM'!S$257</f>
        <v>33.224440671007322</v>
      </c>
      <c r="M463" s="460">
        <f>M344*'Inputs_NT INM'!T$257</f>
        <v>33.224440671007322</v>
      </c>
      <c r="N463" s="460">
        <f>N344*'Inputs_NT INM'!U$257</f>
        <v>33.224440671007322</v>
      </c>
      <c r="O463" s="460">
        <f>O344*'Inputs_NT INM'!V$257</f>
        <v>33.224440671007322</v>
      </c>
      <c r="P463" s="460">
        <f>P344*'Inputs_NT INM'!W$257</f>
        <v>33.224440671007322</v>
      </c>
      <c r="Q463" s="460">
        <f>Q344*'Inputs_NT INM'!X$257</f>
        <v>33.224440671007322</v>
      </c>
      <c r="R463" s="460">
        <f>R344*'Inputs_NT INM'!Y$257</f>
        <v>33.224440671007322</v>
      </c>
      <c r="S463" s="460">
        <f>S344*'Inputs_NT INM'!Z$257</f>
        <v>33.224440671007322</v>
      </c>
      <c r="T463" s="460">
        <f>T344*'Inputs_NT INM'!AA$257</f>
        <v>33.224440671007322</v>
      </c>
      <c r="U463" s="460">
        <f>U344*'Inputs_NT INM'!AB$257</f>
        <v>33.224440671007322</v>
      </c>
      <c r="V463" s="460">
        <f>V344*'Inputs_NT INM'!AC$257</f>
        <v>33.224440671007322</v>
      </c>
      <c r="W463" s="460">
        <f>W344*'Inputs_NT INM'!AD$257</f>
        <v>33.224440671007322</v>
      </c>
      <c r="X463" s="460">
        <f>X344*'Inputs_NT INM'!AE$257</f>
        <v>33.224440671007322</v>
      </c>
      <c r="Y463" s="460">
        <f>Y344*'Inputs_NT INM'!AF$257</f>
        <v>33.224440671007322</v>
      </c>
      <c r="Z463" s="460">
        <f>Z344*'Inputs_NT INM'!AG$257</f>
        <v>33.224440671007322</v>
      </c>
      <c r="AA463" s="460">
        <f>AA344*'Inputs_NT INM'!AH$257</f>
        <v>33.224440671007322</v>
      </c>
      <c r="AB463" s="460">
        <f>AB344*'Inputs_NT INM'!AI$257</f>
        <v>33.224440671007322</v>
      </c>
      <c r="AC463" s="460">
        <f>AC344*'Inputs_NT INM'!AJ$257</f>
        <v>33.224440671007322</v>
      </c>
      <c r="AD463" s="460">
        <f>AD344*'Inputs_NT INM'!AK$257</f>
        <v>33.224440671007322</v>
      </c>
      <c r="AE463" s="460">
        <f>AE344*'Inputs_NT INM'!AL$257</f>
        <v>33.224440671007322</v>
      </c>
      <c r="AF463" s="460">
        <f>AF344*'Inputs_NT INM'!AM$257</f>
        <v>33.224440671007322</v>
      </c>
      <c r="AG463" s="460">
        <f>AG344*'Inputs_NT INM'!AN$257</f>
        <v>33.224440671007322</v>
      </c>
      <c r="AH463" s="460"/>
      <c r="AI463" s="460"/>
      <c r="AJ463" s="460"/>
    </row>
    <row r="464" spans="1:36" x14ac:dyDescent="0.25">
      <c r="A464" s="9" t="s">
        <v>853</v>
      </c>
      <c r="B464" s="9" t="s">
        <v>978</v>
      </c>
      <c r="C464" s="9" t="s">
        <v>547</v>
      </c>
      <c r="D464" s="9">
        <v>2030</v>
      </c>
      <c r="E464" s="9" t="s">
        <v>997</v>
      </c>
      <c r="F464" s="460">
        <f>F345*'Inputs_NT INM'!M$257</f>
        <v>130.72265442801256</v>
      </c>
      <c r="G464" s="460">
        <f>G345*'Inputs_NT INM'!N$257</f>
        <v>130.72265442801256</v>
      </c>
      <c r="H464" s="460">
        <f>H345*'Inputs_NT INM'!O$257</f>
        <v>130.72265442801256</v>
      </c>
      <c r="I464" s="460">
        <f>I345*'Inputs_NT INM'!P$257</f>
        <v>130.72265442801256</v>
      </c>
      <c r="J464" s="460">
        <f>J345*'Inputs_NT INM'!Q$257</f>
        <v>130.72265442801256</v>
      </c>
      <c r="K464" s="460">
        <f>K345*'Inputs_NT INM'!R$257</f>
        <v>130.72265442801256</v>
      </c>
      <c r="L464" s="460">
        <f>L345*'Inputs_NT INM'!S$257</f>
        <v>130.72265442801256</v>
      </c>
      <c r="M464" s="460">
        <f>M345*'Inputs_NT INM'!T$257</f>
        <v>130.72265442801256</v>
      </c>
      <c r="N464" s="460">
        <f>N345*'Inputs_NT INM'!U$257</f>
        <v>130.72265442801256</v>
      </c>
      <c r="O464" s="460">
        <f>O345*'Inputs_NT INM'!V$257</f>
        <v>130.72265442801256</v>
      </c>
      <c r="P464" s="460">
        <f>P345*'Inputs_NT INM'!W$257</f>
        <v>130.72265442801256</v>
      </c>
      <c r="Q464" s="460">
        <f>Q345*'Inputs_NT INM'!X$257</f>
        <v>130.72265442801256</v>
      </c>
      <c r="R464" s="460">
        <f>R345*'Inputs_NT INM'!Y$257</f>
        <v>130.72265442801256</v>
      </c>
      <c r="S464" s="460">
        <f>S345*'Inputs_NT INM'!Z$257</f>
        <v>130.72265442801256</v>
      </c>
      <c r="T464" s="460">
        <f>T345*'Inputs_NT INM'!AA$257</f>
        <v>130.72265442801256</v>
      </c>
      <c r="U464" s="460">
        <f>U345*'Inputs_NT INM'!AB$257</f>
        <v>130.72265442801256</v>
      </c>
      <c r="V464" s="460">
        <f>V345*'Inputs_NT INM'!AC$257</f>
        <v>130.72265442801256</v>
      </c>
      <c r="W464" s="460">
        <f>W345*'Inputs_NT INM'!AD$257</f>
        <v>130.72265442801256</v>
      </c>
      <c r="X464" s="460">
        <f>X345*'Inputs_NT INM'!AE$257</f>
        <v>130.72265442801256</v>
      </c>
      <c r="Y464" s="460">
        <f>Y345*'Inputs_NT INM'!AF$257</f>
        <v>130.72265442801256</v>
      </c>
      <c r="Z464" s="460">
        <f>Z345*'Inputs_NT INM'!AG$257</f>
        <v>130.72265442801256</v>
      </c>
      <c r="AA464" s="460">
        <f>AA345*'Inputs_NT INM'!AH$257</f>
        <v>130.72265442801256</v>
      </c>
      <c r="AB464" s="460">
        <f>AB345*'Inputs_NT INM'!AI$257</f>
        <v>130.72265442801256</v>
      </c>
      <c r="AC464" s="460">
        <f>AC345*'Inputs_NT INM'!AJ$257</f>
        <v>130.72265442801256</v>
      </c>
      <c r="AD464" s="460">
        <f>AD345*'Inputs_NT INM'!AK$257</f>
        <v>130.72265442801256</v>
      </c>
      <c r="AE464" s="460">
        <f>AE345*'Inputs_NT INM'!AL$257</f>
        <v>130.72265442801256</v>
      </c>
      <c r="AF464" s="460">
        <f>AF345*'Inputs_NT INM'!AM$257</f>
        <v>130.72265442801256</v>
      </c>
      <c r="AG464" s="460">
        <f>AG345*'Inputs_NT INM'!AN$257</f>
        <v>130.72265442801256</v>
      </c>
      <c r="AH464" s="460"/>
      <c r="AI464" s="460"/>
      <c r="AJ464" s="460"/>
    </row>
    <row r="465" spans="1:36" x14ac:dyDescent="0.25">
      <c r="A465" s="9" t="s">
        <v>853</v>
      </c>
      <c r="B465" s="9" t="s">
        <v>978</v>
      </c>
      <c r="C465" s="9" t="s">
        <v>547</v>
      </c>
      <c r="D465" s="9">
        <v>2050</v>
      </c>
      <c r="E465" s="9" t="s">
        <v>997</v>
      </c>
      <c r="F465" s="460">
        <f>F346*'Inputs_NT INM'!M$257</f>
        <v>79.116070670000013</v>
      </c>
      <c r="G465" s="460">
        <f>G346*'Inputs_NT INM'!N$257</f>
        <v>79.116070670000013</v>
      </c>
      <c r="H465" s="460">
        <f>H346*'Inputs_NT INM'!O$257</f>
        <v>79.116070670000013</v>
      </c>
      <c r="I465" s="460">
        <f>I346*'Inputs_NT INM'!P$257</f>
        <v>79.116070670000013</v>
      </c>
      <c r="J465" s="460">
        <f>J346*'Inputs_NT INM'!Q$257</f>
        <v>79.116070670000013</v>
      </c>
      <c r="K465" s="460">
        <f>K346*'Inputs_NT INM'!R$257</f>
        <v>79.116070670000013</v>
      </c>
      <c r="L465" s="460">
        <f>L346*'Inputs_NT INM'!S$257</f>
        <v>79.116070670000013</v>
      </c>
      <c r="M465" s="460">
        <f>M346*'Inputs_NT INM'!T$257</f>
        <v>79.116070670000013</v>
      </c>
      <c r="N465" s="460">
        <f>N346*'Inputs_NT INM'!U$257</f>
        <v>79.116070670000013</v>
      </c>
      <c r="O465" s="460">
        <f>O346*'Inputs_NT INM'!V$257</f>
        <v>79.116070670000013</v>
      </c>
      <c r="P465" s="460">
        <f>P346*'Inputs_NT INM'!W$257</f>
        <v>79.116070670000013</v>
      </c>
      <c r="Q465" s="460">
        <f>Q346*'Inputs_NT INM'!X$257</f>
        <v>79.116070670000013</v>
      </c>
      <c r="R465" s="460">
        <f>R346*'Inputs_NT INM'!Y$257</f>
        <v>79.116070670000013</v>
      </c>
      <c r="S465" s="460">
        <f>S346*'Inputs_NT INM'!Z$257</f>
        <v>79.116070670000013</v>
      </c>
      <c r="T465" s="460">
        <f>T346*'Inputs_NT INM'!AA$257</f>
        <v>79.116070670000013</v>
      </c>
      <c r="U465" s="460">
        <f>U346*'Inputs_NT INM'!AB$257</f>
        <v>79.116070670000013</v>
      </c>
      <c r="V465" s="460">
        <f>V346*'Inputs_NT INM'!AC$257</f>
        <v>79.116070670000013</v>
      </c>
      <c r="W465" s="460">
        <f>W346*'Inputs_NT INM'!AD$257</f>
        <v>79.116070670000013</v>
      </c>
      <c r="X465" s="460">
        <f>X346*'Inputs_NT INM'!AE$257</f>
        <v>79.116070670000013</v>
      </c>
      <c r="Y465" s="460">
        <f>Y346*'Inputs_NT INM'!AF$257</f>
        <v>79.116070670000013</v>
      </c>
      <c r="Z465" s="460">
        <f>Z346*'Inputs_NT INM'!AG$257</f>
        <v>79.116070670000013</v>
      </c>
      <c r="AA465" s="460">
        <f>AA346*'Inputs_NT INM'!AH$257</f>
        <v>79.116070670000013</v>
      </c>
      <c r="AB465" s="460">
        <f>AB346*'Inputs_NT INM'!AI$257</f>
        <v>79.116070670000013</v>
      </c>
      <c r="AC465" s="460">
        <f>AC346*'Inputs_NT INM'!AJ$257</f>
        <v>79.116070670000013</v>
      </c>
      <c r="AD465" s="460">
        <f>AD346*'Inputs_NT INM'!AK$257</f>
        <v>79.116070670000013</v>
      </c>
      <c r="AE465" s="460">
        <f>AE346*'Inputs_NT INM'!AL$257</f>
        <v>79.116070670000013</v>
      </c>
      <c r="AF465" s="460">
        <f>AF346*'Inputs_NT INM'!AM$257</f>
        <v>79.116070670000013</v>
      </c>
      <c r="AG465" s="460">
        <f>AG346*'Inputs_NT INM'!AN$257</f>
        <v>79.116070670000013</v>
      </c>
      <c r="AH465" s="460"/>
      <c r="AI465" s="460"/>
      <c r="AJ465" s="460"/>
    </row>
    <row r="466" spans="1:36" x14ac:dyDescent="0.25">
      <c r="A466" s="9" t="s">
        <v>854</v>
      </c>
      <c r="B466" s="9" t="s">
        <v>979</v>
      </c>
      <c r="C466" s="9" t="s">
        <v>547</v>
      </c>
      <c r="D466" s="9">
        <v>2020</v>
      </c>
      <c r="E466" s="9" t="s">
        <v>997</v>
      </c>
      <c r="F466" s="460">
        <f>F347*'Inputs_NT INM'!M$257</f>
        <v>40.976810160909025</v>
      </c>
      <c r="G466" s="460">
        <f>G347*'Inputs_NT INM'!N$257</f>
        <v>40.976810160909025</v>
      </c>
      <c r="H466" s="460">
        <f>H347*'Inputs_NT INM'!O$257</f>
        <v>40.976810160909025</v>
      </c>
      <c r="I466" s="460">
        <f>I347*'Inputs_NT INM'!P$257</f>
        <v>40.976810160909025</v>
      </c>
      <c r="J466" s="460">
        <f>J347*'Inputs_NT INM'!Q$257</f>
        <v>40.976810160909025</v>
      </c>
      <c r="K466" s="460">
        <f>K347*'Inputs_NT INM'!R$257</f>
        <v>40.976810160909025</v>
      </c>
      <c r="L466" s="460">
        <f>L347*'Inputs_NT INM'!S$257</f>
        <v>40.976810160909025</v>
      </c>
      <c r="M466" s="460">
        <f>M347*'Inputs_NT INM'!T$257</f>
        <v>40.976810160909025</v>
      </c>
      <c r="N466" s="460">
        <f>N347*'Inputs_NT INM'!U$257</f>
        <v>40.976810160909025</v>
      </c>
      <c r="O466" s="460">
        <f>O347*'Inputs_NT INM'!V$257</f>
        <v>40.976810160909025</v>
      </c>
      <c r="P466" s="460">
        <f>P347*'Inputs_NT INM'!W$257</f>
        <v>40.976810160909025</v>
      </c>
      <c r="Q466" s="460">
        <f>Q347*'Inputs_NT INM'!X$257</f>
        <v>40.976810160909025</v>
      </c>
      <c r="R466" s="460">
        <f>R347*'Inputs_NT INM'!Y$257</f>
        <v>40.976810160909025</v>
      </c>
      <c r="S466" s="460">
        <f>S347*'Inputs_NT INM'!Z$257</f>
        <v>40.976810160909025</v>
      </c>
      <c r="T466" s="460">
        <f>T347*'Inputs_NT INM'!AA$257</f>
        <v>40.976810160909025</v>
      </c>
      <c r="U466" s="460">
        <f>U347*'Inputs_NT INM'!AB$257</f>
        <v>40.976810160909025</v>
      </c>
      <c r="V466" s="460">
        <f>V347*'Inputs_NT INM'!AC$257</f>
        <v>40.976810160909025</v>
      </c>
      <c r="W466" s="460">
        <f>W347*'Inputs_NT INM'!AD$257</f>
        <v>40.976810160909025</v>
      </c>
      <c r="X466" s="460">
        <f>X347*'Inputs_NT INM'!AE$257</f>
        <v>40.976810160909025</v>
      </c>
      <c r="Y466" s="460">
        <f>Y347*'Inputs_NT INM'!AF$257</f>
        <v>40.976810160909025</v>
      </c>
      <c r="Z466" s="460">
        <f>Z347*'Inputs_NT INM'!AG$257</f>
        <v>40.976810160909025</v>
      </c>
      <c r="AA466" s="460">
        <f>AA347*'Inputs_NT INM'!AH$257</f>
        <v>40.976810160909025</v>
      </c>
      <c r="AB466" s="460">
        <f>AB347*'Inputs_NT INM'!AI$257</f>
        <v>40.976810160909025</v>
      </c>
      <c r="AC466" s="460">
        <f>AC347*'Inputs_NT INM'!AJ$257</f>
        <v>40.976810160909025</v>
      </c>
      <c r="AD466" s="460">
        <f>AD347*'Inputs_NT INM'!AK$257</f>
        <v>40.976810160909025</v>
      </c>
      <c r="AE466" s="460">
        <f>AE347*'Inputs_NT INM'!AL$257</f>
        <v>40.976810160909025</v>
      </c>
      <c r="AF466" s="460">
        <f>AF347*'Inputs_NT INM'!AM$257</f>
        <v>40.976810160909025</v>
      </c>
      <c r="AG466" s="460">
        <f>AG347*'Inputs_NT INM'!AN$257</f>
        <v>40.976810160909025</v>
      </c>
      <c r="AH466" s="460"/>
      <c r="AI466" s="460"/>
      <c r="AJ466" s="460"/>
    </row>
    <row r="467" spans="1:36" x14ac:dyDescent="0.25">
      <c r="A467" s="9" t="s">
        <v>575</v>
      </c>
      <c r="B467" s="9" t="s">
        <v>558</v>
      </c>
      <c r="C467" s="9" t="s">
        <v>558</v>
      </c>
      <c r="D467" s="9" t="s">
        <v>558</v>
      </c>
      <c r="E467" s="9" t="s">
        <v>997</v>
      </c>
      <c r="F467" s="460"/>
      <c r="G467" s="460"/>
      <c r="H467" s="460"/>
      <c r="I467" s="460"/>
      <c r="J467" s="460"/>
      <c r="K467" s="460"/>
      <c r="L467" s="460"/>
      <c r="M467" s="460"/>
      <c r="N467" s="460"/>
      <c r="O467" s="460"/>
      <c r="P467" s="460"/>
      <c r="Q467" s="460"/>
      <c r="R467" s="460"/>
      <c r="S467" s="460"/>
      <c r="T467" s="460"/>
      <c r="U467" s="460"/>
      <c r="V467" s="460"/>
      <c r="W467" s="460"/>
      <c r="X467" s="460"/>
      <c r="Y467" s="460"/>
      <c r="Z467" s="460"/>
      <c r="AA467" s="460"/>
      <c r="AB467" s="460"/>
      <c r="AC467" s="460"/>
      <c r="AD467" s="460"/>
      <c r="AE467" s="460"/>
      <c r="AF467" s="460"/>
      <c r="AG467" s="460"/>
      <c r="AH467" s="460"/>
      <c r="AI467" s="460"/>
      <c r="AJ467" s="460"/>
    </row>
    <row r="468" spans="1:36" x14ac:dyDescent="0.25">
      <c r="A468" s="9" t="s">
        <v>575</v>
      </c>
      <c r="B468" s="9" t="s">
        <v>558</v>
      </c>
      <c r="C468" s="9" t="s">
        <v>558</v>
      </c>
      <c r="D468" s="9" t="s">
        <v>558</v>
      </c>
      <c r="E468" s="9" t="s">
        <v>997</v>
      </c>
      <c r="F468" s="460"/>
      <c r="G468" s="460"/>
      <c r="H468" s="460"/>
      <c r="I468" s="460"/>
      <c r="J468" s="460"/>
      <c r="K468" s="460"/>
      <c r="L468" s="460"/>
      <c r="M468" s="460"/>
      <c r="N468" s="460"/>
      <c r="O468" s="460"/>
      <c r="P468" s="460"/>
      <c r="Q468" s="460"/>
      <c r="R468" s="460"/>
      <c r="S468" s="460"/>
      <c r="T468" s="460"/>
      <c r="U468" s="460"/>
      <c r="V468" s="460"/>
      <c r="W468" s="460"/>
      <c r="X468" s="460"/>
      <c r="Y468" s="460"/>
      <c r="Z468" s="460"/>
      <c r="AA468" s="460"/>
      <c r="AB468" s="460"/>
      <c r="AC468" s="460"/>
      <c r="AD468" s="460"/>
      <c r="AE468" s="460"/>
      <c r="AF468" s="460"/>
      <c r="AG468" s="460"/>
      <c r="AH468" s="460"/>
      <c r="AI468" s="460"/>
      <c r="AJ468" s="460"/>
    </row>
    <row r="469" spans="1:36" x14ac:dyDescent="0.25">
      <c r="A469" s="9" t="s">
        <v>575</v>
      </c>
      <c r="B469" s="9" t="s">
        <v>558</v>
      </c>
      <c r="C469" s="9" t="s">
        <v>558</v>
      </c>
      <c r="D469" s="9" t="s">
        <v>558</v>
      </c>
      <c r="E469" s="9" t="s">
        <v>997</v>
      </c>
      <c r="F469" s="460"/>
      <c r="G469" s="460"/>
      <c r="H469" s="460"/>
      <c r="I469" s="460"/>
      <c r="J469" s="460"/>
      <c r="K469" s="460"/>
      <c r="L469" s="460"/>
      <c r="M469" s="460"/>
      <c r="N469" s="460"/>
      <c r="O469" s="460"/>
      <c r="P469" s="460"/>
      <c r="Q469" s="460"/>
      <c r="R469" s="460"/>
      <c r="S469" s="460"/>
      <c r="T469" s="460"/>
      <c r="U469" s="460"/>
      <c r="V469" s="460"/>
      <c r="W469" s="460"/>
      <c r="X469" s="460"/>
      <c r="Y469" s="460"/>
      <c r="Z469" s="460"/>
      <c r="AA469" s="460"/>
      <c r="AB469" s="460"/>
      <c r="AC469" s="460"/>
      <c r="AD469" s="460"/>
      <c r="AE469" s="460"/>
      <c r="AF469" s="460"/>
      <c r="AG469" s="460"/>
      <c r="AH469" s="460"/>
      <c r="AI469" s="460"/>
      <c r="AJ469" s="460"/>
    </row>
    <row r="470" spans="1:36" x14ac:dyDescent="0.25">
      <c r="A470" s="9" t="s">
        <v>575</v>
      </c>
      <c r="B470" s="9" t="s">
        <v>558</v>
      </c>
      <c r="C470" s="9" t="s">
        <v>558</v>
      </c>
      <c r="D470" s="9" t="s">
        <v>558</v>
      </c>
      <c r="E470" s="9" t="s">
        <v>997</v>
      </c>
      <c r="F470" s="460"/>
      <c r="G470" s="460"/>
      <c r="H470" s="460"/>
      <c r="I470" s="460"/>
      <c r="J470" s="460"/>
      <c r="K470" s="460"/>
      <c r="L470" s="460"/>
      <c r="M470" s="460"/>
      <c r="N470" s="460"/>
      <c r="O470" s="460"/>
      <c r="P470" s="460"/>
      <c r="Q470" s="460"/>
      <c r="R470" s="460"/>
      <c r="S470" s="460"/>
      <c r="T470" s="460"/>
      <c r="U470" s="460"/>
      <c r="V470" s="460"/>
      <c r="W470" s="460"/>
      <c r="X470" s="460"/>
      <c r="Y470" s="460"/>
      <c r="Z470" s="460"/>
      <c r="AA470" s="460"/>
      <c r="AB470" s="460"/>
      <c r="AC470" s="460"/>
      <c r="AD470" s="460"/>
      <c r="AE470" s="460"/>
      <c r="AF470" s="460"/>
      <c r="AG470" s="460"/>
      <c r="AH470" s="460"/>
      <c r="AI470" s="460"/>
      <c r="AJ470" s="460"/>
    </row>
    <row r="471" spans="1:36" x14ac:dyDescent="0.25">
      <c r="A471" s="9" t="s">
        <v>575</v>
      </c>
      <c r="B471" s="9" t="s">
        <v>558</v>
      </c>
      <c r="C471" s="9" t="s">
        <v>558</v>
      </c>
      <c r="D471" s="9" t="s">
        <v>558</v>
      </c>
      <c r="E471" s="9" t="s">
        <v>997</v>
      </c>
      <c r="F471" s="460"/>
      <c r="G471" s="460"/>
      <c r="H471" s="460"/>
      <c r="I471" s="460"/>
      <c r="J471" s="460"/>
      <c r="K471" s="460"/>
      <c r="L471" s="460"/>
      <c r="M471" s="460"/>
      <c r="N471" s="460"/>
      <c r="O471" s="460"/>
      <c r="P471" s="460"/>
      <c r="Q471" s="460"/>
      <c r="R471" s="460"/>
      <c r="S471" s="460"/>
      <c r="T471" s="460"/>
      <c r="U471" s="460"/>
      <c r="V471" s="460"/>
      <c r="W471" s="460"/>
      <c r="X471" s="460"/>
      <c r="Y471" s="460"/>
      <c r="Z471" s="460"/>
      <c r="AA471" s="460"/>
      <c r="AB471" s="460"/>
      <c r="AC471" s="460"/>
      <c r="AD471" s="460"/>
      <c r="AE471" s="460"/>
      <c r="AF471" s="460"/>
      <c r="AG471" s="460"/>
      <c r="AH471" s="460"/>
      <c r="AI471" s="460"/>
      <c r="AJ471" s="460"/>
    </row>
    <row r="472" spans="1:36" x14ac:dyDescent="0.25">
      <c r="A472" s="9" t="s">
        <v>860</v>
      </c>
      <c r="B472" s="9" t="s">
        <v>980</v>
      </c>
      <c r="C472" s="9" t="s">
        <v>547</v>
      </c>
      <c r="D472" s="9">
        <v>2025</v>
      </c>
      <c r="E472" s="9" t="s">
        <v>997</v>
      </c>
      <c r="F472" s="460">
        <f>F353*'Inputs_NT INM'!M$257</f>
        <v>40.976810160909025</v>
      </c>
      <c r="G472" s="460">
        <f>G353*'Inputs_NT INM'!N$257</f>
        <v>40.976810160909025</v>
      </c>
      <c r="H472" s="460">
        <f>H353*'Inputs_NT INM'!O$257</f>
        <v>40.976810160909025</v>
      </c>
      <c r="I472" s="460">
        <f>I353*'Inputs_NT INM'!P$257</f>
        <v>40.976810160909025</v>
      </c>
      <c r="J472" s="460">
        <f>J353*'Inputs_NT INM'!Q$257</f>
        <v>40.976810160909025</v>
      </c>
      <c r="K472" s="460">
        <f>K353*'Inputs_NT INM'!R$257</f>
        <v>40.976810160909025</v>
      </c>
      <c r="L472" s="460">
        <f>L353*'Inputs_NT INM'!S$257</f>
        <v>40.976810160909025</v>
      </c>
      <c r="M472" s="460">
        <f>M353*'Inputs_NT INM'!T$257</f>
        <v>40.976810160909025</v>
      </c>
      <c r="N472" s="460">
        <f>N353*'Inputs_NT INM'!U$257</f>
        <v>40.976810160909025</v>
      </c>
      <c r="O472" s="460">
        <f>O353*'Inputs_NT INM'!V$257</f>
        <v>40.976810160909025</v>
      </c>
      <c r="P472" s="460">
        <f>P353*'Inputs_NT INM'!W$257</f>
        <v>40.976810160909025</v>
      </c>
      <c r="Q472" s="460">
        <f>Q353*'Inputs_NT INM'!X$257</f>
        <v>40.976810160909025</v>
      </c>
      <c r="R472" s="460">
        <f>R353*'Inputs_NT INM'!Y$257</f>
        <v>40.976810160909025</v>
      </c>
      <c r="S472" s="460">
        <f>S353*'Inputs_NT INM'!Z$257</f>
        <v>40.976810160909025</v>
      </c>
      <c r="T472" s="460">
        <f>T353*'Inputs_NT INM'!AA$257</f>
        <v>40.976810160909025</v>
      </c>
      <c r="U472" s="460">
        <f>U353*'Inputs_NT INM'!AB$257</f>
        <v>40.976810160909025</v>
      </c>
      <c r="V472" s="460">
        <f>V353*'Inputs_NT INM'!AC$257</f>
        <v>40.976810160909025</v>
      </c>
      <c r="W472" s="460">
        <f>W353*'Inputs_NT INM'!AD$257</f>
        <v>40.976810160909025</v>
      </c>
      <c r="X472" s="460">
        <f>X353*'Inputs_NT INM'!AE$257</f>
        <v>40.976810160909025</v>
      </c>
      <c r="Y472" s="460">
        <f>Y353*'Inputs_NT INM'!AF$257</f>
        <v>40.976810160909025</v>
      </c>
      <c r="Z472" s="460">
        <f>Z353*'Inputs_NT INM'!AG$257</f>
        <v>40.976810160909025</v>
      </c>
      <c r="AA472" s="460">
        <f>AA353*'Inputs_NT INM'!AH$257</f>
        <v>40.976810160909025</v>
      </c>
      <c r="AB472" s="460">
        <f>AB353*'Inputs_NT INM'!AI$257</f>
        <v>40.976810160909025</v>
      </c>
      <c r="AC472" s="460">
        <f>AC353*'Inputs_NT INM'!AJ$257</f>
        <v>40.976810160909025</v>
      </c>
      <c r="AD472" s="460">
        <f>AD353*'Inputs_NT INM'!AK$257</f>
        <v>40.976810160909025</v>
      </c>
      <c r="AE472" s="460">
        <f>AE353*'Inputs_NT INM'!AL$257</f>
        <v>40.976810160909025</v>
      </c>
      <c r="AF472" s="460">
        <f>AF353*'Inputs_NT INM'!AM$257</f>
        <v>40.976810160909025</v>
      </c>
      <c r="AG472" s="460">
        <f>AG353*'Inputs_NT INM'!AN$257</f>
        <v>40.976810160909025</v>
      </c>
      <c r="AH472" s="460"/>
      <c r="AI472" s="460"/>
      <c r="AJ472" s="460"/>
    </row>
    <row r="473" spans="1:36" x14ac:dyDescent="0.25">
      <c r="A473" s="9" t="s">
        <v>575</v>
      </c>
      <c r="B473" s="9" t="s">
        <v>558</v>
      </c>
      <c r="C473" s="9" t="s">
        <v>558</v>
      </c>
      <c r="D473" s="9" t="s">
        <v>558</v>
      </c>
      <c r="E473" s="9" t="s">
        <v>997</v>
      </c>
      <c r="F473" s="460"/>
      <c r="G473" s="460"/>
      <c r="H473" s="460"/>
      <c r="I473" s="460"/>
      <c r="J473" s="460"/>
      <c r="K473" s="460"/>
      <c r="L473" s="460"/>
      <c r="M473" s="460"/>
      <c r="N473" s="460"/>
      <c r="O473" s="460"/>
      <c r="P473" s="460"/>
      <c r="Q473" s="460"/>
      <c r="R473" s="460"/>
      <c r="S473" s="460"/>
      <c r="T473" s="460"/>
      <c r="U473" s="460"/>
      <c r="V473" s="460"/>
      <c r="W473" s="460"/>
      <c r="X473" s="460"/>
      <c r="Y473" s="460"/>
      <c r="Z473" s="460"/>
      <c r="AA473" s="460"/>
      <c r="AB473" s="460"/>
      <c r="AC473" s="460"/>
      <c r="AD473" s="460"/>
      <c r="AE473" s="460"/>
      <c r="AF473" s="460"/>
      <c r="AG473" s="460"/>
      <c r="AH473" s="460"/>
      <c r="AI473" s="460"/>
      <c r="AJ473" s="460"/>
    </row>
    <row r="474" spans="1:36" x14ac:dyDescent="0.25">
      <c r="A474" s="9" t="s">
        <v>575</v>
      </c>
      <c r="B474" s="9" t="s">
        <v>558</v>
      </c>
      <c r="C474" s="9" t="s">
        <v>558</v>
      </c>
      <c r="D474" s="9" t="s">
        <v>558</v>
      </c>
      <c r="E474" s="9" t="s">
        <v>997</v>
      </c>
      <c r="F474" s="460"/>
      <c r="G474" s="460"/>
      <c r="H474" s="460"/>
      <c r="I474" s="460"/>
      <c r="J474" s="460"/>
      <c r="K474" s="460"/>
      <c r="L474" s="460"/>
      <c r="M474" s="460"/>
      <c r="N474" s="460"/>
      <c r="O474" s="460"/>
      <c r="P474" s="460"/>
      <c r="Q474" s="460"/>
      <c r="R474" s="460"/>
      <c r="S474" s="460"/>
      <c r="T474" s="460"/>
      <c r="U474" s="460"/>
      <c r="V474" s="460"/>
      <c r="W474" s="460"/>
      <c r="X474" s="460"/>
      <c r="Y474" s="460"/>
      <c r="Z474" s="460"/>
      <c r="AA474" s="460"/>
      <c r="AB474" s="460"/>
      <c r="AC474" s="460"/>
      <c r="AD474" s="460"/>
      <c r="AE474" s="460"/>
      <c r="AF474" s="460"/>
      <c r="AG474" s="460"/>
      <c r="AH474" s="460"/>
      <c r="AI474" s="460"/>
      <c r="AJ474" s="460"/>
    </row>
    <row r="475" spans="1:36" x14ac:dyDescent="0.25">
      <c r="A475" s="9" t="s">
        <v>575</v>
      </c>
      <c r="B475" s="9" t="s">
        <v>558</v>
      </c>
      <c r="C475" s="9" t="s">
        <v>558</v>
      </c>
      <c r="D475" s="9" t="s">
        <v>558</v>
      </c>
      <c r="E475" s="9" t="s">
        <v>997</v>
      </c>
      <c r="F475" s="460"/>
      <c r="G475" s="460"/>
      <c r="H475" s="460"/>
      <c r="I475" s="460"/>
      <c r="J475" s="460"/>
      <c r="K475" s="460"/>
      <c r="L475" s="460"/>
      <c r="M475" s="460"/>
      <c r="N475" s="460"/>
      <c r="O475" s="460"/>
      <c r="P475" s="460"/>
      <c r="Q475" s="460"/>
      <c r="R475" s="460"/>
      <c r="S475" s="460"/>
      <c r="T475" s="460"/>
      <c r="U475" s="460"/>
      <c r="V475" s="460"/>
      <c r="W475" s="460"/>
      <c r="X475" s="460"/>
      <c r="Y475" s="460"/>
      <c r="Z475" s="460"/>
      <c r="AA475" s="460"/>
      <c r="AB475" s="460"/>
      <c r="AC475" s="460"/>
      <c r="AD475" s="460"/>
      <c r="AE475" s="460"/>
      <c r="AF475" s="460"/>
      <c r="AG475" s="460"/>
      <c r="AH475" s="460"/>
      <c r="AI475" s="460"/>
      <c r="AJ475" s="460"/>
    </row>
    <row r="476" spans="1:36" x14ac:dyDescent="0.25">
      <c r="A476" s="9" t="s">
        <v>575</v>
      </c>
      <c r="B476" s="9" t="s">
        <v>558</v>
      </c>
      <c r="C476" s="9" t="s">
        <v>558</v>
      </c>
      <c r="D476" s="9" t="s">
        <v>558</v>
      </c>
      <c r="E476" s="9" t="s">
        <v>997</v>
      </c>
      <c r="F476" s="460"/>
      <c r="G476" s="460"/>
      <c r="H476" s="460"/>
      <c r="I476" s="460"/>
      <c r="J476" s="460"/>
      <c r="K476" s="460"/>
      <c r="L476" s="460"/>
      <c r="M476" s="460"/>
      <c r="N476" s="460"/>
      <c r="O476" s="460"/>
      <c r="P476" s="460"/>
      <c r="Q476" s="460"/>
      <c r="R476" s="460"/>
      <c r="S476" s="460"/>
      <c r="T476" s="460"/>
      <c r="U476" s="460"/>
      <c r="V476" s="460"/>
      <c r="W476" s="460"/>
      <c r="X476" s="460"/>
      <c r="Y476" s="460"/>
      <c r="Z476" s="460"/>
      <c r="AA476" s="460"/>
      <c r="AB476" s="460"/>
      <c r="AC476" s="460"/>
      <c r="AD476" s="460"/>
      <c r="AE476" s="460"/>
      <c r="AF476" s="460"/>
      <c r="AG476" s="460"/>
      <c r="AH476" s="460"/>
      <c r="AI476" s="460"/>
      <c r="AJ476" s="460"/>
    </row>
    <row r="477" spans="1:36" x14ac:dyDescent="0.25">
      <c r="A477" s="9" t="s">
        <v>575</v>
      </c>
      <c r="B477" s="9" t="s">
        <v>558</v>
      </c>
      <c r="C477" s="9" t="s">
        <v>558</v>
      </c>
      <c r="D477" s="9" t="s">
        <v>558</v>
      </c>
      <c r="E477" s="9" t="s">
        <v>997</v>
      </c>
      <c r="F477" s="460"/>
      <c r="G477" s="460"/>
      <c r="H477" s="460"/>
      <c r="I477" s="460"/>
      <c r="J477" s="460"/>
      <c r="K477" s="460"/>
      <c r="L477" s="460"/>
      <c r="M477" s="460"/>
      <c r="N477" s="460"/>
      <c r="O477" s="460"/>
      <c r="P477" s="460"/>
      <c r="Q477" s="460"/>
      <c r="R477" s="460"/>
      <c r="S477" s="460"/>
      <c r="T477" s="460"/>
      <c r="U477" s="460"/>
      <c r="V477" s="460"/>
      <c r="W477" s="460"/>
      <c r="X477" s="460"/>
      <c r="Y477" s="460"/>
      <c r="Z477" s="460"/>
      <c r="AA477" s="460"/>
      <c r="AB477" s="460"/>
      <c r="AC477" s="460"/>
      <c r="AD477" s="460"/>
      <c r="AE477" s="460"/>
      <c r="AF477" s="460"/>
      <c r="AG477" s="460"/>
      <c r="AH477" s="460"/>
      <c r="AI477" s="460"/>
      <c r="AJ477" s="460"/>
    </row>
    <row r="478" spans="1:36" x14ac:dyDescent="0.25">
      <c r="A478" s="9" t="s">
        <v>860</v>
      </c>
      <c r="B478" s="9" t="s">
        <v>980</v>
      </c>
      <c r="C478" s="9" t="s">
        <v>547</v>
      </c>
      <c r="D478" s="9">
        <v>2030</v>
      </c>
      <c r="E478" s="9" t="s">
        <v>997</v>
      </c>
      <c r="F478" s="460">
        <f>F359*'Inputs_NT INM'!M$257</f>
        <v>36.387407422887222</v>
      </c>
      <c r="G478" s="460">
        <f>G359*'Inputs_NT INM'!N$257</f>
        <v>36.387407422887222</v>
      </c>
      <c r="H478" s="460">
        <f>H359*'Inputs_NT INM'!O$257</f>
        <v>36.387407422887222</v>
      </c>
      <c r="I478" s="460">
        <f>I359*'Inputs_NT INM'!P$257</f>
        <v>36.387407422887222</v>
      </c>
      <c r="J478" s="460">
        <f>J359*'Inputs_NT INM'!Q$257</f>
        <v>36.387407422887222</v>
      </c>
      <c r="K478" s="460">
        <f>K359*'Inputs_NT INM'!R$257</f>
        <v>36.387407422887222</v>
      </c>
      <c r="L478" s="460">
        <f>L359*'Inputs_NT INM'!S$257</f>
        <v>36.387407422887222</v>
      </c>
      <c r="M478" s="460">
        <f>M359*'Inputs_NT INM'!T$257</f>
        <v>36.387407422887222</v>
      </c>
      <c r="N478" s="460">
        <f>N359*'Inputs_NT INM'!U$257</f>
        <v>36.387407422887222</v>
      </c>
      <c r="O478" s="460">
        <f>O359*'Inputs_NT INM'!V$257</f>
        <v>36.387407422887222</v>
      </c>
      <c r="P478" s="460">
        <f>P359*'Inputs_NT INM'!W$257</f>
        <v>36.387407422887222</v>
      </c>
      <c r="Q478" s="460">
        <f>Q359*'Inputs_NT INM'!X$257</f>
        <v>36.387407422887222</v>
      </c>
      <c r="R478" s="460">
        <f>R359*'Inputs_NT INM'!Y$257</f>
        <v>36.387407422887222</v>
      </c>
      <c r="S478" s="460">
        <f>S359*'Inputs_NT INM'!Z$257</f>
        <v>36.387407422887222</v>
      </c>
      <c r="T478" s="460">
        <f>T359*'Inputs_NT INM'!AA$257</f>
        <v>36.387407422887222</v>
      </c>
      <c r="U478" s="460">
        <f>U359*'Inputs_NT INM'!AB$257</f>
        <v>36.387407422887222</v>
      </c>
      <c r="V478" s="460">
        <f>V359*'Inputs_NT INM'!AC$257</f>
        <v>36.387407422887222</v>
      </c>
      <c r="W478" s="460">
        <f>W359*'Inputs_NT INM'!AD$257</f>
        <v>36.387407422887222</v>
      </c>
      <c r="X478" s="460">
        <f>X359*'Inputs_NT INM'!AE$257</f>
        <v>36.387407422887222</v>
      </c>
      <c r="Y478" s="460">
        <f>Y359*'Inputs_NT INM'!AF$257</f>
        <v>36.387407422887222</v>
      </c>
      <c r="Z478" s="460">
        <f>Z359*'Inputs_NT INM'!AG$257</f>
        <v>36.387407422887222</v>
      </c>
      <c r="AA478" s="460">
        <f>AA359*'Inputs_NT INM'!AH$257</f>
        <v>36.387407422887222</v>
      </c>
      <c r="AB478" s="460">
        <f>AB359*'Inputs_NT INM'!AI$257</f>
        <v>36.387407422887222</v>
      </c>
      <c r="AC478" s="460">
        <f>AC359*'Inputs_NT INM'!AJ$257</f>
        <v>36.387407422887222</v>
      </c>
      <c r="AD478" s="460">
        <f>AD359*'Inputs_NT INM'!AK$257</f>
        <v>36.387407422887222</v>
      </c>
      <c r="AE478" s="460">
        <f>AE359*'Inputs_NT INM'!AL$257</f>
        <v>36.387407422887222</v>
      </c>
      <c r="AF478" s="460">
        <f>AF359*'Inputs_NT INM'!AM$257</f>
        <v>36.387407422887222</v>
      </c>
      <c r="AG478" s="460">
        <f>AG359*'Inputs_NT INM'!AN$257</f>
        <v>36.387407422887222</v>
      </c>
      <c r="AH478" s="460"/>
      <c r="AI478" s="460"/>
      <c r="AJ478" s="460"/>
    </row>
    <row r="479" spans="1:36" x14ac:dyDescent="0.25">
      <c r="A479" s="9" t="s">
        <v>575</v>
      </c>
      <c r="B479" s="9" t="s">
        <v>558</v>
      </c>
      <c r="C479" s="9" t="s">
        <v>558</v>
      </c>
      <c r="D479" s="9" t="s">
        <v>558</v>
      </c>
      <c r="E479" s="9" t="s">
        <v>997</v>
      </c>
      <c r="F479" s="460"/>
      <c r="G479" s="460"/>
      <c r="H479" s="460"/>
      <c r="I479" s="460"/>
      <c r="J479" s="460"/>
      <c r="K479" s="460"/>
      <c r="L479" s="460"/>
      <c r="M479" s="460"/>
      <c r="N479" s="460"/>
      <c r="O479" s="460"/>
      <c r="P479" s="460"/>
      <c r="Q479" s="460"/>
      <c r="R479" s="460"/>
      <c r="S479" s="460"/>
      <c r="T479" s="460"/>
      <c r="U479" s="460"/>
      <c r="V479" s="460"/>
      <c r="W479" s="460"/>
      <c r="X479" s="460"/>
      <c r="Y479" s="460"/>
      <c r="Z479" s="460"/>
      <c r="AA479" s="460"/>
      <c r="AB479" s="460"/>
      <c r="AC479" s="460"/>
      <c r="AD479" s="460"/>
      <c r="AE479" s="460"/>
      <c r="AF479" s="460"/>
      <c r="AG479" s="460"/>
      <c r="AH479" s="460"/>
      <c r="AI479" s="460"/>
      <c r="AJ479" s="460"/>
    </row>
    <row r="480" spans="1:36" x14ac:dyDescent="0.25">
      <c r="A480" s="9" t="s">
        <v>575</v>
      </c>
      <c r="B480" s="9" t="s">
        <v>558</v>
      </c>
      <c r="C480" s="9" t="s">
        <v>558</v>
      </c>
      <c r="D480" s="9" t="s">
        <v>558</v>
      </c>
      <c r="E480" s="9" t="s">
        <v>997</v>
      </c>
      <c r="F480" s="460"/>
      <c r="G480" s="460"/>
      <c r="H480" s="460"/>
      <c r="I480" s="460"/>
      <c r="J480" s="460"/>
      <c r="K480" s="460"/>
      <c r="L480" s="460"/>
      <c r="M480" s="460"/>
      <c r="N480" s="460"/>
      <c r="O480" s="460"/>
      <c r="P480" s="460"/>
      <c r="Q480" s="460"/>
      <c r="R480" s="460"/>
      <c r="S480" s="460"/>
      <c r="T480" s="460"/>
      <c r="U480" s="460"/>
      <c r="V480" s="460"/>
      <c r="W480" s="460"/>
      <c r="X480" s="460"/>
      <c r="Y480" s="460"/>
      <c r="Z480" s="460"/>
      <c r="AA480" s="460"/>
      <c r="AB480" s="460"/>
      <c r="AC480" s="460"/>
      <c r="AD480" s="460"/>
      <c r="AE480" s="460"/>
      <c r="AF480" s="460"/>
      <c r="AG480" s="460"/>
      <c r="AH480" s="460"/>
      <c r="AI480" s="460"/>
      <c r="AJ480" s="460"/>
    </row>
    <row r="481" spans="1:36" x14ac:dyDescent="0.25">
      <c r="A481" s="9" t="s">
        <v>575</v>
      </c>
      <c r="B481" s="9" t="s">
        <v>558</v>
      </c>
      <c r="C481" s="9" t="s">
        <v>558</v>
      </c>
      <c r="D481" s="9" t="s">
        <v>558</v>
      </c>
      <c r="E481" s="9" t="s">
        <v>997</v>
      </c>
      <c r="F481" s="460"/>
      <c r="G481" s="460"/>
      <c r="H481" s="460"/>
      <c r="I481" s="460"/>
      <c r="J481" s="460"/>
      <c r="K481" s="460"/>
      <c r="L481" s="460"/>
      <c r="M481" s="460"/>
      <c r="N481" s="460"/>
      <c r="O481" s="460"/>
      <c r="P481" s="460"/>
      <c r="Q481" s="460"/>
      <c r="R481" s="460"/>
      <c r="S481" s="460"/>
      <c r="T481" s="460"/>
      <c r="U481" s="460"/>
      <c r="V481" s="460"/>
      <c r="W481" s="460"/>
      <c r="X481" s="460"/>
      <c r="Y481" s="460"/>
      <c r="Z481" s="460"/>
      <c r="AA481" s="460"/>
      <c r="AB481" s="460"/>
      <c r="AC481" s="460"/>
      <c r="AD481" s="460"/>
      <c r="AE481" s="460"/>
      <c r="AF481" s="460"/>
      <c r="AG481" s="460"/>
      <c r="AH481" s="460"/>
      <c r="AI481" s="460"/>
      <c r="AJ481" s="460"/>
    </row>
    <row r="482" spans="1:36" x14ac:dyDescent="0.25">
      <c r="A482" s="9" t="s">
        <v>575</v>
      </c>
      <c r="B482" s="9" t="s">
        <v>558</v>
      </c>
      <c r="C482" s="9" t="s">
        <v>558</v>
      </c>
      <c r="D482" s="9" t="s">
        <v>558</v>
      </c>
      <c r="E482" s="9" t="s">
        <v>997</v>
      </c>
      <c r="F482" s="460"/>
      <c r="G482" s="460"/>
      <c r="H482" s="460"/>
      <c r="I482" s="460"/>
      <c r="J482" s="460"/>
      <c r="K482" s="460"/>
      <c r="L482" s="460"/>
      <c r="M482" s="460"/>
      <c r="N482" s="460"/>
      <c r="O482" s="460"/>
      <c r="P482" s="460"/>
      <c r="Q482" s="460"/>
      <c r="R482" s="460"/>
      <c r="S482" s="460"/>
      <c r="T482" s="460"/>
      <c r="U482" s="460"/>
      <c r="V482" s="460"/>
      <c r="W482" s="460"/>
      <c r="X482" s="460"/>
      <c r="Y482" s="460"/>
      <c r="Z482" s="460"/>
      <c r="AA482" s="460"/>
      <c r="AB482" s="460"/>
      <c r="AC482" s="460"/>
      <c r="AD482" s="460"/>
      <c r="AE482" s="460"/>
      <c r="AF482" s="460"/>
      <c r="AG482" s="460"/>
      <c r="AH482" s="460"/>
      <c r="AI482" s="460"/>
      <c r="AJ482" s="460"/>
    </row>
    <row r="483" spans="1:36" x14ac:dyDescent="0.25">
      <c r="A483" s="9" t="s">
        <v>575</v>
      </c>
      <c r="B483" s="9" t="s">
        <v>558</v>
      </c>
      <c r="C483" s="9" t="s">
        <v>558</v>
      </c>
      <c r="D483" s="9" t="s">
        <v>558</v>
      </c>
      <c r="E483" s="9" t="s">
        <v>997</v>
      </c>
      <c r="F483" s="460"/>
      <c r="G483" s="460"/>
      <c r="H483" s="460"/>
      <c r="I483" s="460"/>
      <c r="J483" s="460"/>
      <c r="K483" s="460"/>
      <c r="L483" s="460"/>
      <c r="M483" s="460"/>
      <c r="N483" s="460"/>
      <c r="O483" s="460"/>
      <c r="P483" s="460"/>
      <c r="Q483" s="460"/>
      <c r="R483" s="460"/>
      <c r="S483" s="460"/>
      <c r="T483" s="460"/>
      <c r="U483" s="460"/>
      <c r="V483" s="460"/>
      <c r="W483" s="460"/>
      <c r="X483" s="460"/>
      <c r="Y483" s="460"/>
      <c r="Z483" s="460"/>
      <c r="AA483" s="460"/>
      <c r="AB483" s="460"/>
      <c r="AC483" s="460"/>
      <c r="AD483" s="460"/>
      <c r="AE483" s="460"/>
      <c r="AF483" s="460"/>
      <c r="AG483" s="460"/>
      <c r="AH483" s="460"/>
      <c r="AI483" s="460"/>
      <c r="AJ483" s="460"/>
    </row>
    <row r="484" spans="1:36" x14ac:dyDescent="0.25">
      <c r="A484" s="9" t="s">
        <v>860</v>
      </c>
      <c r="B484" s="9" t="s">
        <v>980</v>
      </c>
      <c r="C484" s="9" t="s">
        <v>547</v>
      </c>
      <c r="D484" s="9">
        <v>2050</v>
      </c>
      <c r="E484" s="9" t="s">
        <v>997</v>
      </c>
      <c r="F484" s="460">
        <f>F365*'Inputs_NT INM'!M$257</f>
        <v>33.224440671007322</v>
      </c>
      <c r="G484" s="460">
        <f>G365*'Inputs_NT INM'!N$257</f>
        <v>33.224440671007322</v>
      </c>
      <c r="H484" s="460">
        <f>H365*'Inputs_NT INM'!O$257</f>
        <v>33.224440671007322</v>
      </c>
      <c r="I484" s="460">
        <f>I365*'Inputs_NT INM'!P$257</f>
        <v>33.224440671007322</v>
      </c>
      <c r="J484" s="460">
        <f>J365*'Inputs_NT INM'!Q$257</f>
        <v>33.224440671007322</v>
      </c>
      <c r="K484" s="460">
        <f>K365*'Inputs_NT INM'!R$257</f>
        <v>33.224440671007322</v>
      </c>
      <c r="L484" s="460">
        <f>L365*'Inputs_NT INM'!S$257</f>
        <v>33.224440671007322</v>
      </c>
      <c r="M484" s="460">
        <f>M365*'Inputs_NT INM'!T$257</f>
        <v>33.224440671007322</v>
      </c>
      <c r="N484" s="460">
        <f>N365*'Inputs_NT INM'!U$257</f>
        <v>33.224440671007322</v>
      </c>
      <c r="O484" s="460">
        <f>O365*'Inputs_NT INM'!V$257</f>
        <v>33.224440671007322</v>
      </c>
      <c r="P484" s="460">
        <f>P365*'Inputs_NT INM'!W$257</f>
        <v>33.224440671007322</v>
      </c>
      <c r="Q484" s="460">
        <f>Q365*'Inputs_NT INM'!X$257</f>
        <v>33.224440671007322</v>
      </c>
      <c r="R484" s="460">
        <f>R365*'Inputs_NT INM'!Y$257</f>
        <v>33.224440671007322</v>
      </c>
      <c r="S484" s="460">
        <f>S365*'Inputs_NT INM'!Z$257</f>
        <v>33.224440671007322</v>
      </c>
      <c r="T484" s="460">
        <f>T365*'Inputs_NT INM'!AA$257</f>
        <v>33.224440671007322</v>
      </c>
      <c r="U484" s="460">
        <f>U365*'Inputs_NT INM'!AB$257</f>
        <v>33.224440671007322</v>
      </c>
      <c r="V484" s="460">
        <f>V365*'Inputs_NT INM'!AC$257</f>
        <v>33.224440671007322</v>
      </c>
      <c r="W484" s="460">
        <f>W365*'Inputs_NT INM'!AD$257</f>
        <v>33.224440671007322</v>
      </c>
      <c r="X484" s="460">
        <f>X365*'Inputs_NT INM'!AE$257</f>
        <v>33.224440671007322</v>
      </c>
      <c r="Y484" s="460">
        <f>Y365*'Inputs_NT INM'!AF$257</f>
        <v>33.224440671007322</v>
      </c>
      <c r="Z484" s="460">
        <f>Z365*'Inputs_NT INM'!AG$257</f>
        <v>33.224440671007322</v>
      </c>
      <c r="AA484" s="460">
        <f>AA365*'Inputs_NT INM'!AH$257</f>
        <v>33.224440671007322</v>
      </c>
      <c r="AB484" s="460">
        <f>AB365*'Inputs_NT INM'!AI$257</f>
        <v>33.224440671007322</v>
      </c>
      <c r="AC484" s="460">
        <f>AC365*'Inputs_NT INM'!AJ$257</f>
        <v>33.224440671007322</v>
      </c>
      <c r="AD484" s="460">
        <f>AD365*'Inputs_NT INM'!AK$257</f>
        <v>33.224440671007322</v>
      </c>
      <c r="AE484" s="460">
        <f>AE365*'Inputs_NT INM'!AL$257</f>
        <v>33.224440671007322</v>
      </c>
      <c r="AF484" s="460">
        <f>AF365*'Inputs_NT INM'!AM$257</f>
        <v>33.224440671007322</v>
      </c>
      <c r="AG484" s="460">
        <f>AG365*'Inputs_NT INM'!AN$257</f>
        <v>33.224440671007322</v>
      </c>
      <c r="AH484" s="460"/>
      <c r="AI484" s="460"/>
      <c r="AJ484" s="460"/>
    </row>
    <row r="485" spans="1:36" x14ac:dyDescent="0.25">
      <c r="A485" s="9" t="s">
        <v>575</v>
      </c>
      <c r="B485" s="9" t="s">
        <v>558</v>
      </c>
      <c r="C485" s="9" t="s">
        <v>558</v>
      </c>
      <c r="D485" s="9" t="s">
        <v>558</v>
      </c>
      <c r="E485" s="9" t="s">
        <v>997</v>
      </c>
      <c r="F485" s="460"/>
      <c r="G485" s="460"/>
      <c r="H485" s="460"/>
      <c r="I485" s="460"/>
      <c r="J485" s="460"/>
      <c r="K485" s="460"/>
      <c r="L485" s="460"/>
      <c r="M485" s="460"/>
      <c r="N485" s="460"/>
      <c r="O485" s="460"/>
      <c r="P485" s="460"/>
      <c r="Q485" s="460"/>
      <c r="R485" s="460"/>
      <c r="S485" s="460"/>
      <c r="T485" s="460"/>
      <c r="U485" s="460"/>
      <c r="V485" s="460"/>
      <c r="W485" s="460"/>
      <c r="X485" s="460"/>
      <c r="Y485" s="460"/>
      <c r="Z485" s="460"/>
      <c r="AA485" s="460"/>
      <c r="AB485" s="460"/>
      <c r="AC485" s="460"/>
      <c r="AD485" s="460"/>
      <c r="AE485" s="460"/>
      <c r="AF485" s="460"/>
      <c r="AG485" s="460"/>
      <c r="AH485" s="460"/>
      <c r="AI485" s="460"/>
      <c r="AJ485" s="460"/>
    </row>
    <row r="486" spans="1:36" x14ac:dyDescent="0.25">
      <c r="A486" s="9" t="s">
        <v>575</v>
      </c>
      <c r="B486" s="9" t="s">
        <v>558</v>
      </c>
      <c r="C486" s="9" t="s">
        <v>558</v>
      </c>
      <c r="D486" s="9" t="s">
        <v>558</v>
      </c>
      <c r="E486" s="9" t="s">
        <v>997</v>
      </c>
      <c r="F486" s="460"/>
      <c r="G486" s="460"/>
      <c r="H486" s="460"/>
      <c r="I486" s="460"/>
      <c r="J486" s="460"/>
      <c r="K486" s="460"/>
      <c r="L486" s="460"/>
      <c r="M486" s="460"/>
      <c r="N486" s="460"/>
      <c r="O486" s="460"/>
      <c r="P486" s="460"/>
      <c r="Q486" s="460"/>
      <c r="R486" s="460"/>
      <c r="S486" s="460"/>
      <c r="T486" s="460"/>
      <c r="U486" s="460"/>
      <c r="V486" s="460"/>
      <c r="W486" s="460"/>
      <c r="X486" s="460"/>
      <c r="Y486" s="460"/>
      <c r="Z486" s="460"/>
      <c r="AA486" s="460"/>
      <c r="AB486" s="460"/>
      <c r="AC486" s="460"/>
      <c r="AD486" s="460"/>
      <c r="AE486" s="460"/>
      <c r="AF486" s="460"/>
      <c r="AG486" s="460"/>
      <c r="AH486" s="460"/>
      <c r="AI486" s="460"/>
      <c r="AJ486" s="460"/>
    </row>
    <row r="487" spans="1:36" x14ac:dyDescent="0.25">
      <c r="A487" s="9" t="s">
        <v>575</v>
      </c>
      <c r="B487" s="9" t="s">
        <v>558</v>
      </c>
      <c r="C487" s="9" t="s">
        <v>558</v>
      </c>
      <c r="D487" s="9" t="s">
        <v>558</v>
      </c>
      <c r="E487" s="9" t="s">
        <v>997</v>
      </c>
      <c r="F487" s="460"/>
      <c r="G487" s="460"/>
      <c r="H487" s="460"/>
      <c r="I487" s="460"/>
      <c r="J487" s="460"/>
      <c r="K487" s="460"/>
      <c r="L487" s="460"/>
      <c r="M487" s="460"/>
      <c r="N487" s="460"/>
      <c r="O487" s="460"/>
      <c r="P487" s="460"/>
      <c r="Q487" s="460"/>
      <c r="R487" s="460"/>
      <c r="S487" s="460"/>
      <c r="T487" s="460"/>
      <c r="U487" s="460"/>
      <c r="V487" s="460"/>
      <c r="W487" s="460"/>
      <c r="X487" s="460"/>
      <c r="Y487" s="460"/>
      <c r="Z487" s="460"/>
      <c r="AA487" s="460"/>
      <c r="AB487" s="460"/>
      <c r="AC487" s="460"/>
      <c r="AD487" s="460"/>
      <c r="AE487" s="460"/>
      <c r="AF487" s="460"/>
      <c r="AG487" s="460"/>
      <c r="AH487" s="460"/>
      <c r="AI487" s="460"/>
      <c r="AJ487" s="460"/>
    </row>
    <row r="488" spans="1:36" x14ac:dyDescent="0.25">
      <c r="A488" s="9" t="s">
        <v>575</v>
      </c>
      <c r="B488" s="9" t="s">
        <v>558</v>
      </c>
      <c r="C488" s="9" t="s">
        <v>558</v>
      </c>
      <c r="D488" s="9" t="s">
        <v>558</v>
      </c>
      <c r="E488" s="9" t="s">
        <v>997</v>
      </c>
      <c r="F488" s="460"/>
      <c r="G488" s="460"/>
      <c r="H488" s="460"/>
      <c r="I488" s="460"/>
      <c r="J488" s="460"/>
      <c r="K488" s="460"/>
      <c r="L488" s="460"/>
      <c r="M488" s="460"/>
      <c r="N488" s="460"/>
      <c r="O488" s="460"/>
      <c r="P488" s="460"/>
      <c r="Q488" s="460"/>
      <c r="R488" s="460"/>
      <c r="S488" s="460"/>
      <c r="T488" s="460"/>
      <c r="U488" s="460"/>
      <c r="V488" s="460"/>
      <c r="W488" s="460"/>
      <c r="X488" s="460"/>
      <c r="Y488" s="460"/>
      <c r="Z488" s="460"/>
      <c r="AA488" s="460"/>
      <c r="AB488" s="460"/>
      <c r="AC488" s="460"/>
      <c r="AD488" s="460"/>
      <c r="AE488" s="460"/>
      <c r="AF488" s="460"/>
      <c r="AG488" s="460"/>
      <c r="AH488" s="460"/>
      <c r="AI488" s="460"/>
      <c r="AJ488" s="460"/>
    </row>
    <row r="489" spans="1:36" x14ac:dyDescent="0.25">
      <c r="A489" s="9" t="s">
        <v>575</v>
      </c>
      <c r="B489" s="9" t="s">
        <v>558</v>
      </c>
      <c r="C489" s="9" t="s">
        <v>558</v>
      </c>
      <c r="D489" s="9" t="s">
        <v>558</v>
      </c>
      <c r="E489" s="9" t="s">
        <v>997</v>
      </c>
      <c r="F489" s="460"/>
      <c r="G489" s="460"/>
      <c r="H489" s="460"/>
      <c r="I489" s="460"/>
      <c r="J489" s="460"/>
      <c r="K489" s="460"/>
      <c r="L489" s="460"/>
      <c r="M489" s="460"/>
      <c r="N489" s="460"/>
      <c r="O489" s="460"/>
      <c r="P489" s="460"/>
      <c r="Q489" s="460"/>
      <c r="R489" s="460"/>
      <c r="S489" s="460"/>
      <c r="T489" s="460"/>
      <c r="U489" s="460"/>
      <c r="V489" s="460"/>
      <c r="W489" s="460"/>
      <c r="X489" s="460"/>
      <c r="Y489" s="460"/>
      <c r="Z489" s="460"/>
      <c r="AA489" s="460"/>
      <c r="AB489" s="460"/>
      <c r="AC489" s="460"/>
      <c r="AD489" s="460"/>
      <c r="AE489" s="460"/>
      <c r="AF489" s="460"/>
      <c r="AG489" s="460"/>
      <c r="AH489" s="460"/>
      <c r="AI489" s="460"/>
      <c r="AJ489" s="460"/>
    </row>
    <row r="490" spans="1:36" x14ac:dyDescent="0.25">
      <c r="A490" s="9" t="s">
        <v>866</v>
      </c>
      <c r="B490" s="9" t="s">
        <v>981</v>
      </c>
      <c r="C490" s="9" t="s">
        <v>547</v>
      </c>
      <c r="D490" s="9">
        <v>2030</v>
      </c>
      <c r="E490" s="9" t="s">
        <v>997</v>
      </c>
      <c r="F490" s="460">
        <f>F371*'Inputs_NT INM'!M$257</f>
        <v>130.72265442801256</v>
      </c>
      <c r="G490" s="460">
        <f>G371*'Inputs_NT INM'!N$257</f>
        <v>130.72265442801256</v>
      </c>
      <c r="H490" s="460">
        <f>H371*'Inputs_NT INM'!O$257</f>
        <v>130.72265442801256</v>
      </c>
      <c r="I490" s="460">
        <f>I371*'Inputs_NT INM'!P$257</f>
        <v>130.72265442801256</v>
      </c>
      <c r="J490" s="460">
        <f>J371*'Inputs_NT INM'!Q$257</f>
        <v>130.72265442801256</v>
      </c>
      <c r="K490" s="460">
        <f>K371*'Inputs_NT INM'!R$257</f>
        <v>130.72265442801256</v>
      </c>
      <c r="L490" s="460">
        <f>L371*'Inputs_NT INM'!S$257</f>
        <v>130.72265442801256</v>
      </c>
      <c r="M490" s="460">
        <f>M371*'Inputs_NT INM'!T$257</f>
        <v>130.72265442801256</v>
      </c>
      <c r="N490" s="460">
        <f>N371*'Inputs_NT INM'!U$257</f>
        <v>130.72265442801256</v>
      </c>
      <c r="O490" s="460">
        <f>O371*'Inputs_NT INM'!V$257</f>
        <v>130.72265442801256</v>
      </c>
      <c r="P490" s="460">
        <f>P371*'Inputs_NT INM'!W$257</f>
        <v>130.72265442801256</v>
      </c>
      <c r="Q490" s="460">
        <f>Q371*'Inputs_NT INM'!X$257</f>
        <v>130.72265442801256</v>
      </c>
      <c r="R490" s="460">
        <f>R371*'Inputs_NT INM'!Y$257</f>
        <v>130.72265442801256</v>
      </c>
      <c r="S490" s="460">
        <f>S371*'Inputs_NT INM'!Z$257</f>
        <v>130.72265442801256</v>
      </c>
      <c r="T490" s="460">
        <f>T371*'Inputs_NT INM'!AA$257</f>
        <v>130.72265442801256</v>
      </c>
      <c r="U490" s="460">
        <f>U371*'Inputs_NT INM'!AB$257</f>
        <v>130.72265442801256</v>
      </c>
      <c r="V490" s="460">
        <f>V371*'Inputs_NT INM'!AC$257</f>
        <v>130.72265442801256</v>
      </c>
      <c r="W490" s="460">
        <f>W371*'Inputs_NT INM'!AD$257</f>
        <v>130.72265442801256</v>
      </c>
      <c r="X490" s="460">
        <f>X371*'Inputs_NT INM'!AE$257</f>
        <v>130.72265442801256</v>
      </c>
      <c r="Y490" s="460">
        <f>Y371*'Inputs_NT INM'!AF$257</f>
        <v>130.72265442801256</v>
      </c>
      <c r="Z490" s="460">
        <f>Z371*'Inputs_NT INM'!AG$257</f>
        <v>130.72265442801256</v>
      </c>
      <c r="AA490" s="460">
        <f>AA371*'Inputs_NT INM'!AH$257</f>
        <v>130.72265442801256</v>
      </c>
      <c r="AB490" s="460">
        <f>AB371*'Inputs_NT INM'!AI$257</f>
        <v>130.72265442801256</v>
      </c>
      <c r="AC490" s="460">
        <f>AC371*'Inputs_NT INM'!AJ$257</f>
        <v>130.72265442801256</v>
      </c>
      <c r="AD490" s="460">
        <f>AD371*'Inputs_NT INM'!AK$257</f>
        <v>130.72265442801256</v>
      </c>
      <c r="AE490" s="460">
        <f>AE371*'Inputs_NT INM'!AL$257</f>
        <v>130.72265442801256</v>
      </c>
      <c r="AF490" s="460">
        <f>AF371*'Inputs_NT INM'!AM$257</f>
        <v>130.72265442801256</v>
      </c>
      <c r="AG490" s="460">
        <f>AG371*'Inputs_NT INM'!AN$257</f>
        <v>130.72265442801256</v>
      </c>
      <c r="AH490" s="460"/>
      <c r="AI490" s="460"/>
      <c r="AJ490" s="460"/>
    </row>
    <row r="491" spans="1:36" x14ac:dyDescent="0.25">
      <c r="A491" s="9" t="s">
        <v>575</v>
      </c>
      <c r="B491" s="9" t="s">
        <v>558</v>
      </c>
      <c r="C491" s="9" t="s">
        <v>558</v>
      </c>
      <c r="D491" s="9" t="s">
        <v>558</v>
      </c>
      <c r="E491" s="9" t="s">
        <v>997</v>
      </c>
      <c r="F491" s="460"/>
      <c r="G491" s="460"/>
      <c r="H491" s="460"/>
      <c r="I491" s="460"/>
      <c r="J491" s="460"/>
      <c r="K491" s="460"/>
      <c r="L491" s="460"/>
      <c r="M491" s="460"/>
      <c r="N491" s="460"/>
      <c r="O491" s="460"/>
      <c r="P491" s="460"/>
      <c r="Q491" s="460"/>
      <c r="R491" s="460"/>
      <c r="S491" s="460"/>
      <c r="T491" s="460"/>
      <c r="U491" s="460"/>
      <c r="V491" s="460"/>
      <c r="W491" s="460"/>
      <c r="X491" s="460"/>
      <c r="Y491" s="460"/>
      <c r="Z491" s="460"/>
      <c r="AA491" s="460"/>
      <c r="AB491" s="460"/>
      <c r="AC491" s="460"/>
      <c r="AD491" s="460"/>
      <c r="AE491" s="460"/>
      <c r="AF491" s="460"/>
      <c r="AG491" s="460"/>
      <c r="AH491" s="460"/>
      <c r="AI491" s="460"/>
      <c r="AJ491" s="460"/>
    </row>
    <row r="492" spans="1:36" x14ac:dyDescent="0.25">
      <c r="A492" s="9" t="s">
        <v>575</v>
      </c>
      <c r="B492" s="9" t="s">
        <v>558</v>
      </c>
      <c r="C492" s="9" t="s">
        <v>558</v>
      </c>
      <c r="D492" s="9" t="s">
        <v>558</v>
      </c>
      <c r="E492" s="9" t="s">
        <v>997</v>
      </c>
      <c r="F492" s="460"/>
      <c r="G492" s="460"/>
      <c r="H492" s="460"/>
      <c r="I492" s="460"/>
      <c r="J492" s="460"/>
      <c r="K492" s="460"/>
      <c r="L492" s="460"/>
      <c r="M492" s="460"/>
      <c r="N492" s="460"/>
      <c r="O492" s="460"/>
      <c r="P492" s="460"/>
      <c r="Q492" s="460"/>
      <c r="R492" s="460"/>
      <c r="S492" s="460"/>
      <c r="T492" s="460"/>
      <c r="U492" s="460"/>
      <c r="V492" s="460"/>
      <c r="W492" s="460"/>
      <c r="X492" s="460"/>
      <c r="Y492" s="460"/>
      <c r="Z492" s="460"/>
      <c r="AA492" s="460"/>
      <c r="AB492" s="460"/>
      <c r="AC492" s="460"/>
      <c r="AD492" s="460"/>
      <c r="AE492" s="460"/>
      <c r="AF492" s="460"/>
      <c r="AG492" s="460"/>
      <c r="AH492" s="460"/>
      <c r="AI492" s="460"/>
      <c r="AJ492" s="460"/>
    </row>
    <row r="493" spans="1:36" x14ac:dyDescent="0.25">
      <c r="A493" s="9" t="s">
        <v>575</v>
      </c>
      <c r="B493" s="9" t="s">
        <v>558</v>
      </c>
      <c r="C493" s="9" t="s">
        <v>558</v>
      </c>
      <c r="D493" s="9" t="s">
        <v>558</v>
      </c>
      <c r="E493" s="9" t="s">
        <v>997</v>
      </c>
      <c r="F493" s="460"/>
      <c r="G493" s="460"/>
      <c r="H493" s="460"/>
      <c r="I493" s="460"/>
      <c r="J493" s="460"/>
      <c r="K493" s="460"/>
      <c r="L493" s="460"/>
      <c r="M493" s="460"/>
      <c r="N493" s="460"/>
      <c r="O493" s="460"/>
      <c r="P493" s="460"/>
      <c r="Q493" s="460"/>
      <c r="R493" s="460"/>
      <c r="S493" s="460"/>
      <c r="T493" s="460"/>
      <c r="U493" s="460"/>
      <c r="V493" s="460"/>
      <c r="W493" s="460"/>
      <c r="X493" s="460"/>
      <c r="Y493" s="460"/>
      <c r="Z493" s="460"/>
      <c r="AA493" s="460"/>
      <c r="AB493" s="460"/>
      <c r="AC493" s="460"/>
      <c r="AD493" s="460"/>
      <c r="AE493" s="460"/>
      <c r="AF493" s="460"/>
      <c r="AG493" s="460"/>
      <c r="AH493" s="460"/>
      <c r="AI493" s="460"/>
      <c r="AJ493" s="460"/>
    </row>
    <row r="494" spans="1:36" x14ac:dyDescent="0.25">
      <c r="A494" s="9" t="s">
        <v>575</v>
      </c>
      <c r="B494" s="9" t="s">
        <v>558</v>
      </c>
      <c r="C494" s="9" t="s">
        <v>558</v>
      </c>
      <c r="D494" s="9" t="s">
        <v>558</v>
      </c>
      <c r="E494" s="9" t="s">
        <v>997</v>
      </c>
      <c r="F494" s="460"/>
      <c r="G494" s="460"/>
      <c r="H494" s="460"/>
      <c r="I494" s="460"/>
      <c r="J494" s="460"/>
      <c r="K494" s="460"/>
      <c r="L494" s="460"/>
      <c r="M494" s="460"/>
      <c r="N494" s="460"/>
      <c r="O494" s="460"/>
      <c r="P494" s="460"/>
      <c r="Q494" s="460"/>
      <c r="R494" s="460"/>
      <c r="S494" s="460"/>
      <c r="T494" s="460"/>
      <c r="U494" s="460"/>
      <c r="V494" s="460"/>
      <c r="W494" s="460"/>
      <c r="X494" s="460"/>
      <c r="Y494" s="460"/>
      <c r="Z494" s="460"/>
      <c r="AA494" s="460"/>
      <c r="AB494" s="460"/>
      <c r="AC494" s="460"/>
      <c r="AD494" s="460"/>
      <c r="AE494" s="460"/>
      <c r="AF494" s="460"/>
      <c r="AG494" s="460"/>
      <c r="AH494" s="460"/>
      <c r="AI494" s="460"/>
      <c r="AJ494" s="460"/>
    </row>
    <row r="495" spans="1:36" x14ac:dyDescent="0.25">
      <c r="A495" s="9" t="s">
        <v>575</v>
      </c>
      <c r="B495" s="9" t="s">
        <v>558</v>
      </c>
      <c r="C495" s="9" t="s">
        <v>558</v>
      </c>
      <c r="D495" s="9" t="s">
        <v>558</v>
      </c>
      <c r="E495" s="9" t="s">
        <v>997</v>
      </c>
      <c r="F495" s="460"/>
      <c r="G495" s="460"/>
      <c r="H495" s="460"/>
      <c r="I495" s="460"/>
      <c r="J495" s="460"/>
      <c r="K495" s="460"/>
      <c r="L495" s="460"/>
      <c r="M495" s="460"/>
      <c r="N495" s="460"/>
      <c r="O495" s="460"/>
      <c r="P495" s="460"/>
      <c r="Q495" s="460"/>
      <c r="R495" s="460"/>
      <c r="S495" s="460"/>
      <c r="T495" s="460"/>
      <c r="U495" s="460"/>
      <c r="V495" s="460"/>
      <c r="W495" s="460"/>
      <c r="X495" s="460"/>
      <c r="Y495" s="460"/>
      <c r="Z495" s="460"/>
      <c r="AA495" s="460"/>
      <c r="AB495" s="460"/>
      <c r="AC495" s="460"/>
      <c r="AD495" s="460"/>
      <c r="AE495" s="460"/>
      <c r="AF495" s="460"/>
      <c r="AG495" s="460"/>
      <c r="AH495" s="460"/>
      <c r="AI495" s="460"/>
      <c r="AJ495" s="460"/>
    </row>
    <row r="496" spans="1:36" x14ac:dyDescent="0.25">
      <c r="A496" s="9" t="s">
        <v>866</v>
      </c>
      <c r="B496" s="9" t="s">
        <v>981</v>
      </c>
      <c r="C496" s="9" t="s">
        <v>547</v>
      </c>
      <c r="D496" s="9">
        <v>2050</v>
      </c>
      <c r="E496" s="9" t="s">
        <v>997</v>
      </c>
      <c r="F496" s="460">
        <f>F377*'Inputs_NT INM'!M$257</f>
        <v>79.116070670000013</v>
      </c>
      <c r="G496" s="460">
        <f>G377*'Inputs_NT INM'!N$257</f>
        <v>79.116070670000013</v>
      </c>
      <c r="H496" s="460">
        <f>H377*'Inputs_NT INM'!O$257</f>
        <v>79.116070670000013</v>
      </c>
      <c r="I496" s="460">
        <f>I377*'Inputs_NT INM'!P$257</f>
        <v>79.116070670000013</v>
      </c>
      <c r="J496" s="460">
        <f>J377*'Inputs_NT INM'!Q$257</f>
        <v>79.116070670000013</v>
      </c>
      <c r="K496" s="460">
        <f>K377*'Inputs_NT INM'!R$257</f>
        <v>79.116070670000013</v>
      </c>
      <c r="L496" s="460">
        <f>L377*'Inputs_NT INM'!S$257</f>
        <v>79.116070670000013</v>
      </c>
      <c r="M496" s="460">
        <f>M377*'Inputs_NT INM'!T$257</f>
        <v>79.116070670000013</v>
      </c>
      <c r="N496" s="460">
        <f>N377*'Inputs_NT INM'!U$257</f>
        <v>79.116070670000013</v>
      </c>
      <c r="O496" s="460">
        <f>O377*'Inputs_NT INM'!V$257</f>
        <v>79.116070670000013</v>
      </c>
      <c r="P496" s="460">
        <f>P377*'Inputs_NT INM'!W$257</f>
        <v>79.116070670000013</v>
      </c>
      <c r="Q496" s="460">
        <f>Q377*'Inputs_NT INM'!X$257</f>
        <v>79.116070670000013</v>
      </c>
      <c r="R496" s="460">
        <f>R377*'Inputs_NT INM'!Y$257</f>
        <v>79.116070670000013</v>
      </c>
      <c r="S496" s="460">
        <f>S377*'Inputs_NT INM'!Z$257</f>
        <v>79.116070670000013</v>
      </c>
      <c r="T496" s="460">
        <f>T377*'Inputs_NT INM'!AA$257</f>
        <v>79.116070670000013</v>
      </c>
      <c r="U496" s="460">
        <f>U377*'Inputs_NT INM'!AB$257</f>
        <v>79.116070670000013</v>
      </c>
      <c r="V496" s="460">
        <f>V377*'Inputs_NT INM'!AC$257</f>
        <v>79.116070670000013</v>
      </c>
      <c r="W496" s="460">
        <f>W377*'Inputs_NT INM'!AD$257</f>
        <v>79.116070670000013</v>
      </c>
      <c r="X496" s="460">
        <f>X377*'Inputs_NT INM'!AE$257</f>
        <v>79.116070670000013</v>
      </c>
      <c r="Y496" s="460">
        <f>Y377*'Inputs_NT INM'!AF$257</f>
        <v>79.116070670000013</v>
      </c>
      <c r="Z496" s="460">
        <f>Z377*'Inputs_NT INM'!AG$257</f>
        <v>79.116070670000013</v>
      </c>
      <c r="AA496" s="460">
        <f>AA377*'Inputs_NT INM'!AH$257</f>
        <v>79.116070670000013</v>
      </c>
      <c r="AB496" s="460">
        <f>AB377*'Inputs_NT INM'!AI$257</f>
        <v>79.116070670000013</v>
      </c>
      <c r="AC496" s="460">
        <f>AC377*'Inputs_NT INM'!AJ$257</f>
        <v>79.116070670000013</v>
      </c>
      <c r="AD496" s="460">
        <f>AD377*'Inputs_NT INM'!AK$257</f>
        <v>79.116070670000013</v>
      </c>
      <c r="AE496" s="460">
        <f>AE377*'Inputs_NT INM'!AL$257</f>
        <v>79.116070670000013</v>
      </c>
      <c r="AF496" s="460">
        <f>AF377*'Inputs_NT INM'!AM$257</f>
        <v>79.116070670000013</v>
      </c>
      <c r="AG496" s="460">
        <f>AG377*'Inputs_NT INM'!AN$257</f>
        <v>79.116070670000013</v>
      </c>
      <c r="AH496" s="460"/>
      <c r="AI496" s="460"/>
      <c r="AJ496" s="460"/>
    </row>
    <row r="497" spans="1:37" x14ac:dyDescent="0.25">
      <c r="A497" s="9" t="s">
        <v>575</v>
      </c>
      <c r="B497" s="9" t="s">
        <v>558</v>
      </c>
      <c r="C497" s="9" t="s">
        <v>558</v>
      </c>
      <c r="D497" s="9" t="s">
        <v>558</v>
      </c>
      <c r="E497" s="9" t="s">
        <v>997</v>
      </c>
      <c r="F497" s="460"/>
      <c r="G497" s="460"/>
      <c r="H497" s="460"/>
      <c r="I497" s="460"/>
      <c r="J497" s="460"/>
      <c r="K497" s="460"/>
      <c r="L497" s="460"/>
      <c r="M497" s="460"/>
      <c r="N497" s="460"/>
      <c r="O497" s="460"/>
      <c r="P497" s="460"/>
      <c r="Q497" s="460"/>
      <c r="R497" s="460"/>
      <c r="S497" s="460"/>
      <c r="T497" s="460"/>
      <c r="U497" s="460"/>
      <c r="V497" s="460"/>
      <c r="W497" s="460"/>
      <c r="X497" s="460"/>
      <c r="Y497" s="460"/>
      <c r="Z497" s="460"/>
      <c r="AA497" s="460"/>
      <c r="AB497" s="460"/>
      <c r="AC497" s="460"/>
      <c r="AD497" s="460"/>
      <c r="AE497" s="460"/>
      <c r="AF497" s="460"/>
      <c r="AG497" s="460"/>
      <c r="AH497" s="460"/>
      <c r="AI497" s="460"/>
      <c r="AJ497" s="460"/>
    </row>
    <row r="498" spans="1:37" x14ac:dyDescent="0.25">
      <c r="A498" s="9" t="s">
        <v>575</v>
      </c>
      <c r="B498" s="9" t="s">
        <v>558</v>
      </c>
      <c r="C498" s="9" t="s">
        <v>558</v>
      </c>
      <c r="D498" s="9" t="s">
        <v>558</v>
      </c>
      <c r="E498" s="9" t="s">
        <v>997</v>
      </c>
      <c r="F498" s="460"/>
      <c r="G498" s="460"/>
      <c r="H498" s="460"/>
      <c r="I498" s="460"/>
      <c r="J498" s="460"/>
      <c r="K498" s="460"/>
      <c r="L498" s="460"/>
      <c r="M498" s="460"/>
      <c r="N498" s="460"/>
      <c r="O498" s="460"/>
      <c r="P498" s="460"/>
      <c r="Q498" s="460"/>
      <c r="R498" s="460"/>
      <c r="S498" s="460"/>
      <c r="T498" s="460"/>
      <c r="U498" s="460"/>
      <c r="V498" s="460"/>
      <c r="W498" s="460"/>
      <c r="X498" s="460"/>
      <c r="Y498" s="460"/>
      <c r="Z498" s="460"/>
      <c r="AA498" s="460"/>
      <c r="AB498" s="460"/>
      <c r="AC498" s="460"/>
      <c r="AD498" s="460"/>
      <c r="AE498" s="460"/>
      <c r="AF498" s="460"/>
      <c r="AG498" s="460"/>
      <c r="AH498" s="460"/>
      <c r="AI498" s="460"/>
      <c r="AJ498" s="460"/>
    </row>
    <row r="499" spans="1:37" x14ac:dyDescent="0.25">
      <c r="A499" s="9" t="s">
        <v>575</v>
      </c>
      <c r="B499" s="9" t="s">
        <v>558</v>
      </c>
      <c r="C499" s="9" t="s">
        <v>558</v>
      </c>
      <c r="D499" s="9" t="s">
        <v>558</v>
      </c>
      <c r="E499" s="9" t="s">
        <v>997</v>
      </c>
      <c r="F499" s="460"/>
      <c r="G499" s="460"/>
      <c r="H499" s="460"/>
      <c r="I499" s="460"/>
      <c r="J499" s="460"/>
      <c r="K499" s="460"/>
      <c r="L499" s="460"/>
      <c r="M499" s="460"/>
      <c r="N499" s="460"/>
      <c r="O499" s="460"/>
      <c r="P499" s="460"/>
      <c r="Q499" s="460"/>
      <c r="R499" s="460"/>
      <c r="S499" s="460"/>
      <c r="T499" s="460"/>
      <c r="U499" s="460"/>
      <c r="V499" s="460"/>
      <c r="W499" s="460"/>
      <c r="X499" s="460"/>
      <c r="Y499" s="460"/>
      <c r="Z499" s="460"/>
      <c r="AA499" s="460"/>
      <c r="AB499" s="460"/>
      <c r="AC499" s="460"/>
      <c r="AD499" s="460"/>
      <c r="AE499" s="460"/>
      <c r="AF499" s="460"/>
      <c r="AG499" s="460"/>
      <c r="AH499" s="460"/>
      <c r="AI499" s="460"/>
      <c r="AJ499" s="460"/>
    </row>
    <row r="500" spans="1:37" x14ac:dyDescent="0.25">
      <c r="A500" s="9" t="s">
        <v>575</v>
      </c>
      <c r="B500" s="9" t="s">
        <v>558</v>
      </c>
      <c r="C500" s="9" t="s">
        <v>558</v>
      </c>
      <c r="D500" s="9" t="s">
        <v>558</v>
      </c>
      <c r="E500" s="9" t="s">
        <v>997</v>
      </c>
      <c r="F500" s="460"/>
      <c r="G500" s="460"/>
      <c r="H500" s="460"/>
      <c r="I500" s="460"/>
      <c r="J500" s="460"/>
      <c r="K500" s="460"/>
      <c r="L500" s="460"/>
      <c r="M500" s="460"/>
      <c r="N500" s="460"/>
      <c r="O500" s="460"/>
      <c r="P500" s="460"/>
      <c r="Q500" s="460"/>
      <c r="R500" s="460"/>
      <c r="S500" s="460"/>
      <c r="T500" s="460"/>
      <c r="U500" s="460"/>
      <c r="V500" s="460"/>
      <c r="W500" s="460"/>
      <c r="X500" s="460"/>
      <c r="Y500" s="460"/>
      <c r="Z500" s="460"/>
      <c r="AA500" s="460"/>
      <c r="AB500" s="460"/>
      <c r="AC500" s="460"/>
      <c r="AD500" s="460"/>
      <c r="AE500" s="460"/>
      <c r="AF500" s="460"/>
      <c r="AG500" s="460"/>
      <c r="AH500" s="460"/>
      <c r="AI500" s="460"/>
      <c r="AJ500" s="460"/>
    </row>
    <row r="501" spans="1:37" x14ac:dyDescent="0.25">
      <c r="A501" s="9" t="s">
        <v>575</v>
      </c>
      <c r="B501" s="9" t="s">
        <v>558</v>
      </c>
      <c r="C501" s="9" t="s">
        <v>558</v>
      </c>
      <c r="D501" s="9" t="s">
        <v>558</v>
      </c>
      <c r="E501" s="9" t="s">
        <v>997</v>
      </c>
      <c r="F501" s="460"/>
      <c r="G501" s="460"/>
      <c r="H501" s="460"/>
      <c r="I501" s="460"/>
      <c r="J501" s="460"/>
      <c r="K501" s="460"/>
      <c r="L501" s="460"/>
      <c r="M501" s="460"/>
      <c r="N501" s="460"/>
      <c r="O501" s="460"/>
      <c r="P501" s="460"/>
      <c r="Q501" s="460"/>
      <c r="R501" s="460"/>
      <c r="S501" s="460"/>
      <c r="T501" s="460"/>
      <c r="U501" s="460"/>
      <c r="V501" s="460"/>
      <c r="W501" s="460"/>
      <c r="X501" s="460"/>
      <c r="Y501" s="460"/>
      <c r="Z501" s="460"/>
      <c r="AA501" s="460"/>
      <c r="AB501" s="460"/>
      <c r="AC501" s="460"/>
      <c r="AD501" s="460"/>
      <c r="AE501" s="460"/>
      <c r="AF501" s="460"/>
      <c r="AG501" s="460"/>
      <c r="AH501" s="460"/>
      <c r="AI501" s="460"/>
      <c r="AJ501" s="460"/>
    </row>
    <row r="502" spans="1:37" x14ac:dyDescent="0.25">
      <c r="F502" s="67"/>
      <c r="G502" s="67"/>
      <c r="H502" s="67"/>
      <c r="I502" s="67"/>
      <c r="J502" s="67"/>
      <c r="K502" s="67"/>
      <c r="L502" s="67"/>
      <c r="M502" s="67"/>
      <c r="N502" s="67"/>
      <c r="O502" s="67"/>
      <c r="P502" s="67"/>
      <c r="Q502" s="67"/>
      <c r="R502" s="67"/>
      <c r="S502" s="67"/>
      <c r="T502" s="67"/>
      <c r="U502" s="67"/>
      <c r="V502" s="67"/>
      <c r="W502" s="67"/>
      <c r="X502" s="67"/>
      <c r="Y502" s="67"/>
      <c r="Z502" s="67"/>
      <c r="AA502" s="67"/>
      <c r="AB502" s="67"/>
      <c r="AC502" s="61"/>
      <c r="AD502" s="61"/>
      <c r="AE502" s="61"/>
      <c r="AF502" s="61"/>
      <c r="AG502" s="61"/>
    </row>
    <row r="503" spans="1:37" x14ac:dyDescent="0.25">
      <c r="F503" s="67"/>
      <c r="G503" s="67"/>
      <c r="H503" s="67"/>
      <c r="I503" s="67"/>
      <c r="J503" s="67"/>
      <c r="K503" s="67"/>
      <c r="L503" s="67"/>
      <c r="M503" s="67"/>
      <c r="N503" s="67"/>
      <c r="O503" s="67"/>
      <c r="P503" s="67"/>
      <c r="Q503" s="67"/>
      <c r="R503" s="67"/>
      <c r="S503" s="67"/>
      <c r="T503" s="67"/>
      <c r="U503" s="67"/>
      <c r="V503" s="67"/>
      <c r="W503" s="67"/>
      <c r="X503" s="67"/>
      <c r="Y503" s="67"/>
      <c r="Z503" s="67"/>
      <c r="AA503" s="67"/>
      <c r="AB503" s="67"/>
    </row>
    <row r="504" spans="1:37" x14ac:dyDescent="0.25">
      <c r="A504" s="52" t="s">
        <v>300</v>
      </c>
      <c r="L504" s="53"/>
      <c r="M504" s="53"/>
      <c r="N504" s="53"/>
      <c r="O504" s="53"/>
      <c r="P504" s="53"/>
      <c r="Q504" s="53"/>
      <c r="R504" s="53"/>
      <c r="S504" s="53"/>
      <c r="T504" s="53"/>
      <c r="U504" s="53"/>
      <c r="V504" s="53"/>
      <c r="W504" s="53"/>
      <c r="X504" s="53"/>
      <c r="Y504" s="53"/>
      <c r="Z504" s="53"/>
      <c r="AA504" s="53"/>
      <c r="AB504" s="53"/>
      <c r="AC504" s="53"/>
      <c r="AD504" s="53"/>
      <c r="AE504" s="53"/>
      <c r="AF504" s="53"/>
      <c r="AG504" s="53"/>
    </row>
    <row r="505" spans="1:37" ht="15.75" thickBot="1" x14ac:dyDescent="0.3">
      <c r="A505" s="54" t="s">
        <v>306</v>
      </c>
      <c r="B505" s="54" t="s">
        <v>325</v>
      </c>
      <c r="C505" s="54" t="s">
        <v>327</v>
      </c>
      <c r="D505" s="54" t="s">
        <v>326</v>
      </c>
      <c r="E505" s="54" t="s">
        <v>575</v>
      </c>
      <c r="F505" s="54" t="s">
        <v>549</v>
      </c>
      <c r="G505" s="54" t="s">
        <v>162</v>
      </c>
      <c r="H505" s="54" t="s">
        <v>164</v>
      </c>
      <c r="I505" s="54" t="s">
        <v>166</v>
      </c>
      <c r="J505" s="54" t="s">
        <v>168</v>
      </c>
      <c r="K505" s="54" t="s">
        <v>170</v>
      </c>
      <c r="L505" s="54" t="s">
        <v>173</v>
      </c>
      <c r="M505" s="54" t="s">
        <v>175</v>
      </c>
      <c r="N505" s="54" t="s">
        <v>177</v>
      </c>
      <c r="O505" s="54" t="s">
        <v>179</v>
      </c>
      <c r="P505" s="54" t="s">
        <v>181</v>
      </c>
      <c r="Q505" s="54" t="s">
        <v>183</v>
      </c>
      <c r="R505" s="54" t="s">
        <v>185</v>
      </c>
      <c r="S505" s="54" t="s">
        <v>188</v>
      </c>
      <c r="T505" s="54" t="s">
        <v>190</v>
      </c>
      <c r="U505" s="54" t="s">
        <v>192</v>
      </c>
      <c r="V505" s="54" t="s">
        <v>194</v>
      </c>
      <c r="W505" s="54" t="s">
        <v>196</v>
      </c>
      <c r="X505" s="54" t="s">
        <v>198</v>
      </c>
      <c r="Y505" s="54" t="s">
        <v>9</v>
      </c>
      <c r="Z505" s="54" t="s">
        <v>201</v>
      </c>
      <c r="AA505" s="54" t="s">
        <v>203</v>
      </c>
      <c r="AB505" s="54" t="s">
        <v>205</v>
      </c>
      <c r="AC505" s="54" t="s">
        <v>207</v>
      </c>
      <c r="AD505" s="54" t="s">
        <v>210</v>
      </c>
      <c r="AE505" s="54" t="s">
        <v>212</v>
      </c>
      <c r="AF505" s="54" t="s">
        <v>214</v>
      </c>
      <c r="AG505" s="54" t="s">
        <v>217</v>
      </c>
      <c r="AH505" s="54" t="s">
        <v>219</v>
      </c>
      <c r="AI505" s="351"/>
      <c r="AJ505" s="351"/>
      <c r="AK505" s="351"/>
    </row>
    <row r="506" spans="1:37" ht="25.5" x14ac:dyDescent="0.25">
      <c r="A506" s="50" t="s">
        <v>551</v>
      </c>
      <c r="B506" s="51" t="s">
        <v>328</v>
      </c>
      <c r="C506" s="357" t="s">
        <v>330</v>
      </c>
      <c r="D506" s="50" t="s">
        <v>329</v>
      </c>
      <c r="E506" s="50"/>
      <c r="F506" s="50" t="s">
        <v>556</v>
      </c>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75"/>
      <c r="AJ506" s="75"/>
      <c r="AK506" s="75"/>
    </row>
    <row r="507" spans="1:37" x14ac:dyDescent="0.25">
      <c r="A507" s="328" t="str">
        <f>IF(OR(SUM('Inputs_NT INM'!M386:AI386)=0,COUNTIF($A$21:$A$60,'Inputs_NT INM'!D386)=0),"*","I"&amp;"-"&amp;'INM_New Techs'!$B$3&amp;"-"&amp;'Inputs_NT INM'!B386&amp;"_"&amp;'Inputs_NT INM'!I386&amp;IF('Inputs_NT INM'!C386="Ordinary","01",IF('Inputs_NT INM'!C386="Improved","02","03")))</f>
        <v>*</v>
      </c>
      <c r="B507" s="9" t="s">
        <v>558</v>
      </c>
      <c r="C507" s="70"/>
      <c r="D507" s="61"/>
      <c r="F507" s="61"/>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c r="AI507" s="67"/>
      <c r="AJ507" s="67"/>
      <c r="AK507" s="67"/>
    </row>
    <row r="508" spans="1:37" x14ac:dyDescent="0.25">
      <c r="A508" s="76" t="str">
        <f>IF(OR(SUM('Inputs_NT INM'!M387:AI387)=0,COUNTIF($A$21:$A$60,'Inputs_NT INM'!D387)=0),"*","I"&amp;"-"&amp;'INM_New Techs'!$B$3&amp;"-"&amp;'Inputs_NT INM'!B387&amp;"_"&amp;'Inputs_NT INM'!I387&amp;IF('Inputs_NT INM'!C387="Ordinary","01",IF('Inputs_NT INM'!C387="Improved","02","03")))</f>
        <v>I-NM-HTH_GAS01</v>
      </c>
      <c r="B508" s="9" t="s">
        <v>128</v>
      </c>
      <c r="C508" s="9" t="s">
        <v>332</v>
      </c>
      <c r="D508" s="61" t="s">
        <v>907</v>
      </c>
      <c r="F508" s="61" t="s">
        <v>460</v>
      </c>
      <c r="G508" s="67">
        <f>'Inputs_NT INM'!M387</f>
        <v>0</v>
      </c>
      <c r="H508" s="67">
        <f>'Inputs_NT INM'!N387</f>
        <v>0.97746997462062457</v>
      </c>
      <c r="I508" s="67">
        <f>'Inputs_NT INM'!O387</f>
        <v>0</v>
      </c>
      <c r="J508" s="67">
        <f>'Inputs_NT INM'!P387</f>
        <v>1</v>
      </c>
      <c r="K508" s="67">
        <f>'Inputs_NT INM'!Q387</f>
        <v>0.91761269920224109</v>
      </c>
      <c r="L508" s="67">
        <f>'Inputs_NT INM'!R387</f>
        <v>0.98911494897970575</v>
      </c>
      <c r="M508" s="67">
        <f>'Inputs_NT INM'!S387</f>
        <v>0.86488336650638253</v>
      </c>
      <c r="N508" s="67">
        <f>'Inputs_NT INM'!T387</f>
        <v>1</v>
      </c>
      <c r="O508" s="67">
        <f>'Inputs_NT INM'!U387</f>
        <v>0.92151814722238579</v>
      </c>
      <c r="P508" s="67">
        <f>'Inputs_NT INM'!V387</f>
        <v>1</v>
      </c>
      <c r="Q508" s="67">
        <f>'Inputs_NT INM'!W387</f>
        <v>0.98039369415507116</v>
      </c>
      <c r="R508" s="67">
        <f>'Inputs_NT INM'!X387</f>
        <v>2.3124951823017032E-3</v>
      </c>
      <c r="S508" s="67">
        <f>'Inputs_NT INM'!Y387</f>
        <v>0.97632565853112563</v>
      </c>
      <c r="T508" s="67">
        <f>'Inputs_NT INM'!Z387</f>
        <v>1</v>
      </c>
      <c r="U508" s="67">
        <f>'Inputs_NT INM'!AA387</f>
        <v>0.99094526941085137</v>
      </c>
      <c r="V508" s="67">
        <f>'Inputs_NT INM'!AB387</f>
        <v>0.97699681936875815</v>
      </c>
      <c r="W508" s="67">
        <f>'Inputs_NT INM'!AC387</f>
        <v>0.97699681936875815</v>
      </c>
      <c r="X508" s="67">
        <f>'Inputs_NT INM'!AD387</f>
        <v>0</v>
      </c>
      <c r="Y508" s="67">
        <f>'Inputs_NT INM'!AE387</f>
        <v>0</v>
      </c>
      <c r="Z508" s="67">
        <f>'Inputs_NT INM'!AF387</f>
        <v>0.82304306063881782</v>
      </c>
      <c r="AA508" s="67">
        <f>'Inputs_NT INM'!AG387</f>
        <v>0.98039369415507116</v>
      </c>
      <c r="AB508" s="67">
        <f>'Inputs_NT INM'!AH387</f>
        <v>0.98911494897970575</v>
      </c>
      <c r="AC508" s="67">
        <f>'Inputs_NT INM'!AI387</f>
        <v>1</v>
      </c>
      <c r="AD508" s="67">
        <f>'Inputs_NT INM'!AJ387</f>
        <v>0.99722430202992818</v>
      </c>
      <c r="AE508" s="67">
        <f>'Inputs_NT INM'!AK387</f>
        <v>0</v>
      </c>
      <c r="AF508" s="67">
        <f>'Inputs_NT INM'!AL387</f>
        <v>0.99741138965982956</v>
      </c>
      <c r="AG508" s="67">
        <f>'Inputs_NT INM'!AM387</f>
        <v>0.97275895935078094</v>
      </c>
      <c r="AH508" s="67">
        <f>'Inputs_NT INM'!AN387</f>
        <v>0.99574328133040668</v>
      </c>
      <c r="AI508" s="67"/>
      <c r="AJ508" s="67"/>
      <c r="AK508" s="67"/>
    </row>
    <row r="509" spans="1:37" x14ac:dyDescent="0.25">
      <c r="A509" s="76" t="str">
        <f>IF(OR(SUM('Inputs_NT INM'!M388:AI388)=0,COUNTIF($A$21:$A$60,'Inputs_NT INM'!D388)=0),"*","I"&amp;"-"&amp;'INM_New Techs'!$B$3&amp;"-"&amp;'Inputs_NT INM'!B388&amp;"_"&amp;'Inputs_NT INM'!I388&amp;IF('Inputs_NT INM'!C388="Ordinary","01",IF('Inputs_NT INM'!C388="Improved","02","03")))</f>
        <v>I-NM-HTH_OIL01</v>
      </c>
      <c r="B509" s="9" t="s">
        <v>134</v>
      </c>
      <c r="C509" s="9" t="s">
        <v>332</v>
      </c>
      <c r="D509" s="61" t="s">
        <v>907</v>
      </c>
      <c r="F509" s="61" t="s">
        <v>460</v>
      </c>
      <c r="G509" s="67">
        <f>'Inputs_NT INM'!M388</f>
        <v>1</v>
      </c>
      <c r="H509" s="67">
        <f>'Inputs_NT INM'!N388</f>
        <v>1</v>
      </c>
      <c r="I509" s="67">
        <f>'Inputs_NT INM'!O388</f>
        <v>1</v>
      </c>
      <c r="J509" s="67">
        <f>'Inputs_NT INM'!P388</f>
        <v>1</v>
      </c>
      <c r="K509" s="67">
        <f>'Inputs_NT INM'!Q388</f>
        <v>1</v>
      </c>
      <c r="L509" s="67">
        <f>'Inputs_NT INM'!R388</f>
        <v>1</v>
      </c>
      <c r="M509" s="67">
        <f>'Inputs_NT INM'!S388</f>
        <v>0.99775548819489079</v>
      </c>
      <c r="N509" s="67">
        <f>'Inputs_NT INM'!T388</f>
        <v>1</v>
      </c>
      <c r="O509" s="67">
        <f>'Inputs_NT INM'!U388</f>
        <v>0.99858214504502074</v>
      </c>
      <c r="P509" s="67">
        <f>'Inputs_NT INM'!V388</f>
        <v>1</v>
      </c>
      <c r="Q509" s="67">
        <f>'Inputs_NT INM'!W388</f>
        <v>1</v>
      </c>
      <c r="R509" s="67">
        <f>'Inputs_NT INM'!X388</f>
        <v>1</v>
      </c>
      <c r="S509" s="67">
        <f>'Inputs_NT INM'!Y388</f>
        <v>1</v>
      </c>
      <c r="T509" s="67">
        <f>'Inputs_NT INM'!Z388</f>
        <v>1</v>
      </c>
      <c r="U509" s="67">
        <f>'Inputs_NT INM'!AA388</f>
        <v>0.99996017570778672</v>
      </c>
      <c r="V509" s="67">
        <f>'Inputs_NT INM'!AB388</f>
        <v>0.99805420114513066</v>
      </c>
      <c r="W509" s="67">
        <f>'Inputs_NT INM'!AC388</f>
        <v>0.99805420114513066</v>
      </c>
      <c r="X509" s="67">
        <f>'Inputs_NT INM'!AD388</f>
        <v>0</v>
      </c>
      <c r="Y509" s="67">
        <f>'Inputs_NT INM'!AE388</f>
        <v>0</v>
      </c>
      <c r="Z509" s="67">
        <f>'Inputs_NT INM'!AF388</f>
        <v>1</v>
      </c>
      <c r="AA509" s="67">
        <f>'Inputs_NT INM'!AG388</f>
        <v>1</v>
      </c>
      <c r="AB509" s="67">
        <f>'Inputs_NT INM'!AH388</f>
        <v>1</v>
      </c>
      <c r="AC509" s="67">
        <f>'Inputs_NT INM'!AI388</f>
        <v>1</v>
      </c>
      <c r="AD509" s="67">
        <f>'Inputs_NT INM'!AJ388</f>
        <v>1</v>
      </c>
      <c r="AE509" s="67">
        <f>'Inputs_NT INM'!AK388</f>
        <v>1</v>
      </c>
      <c r="AF509" s="67">
        <f>'Inputs_NT INM'!AL388</f>
        <v>1</v>
      </c>
      <c r="AG509" s="67">
        <f>'Inputs_NT INM'!AM388</f>
        <v>1</v>
      </c>
      <c r="AH509" s="67">
        <f>'Inputs_NT INM'!AN388</f>
        <v>0.98954412741826636</v>
      </c>
      <c r="AI509" s="67"/>
      <c r="AJ509" s="67"/>
      <c r="AK509" s="67"/>
    </row>
    <row r="510" spans="1:37" x14ac:dyDescent="0.25">
      <c r="A510" s="76" t="str">
        <f>IF(OR(SUM('Inputs_NT INM'!M389:AI389)=0,COUNTIF($A$21:$A$60,'Inputs_NT INM'!D389)=0),"*","I"&amp;"-"&amp;'INM_New Techs'!$B$3&amp;"-"&amp;'Inputs_NT INM'!B389&amp;"_"&amp;'Inputs_NT INM'!I389&amp;IF('Inputs_NT INM'!C389="Ordinary","01",IF('Inputs_NT INM'!C389="Improved","02","03")))</f>
        <v>*</v>
      </c>
      <c r="B510" s="9" t="s">
        <v>117</v>
      </c>
      <c r="C510" s="9" t="s">
        <v>332</v>
      </c>
      <c r="D510" s="61" t="s">
        <v>907</v>
      </c>
      <c r="F510" s="61" t="s">
        <v>460</v>
      </c>
      <c r="G510" s="67">
        <f>'Inputs_NT INM'!M389</f>
        <v>0</v>
      </c>
      <c r="H510" s="67">
        <f>'Inputs_NT INM'!N389</f>
        <v>0.22463520413063867</v>
      </c>
      <c r="I510" s="67">
        <f>'Inputs_NT INM'!O389</f>
        <v>0.84544216677717665</v>
      </c>
      <c r="J510" s="67">
        <f>'Inputs_NT INM'!P389</f>
        <v>1</v>
      </c>
      <c r="K510" s="67">
        <f>'Inputs_NT INM'!Q389</f>
        <v>1</v>
      </c>
      <c r="L510" s="67">
        <f>'Inputs_NT INM'!R389</f>
        <v>1</v>
      </c>
      <c r="M510" s="67">
        <f>'Inputs_NT INM'!S389</f>
        <v>0</v>
      </c>
      <c r="N510" s="67">
        <f>'Inputs_NT INM'!T389</f>
        <v>0</v>
      </c>
      <c r="O510" s="67">
        <f>'Inputs_NT INM'!U389</f>
        <v>0</v>
      </c>
      <c r="P510" s="67">
        <f>'Inputs_NT INM'!V389</f>
        <v>1</v>
      </c>
      <c r="Q510" s="67">
        <f>'Inputs_NT INM'!W389</f>
        <v>0.38304017432350945</v>
      </c>
      <c r="R510" s="67">
        <f>'Inputs_NT INM'!X389</f>
        <v>1</v>
      </c>
      <c r="S510" s="67">
        <f>'Inputs_NT INM'!Y389</f>
        <v>0.71554349421116903</v>
      </c>
      <c r="T510" s="67">
        <f>'Inputs_NT INM'!Z389</f>
        <v>0</v>
      </c>
      <c r="U510" s="67">
        <f>'Inputs_NT INM'!AA389</f>
        <v>3.0780185845938727E-2</v>
      </c>
      <c r="V510" s="67">
        <f>'Inputs_NT INM'!AB389</f>
        <v>0.17276425858375916</v>
      </c>
      <c r="W510" s="67">
        <f>'Inputs_NT INM'!AC389</f>
        <v>0.17276425858375916</v>
      </c>
      <c r="X510" s="67">
        <f>'Inputs_NT INM'!AD389</f>
        <v>0</v>
      </c>
      <c r="Y510" s="67">
        <f>'Inputs_NT INM'!AE389</f>
        <v>0</v>
      </c>
      <c r="Z510" s="67">
        <f>'Inputs_NT INM'!AF389</f>
        <v>0</v>
      </c>
      <c r="AA510" s="67">
        <f>'Inputs_NT INM'!AG389</f>
        <v>0.38304017432350945</v>
      </c>
      <c r="AB510" s="67">
        <f>'Inputs_NT INM'!AH389</f>
        <v>1</v>
      </c>
      <c r="AC510" s="67">
        <f>'Inputs_NT INM'!AI389</f>
        <v>0</v>
      </c>
      <c r="AD510" s="67">
        <f>'Inputs_NT INM'!AJ389</f>
        <v>0</v>
      </c>
      <c r="AE510" s="67">
        <f>'Inputs_NT INM'!AK389</f>
        <v>0</v>
      </c>
      <c r="AF510" s="67">
        <f>'Inputs_NT INM'!AL389</f>
        <v>8.7634315251595169E-3</v>
      </c>
      <c r="AG510" s="67">
        <f>'Inputs_NT INM'!AM389</f>
        <v>3.639983903838837E-3</v>
      </c>
      <c r="AH510" s="67">
        <f>'Inputs_NT INM'!AN389</f>
        <v>0</v>
      </c>
      <c r="AI510" s="67"/>
      <c r="AJ510" s="67"/>
      <c r="AK510" s="67"/>
    </row>
    <row r="511" spans="1:37" x14ac:dyDescent="0.25">
      <c r="A511" s="76" t="str">
        <f>IF(OR(SUM('Inputs_NT INM'!M390:AI390)=0,COUNTIF($A$21:$A$60,'Inputs_NT INM'!D390)=0),"*","I"&amp;"-"&amp;'INM_New Techs'!$B$3&amp;"-"&amp;'Inputs_NT INM'!B390&amp;"_"&amp;'Inputs_NT INM'!I390&amp;IF('Inputs_NT INM'!C390="Ordinary","01",IF('Inputs_NT INM'!C390="Improved","02","03")))</f>
        <v>I-NM-HTH_OIL01</v>
      </c>
      <c r="B511" s="9" t="s">
        <v>119</v>
      </c>
      <c r="C511" s="9" t="s">
        <v>332</v>
      </c>
      <c r="D511" s="61" t="s">
        <v>907</v>
      </c>
      <c r="F511" s="61" t="s">
        <v>460</v>
      </c>
      <c r="G511" s="67">
        <f>'Inputs_NT INM'!M390</f>
        <v>0</v>
      </c>
      <c r="H511" s="67">
        <f>'Inputs_NT INM'!N390</f>
        <v>0</v>
      </c>
      <c r="I511" s="67">
        <f>'Inputs_NT INM'!O390</f>
        <v>0</v>
      </c>
      <c r="J511" s="67">
        <f>'Inputs_NT INM'!P390</f>
        <v>0</v>
      </c>
      <c r="K511" s="67">
        <f>'Inputs_NT INM'!Q390</f>
        <v>0</v>
      </c>
      <c r="L511" s="67">
        <f>'Inputs_NT INM'!R390</f>
        <v>0</v>
      </c>
      <c r="M511" s="67">
        <f>'Inputs_NT INM'!S390</f>
        <v>2.2445118051093215E-3</v>
      </c>
      <c r="N511" s="67">
        <f>'Inputs_NT INM'!T390</f>
        <v>0</v>
      </c>
      <c r="O511" s="67">
        <f>'Inputs_NT INM'!U390</f>
        <v>1.4178549549792527E-3</v>
      </c>
      <c r="P511" s="67">
        <f>'Inputs_NT INM'!V390</f>
        <v>0</v>
      </c>
      <c r="Q511" s="67">
        <f>'Inputs_NT INM'!W390</f>
        <v>0</v>
      </c>
      <c r="R511" s="67">
        <f>'Inputs_NT INM'!X390</f>
        <v>0</v>
      </c>
      <c r="S511" s="67">
        <f>'Inputs_NT INM'!Y390</f>
        <v>0</v>
      </c>
      <c r="T511" s="67">
        <f>'Inputs_NT INM'!Z390</f>
        <v>0</v>
      </c>
      <c r="U511" s="67">
        <f>'Inputs_NT INM'!AA390</f>
        <v>3.9824292213258897E-5</v>
      </c>
      <c r="V511" s="67">
        <f>'Inputs_NT INM'!AB390</f>
        <v>1.9457988548694544E-3</v>
      </c>
      <c r="W511" s="67">
        <f>'Inputs_NT INM'!AC390</f>
        <v>1.9457988548694544E-3</v>
      </c>
      <c r="X511" s="67">
        <f>'Inputs_NT INM'!AD390</f>
        <v>0</v>
      </c>
      <c r="Y511" s="67">
        <f>'Inputs_NT INM'!AE390</f>
        <v>0</v>
      </c>
      <c r="Z511" s="67">
        <f>'Inputs_NT INM'!AF390</f>
        <v>0</v>
      </c>
      <c r="AA511" s="67">
        <f>'Inputs_NT INM'!AG390</f>
        <v>0</v>
      </c>
      <c r="AB511" s="67">
        <f>'Inputs_NT INM'!AH390</f>
        <v>0</v>
      </c>
      <c r="AC511" s="67">
        <f>'Inputs_NT INM'!AI390</f>
        <v>0</v>
      </c>
      <c r="AD511" s="67">
        <f>'Inputs_NT INM'!AJ390</f>
        <v>0</v>
      </c>
      <c r="AE511" s="67">
        <f>'Inputs_NT INM'!AK390</f>
        <v>0</v>
      </c>
      <c r="AF511" s="67">
        <f>'Inputs_NT INM'!AL390</f>
        <v>0</v>
      </c>
      <c r="AG511" s="67">
        <f>'Inputs_NT INM'!AM390</f>
        <v>0</v>
      </c>
      <c r="AH511" s="67">
        <f>'Inputs_NT INM'!AN390</f>
        <v>1.045587258173373E-2</v>
      </c>
      <c r="AI511" s="67"/>
      <c r="AJ511" s="67"/>
      <c r="AK511" s="67"/>
    </row>
    <row r="512" spans="1:37" x14ac:dyDescent="0.25">
      <c r="A512" s="76" t="str">
        <f>IF(OR(SUM('Inputs_NT INM'!M391:AI391)=0,COUNTIF($A$21:$A$60,'Inputs_NT INM'!D391)=0),"*","I"&amp;"-"&amp;'INM_New Techs'!$B$3&amp;"-"&amp;'Inputs_NT INM'!B391&amp;"_"&amp;'Inputs_NT INM'!I391&amp;IF('Inputs_NT INM'!C391="Ordinary","01",IF('Inputs_NT INM'!C391="Improved","02","03")))</f>
        <v>I-NM-HTH_GAS01</v>
      </c>
      <c r="B512" s="9" t="s">
        <v>115</v>
      </c>
      <c r="C512" s="9" t="s">
        <v>332</v>
      </c>
      <c r="D512" s="61" t="s">
        <v>907</v>
      </c>
      <c r="F512" s="61" t="s">
        <v>460</v>
      </c>
      <c r="G512" s="67">
        <f>'Inputs_NT INM'!M391</f>
        <v>0</v>
      </c>
      <c r="H512" s="67">
        <f>'Inputs_NT INM'!N391</f>
        <v>0</v>
      </c>
      <c r="I512" s="67">
        <f>'Inputs_NT INM'!O391</f>
        <v>0</v>
      </c>
      <c r="J512" s="67">
        <f>'Inputs_NT INM'!P391</f>
        <v>0</v>
      </c>
      <c r="K512" s="67">
        <f>'Inputs_NT INM'!Q391</f>
        <v>3.78048399022601E-3</v>
      </c>
      <c r="L512" s="67">
        <f>'Inputs_NT INM'!R391</f>
        <v>0</v>
      </c>
      <c r="M512" s="67">
        <f>'Inputs_NT INM'!S391</f>
        <v>0</v>
      </c>
      <c r="N512" s="67">
        <f>'Inputs_NT INM'!T391</f>
        <v>0</v>
      </c>
      <c r="O512" s="67">
        <f>'Inputs_NT INM'!U391</f>
        <v>0</v>
      </c>
      <c r="P512" s="67">
        <f>'Inputs_NT INM'!V391</f>
        <v>0</v>
      </c>
      <c r="Q512" s="67">
        <f>'Inputs_NT INM'!W391</f>
        <v>0</v>
      </c>
      <c r="R512" s="67">
        <f>'Inputs_NT INM'!X391</f>
        <v>0</v>
      </c>
      <c r="S512" s="67">
        <f>'Inputs_NT INM'!Y391</f>
        <v>0</v>
      </c>
      <c r="T512" s="67">
        <f>'Inputs_NT INM'!Z391</f>
        <v>0</v>
      </c>
      <c r="U512" s="67">
        <f>'Inputs_NT INM'!AA391</f>
        <v>3.0120781616915809E-4</v>
      </c>
      <c r="V512" s="67">
        <f>'Inputs_NT INM'!AB391</f>
        <v>9.7520092465061276E-4</v>
      </c>
      <c r="W512" s="67">
        <f>'Inputs_NT INM'!AC391</f>
        <v>9.7520092465061276E-4</v>
      </c>
      <c r="X512" s="67">
        <f>'Inputs_NT INM'!AD391</f>
        <v>0</v>
      </c>
      <c r="Y512" s="67">
        <f>'Inputs_NT INM'!AE391</f>
        <v>0</v>
      </c>
      <c r="Z512" s="67">
        <f>'Inputs_NT INM'!AF391</f>
        <v>0</v>
      </c>
      <c r="AA512" s="67">
        <f>'Inputs_NT INM'!AG391</f>
        <v>0</v>
      </c>
      <c r="AB512" s="67">
        <f>'Inputs_NT INM'!AH391</f>
        <v>0</v>
      </c>
      <c r="AC512" s="67">
        <f>'Inputs_NT INM'!AI391</f>
        <v>0</v>
      </c>
      <c r="AD512" s="67">
        <f>'Inputs_NT INM'!AJ391</f>
        <v>0</v>
      </c>
      <c r="AE512" s="67">
        <f>'Inputs_NT INM'!AK391</f>
        <v>0</v>
      </c>
      <c r="AF512" s="67">
        <f>'Inputs_NT INM'!AL391</f>
        <v>0</v>
      </c>
      <c r="AG512" s="67">
        <f>'Inputs_NT INM'!AM391</f>
        <v>0</v>
      </c>
      <c r="AH512" s="67">
        <f>'Inputs_NT INM'!AN391</f>
        <v>0</v>
      </c>
      <c r="AI512" s="67"/>
      <c r="AJ512" s="67"/>
      <c r="AK512" s="67"/>
    </row>
    <row r="513" spans="1:37" x14ac:dyDescent="0.25">
      <c r="A513" s="76" t="str">
        <f>IF(OR(SUM('Inputs_NT INM'!M392:AI392)=0,COUNTIF($A$21:$A$60,'Inputs_NT INM'!D392)=0),"*","I"&amp;"-"&amp;'INM_New Techs'!$B$3&amp;"-"&amp;'Inputs_NT INM'!B392&amp;"_"&amp;'Inputs_NT INM'!I392&amp;IF('Inputs_NT INM'!C392="Ordinary","01",IF('Inputs_NT INM'!C392="Improved","02","03")))</f>
        <v>*</v>
      </c>
      <c r="B513" s="9" t="s">
        <v>139</v>
      </c>
      <c r="C513" s="9" t="s">
        <v>332</v>
      </c>
      <c r="D513" s="61" t="s">
        <v>907</v>
      </c>
      <c r="F513" s="61" t="s">
        <v>460</v>
      </c>
      <c r="G513" s="67">
        <f>'Inputs_NT INM'!M392</f>
        <v>0</v>
      </c>
      <c r="H513" s="67">
        <f>'Inputs_NT INM'!N392</f>
        <v>0.77536479586936136</v>
      </c>
      <c r="I513" s="67">
        <f>'Inputs_NT INM'!O392</f>
        <v>0.15455783322282335</v>
      </c>
      <c r="J513" s="67">
        <f>'Inputs_NT INM'!P392</f>
        <v>0</v>
      </c>
      <c r="K513" s="67">
        <f>'Inputs_NT INM'!Q392</f>
        <v>0</v>
      </c>
      <c r="L513" s="67">
        <f>'Inputs_NT INM'!R392</f>
        <v>0</v>
      </c>
      <c r="M513" s="67">
        <f>'Inputs_NT INM'!S392</f>
        <v>0</v>
      </c>
      <c r="N513" s="67">
        <f>'Inputs_NT INM'!T392</f>
        <v>0</v>
      </c>
      <c r="O513" s="67">
        <f>'Inputs_NT INM'!U392</f>
        <v>0</v>
      </c>
      <c r="P513" s="67">
        <f>'Inputs_NT INM'!V392</f>
        <v>0</v>
      </c>
      <c r="Q513" s="67">
        <f>'Inputs_NT INM'!W392</f>
        <v>0.61695982567649055</v>
      </c>
      <c r="R513" s="67">
        <f>'Inputs_NT INM'!X392</f>
        <v>0</v>
      </c>
      <c r="S513" s="67">
        <f>'Inputs_NT INM'!Y392</f>
        <v>0.28445650578883097</v>
      </c>
      <c r="T513" s="67">
        <f>'Inputs_NT INM'!Z392</f>
        <v>1</v>
      </c>
      <c r="U513" s="67">
        <f>'Inputs_NT INM'!AA392</f>
        <v>0.96921981415406133</v>
      </c>
      <c r="V513" s="67">
        <f>'Inputs_NT INM'!AB392</f>
        <v>0.8272357414162409</v>
      </c>
      <c r="W513" s="67">
        <f>'Inputs_NT INM'!AC392</f>
        <v>0.8272357414162409</v>
      </c>
      <c r="X513" s="67">
        <f>'Inputs_NT INM'!AD392</f>
        <v>0</v>
      </c>
      <c r="Y513" s="67">
        <f>'Inputs_NT INM'!AE392</f>
        <v>0</v>
      </c>
      <c r="Z513" s="67">
        <f>'Inputs_NT INM'!AF392</f>
        <v>1</v>
      </c>
      <c r="AA513" s="67">
        <f>'Inputs_NT INM'!AG392</f>
        <v>0.61695982567649055</v>
      </c>
      <c r="AB513" s="67">
        <f>'Inputs_NT INM'!AH392</f>
        <v>0</v>
      </c>
      <c r="AC513" s="67">
        <f>'Inputs_NT INM'!AI392</f>
        <v>0</v>
      </c>
      <c r="AD513" s="67">
        <f>'Inputs_NT INM'!AJ392</f>
        <v>0</v>
      </c>
      <c r="AE513" s="67">
        <f>'Inputs_NT INM'!AK392</f>
        <v>0</v>
      </c>
      <c r="AF513" s="67">
        <f>'Inputs_NT INM'!AL392</f>
        <v>0.99123656847484043</v>
      </c>
      <c r="AG513" s="67">
        <f>'Inputs_NT INM'!AM392</f>
        <v>0.99636001609616121</v>
      </c>
      <c r="AH513" s="67">
        <f>'Inputs_NT INM'!AN392</f>
        <v>1</v>
      </c>
      <c r="AI513" s="67"/>
      <c r="AJ513" s="67"/>
      <c r="AK513" s="67"/>
    </row>
    <row r="514" spans="1:37" x14ac:dyDescent="0.25">
      <c r="A514" s="76" t="str">
        <f>IF(OR(SUM('Inputs_NT INM'!M393:AI393)=0,COUNTIF($A$21:$A$60,'Inputs_NT INM'!D393)=0),"*","I"&amp;"-"&amp;'INM_New Techs'!$B$3&amp;"-"&amp;'Inputs_NT INM'!B393&amp;"_"&amp;'Inputs_NT INM'!I393&amp;IF('Inputs_NT INM'!C393="Ordinary","01",IF('Inputs_NT INM'!C393="Improved","02","03")))</f>
        <v>I-NM-HTH_HET01</v>
      </c>
      <c r="B514" s="9" t="s">
        <v>1701</v>
      </c>
      <c r="C514" s="9" t="s">
        <v>332</v>
      </c>
      <c r="D514" s="61" t="s">
        <v>907</v>
      </c>
      <c r="F514" s="61" t="s">
        <v>460</v>
      </c>
      <c r="G514" s="67">
        <f>'Inputs_NT INM'!M393</f>
        <v>0</v>
      </c>
      <c r="H514" s="67">
        <f>'Inputs_NT INM'!N393</f>
        <v>0</v>
      </c>
      <c r="I514" s="67">
        <f>'Inputs_NT INM'!O393</f>
        <v>0</v>
      </c>
      <c r="J514" s="67">
        <f>'Inputs_NT INM'!P393</f>
        <v>0</v>
      </c>
      <c r="K514" s="67">
        <f>'Inputs_NT INM'!Q393</f>
        <v>0</v>
      </c>
      <c r="L514" s="67">
        <f>'Inputs_NT INM'!R393</f>
        <v>0</v>
      </c>
      <c r="M514" s="67">
        <f>'Inputs_NT INM'!S393</f>
        <v>0</v>
      </c>
      <c r="N514" s="67">
        <f>'Inputs_NT INM'!T393</f>
        <v>0</v>
      </c>
      <c r="O514" s="67">
        <f>'Inputs_NT INM'!U393</f>
        <v>0</v>
      </c>
      <c r="P514" s="67">
        <f>'Inputs_NT INM'!V393</f>
        <v>0</v>
      </c>
      <c r="Q514" s="67">
        <f>'Inputs_NT INM'!W393</f>
        <v>0</v>
      </c>
      <c r="R514" s="67">
        <f>'Inputs_NT INM'!X393</f>
        <v>0</v>
      </c>
      <c r="S514" s="67">
        <f>'Inputs_NT INM'!Y393</f>
        <v>0</v>
      </c>
      <c r="T514" s="67">
        <f>'Inputs_NT INM'!Z393</f>
        <v>0</v>
      </c>
      <c r="U514" s="67">
        <f>'Inputs_NT INM'!AA393</f>
        <v>3.5993702901677342E-3</v>
      </c>
      <c r="V514" s="67">
        <f>'Inputs_NT INM'!AB393</f>
        <v>0</v>
      </c>
      <c r="W514" s="67">
        <f>'Inputs_NT INM'!AC393</f>
        <v>0</v>
      </c>
      <c r="X514" s="67">
        <f>'Inputs_NT INM'!AD393</f>
        <v>0</v>
      </c>
      <c r="Y514" s="67">
        <f>'Inputs_NT INM'!AE393</f>
        <v>0</v>
      </c>
      <c r="Z514" s="67">
        <f>'Inputs_NT INM'!AF393</f>
        <v>0</v>
      </c>
      <c r="AA514" s="67">
        <f>'Inputs_NT INM'!AG393</f>
        <v>0</v>
      </c>
      <c r="AB514" s="67">
        <f>'Inputs_NT INM'!AH393</f>
        <v>0</v>
      </c>
      <c r="AC514" s="67">
        <f>'Inputs_NT INM'!AI393</f>
        <v>0</v>
      </c>
      <c r="AD514" s="67">
        <f>'Inputs_NT INM'!AJ393</f>
        <v>0</v>
      </c>
      <c r="AE514" s="67">
        <f>'Inputs_NT INM'!AK393</f>
        <v>0</v>
      </c>
      <c r="AF514" s="67">
        <f>'Inputs_NT INM'!AL393</f>
        <v>0</v>
      </c>
      <c r="AG514" s="67">
        <f>'Inputs_NT INM'!AM393</f>
        <v>0</v>
      </c>
      <c r="AH514" s="67">
        <f>'Inputs_NT INM'!AN393</f>
        <v>0</v>
      </c>
      <c r="AI514" s="67"/>
      <c r="AJ514" s="67"/>
      <c r="AK514" s="67"/>
    </row>
    <row r="515" spans="1:37" x14ac:dyDescent="0.25">
      <c r="A515" s="76" t="str">
        <f>IF(OR(SUM('Inputs_NT INM'!M394:AI394)=0,COUNTIF($A$21:$A$60,'Inputs_NT INM'!D394)=0),"*","I"&amp;"-"&amp;'INM_New Techs'!$B$3&amp;"-"&amp;'Inputs_NT INM'!B394&amp;"_"&amp;'Inputs_NT INM'!I394&amp;IF('Inputs_NT INM'!C394="Ordinary","01",IF('Inputs_NT INM'!C394="Improved","02","03")))</f>
        <v>*</v>
      </c>
      <c r="B515" s="9" t="s">
        <v>558</v>
      </c>
      <c r="C515" s="9" t="s">
        <v>332</v>
      </c>
      <c r="D515" s="61" t="s">
        <v>907</v>
      </c>
      <c r="F515" s="61" t="s">
        <v>460</v>
      </c>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row>
    <row r="516" spans="1:37" x14ac:dyDescent="0.25">
      <c r="A516" s="76" t="str">
        <f>IF(OR(SUM('Inputs_NT INM'!M395:AI395)=0,COUNTIF($A$21:$A$60,'Inputs_NT INM'!D395)=0),"*","I"&amp;"-"&amp;'INM_New Techs'!$B$3&amp;"-"&amp;'Inputs_NT INM'!B395&amp;"_"&amp;'Inputs_NT INM'!I395&amp;IF('Inputs_NT INM'!C395="Ordinary","01",IF('Inputs_NT INM'!C395="Improved","02","03")))</f>
        <v>*</v>
      </c>
      <c r="B516" s="9" t="s">
        <v>558</v>
      </c>
      <c r="C516" s="9" t="s">
        <v>332</v>
      </c>
      <c r="D516" s="61" t="s">
        <v>907</v>
      </c>
      <c r="F516" s="61" t="s">
        <v>460</v>
      </c>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row>
    <row r="517" spans="1:37" x14ac:dyDescent="0.25">
      <c r="A517" s="76" t="str">
        <f>IF(OR(SUM('Inputs_NT INM'!M396:AI396)=0,COUNTIF($A$21:$A$60,'Inputs_NT INM'!D396)=0),"*","I"&amp;"-"&amp;'INM_New Techs'!$B$3&amp;"-"&amp;'Inputs_NT INM'!B396&amp;"_"&amp;'Inputs_NT INM'!I396&amp;IF('Inputs_NT INM'!C396="Ordinary","01",IF('Inputs_NT INM'!C396="Improved","02","03")))</f>
        <v>I-NM-HTH_HET01</v>
      </c>
      <c r="B517" s="9" t="s">
        <v>130</v>
      </c>
      <c r="C517" s="9" t="s">
        <v>332</v>
      </c>
      <c r="D517" s="61" t="s">
        <v>907</v>
      </c>
      <c r="F517" s="61" t="s">
        <v>460</v>
      </c>
      <c r="G517" s="67">
        <f>'Inputs_NT INM'!M396</f>
        <v>0</v>
      </c>
      <c r="H517" s="67">
        <f>'Inputs_NT INM'!N396</f>
        <v>0</v>
      </c>
      <c r="I517" s="67">
        <f>'Inputs_NT INM'!O396</f>
        <v>0</v>
      </c>
      <c r="J517" s="67">
        <f>'Inputs_NT INM'!P396</f>
        <v>0</v>
      </c>
      <c r="K517" s="67">
        <f>'Inputs_NT INM'!Q396</f>
        <v>0</v>
      </c>
      <c r="L517" s="67">
        <f>'Inputs_NT INM'!R396</f>
        <v>1</v>
      </c>
      <c r="M517" s="67">
        <f>'Inputs_NT INM'!S396</f>
        <v>0</v>
      </c>
      <c r="N517" s="67">
        <f>'Inputs_NT INM'!T396</f>
        <v>0</v>
      </c>
      <c r="O517" s="67">
        <f>'Inputs_NT INM'!U396</f>
        <v>0</v>
      </c>
      <c r="P517" s="67">
        <f>'Inputs_NT INM'!V396</f>
        <v>0</v>
      </c>
      <c r="Q517" s="67">
        <f>'Inputs_NT INM'!W396</f>
        <v>0</v>
      </c>
      <c r="R517" s="67">
        <f>'Inputs_NT INM'!X396</f>
        <v>0</v>
      </c>
      <c r="S517" s="67">
        <f>'Inputs_NT INM'!Y396</f>
        <v>1</v>
      </c>
      <c r="T517" s="67">
        <f>'Inputs_NT INM'!Z396</f>
        <v>0</v>
      </c>
      <c r="U517" s="67">
        <f>'Inputs_NT INM'!AA396</f>
        <v>0.99640062970983223</v>
      </c>
      <c r="V517" s="67">
        <f>'Inputs_NT INM'!AB396</f>
        <v>1</v>
      </c>
      <c r="W517" s="67">
        <f>'Inputs_NT INM'!AC396</f>
        <v>1</v>
      </c>
      <c r="X517" s="67">
        <f>'Inputs_NT INM'!AD396</f>
        <v>0</v>
      </c>
      <c r="Y517" s="67">
        <f>'Inputs_NT INM'!AE396</f>
        <v>0</v>
      </c>
      <c r="Z517" s="67">
        <f>'Inputs_NT INM'!AF396</f>
        <v>0</v>
      </c>
      <c r="AA517" s="67">
        <f>'Inputs_NT INM'!AG396</f>
        <v>0</v>
      </c>
      <c r="AB517" s="67">
        <f>'Inputs_NT INM'!AH396</f>
        <v>1</v>
      </c>
      <c r="AC517" s="67">
        <f>'Inputs_NT INM'!AI396</f>
        <v>0</v>
      </c>
      <c r="AD517" s="67">
        <f>'Inputs_NT INM'!AJ396</f>
        <v>0</v>
      </c>
      <c r="AE517" s="67">
        <f>'Inputs_NT INM'!AK396</f>
        <v>0</v>
      </c>
      <c r="AF517" s="67">
        <f>'Inputs_NT INM'!AL396</f>
        <v>1</v>
      </c>
      <c r="AG517" s="67">
        <f>'Inputs_NT INM'!AM396</f>
        <v>1</v>
      </c>
      <c r="AH517" s="67">
        <f>'Inputs_NT INM'!AN396</f>
        <v>1</v>
      </c>
      <c r="AI517" s="67"/>
      <c r="AJ517" s="67"/>
      <c r="AK517" s="67"/>
    </row>
    <row r="518" spans="1:37" x14ac:dyDescent="0.25">
      <c r="A518" s="76" t="str">
        <f>IF(OR(SUM('Inputs_NT INM'!M397:AI397)=0,COUNTIF($A$21:$A$60,'Inputs_NT INM'!D397)=0),"*","I"&amp;"-"&amp;'INM_New Techs'!$B$3&amp;"-"&amp;'Inputs_NT INM'!B397&amp;"_"&amp;'Inputs_NT INM'!I397&amp;IF('Inputs_NT INM'!C397="Ordinary","01",IF('Inputs_NT INM'!C397="Improved","02","03")))</f>
        <v>I-NM-HTH_GAS01</v>
      </c>
      <c r="B518" s="9" t="s">
        <v>132</v>
      </c>
      <c r="C518" s="9" t="s">
        <v>332</v>
      </c>
      <c r="D518" s="61" t="s">
        <v>907</v>
      </c>
      <c r="F518" s="61" t="s">
        <v>460</v>
      </c>
      <c r="G518" s="67">
        <f>'Inputs_NT INM'!M397</f>
        <v>0</v>
      </c>
      <c r="H518" s="67">
        <f>'Inputs_NT INM'!N397</f>
        <v>2.253002537937546E-2</v>
      </c>
      <c r="I518" s="67">
        <f>'Inputs_NT INM'!O397</f>
        <v>0</v>
      </c>
      <c r="J518" s="67">
        <f>'Inputs_NT INM'!P397</f>
        <v>0</v>
      </c>
      <c r="K518" s="67">
        <f>'Inputs_NT INM'!Q397</f>
        <v>7.8606816807532842E-2</v>
      </c>
      <c r="L518" s="67">
        <f>'Inputs_NT INM'!R397</f>
        <v>1.0885051020294327E-2</v>
      </c>
      <c r="M518" s="67">
        <f>'Inputs_NT INM'!S397</f>
        <v>0.13511663349361738</v>
      </c>
      <c r="N518" s="67">
        <f>'Inputs_NT INM'!T397</f>
        <v>0</v>
      </c>
      <c r="O518" s="67">
        <f>'Inputs_NT INM'!U397</f>
        <v>7.8481852777614242E-2</v>
      </c>
      <c r="P518" s="67">
        <f>'Inputs_NT INM'!V397</f>
        <v>0</v>
      </c>
      <c r="Q518" s="67">
        <f>'Inputs_NT INM'!W397</f>
        <v>1.9606305844928881E-2</v>
      </c>
      <c r="R518" s="67">
        <f>'Inputs_NT INM'!X397</f>
        <v>0.9976875048176983</v>
      </c>
      <c r="S518" s="67">
        <f>'Inputs_NT INM'!Y397</f>
        <v>2.3674341468874392E-2</v>
      </c>
      <c r="T518" s="67">
        <f>'Inputs_NT INM'!Z397</f>
        <v>0</v>
      </c>
      <c r="U518" s="67">
        <f>'Inputs_NT INM'!AA397</f>
        <v>8.7535227729794683E-3</v>
      </c>
      <c r="V518" s="67">
        <f>'Inputs_NT INM'!AB397</f>
        <v>2.2027979706591278E-2</v>
      </c>
      <c r="W518" s="67">
        <f>'Inputs_NT INM'!AC397</f>
        <v>2.2027979706591278E-2</v>
      </c>
      <c r="X518" s="67">
        <f>'Inputs_NT INM'!AD397</f>
        <v>0</v>
      </c>
      <c r="Y518" s="67">
        <f>'Inputs_NT INM'!AE397</f>
        <v>0</v>
      </c>
      <c r="Z518" s="67">
        <f>'Inputs_NT INM'!AF397</f>
        <v>0.17695693936118218</v>
      </c>
      <c r="AA518" s="67">
        <f>'Inputs_NT INM'!AG397</f>
        <v>1.9606305844928881E-2</v>
      </c>
      <c r="AB518" s="67">
        <f>'Inputs_NT INM'!AH397</f>
        <v>1.0885051020294327E-2</v>
      </c>
      <c r="AC518" s="67">
        <f>'Inputs_NT INM'!AI397</f>
        <v>0</v>
      </c>
      <c r="AD518" s="67">
        <f>'Inputs_NT INM'!AJ397</f>
        <v>2.7756979700719604E-3</v>
      </c>
      <c r="AE518" s="67">
        <f>'Inputs_NT INM'!AK397</f>
        <v>0</v>
      </c>
      <c r="AF518" s="67">
        <f>'Inputs_NT INM'!AL397</f>
        <v>2.5886103401703852E-3</v>
      </c>
      <c r="AG518" s="67">
        <f>'Inputs_NT INM'!AM397</f>
        <v>2.7241040649219072E-2</v>
      </c>
      <c r="AH518" s="67">
        <f>'Inputs_NT INM'!AN397</f>
        <v>4.256718669593383E-3</v>
      </c>
      <c r="AI518" s="67"/>
      <c r="AJ518" s="67"/>
      <c r="AK518" s="67"/>
    </row>
    <row r="519" spans="1:37" x14ac:dyDescent="0.25">
      <c r="A519" s="76" t="str">
        <f>IF(OR(SUM('Inputs_NT INM'!M398:AI398)=0,COUNTIF($A$21:$A$60,'Inputs_NT INM'!D398)=0),"*","I"&amp;"-"&amp;'INM_New Techs'!$B$3&amp;"-"&amp;'Inputs_NT INM'!B398&amp;"_"&amp;'Inputs_NT INM'!I398&amp;IF('Inputs_NT INM'!C398="Ordinary","01",IF('Inputs_NT INM'!C398="Improved","02","03")))</f>
        <v>*</v>
      </c>
      <c r="B519" s="9" t="s">
        <v>558</v>
      </c>
      <c r="C519" s="9" t="s">
        <v>332</v>
      </c>
      <c r="D519" s="61" t="s">
        <v>907</v>
      </c>
      <c r="F519" s="61" t="s">
        <v>460</v>
      </c>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row>
    <row r="520" spans="1:37" x14ac:dyDescent="0.25">
      <c r="A520" s="76" t="str">
        <f>IF(OR(SUM('Inputs_NT INM'!M399:AI399)=0,COUNTIF($A$21:$A$60,'Inputs_NT INM'!D399)=0),"*","I"&amp;"-"&amp;'INM_New Techs'!$B$3&amp;"-"&amp;'Inputs_NT INM'!B399&amp;"_"&amp;'Inputs_NT INM'!I399&amp;IF('Inputs_NT INM'!C399="Ordinary","01",IF('Inputs_NT INM'!C399="Improved","02","03")))</f>
        <v>I-NM-HTH_GAS02</v>
      </c>
      <c r="B520" s="9" t="s">
        <v>128</v>
      </c>
      <c r="C520" s="9" t="s">
        <v>332</v>
      </c>
      <c r="D520" s="61" t="s">
        <v>907</v>
      </c>
      <c r="F520" s="61" t="s">
        <v>460</v>
      </c>
      <c r="G520" s="67">
        <f>'Inputs_NT INM'!M399</f>
        <v>0</v>
      </c>
      <c r="H520" s="67">
        <f>'Inputs_NT INM'!N399</f>
        <v>0.97746997462062457</v>
      </c>
      <c r="I520" s="67">
        <f>'Inputs_NT INM'!O399</f>
        <v>0</v>
      </c>
      <c r="J520" s="67">
        <f>'Inputs_NT INM'!P399</f>
        <v>1</v>
      </c>
      <c r="K520" s="67">
        <f>'Inputs_NT INM'!Q399</f>
        <v>0.91761269920224109</v>
      </c>
      <c r="L520" s="67">
        <f>'Inputs_NT INM'!R399</f>
        <v>0.98911494897970575</v>
      </c>
      <c r="M520" s="67">
        <f>'Inputs_NT INM'!S399</f>
        <v>0.86488336650638253</v>
      </c>
      <c r="N520" s="67">
        <f>'Inputs_NT INM'!T399</f>
        <v>1</v>
      </c>
      <c r="O520" s="67">
        <f>'Inputs_NT INM'!U399</f>
        <v>0.92151814722238579</v>
      </c>
      <c r="P520" s="67">
        <f>'Inputs_NT INM'!V399</f>
        <v>1</v>
      </c>
      <c r="Q520" s="67">
        <f>'Inputs_NT INM'!W399</f>
        <v>0.98039369415507116</v>
      </c>
      <c r="R520" s="67">
        <f>'Inputs_NT INM'!X399</f>
        <v>2.3124951823017032E-3</v>
      </c>
      <c r="S520" s="67">
        <f>'Inputs_NT INM'!Y399</f>
        <v>0.97632565853112563</v>
      </c>
      <c r="T520" s="67">
        <f>'Inputs_NT INM'!Z399</f>
        <v>1</v>
      </c>
      <c r="U520" s="67">
        <f>'Inputs_NT INM'!AA399</f>
        <v>0.99094526941085137</v>
      </c>
      <c r="V520" s="67">
        <f>'Inputs_NT INM'!AB399</f>
        <v>0.97699681936875815</v>
      </c>
      <c r="W520" s="67">
        <f>'Inputs_NT INM'!AC399</f>
        <v>0.97699681936875815</v>
      </c>
      <c r="X520" s="67">
        <f>'Inputs_NT INM'!AD399</f>
        <v>0</v>
      </c>
      <c r="Y520" s="67">
        <f>'Inputs_NT INM'!AE399</f>
        <v>0</v>
      </c>
      <c r="Z520" s="67">
        <f>'Inputs_NT INM'!AF399</f>
        <v>0.82304306063881782</v>
      </c>
      <c r="AA520" s="67">
        <f>'Inputs_NT INM'!AG399</f>
        <v>0.98039369415507116</v>
      </c>
      <c r="AB520" s="67">
        <f>'Inputs_NT INM'!AH399</f>
        <v>0.98911494897970575</v>
      </c>
      <c r="AC520" s="67">
        <f>'Inputs_NT INM'!AI399</f>
        <v>1</v>
      </c>
      <c r="AD520" s="67">
        <f>'Inputs_NT INM'!AJ399</f>
        <v>0.99722430202992818</v>
      </c>
      <c r="AE520" s="67">
        <f>'Inputs_NT INM'!AK399</f>
        <v>0</v>
      </c>
      <c r="AF520" s="67">
        <f>'Inputs_NT INM'!AL399</f>
        <v>0.99741138965982956</v>
      </c>
      <c r="AG520" s="67">
        <f>'Inputs_NT INM'!AM399</f>
        <v>0.97275895935078094</v>
      </c>
      <c r="AH520" s="67">
        <f>'Inputs_NT INM'!AN399</f>
        <v>0.99574328133040668</v>
      </c>
      <c r="AI520" s="67"/>
      <c r="AJ520" s="67"/>
      <c r="AK520" s="67"/>
    </row>
    <row r="521" spans="1:37" x14ac:dyDescent="0.25">
      <c r="A521" s="76" t="str">
        <f>IF(OR(SUM('Inputs_NT INM'!M400:AI400)=0,COUNTIF($A$21:$A$60,'Inputs_NT INM'!D400)=0),"*","I"&amp;"-"&amp;'INM_New Techs'!$B$3&amp;"-"&amp;'Inputs_NT INM'!B400&amp;"_"&amp;'Inputs_NT INM'!I400&amp;IF('Inputs_NT INM'!C400="Ordinary","01",IF('Inputs_NT INM'!C400="Improved","02","03")))</f>
        <v>I-NM-HTH_OIL02</v>
      </c>
      <c r="B521" s="9" t="s">
        <v>134</v>
      </c>
      <c r="C521" s="9" t="s">
        <v>332</v>
      </c>
      <c r="D521" s="61" t="s">
        <v>907</v>
      </c>
      <c r="F521" s="61" t="s">
        <v>460</v>
      </c>
      <c r="G521" s="67">
        <f>'Inputs_NT INM'!M400</f>
        <v>1</v>
      </c>
      <c r="H521" s="67">
        <f>'Inputs_NT INM'!N400</f>
        <v>1</v>
      </c>
      <c r="I521" s="67">
        <f>'Inputs_NT INM'!O400</f>
        <v>1</v>
      </c>
      <c r="J521" s="67">
        <f>'Inputs_NT INM'!P400</f>
        <v>1</v>
      </c>
      <c r="K521" s="67">
        <f>'Inputs_NT INM'!Q400</f>
        <v>1</v>
      </c>
      <c r="L521" s="67">
        <f>'Inputs_NT INM'!R400</f>
        <v>1</v>
      </c>
      <c r="M521" s="67">
        <f>'Inputs_NT INM'!S400</f>
        <v>0.99775548819489079</v>
      </c>
      <c r="N521" s="67">
        <f>'Inputs_NT INM'!T400</f>
        <v>1</v>
      </c>
      <c r="O521" s="67">
        <f>'Inputs_NT INM'!U400</f>
        <v>0.99858214504502074</v>
      </c>
      <c r="P521" s="67">
        <f>'Inputs_NT INM'!V400</f>
        <v>1</v>
      </c>
      <c r="Q521" s="67">
        <f>'Inputs_NT INM'!W400</f>
        <v>1</v>
      </c>
      <c r="R521" s="67">
        <f>'Inputs_NT INM'!X400</f>
        <v>1</v>
      </c>
      <c r="S521" s="67">
        <f>'Inputs_NT INM'!Y400</f>
        <v>1</v>
      </c>
      <c r="T521" s="67">
        <f>'Inputs_NT INM'!Z400</f>
        <v>1</v>
      </c>
      <c r="U521" s="67">
        <f>'Inputs_NT INM'!AA400</f>
        <v>0.99996017570778672</v>
      </c>
      <c r="V521" s="67">
        <f>'Inputs_NT INM'!AB400</f>
        <v>0.99805420114513066</v>
      </c>
      <c r="W521" s="67">
        <f>'Inputs_NT INM'!AC400</f>
        <v>0.99805420114513066</v>
      </c>
      <c r="X521" s="67">
        <f>'Inputs_NT INM'!AD400</f>
        <v>0</v>
      </c>
      <c r="Y521" s="67">
        <f>'Inputs_NT INM'!AE400</f>
        <v>0</v>
      </c>
      <c r="Z521" s="67">
        <f>'Inputs_NT INM'!AF400</f>
        <v>1</v>
      </c>
      <c r="AA521" s="67">
        <f>'Inputs_NT INM'!AG400</f>
        <v>1</v>
      </c>
      <c r="AB521" s="67">
        <f>'Inputs_NT INM'!AH400</f>
        <v>1</v>
      </c>
      <c r="AC521" s="67">
        <f>'Inputs_NT INM'!AI400</f>
        <v>1</v>
      </c>
      <c r="AD521" s="67">
        <f>'Inputs_NT INM'!AJ400</f>
        <v>1</v>
      </c>
      <c r="AE521" s="67">
        <f>'Inputs_NT INM'!AK400</f>
        <v>1</v>
      </c>
      <c r="AF521" s="67">
        <f>'Inputs_NT INM'!AL400</f>
        <v>1</v>
      </c>
      <c r="AG521" s="67">
        <f>'Inputs_NT INM'!AM400</f>
        <v>1</v>
      </c>
      <c r="AH521" s="67">
        <f>'Inputs_NT INM'!AN400</f>
        <v>0.98954412741826636</v>
      </c>
      <c r="AI521" s="67"/>
      <c r="AJ521" s="67"/>
      <c r="AK521" s="67"/>
    </row>
    <row r="522" spans="1:37" x14ac:dyDescent="0.25">
      <c r="A522" s="76" t="str">
        <f>IF(OR(SUM('Inputs_NT INM'!M401:AI401)=0,COUNTIF($A$21:$A$60,'Inputs_NT INM'!D401)=0),"*","I"&amp;"-"&amp;'INM_New Techs'!$B$3&amp;"-"&amp;'Inputs_NT INM'!B401&amp;"_"&amp;'Inputs_NT INM'!I401&amp;IF('Inputs_NT INM'!C401="Ordinary","01",IF('Inputs_NT INM'!C401="Improved","02","03")))</f>
        <v>*</v>
      </c>
      <c r="B522" s="9" t="s">
        <v>117</v>
      </c>
      <c r="C522" s="9" t="s">
        <v>332</v>
      </c>
      <c r="D522" s="61" t="s">
        <v>907</v>
      </c>
      <c r="F522" s="61" t="s">
        <v>460</v>
      </c>
      <c r="G522" s="67">
        <f>'Inputs_NT INM'!M401</f>
        <v>0</v>
      </c>
      <c r="H522" s="67">
        <f>'Inputs_NT INM'!N401</f>
        <v>0.22463520413063867</v>
      </c>
      <c r="I522" s="67">
        <f>'Inputs_NT INM'!O401</f>
        <v>0.84544216677717665</v>
      </c>
      <c r="J522" s="67">
        <f>'Inputs_NT INM'!P401</f>
        <v>1</v>
      </c>
      <c r="K522" s="67">
        <f>'Inputs_NT INM'!Q401</f>
        <v>1</v>
      </c>
      <c r="L522" s="67">
        <f>'Inputs_NT INM'!R401</f>
        <v>1</v>
      </c>
      <c r="M522" s="67">
        <f>'Inputs_NT INM'!S401</f>
        <v>0</v>
      </c>
      <c r="N522" s="67">
        <f>'Inputs_NT INM'!T401</f>
        <v>0</v>
      </c>
      <c r="O522" s="67">
        <f>'Inputs_NT INM'!U401</f>
        <v>0</v>
      </c>
      <c r="P522" s="67">
        <f>'Inputs_NT INM'!V401</f>
        <v>1</v>
      </c>
      <c r="Q522" s="67">
        <f>'Inputs_NT INM'!W401</f>
        <v>0.38304017432350945</v>
      </c>
      <c r="R522" s="67">
        <f>'Inputs_NT INM'!X401</f>
        <v>1</v>
      </c>
      <c r="S522" s="67">
        <f>'Inputs_NT INM'!Y401</f>
        <v>0.71554349421116903</v>
      </c>
      <c r="T522" s="67">
        <f>'Inputs_NT INM'!Z401</f>
        <v>0</v>
      </c>
      <c r="U522" s="67">
        <f>'Inputs_NT INM'!AA401</f>
        <v>3.0780185845938727E-2</v>
      </c>
      <c r="V522" s="67">
        <f>'Inputs_NT INM'!AB401</f>
        <v>0.17276425858375916</v>
      </c>
      <c r="W522" s="67">
        <f>'Inputs_NT INM'!AC401</f>
        <v>0.17276425858375916</v>
      </c>
      <c r="X522" s="67">
        <f>'Inputs_NT INM'!AD401</f>
        <v>0</v>
      </c>
      <c r="Y522" s="67">
        <f>'Inputs_NT INM'!AE401</f>
        <v>0</v>
      </c>
      <c r="Z522" s="67">
        <f>'Inputs_NT INM'!AF401</f>
        <v>0</v>
      </c>
      <c r="AA522" s="67">
        <f>'Inputs_NT INM'!AG401</f>
        <v>0.38304017432350945</v>
      </c>
      <c r="AB522" s="67">
        <f>'Inputs_NT INM'!AH401</f>
        <v>1</v>
      </c>
      <c r="AC522" s="67">
        <f>'Inputs_NT INM'!AI401</f>
        <v>0</v>
      </c>
      <c r="AD522" s="67">
        <f>'Inputs_NT INM'!AJ401</f>
        <v>0</v>
      </c>
      <c r="AE522" s="67">
        <f>'Inputs_NT INM'!AK401</f>
        <v>0</v>
      </c>
      <c r="AF522" s="67">
        <f>'Inputs_NT INM'!AL401</f>
        <v>8.7634315251595169E-3</v>
      </c>
      <c r="AG522" s="67">
        <f>'Inputs_NT INM'!AM401</f>
        <v>3.639983903838837E-3</v>
      </c>
      <c r="AH522" s="67">
        <f>'Inputs_NT INM'!AN401</f>
        <v>0</v>
      </c>
      <c r="AI522" s="67"/>
      <c r="AJ522" s="67"/>
      <c r="AK522" s="67"/>
    </row>
    <row r="523" spans="1:37" x14ac:dyDescent="0.25">
      <c r="A523" s="76" t="str">
        <f>IF(OR(SUM('Inputs_NT INM'!M402:AI402)=0,COUNTIF($A$21:$A$60,'Inputs_NT INM'!D402)=0),"*","I"&amp;"-"&amp;'INM_New Techs'!$B$3&amp;"-"&amp;'Inputs_NT INM'!B402&amp;"_"&amp;'Inputs_NT INM'!I402&amp;IF('Inputs_NT INM'!C402="Ordinary","01",IF('Inputs_NT INM'!C402="Improved","02","03")))</f>
        <v>I-NM-HTH_OIL02</v>
      </c>
      <c r="B523" s="9" t="s">
        <v>119</v>
      </c>
      <c r="C523" s="9" t="s">
        <v>332</v>
      </c>
      <c r="D523" s="61" t="s">
        <v>907</v>
      </c>
      <c r="F523" s="61" t="s">
        <v>460</v>
      </c>
      <c r="G523" s="67">
        <f>'Inputs_NT INM'!M402</f>
        <v>0</v>
      </c>
      <c r="H523" s="67">
        <f>'Inputs_NT INM'!N402</f>
        <v>0</v>
      </c>
      <c r="I523" s="67">
        <f>'Inputs_NT INM'!O402</f>
        <v>0</v>
      </c>
      <c r="J523" s="67">
        <f>'Inputs_NT INM'!P402</f>
        <v>0</v>
      </c>
      <c r="K523" s="67">
        <f>'Inputs_NT INM'!Q402</f>
        <v>0</v>
      </c>
      <c r="L523" s="67">
        <f>'Inputs_NT INM'!R402</f>
        <v>0</v>
      </c>
      <c r="M523" s="67">
        <f>'Inputs_NT INM'!S402</f>
        <v>2.2445118051093215E-3</v>
      </c>
      <c r="N523" s="67">
        <f>'Inputs_NT INM'!T402</f>
        <v>0</v>
      </c>
      <c r="O523" s="67">
        <f>'Inputs_NT INM'!U402</f>
        <v>1.4178549549792527E-3</v>
      </c>
      <c r="P523" s="67">
        <f>'Inputs_NT INM'!V402</f>
        <v>0</v>
      </c>
      <c r="Q523" s="67">
        <f>'Inputs_NT INM'!W402</f>
        <v>0</v>
      </c>
      <c r="R523" s="67">
        <f>'Inputs_NT INM'!X402</f>
        <v>0</v>
      </c>
      <c r="S523" s="67">
        <f>'Inputs_NT INM'!Y402</f>
        <v>0</v>
      </c>
      <c r="T523" s="67">
        <f>'Inputs_NT INM'!Z402</f>
        <v>0</v>
      </c>
      <c r="U523" s="67">
        <f>'Inputs_NT INM'!AA402</f>
        <v>3.9824292213258897E-5</v>
      </c>
      <c r="V523" s="67">
        <f>'Inputs_NT INM'!AB402</f>
        <v>1.9457988548694544E-3</v>
      </c>
      <c r="W523" s="67">
        <f>'Inputs_NT INM'!AC402</f>
        <v>1.9457988548694544E-3</v>
      </c>
      <c r="X523" s="67">
        <f>'Inputs_NT INM'!AD402</f>
        <v>0</v>
      </c>
      <c r="Y523" s="67">
        <f>'Inputs_NT INM'!AE402</f>
        <v>0</v>
      </c>
      <c r="Z523" s="67">
        <f>'Inputs_NT INM'!AF402</f>
        <v>0</v>
      </c>
      <c r="AA523" s="67">
        <f>'Inputs_NT INM'!AG402</f>
        <v>0</v>
      </c>
      <c r="AB523" s="67">
        <f>'Inputs_NT INM'!AH402</f>
        <v>0</v>
      </c>
      <c r="AC523" s="67">
        <f>'Inputs_NT INM'!AI402</f>
        <v>0</v>
      </c>
      <c r="AD523" s="67">
        <f>'Inputs_NT INM'!AJ402</f>
        <v>0</v>
      </c>
      <c r="AE523" s="67">
        <f>'Inputs_NT INM'!AK402</f>
        <v>0</v>
      </c>
      <c r="AF523" s="67">
        <f>'Inputs_NT INM'!AL402</f>
        <v>0</v>
      </c>
      <c r="AG523" s="67">
        <f>'Inputs_NT INM'!AM402</f>
        <v>0</v>
      </c>
      <c r="AH523" s="67">
        <f>'Inputs_NT INM'!AN402</f>
        <v>1.045587258173373E-2</v>
      </c>
      <c r="AI523" s="67"/>
      <c r="AJ523" s="67"/>
      <c r="AK523" s="67"/>
    </row>
    <row r="524" spans="1:37" x14ac:dyDescent="0.25">
      <c r="A524" s="76" t="str">
        <f>IF(OR(SUM('Inputs_NT INM'!M403:AI403)=0,COUNTIF($A$21:$A$60,'Inputs_NT INM'!D403)=0),"*","I"&amp;"-"&amp;'INM_New Techs'!$B$3&amp;"-"&amp;'Inputs_NT INM'!B403&amp;"_"&amp;'Inputs_NT INM'!I403&amp;IF('Inputs_NT INM'!C403="Ordinary","01",IF('Inputs_NT INM'!C403="Improved","02","03")))</f>
        <v>I-NM-HTH_GAS02</v>
      </c>
      <c r="B524" s="9" t="s">
        <v>115</v>
      </c>
      <c r="C524" s="9" t="s">
        <v>332</v>
      </c>
      <c r="D524" s="61" t="s">
        <v>907</v>
      </c>
      <c r="F524" s="61" t="s">
        <v>460</v>
      </c>
      <c r="G524" s="67">
        <f>'Inputs_NT INM'!M403</f>
        <v>0</v>
      </c>
      <c r="H524" s="67">
        <f>'Inputs_NT INM'!N403</f>
        <v>0</v>
      </c>
      <c r="I524" s="67">
        <f>'Inputs_NT INM'!O403</f>
        <v>0</v>
      </c>
      <c r="J524" s="67">
        <f>'Inputs_NT INM'!P403</f>
        <v>0</v>
      </c>
      <c r="K524" s="67">
        <f>'Inputs_NT INM'!Q403</f>
        <v>3.78048399022601E-3</v>
      </c>
      <c r="L524" s="67">
        <f>'Inputs_NT INM'!R403</f>
        <v>0</v>
      </c>
      <c r="M524" s="67">
        <f>'Inputs_NT INM'!S403</f>
        <v>0</v>
      </c>
      <c r="N524" s="67">
        <f>'Inputs_NT INM'!T403</f>
        <v>0</v>
      </c>
      <c r="O524" s="67">
        <f>'Inputs_NT INM'!U403</f>
        <v>0</v>
      </c>
      <c r="P524" s="67">
        <f>'Inputs_NT INM'!V403</f>
        <v>0</v>
      </c>
      <c r="Q524" s="67">
        <f>'Inputs_NT INM'!W403</f>
        <v>0</v>
      </c>
      <c r="R524" s="67">
        <f>'Inputs_NT INM'!X403</f>
        <v>0</v>
      </c>
      <c r="S524" s="67">
        <f>'Inputs_NT INM'!Y403</f>
        <v>0</v>
      </c>
      <c r="T524" s="67">
        <f>'Inputs_NT INM'!Z403</f>
        <v>0</v>
      </c>
      <c r="U524" s="67">
        <f>'Inputs_NT INM'!AA403</f>
        <v>3.0120781616915809E-4</v>
      </c>
      <c r="V524" s="67">
        <f>'Inputs_NT INM'!AB403</f>
        <v>9.7520092465061276E-4</v>
      </c>
      <c r="W524" s="67">
        <f>'Inputs_NT INM'!AC403</f>
        <v>9.7520092465061276E-4</v>
      </c>
      <c r="X524" s="67">
        <f>'Inputs_NT INM'!AD403</f>
        <v>0</v>
      </c>
      <c r="Y524" s="67">
        <f>'Inputs_NT INM'!AE403</f>
        <v>0</v>
      </c>
      <c r="Z524" s="67">
        <f>'Inputs_NT INM'!AF403</f>
        <v>0</v>
      </c>
      <c r="AA524" s="67">
        <f>'Inputs_NT INM'!AG403</f>
        <v>0</v>
      </c>
      <c r="AB524" s="67">
        <f>'Inputs_NT INM'!AH403</f>
        <v>0</v>
      </c>
      <c r="AC524" s="67">
        <f>'Inputs_NT INM'!AI403</f>
        <v>0</v>
      </c>
      <c r="AD524" s="67">
        <f>'Inputs_NT INM'!AJ403</f>
        <v>0</v>
      </c>
      <c r="AE524" s="67">
        <f>'Inputs_NT INM'!AK403</f>
        <v>0</v>
      </c>
      <c r="AF524" s="67">
        <f>'Inputs_NT INM'!AL403</f>
        <v>0</v>
      </c>
      <c r="AG524" s="67">
        <f>'Inputs_NT INM'!AM403</f>
        <v>0</v>
      </c>
      <c r="AH524" s="67">
        <f>'Inputs_NT INM'!AN403</f>
        <v>0</v>
      </c>
      <c r="AI524" s="67"/>
      <c r="AJ524" s="67"/>
      <c r="AK524" s="67"/>
    </row>
    <row r="525" spans="1:37" x14ac:dyDescent="0.25">
      <c r="A525" s="76" t="str">
        <f>IF(OR(SUM('Inputs_NT INM'!M404:AI404)=0,COUNTIF($A$21:$A$60,'Inputs_NT INM'!D404)=0),"*","I"&amp;"-"&amp;'INM_New Techs'!$B$3&amp;"-"&amp;'Inputs_NT INM'!B404&amp;"_"&amp;'Inputs_NT INM'!I404&amp;IF('Inputs_NT INM'!C404="Ordinary","01",IF('Inputs_NT INM'!C404="Improved","02","03")))</f>
        <v>*</v>
      </c>
      <c r="B525" s="9" t="s">
        <v>139</v>
      </c>
      <c r="C525" s="9" t="s">
        <v>332</v>
      </c>
      <c r="D525" s="61" t="s">
        <v>907</v>
      </c>
      <c r="F525" s="61" t="s">
        <v>460</v>
      </c>
      <c r="G525" s="67">
        <f>'Inputs_NT INM'!M404</f>
        <v>0</v>
      </c>
      <c r="H525" s="67">
        <f>'Inputs_NT INM'!N404</f>
        <v>0.77536479586936136</v>
      </c>
      <c r="I525" s="67">
        <f>'Inputs_NT INM'!O404</f>
        <v>0.15455783322282335</v>
      </c>
      <c r="J525" s="67">
        <f>'Inputs_NT INM'!P404</f>
        <v>0</v>
      </c>
      <c r="K525" s="67">
        <f>'Inputs_NT INM'!Q404</f>
        <v>0</v>
      </c>
      <c r="L525" s="67">
        <f>'Inputs_NT INM'!R404</f>
        <v>0</v>
      </c>
      <c r="M525" s="67">
        <f>'Inputs_NT INM'!S404</f>
        <v>0</v>
      </c>
      <c r="N525" s="67">
        <f>'Inputs_NT INM'!T404</f>
        <v>0</v>
      </c>
      <c r="O525" s="67">
        <f>'Inputs_NT INM'!U404</f>
        <v>0</v>
      </c>
      <c r="P525" s="67">
        <f>'Inputs_NT INM'!V404</f>
        <v>0</v>
      </c>
      <c r="Q525" s="67">
        <f>'Inputs_NT INM'!W404</f>
        <v>0.61695982567649055</v>
      </c>
      <c r="R525" s="67">
        <f>'Inputs_NT INM'!X404</f>
        <v>0</v>
      </c>
      <c r="S525" s="67">
        <f>'Inputs_NT INM'!Y404</f>
        <v>0.28445650578883097</v>
      </c>
      <c r="T525" s="67">
        <f>'Inputs_NT INM'!Z404</f>
        <v>1</v>
      </c>
      <c r="U525" s="67">
        <f>'Inputs_NT INM'!AA404</f>
        <v>0.96921981415406133</v>
      </c>
      <c r="V525" s="67">
        <f>'Inputs_NT INM'!AB404</f>
        <v>0.8272357414162409</v>
      </c>
      <c r="W525" s="67">
        <f>'Inputs_NT INM'!AC404</f>
        <v>0.8272357414162409</v>
      </c>
      <c r="X525" s="67">
        <f>'Inputs_NT INM'!AD404</f>
        <v>0</v>
      </c>
      <c r="Y525" s="67">
        <f>'Inputs_NT INM'!AE404</f>
        <v>0</v>
      </c>
      <c r="Z525" s="67">
        <f>'Inputs_NT INM'!AF404</f>
        <v>1</v>
      </c>
      <c r="AA525" s="67">
        <f>'Inputs_NT INM'!AG404</f>
        <v>0.61695982567649055</v>
      </c>
      <c r="AB525" s="67">
        <f>'Inputs_NT INM'!AH404</f>
        <v>0</v>
      </c>
      <c r="AC525" s="67">
        <f>'Inputs_NT INM'!AI404</f>
        <v>0</v>
      </c>
      <c r="AD525" s="67">
        <f>'Inputs_NT INM'!AJ404</f>
        <v>0</v>
      </c>
      <c r="AE525" s="67">
        <f>'Inputs_NT INM'!AK404</f>
        <v>0</v>
      </c>
      <c r="AF525" s="67">
        <f>'Inputs_NT INM'!AL404</f>
        <v>0.99123656847484043</v>
      </c>
      <c r="AG525" s="67">
        <f>'Inputs_NT INM'!AM404</f>
        <v>0.99636001609616121</v>
      </c>
      <c r="AH525" s="67">
        <f>'Inputs_NT INM'!AN404</f>
        <v>1</v>
      </c>
      <c r="AI525" s="67"/>
      <c r="AJ525" s="67"/>
      <c r="AK525" s="67"/>
    </row>
    <row r="526" spans="1:37" x14ac:dyDescent="0.25">
      <c r="A526" s="76" t="str">
        <f>IF(OR(SUM('Inputs_NT INM'!M405:AI405)=0,COUNTIF($A$21:$A$60,'Inputs_NT INM'!D405)=0),"*","I"&amp;"-"&amp;'INM_New Techs'!$B$3&amp;"-"&amp;'Inputs_NT INM'!B405&amp;"_"&amp;'Inputs_NT INM'!I405&amp;IF('Inputs_NT INM'!C405="Ordinary","01",IF('Inputs_NT INM'!C405="Improved","02","03")))</f>
        <v>I-NM-HTH_HET02</v>
      </c>
      <c r="B526" s="9" t="s">
        <v>1701</v>
      </c>
      <c r="C526" s="9" t="s">
        <v>332</v>
      </c>
      <c r="D526" s="61" t="s">
        <v>907</v>
      </c>
      <c r="F526" s="61" t="s">
        <v>460</v>
      </c>
      <c r="G526" s="67">
        <f>'Inputs_NT INM'!M405</f>
        <v>0</v>
      </c>
      <c r="H526" s="67">
        <f>'Inputs_NT INM'!N405</f>
        <v>0</v>
      </c>
      <c r="I526" s="67">
        <f>'Inputs_NT INM'!O405</f>
        <v>0</v>
      </c>
      <c r="J526" s="67">
        <f>'Inputs_NT INM'!P405</f>
        <v>0</v>
      </c>
      <c r="K526" s="67">
        <f>'Inputs_NT INM'!Q405</f>
        <v>0</v>
      </c>
      <c r="L526" s="67">
        <f>'Inputs_NT INM'!R405</f>
        <v>0</v>
      </c>
      <c r="M526" s="67">
        <f>'Inputs_NT INM'!S405</f>
        <v>0</v>
      </c>
      <c r="N526" s="67">
        <f>'Inputs_NT INM'!T405</f>
        <v>0</v>
      </c>
      <c r="O526" s="67">
        <f>'Inputs_NT INM'!U405</f>
        <v>0</v>
      </c>
      <c r="P526" s="67">
        <f>'Inputs_NT INM'!V405</f>
        <v>0</v>
      </c>
      <c r="Q526" s="67">
        <f>'Inputs_NT INM'!W405</f>
        <v>0</v>
      </c>
      <c r="R526" s="67">
        <f>'Inputs_NT INM'!X405</f>
        <v>0</v>
      </c>
      <c r="S526" s="67">
        <f>'Inputs_NT INM'!Y405</f>
        <v>0</v>
      </c>
      <c r="T526" s="67">
        <f>'Inputs_NT INM'!Z405</f>
        <v>0</v>
      </c>
      <c r="U526" s="67">
        <f>'Inputs_NT INM'!AA405</f>
        <v>3.5993702901677342E-3</v>
      </c>
      <c r="V526" s="67">
        <f>'Inputs_NT INM'!AB405</f>
        <v>0</v>
      </c>
      <c r="W526" s="67">
        <f>'Inputs_NT INM'!AC405</f>
        <v>0</v>
      </c>
      <c r="X526" s="67">
        <f>'Inputs_NT INM'!AD405</f>
        <v>0</v>
      </c>
      <c r="Y526" s="67">
        <f>'Inputs_NT INM'!AE405</f>
        <v>0</v>
      </c>
      <c r="Z526" s="67">
        <f>'Inputs_NT INM'!AF405</f>
        <v>0</v>
      </c>
      <c r="AA526" s="67">
        <f>'Inputs_NT INM'!AG405</f>
        <v>0</v>
      </c>
      <c r="AB526" s="67">
        <f>'Inputs_NT INM'!AH405</f>
        <v>0</v>
      </c>
      <c r="AC526" s="67">
        <f>'Inputs_NT INM'!AI405</f>
        <v>0</v>
      </c>
      <c r="AD526" s="67">
        <f>'Inputs_NT INM'!AJ405</f>
        <v>0</v>
      </c>
      <c r="AE526" s="67">
        <f>'Inputs_NT INM'!AK405</f>
        <v>0</v>
      </c>
      <c r="AF526" s="67">
        <f>'Inputs_NT INM'!AL405</f>
        <v>0</v>
      </c>
      <c r="AG526" s="67">
        <f>'Inputs_NT INM'!AM405</f>
        <v>0</v>
      </c>
      <c r="AH526" s="67">
        <f>'Inputs_NT INM'!AN405</f>
        <v>0</v>
      </c>
      <c r="AI526" s="67"/>
      <c r="AJ526" s="67"/>
      <c r="AK526" s="67"/>
    </row>
    <row r="527" spans="1:37" x14ac:dyDescent="0.25">
      <c r="A527" s="76" t="str">
        <f>IF(OR(SUM('Inputs_NT INM'!M406:AI406)=0,COUNTIF($A$21:$A$60,'Inputs_NT INM'!D406)=0),"*","I"&amp;"-"&amp;'INM_New Techs'!$B$3&amp;"-"&amp;'Inputs_NT INM'!B406&amp;"_"&amp;'Inputs_NT INM'!I406&amp;IF('Inputs_NT INM'!C406="Ordinary","01",IF('Inputs_NT INM'!C406="Improved","02","03")))</f>
        <v>*</v>
      </c>
      <c r="B527" s="9" t="s">
        <v>558</v>
      </c>
      <c r="C527" s="9" t="s">
        <v>332</v>
      </c>
      <c r="D527" s="61" t="s">
        <v>907</v>
      </c>
      <c r="F527" s="61" t="s">
        <v>460</v>
      </c>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row>
    <row r="528" spans="1:37" x14ac:dyDescent="0.25">
      <c r="A528" s="76" t="str">
        <f>IF(OR(SUM('Inputs_NT INM'!M407:AI407)=0,COUNTIF($A$21:$A$60,'Inputs_NT INM'!D407)=0),"*","I"&amp;"-"&amp;'INM_New Techs'!$B$3&amp;"-"&amp;'Inputs_NT INM'!B407&amp;"_"&amp;'Inputs_NT INM'!I407&amp;IF('Inputs_NT INM'!C407="Ordinary","01",IF('Inputs_NT INM'!C407="Improved","02","03")))</f>
        <v>*</v>
      </c>
      <c r="B528" s="9" t="s">
        <v>558</v>
      </c>
      <c r="C528" s="9" t="s">
        <v>332</v>
      </c>
      <c r="D528" s="61" t="s">
        <v>907</v>
      </c>
      <c r="F528" s="61" t="s">
        <v>460</v>
      </c>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row>
    <row r="529" spans="1:37" x14ac:dyDescent="0.25">
      <c r="A529" s="76" t="str">
        <f>IF(OR(SUM('Inputs_NT INM'!M408:AI408)=0,COUNTIF($A$21:$A$60,'Inputs_NT INM'!D408)=0),"*","I"&amp;"-"&amp;'INM_New Techs'!$B$3&amp;"-"&amp;'Inputs_NT INM'!B408&amp;"_"&amp;'Inputs_NT INM'!I408&amp;IF('Inputs_NT INM'!C408="Ordinary","01",IF('Inputs_NT INM'!C408="Improved","02","03")))</f>
        <v>I-NM-HTH_HET02</v>
      </c>
      <c r="B529" s="9" t="s">
        <v>130</v>
      </c>
      <c r="C529" s="9" t="s">
        <v>332</v>
      </c>
      <c r="D529" s="61" t="s">
        <v>907</v>
      </c>
      <c r="F529" s="61" t="s">
        <v>460</v>
      </c>
      <c r="G529" s="67">
        <f>'Inputs_NT INM'!M408</f>
        <v>0</v>
      </c>
      <c r="H529" s="67">
        <f>'Inputs_NT INM'!N408</f>
        <v>0</v>
      </c>
      <c r="I529" s="67">
        <f>'Inputs_NT INM'!O408</f>
        <v>0</v>
      </c>
      <c r="J529" s="67">
        <f>'Inputs_NT INM'!P408</f>
        <v>0</v>
      </c>
      <c r="K529" s="67">
        <f>'Inputs_NT INM'!Q408</f>
        <v>0</v>
      </c>
      <c r="L529" s="67">
        <f>'Inputs_NT INM'!R408</f>
        <v>1</v>
      </c>
      <c r="M529" s="67">
        <f>'Inputs_NT INM'!S408</f>
        <v>0</v>
      </c>
      <c r="N529" s="67">
        <f>'Inputs_NT INM'!T408</f>
        <v>0</v>
      </c>
      <c r="O529" s="67">
        <f>'Inputs_NT INM'!U408</f>
        <v>0</v>
      </c>
      <c r="P529" s="67">
        <f>'Inputs_NT INM'!V408</f>
        <v>0</v>
      </c>
      <c r="Q529" s="67">
        <f>'Inputs_NT INM'!W408</f>
        <v>0</v>
      </c>
      <c r="R529" s="67">
        <f>'Inputs_NT INM'!X408</f>
        <v>0</v>
      </c>
      <c r="S529" s="67">
        <f>'Inputs_NT INM'!Y408</f>
        <v>1</v>
      </c>
      <c r="T529" s="67">
        <f>'Inputs_NT INM'!Z408</f>
        <v>0</v>
      </c>
      <c r="U529" s="67">
        <f>'Inputs_NT INM'!AA408</f>
        <v>0.99640062970983223</v>
      </c>
      <c r="V529" s="67">
        <f>'Inputs_NT INM'!AB408</f>
        <v>1</v>
      </c>
      <c r="W529" s="67">
        <f>'Inputs_NT INM'!AC408</f>
        <v>1</v>
      </c>
      <c r="X529" s="67">
        <f>'Inputs_NT INM'!AD408</f>
        <v>0</v>
      </c>
      <c r="Y529" s="67">
        <f>'Inputs_NT INM'!AE408</f>
        <v>0</v>
      </c>
      <c r="Z529" s="67">
        <f>'Inputs_NT INM'!AF408</f>
        <v>0</v>
      </c>
      <c r="AA529" s="67">
        <f>'Inputs_NT INM'!AG408</f>
        <v>0</v>
      </c>
      <c r="AB529" s="67">
        <f>'Inputs_NT INM'!AH408</f>
        <v>1</v>
      </c>
      <c r="AC529" s="67">
        <f>'Inputs_NT INM'!AI408</f>
        <v>0</v>
      </c>
      <c r="AD529" s="67">
        <f>'Inputs_NT INM'!AJ408</f>
        <v>0</v>
      </c>
      <c r="AE529" s="67">
        <f>'Inputs_NT INM'!AK408</f>
        <v>0</v>
      </c>
      <c r="AF529" s="67">
        <f>'Inputs_NT INM'!AL408</f>
        <v>1</v>
      </c>
      <c r="AG529" s="67">
        <f>'Inputs_NT INM'!AM408</f>
        <v>1</v>
      </c>
      <c r="AH529" s="67">
        <f>'Inputs_NT INM'!AN408</f>
        <v>1</v>
      </c>
      <c r="AI529" s="67"/>
      <c r="AJ529" s="67"/>
      <c r="AK529" s="67"/>
    </row>
    <row r="530" spans="1:37" x14ac:dyDescent="0.25">
      <c r="A530" s="76" t="str">
        <f>IF(OR(SUM('Inputs_NT INM'!M409:AI409)=0,COUNTIF($A$21:$A$60,'Inputs_NT INM'!D409)=0),"*","I"&amp;"-"&amp;'INM_New Techs'!$B$3&amp;"-"&amp;'Inputs_NT INM'!B409&amp;"_"&amp;'Inputs_NT INM'!I409&amp;IF('Inputs_NT INM'!C409="Ordinary","01",IF('Inputs_NT INM'!C409="Improved","02","03")))</f>
        <v>I-NM-HTH_GAS02</v>
      </c>
      <c r="B530" s="9" t="s">
        <v>132</v>
      </c>
      <c r="C530" s="9" t="s">
        <v>332</v>
      </c>
      <c r="D530" s="61" t="s">
        <v>907</v>
      </c>
      <c r="F530" s="61" t="s">
        <v>460</v>
      </c>
      <c r="G530" s="67">
        <f>'Inputs_NT INM'!M409</f>
        <v>0</v>
      </c>
      <c r="H530" s="67">
        <f>'Inputs_NT INM'!N409</f>
        <v>2.253002537937546E-2</v>
      </c>
      <c r="I530" s="67">
        <f>'Inputs_NT INM'!O409</f>
        <v>0</v>
      </c>
      <c r="J530" s="67">
        <f>'Inputs_NT INM'!P409</f>
        <v>0</v>
      </c>
      <c r="K530" s="67">
        <f>'Inputs_NT INM'!Q409</f>
        <v>7.8606816807532842E-2</v>
      </c>
      <c r="L530" s="67">
        <f>'Inputs_NT INM'!R409</f>
        <v>1.0885051020294327E-2</v>
      </c>
      <c r="M530" s="67">
        <f>'Inputs_NT INM'!S409</f>
        <v>0.13511663349361738</v>
      </c>
      <c r="N530" s="67">
        <f>'Inputs_NT INM'!T409</f>
        <v>0</v>
      </c>
      <c r="O530" s="67">
        <f>'Inputs_NT INM'!U409</f>
        <v>7.8481852777614242E-2</v>
      </c>
      <c r="P530" s="67">
        <f>'Inputs_NT INM'!V409</f>
        <v>0</v>
      </c>
      <c r="Q530" s="67">
        <f>'Inputs_NT INM'!W409</f>
        <v>1.9606305844928881E-2</v>
      </c>
      <c r="R530" s="67">
        <f>'Inputs_NT INM'!X409</f>
        <v>0.9976875048176983</v>
      </c>
      <c r="S530" s="67">
        <f>'Inputs_NT INM'!Y409</f>
        <v>2.3674341468874392E-2</v>
      </c>
      <c r="T530" s="67">
        <f>'Inputs_NT INM'!Z409</f>
        <v>0</v>
      </c>
      <c r="U530" s="67">
        <f>'Inputs_NT INM'!AA409</f>
        <v>8.7535227729794683E-3</v>
      </c>
      <c r="V530" s="67">
        <f>'Inputs_NT INM'!AB409</f>
        <v>2.2027979706591278E-2</v>
      </c>
      <c r="W530" s="67">
        <f>'Inputs_NT INM'!AC409</f>
        <v>2.2027979706591278E-2</v>
      </c>
      <c r="X530" s="67">
        <f>'Inputs_NT INM'!AD409</f>
        <v>0</v>
      </c>
      <c r="Y530" s="67">
        <f>'Inputs_NT INM'!AE409</f>
        <v>0</v>
      </c>
      <c r="Z530" s="67">
        <f>'Inputs_NT INM'!AF409</f>
        <v>0.17695693936118218</v>
      </c>
      <c r="AA530" s="67">
        <f>'Inputs_NT INM'!AG409</f>
        <v>1.9606305844928881E-2</v>
      </c>
      <c r="AB530" s="67">
        <f>'Inputs_NT INM'!AH409</f>
        <v>1.0885051020294327E-2</v>
      </c>
      <c r="AC530" s="67">
        <f>'Inputs_NT INM'!AI409</f>
        <v>0</v>
      </c>
      <c r="AD530" s="67">
        <f>'Inputs_NT INM'!AJ409</f>
        <v>2.7756979700719604E-3</v>
      </c>
      <c r="AE530" s="67">
        <f>'Inputs_NT INM'!AK409</f>
        <v>0</v>
      </c>
      <c r="AF530" s="67">
        <f>'Inputs_NT INM'!AL409</f>
        <v>2.5886103401703852E-3</v>
      </c>
      <c r="AG530" s="67">
        <f>'Inputs_NT INM'!AM409</f>
        <v>2.7241040649219072E-2</v>
      </c>
      <c r="AH530" s="67">
        <f>'Inputs_NT INM'!AN409</f>
        <v>4.256718669593383E-3</v>
      </c>
      <c r="AI530" s="67"/>
      <c r="AJ530" s="67"/>
      <c r="AK530" s="67"/>
    </row>
    <row r="531" spans="1:37" x14ac:dyDescent="0.25">
      <c r="A531" s="76" t="str">
        <f>IF(OR(SUM('Inputs_NT INM'!M410:AI410)=0,COUNTIF($A$21:$A$60,'Inputs_NT INM'!D410)=0),"*","I"&amp;"-"&amp;'INM_New Techs'!$B$3&amp;"-"&amp;'Inputs_NT INM'!B410&amp;"_"&amp;'Inputs_NT INM'!I410&amp;IF('Inputs_NT INM'!C410="Ordinary","01",IF('Inputs_NT INM'!C410="Improved","02","03")))</f>
        <v>*</v>
      </c>
      <c r="B531" s="9" t="s">
        <v>558</v>
      </c>
      <c r="C531" s="9" t="s">
        <v>332</v>
      </c>
      <c r="D531" s="61" t="s">
        <v>907</v>
      </c>
      <c r="F531" s="61" t="s">
        <v>460</v>
      </c>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67"/>
      <c r="AJ531" s="67"/>
      <c r="AK531" s="67"/>
    </row>
    <row r="532" spans="1:37" x14ac:dyDescent="0.25">
      <c r="A532" s="76" t="str">
        <f>IF(OR(SUM('Inputs_NT INM'!M411:AI411)=0,COUNTIF($A$21:$A$60,'Inputs_NT INM'!D411)=0),"*","I"&amp;"-"&amp;'INM_New Techs'!$B$3&amp;"-"&amp;'Inputs_NT INM'!B411&amp;"_"&amp;'Inputs_NT INM'!I411&amp;IF('Inputs_NT INM'!C411="Ordinary","01",IF('Inputs_NT INM'!C411="Improved","02","03")))</f>
        <v>I-NM-HTH_GAS03</v>
      </c>
      <c r="B532" s="9" t="s">
        <v>128</v>
      </c>
      <c r="C532" s="9" t="s">
        <v>332</v>
      </c>
      <c r="D532" s="61" t="s">
        <v>907</v>
      </c>
      <c r="F532" s="61" t="s">
        <v>460</v>
      </c>
      <c r="G532" s="67">
        <f>'Inputs_NT INM'!M411</f>
        <v>0</v>
      </c>
      <c r="H532" s="67">
        <f>'Inputs_NT INM'!N411</f>
        <v>0.97746997462062457</v>
      </c>
      <c r="I532" s="67">
        <f>'Inputs_NT INM'!O411</f>
        <v>0</v>
      </c>
      <c r="J532" s="67">
        <f>'Inputs_NT INM'!P411</f>
        <v>1</v>
      </c>
      <c r="K532" s="67">
        <f>'Inputs_NT INM'!Q411</f>
        <v>0.91761269920224109</v>
      </c>
      <c r="L532" s="67">
        <f>'Inputs_NT INM'!R411</f>
        <v>0.98911494897970575</v>
      </c>
      <c r="M532" s="67">
        <f>'Inputs_NT INM'!S411</f>
        <v>0.86488336650638253</v>
      </c>
      <c r="N532" s="67">
        <f>'Inputs_NT INM'!T411</f>
        <v>1</v>
      </c>
      <c r="O532" s="67">
        <f>'Inputs_NT INM'!U411</f>
        <v>0.92151814722238579</v>
      </c>
      <c r="P532" s="67">
        <f>'Inputs_NT INM'!V411</f>
        <v>1</v>
      </c>
      <c r="Q532" s="67">
        <f>'Inputs_NT INM'!W411</f>
        <v>0.98039369415507116</v>
      </c>
      <c r="R532" s="67">
        <f>'Inputs_NT INM'!X411</f>
        <v>2.3124951823017032E-3</v>
      </c>
      <c r="S532" s="67">
        <f>'Inputs_NT INM'!Y411</f>
        <v>0.97632565853112563</v>
      </c>
      <c r="T532" s="67">
        <f>'Inputs_NT INM'!Z411</f>
        <v>1</v>
      </c>
      <c r="U532" s="67">
        <f>'Inputs_NT INM'!AA411</f>
        <v>0.99094526941085137</v>
      </c>
      <c r="V532" s="67">
        <f>'Inputs_NT INM'!AB411</f>
        <v>0.97699681936875815</v>
      </c>
      <c r="W532" s="67">
        <f>'Inputs_NT INM'!AC411</f>
        <v>0.97699681936875815</v>
      </c>
      <c r="X532" s="67">
        <f>'Inputs_NT INM'!AD411</f>
        <v>0</v>
      </c>
      <c r="Y532" s="67">
        <f>'Inputs_NT INM'!AE411</f>
        <v>0</v>
      </c>
      <c r="Z532" s="67">
        <f>'Inputs_NT INM'!AF411</f>
        <v>0.82304306063881782</v>
      </c>
      <c r="AA532" s="67">
        <f>'Inputs_NT INM'!AG411</f>
        <v>0.98039369415507116</v>
      </c>
      <c r="AB532" s="67">
        <f>'Inputs_NT INM'!AH411</f>
        <v>0.98911494897970575</v>
      </c>
      <c r="AC532" s="67">
        <f>'Inputs_NT INM'!AI411</f>
        <v>1</v>
      </c>
      <c r="AD532" s="67">
        <f>'Inputs_NT INM'!AJ411</f>
        <v>0.99722430202992818</v>
      </c>
      <c r="AE532" s="67">
        <f>'Inputs_NT INM'!AK411</f>
        <v>0</v>
      </c>
      <c r="AF532" s="67">
        <f>'Inputs_NT INM'!AL411</f>
        <v>0.99741138965982956</v>
      </c>
      <c r="AG532" s="67">
        <f>'Inputs_NT INM'!AM411</f>
        <v>0.97275895935078094</v>
      </c>
      <c r="AH532" s="67">
        <f>'Inputs_NT INM'!AN411</f>
        <v>0.99574328133040668</v>
      </c>
      <c r="AI532" s="67"/>
      <c r="AJ532" s="67"/>
      <c r="AK532" s="67"/>
    </row>
    <row r="533" spans="1:37" x14ac:dyDescent="0.25">
      <c r="A533" s="76" t="str">
        <f>IF(OR(SUM('Inputs_NT INM'!M412:AI412)=0,COUNTIF($A$21:$A$60,'Inputs_NT INM'!D412)=0),"*","I"&amp;"-"&amp;'INM_New Techs'!$B$3&amp;"-"&amp;'Inputs_NT INM'!B412&amp;"_"&amp;'Inputs_NT INM'!I412&amp;IF('Inputs_NT INM'!C412="Ordinary","01",IF('Inputs_NT INM'!C412="Improved","02","03")))</f>
        <v>I-NM-HTH_OIL03</v>
      </c>
      <c r="B533" s="9" t="s">
        <v>134</v>
      </c>
      <c r="C533" s="9" t="s">
        <v>332</v>
      </c>
      <c r="D533" s="61" t="s">
        <v>907</v>
      </c>
      <c r="F533" s="61" t="s">
        <v>460</v>
      </c>
      <c r="G533" s="67">
        <f>'Inputs_NT INM'!M412</f>
        <v>1</v>
      </c>
      <c r="H533" s="67">
        <f>'Inputs_NT INM'!N412</f>
        <v>1</v>
      </c>
      <c r="I533" s="67">
        <f>'Inputs_NT INM'!O412</f>
        <v>1</v>
      </c>
      <c r="J533" s="67">
        <f>'Inputs_NT INM'!P412</f>
        <v>1</v>
      </c>
      <c r="K533" s="67">
        <f>'Inputs_NT INM'!Q412</f>
        <v>1</v>
      </c>
      <c r="L533" s="67">
        <f>'Inputs_NT INM'!R412</f>
        <v>1</v>
      </c>
      <c r="M533" s="67">
        <f>'Inputs_NT INM'!S412</f>
        <v>0.99775548819489079</v>
      </c>
      <c r="N533" s="67">
        <f>'Inputs_NT INM'!T412</f>
        <v>1</v>
      </c>
      <c r="O533" s="67">
        <f>'Inputs_NT INM'!U412</f>
        <v>0.99858214504502074</v>
      </c>
      <c r="P533" s="67">
        <f>'Inputs_NT INM'!V412</f>
        <v>1</v>
      </c>
      <c r="Q533" s="67">
        <f>'Inputs_NT INM'!W412</f>
        <v>1</v>
      </c>
      <c r="R533" s="67">
        <f>'Inputs_NT INM'!X412</f>
        <v>1</v>
      </c>
      <c r="S533" s="67">
        <f>'Inputs_NT INM'!Y412</f>
        <v>1</v>
      </c>
      <c r="T533" s="67">
        <f>'Inputs_NT INM'!Z412</f>
        <v>1</v>
      </c>
      <c r="U533" s="67">
        <f>'Inputs_NT INM'!AA412</f>
        <v>0.99996017570778672</v>
      </c>
      <c r="V533" s="67">
        <f>'Inputs_NT INM'!AB412</f>
        <v>0.99805420114513066</v>
      </c>
      <c r="W533" s="67">
        <f>'Inputs_NT INM'!AC412</f>
        <v>0.99805420114513066</v>
      </c>
      <c r="X533" s="67">
        <f>'Inputs_NT INM'!AD412</f>
        <v>0</v>
      </c>
      <c r="Y533" s="67">
        <f>'Inputs_NT INM'!AE412</f>
        <v>0</v>
      </c>
      <c r="Z533" s="67">
        <f>'Inputs_NT INM'!AF412</f>
        <v>1</v>
      </c>
      <c r="AA533" s="67">
        <f>'Inputs_NT INM'!AG412</f>
        <v>1</v>
      </c>
      <c r="AB533" s="67">
        <f>'Inputs_NT INM'!AH412</f>
        <v>1</v>
      </c>
      <c r="AC533" s="67">
        <f>'Inputs_NT INM'!AI412</f>
        <v>1</v>
      </c>
      <c r="AD533" s="67">
        <f>'Inputs_NT INM'!AJ412</f>
        <v>1</v>
      </c>
      <c r="AE533" s="67">
        <f>'Inputs_NT INM'!AK412</f>
        <v>1</v>
      </c>
      <c r="AF533" s="67">
        <f>'Inputs_NT INM'!AL412</f>
        <v>1</v>
      </c>
      <c r="AG533" s="67">
        <f>'Inputs_NT INM'!AM412</f>
        <v>1</v>
      </c>
      <c r="AH533" s="67">
        <f>'Inputs_NT INM'!AN412</f>
        <v>0.98954412741826636</v>
      </c>
      <c r="AI533" s="67"/>
      <c r="AJ533" s="67"/>
      <c r="AK533" s="67"/>
    </row>
    <row r="534" spans="1:37" x14ac:dyDescent="0.25">
      <c r="A534" s="76" t="str">
        <f>IF(OR(SUM('Inputs_NT INM'!M413:AI413)=0,COUNTIF($A$21:$A$60,'Inputs_NT INM'!D413)=0),"*","I"&amp;"-"&amp;'INM_New Techs'!$B$3&amp;"-"&amp;'Inputs_NT INM'!B413&amp;"_"&amp;'Inputs_NT INM'!I413&amp;IF('Inputs_NT INM'!C413="Ordinary","01",IF('Inputs_NT INM'!C413="Improved","02","03")))</f>
        <v>I-NM-HTH_BIO03</v>
      </c>
      <c r="B534" s="9" t="s">
        <v>117</v>
      </c>
      <c r="C534" s="9" t="s">
        <v>332</v>
      </c>
      <c r="D534" s="61" t="s">
        <v>907</v>
      </c>
      <c r="F534" s="61" t="s">
        <v>460</v>
      </c>
      <c r="G534" s="67">
        <f>'Inputs_NT INM'!M413</f>
        <v>0</v>
      </c>
      <c r="H534" s="67">
        <f>'Inputs_NT INM'!N413</f>
        <v>0.22463520413063867</v>
      </c>
      <c r="I534" s="67">
        <f>'Inputs_NT INM'!O413</f>
        <v>0.84544216677717665</v>
      </c>
      <c r="J534" s="67">
        <f>'Inputs_NT INM'!P413</f>
        <v>1</v>
      </c>
      <c r="K534" s="67">
        <f>'Inputs_NT INM'!Q413</f>
        <v>1</v>
      </c>
      <c r="L534" s="67">
        <f>'Inputs_NT INM'!R413</f>
        <v>1</v>
      </c>
      <c r="M534" s="67">
        <f>'Inputs_NT INM'!S413</f>
        <v>0</v>
      </c>
      <c r="N534" s="67">
        <f>'Inputs_NT INM'!T413</f>
        <v>0</v>
      </c>
      <c r="O534" s="67">
        <f>'Inputs_NT INM'!U413</f>
        <v>0</v>
      </c>
      <c r="P534" s="67">
        <f>'Inputs_NT INM'!V413</f>
        <v>1</v>
      </c>
      <c r="Q534" s="67">
        <f>'Inputs_NT INM'!W413</f>
        <v>0.38304017432350945</v>
      </c>
      <c r="R534" s="67">
        <f>'Inputs_NT INM'!X413</f>
        <v>1</v>
      </c>
      <c r="S534" s="67">
        <f>'Inputs_NT INM'!Y413</f>
        <v>0.71554349421116903</v>
      </c>
      <c r="T534" s="67">
        <f>'Inputs_NT INM'!Z413</f>
        <v>0</v>
      </c>
      <c r="U534" s="67">
        <f>'Inputs_NT INM'!AA413</f>
        <v>3.0780185845938727E-2</v>
      </c>
      <c r="V534" s="67">
        <f>'Inputs_NT INM'!AB413</f>
        <v>0.17276425858375916</v>
      </c>
      <c r="W534" s="67">
        <f>'Inputs_NT INM'!AC413</f>
        <v>0.17276425858375916</v>
      </c>
      <c r="X534" s="67">
        <f>'Inputs_NT INM'!AD413</f>
        <v>0</v>
      </c>
      <c r="Y534" s="67">
        <f>'Inputs_NT INM'!AE413</f>
        <v>0</v>
      </c>
      <c r="Z534" s="67">
        <f>'Inputs_NT INM'!AF413</f>
        <v>0</v>
      </c>
      <c r="AA534" s="67">
        <f>'Inputs_NT INM'!AG413</f>
        <v>0.38304017432350945</v>
      </c>
      <c r="AB534" s="67">
        <f>'Inputs_NT INM'!AH413</f>
        <v>1</v>
      </c>
      <c r="AC534" s="67">
        <f>'Inputs_NT INM'!AI413</f>
        <v>0</v>
      </c>
      <c r="AD534" s="67">
        <f>'Inputs_NT INM'!AJ413</f>
        <v>0</v>
      </c>
      <c r="AE534" s="67">
        <f>'Inputs_NT INM'!AK413</f>
        <v>0</v>
      </c>
      <c r="AF534" s="67">
        <f>'Inputs_NT INM'!AL413</f>
        <v>8.7634315251595169E-3</v>
      </c>
      <c r="AG534" s="67">
        <f>'Inputs_NT INM'!AM413</f>
        <v>3.639983903838837E-3</v>
      </c>
      <c r="AH534" s="67">
        <f>'Inputs_NT INM'!AN413</f>
        <v>0</v>
      </c>
      <c r="AI534" s="67"/>
      <c r="AJ534" s="67"/>
      <c r="AK534" s="67"/>
    </row>
    <row r="535" spans="1:37" x14ac:dyDescent="0.25">
      <c r="A535" s="76" t="str">
        <f>IF(OR(SUM('Inputs_NT INM'!M414:AI414)=0,COUNTIF($A$21:$A$60,'Inputs_NT INM'!D414)=0),"*","I"&amp;"-"&amp;'INM_New Techs'!$B$3&amp;"-"&amp;'Inputs_NT INM'!B414&amp;"_"&amp;'Inputs_NT INM'!I414&amp;IF('Inputs_NT INM'!C414="Ordinary","01",IF('Inputs_NT INM'!C414="Improved","02","03")))</f>
        <v>I-NM-HTH_OIL03</v>
      </c>
      <c r="B535" s="9" t="s">
        <v>119</v>
      </c>
      <c r="C535" s="9" t="s">
        <v>332</v>
      </c>
      <c r="D535" s="61" t="s">
        <v>907</v>
      </c>
      <c r="F535" s="61" t="s">
        <v>460</v>
      </c>
      <c r="G535" s="67">
        <f>'Inputs_NT INM'!M414</f>
        <v>0</v>
      </c>
      <c r="H535" s="67">
        <f>'Inputs_NT INM'!N414</f>
        <v>0</v>
      </c>
      <c r="I535" s="67">
        <f>'Inputs_NT INM'!O414</f>
        <v>0</v>
      </c>
      <c r="J535" s="67">
        <f>'Inputs_NT INM'!P414</f>
        <v>0</v>
      </c>
      <c r="K535" s="67">
        <f>'Inputs_NT INM'!Q414</f>
        <v>0</v>
      </c>
      <c r="L535" s="67">
        <f>'Inputs_NT INM'!R414</f>
        <v>0</v>
      </c>
      <c r="M535" s="67">
        <f>'Inputs_NT INM'!S414</f>
        <v>2.2445118051093215E-3</v>
      </c>
      <c r="N535" s="67">
        <f>'Inputs_NT INM'!T414</f>
        <v>0</v>
      </c>
      <c r="O535" s="67">
        <f>'Inputs_NT INM'!U414</f>
        <v>1.4178549549792527E-3</v>
      </c>
      <c r="P535" s="67">
        <f>'Inputs_NT INM'!V414</f>
        <v>0</v>
      </c>
      <c r="Q535" s="67">
        <f>'Inputs_NT INM'!W414</f>
        <v>0</v>
      </c>
      <c r="R535" s="67">
        <f>'Inputs_NT INM'!X414</f>
        <v>0</v>
      </c>
      <c r="S535" s="67">
        <f>'Inputs_NT INM'!Y414</f>
        <v>0</v>
      </c>
      <c r="T535" s="67">
        <f>'Inputs_NT INM'!Z414</f>
        <v>0</v>
      </c>
      <c r="U535" s="67">
        <f>'Inputs_NT INM'!AA414</f>
        <v>3.9824292213258897E-5</v>
      </c>
      <c r="V535" s="67">
        <f>'Inputs_NT INM'!AB414</f>
        <v>1.9457988548694544E-3</v>
      </c>
      <c r="W535" s="67">
        <f>'Inputs_NT INM'!AC414</f>
        <v>1.9457988548694544E-3</v>
      </c>
      <c r="X535" s="67">
        <f>'Inputs_NT INM'!AD414</f>
        <v>0</v>
      </c>
      <c r="Y535" s="67">
        <f>'Inputs_NT INM'!AE414</f>
        <v>0</v>
      </c>
      <c r="Z535" s="67">
        <f>'Inputs_NT INM'!AF414</f>
        <v>0</v>
      </c>
      <c r="AA535" s="67">
        <f>'Inputs_NT INM'!AG414</f>
        <v>0</v>
      </c>
      <c r="AB535" s="67">
        <f>'Inputs_NT INM'!AH414</f>
        <v>0</v>
      </c>
      <c r="AC535" s="67">
        <f>'Inputs_NT INM'!AI414</f>
        <v>0</v>
      </c>
      <c r="AD535" s="67">
        <f>'Inputs_NT INM'!AJ414</f>
        <v>0</v>
      </c>
      <c r="AE535" s="67">
        <f>'Inputs_NT INM'!AK414</f>
        <v>0</v>
      </c>
      <c r="AF535" s="67">
        <f>'Inputs_NT INM'!AL414</f>
        <v>0</v>
      </c>
      <c r="AG535" s="67">
        <f>'Inputs_NT INM'!AM414</f>
        <v>0</v>
      </c>
      <c r="AH535" s="67">
        <f>'Inputs_NT INM'!AN414</f>
        <v>1.045587258173373E-2</v>
      </c>
      <c r="AI535" s="67"/>
      <c r="AJ535" s="67"/>
      <c r="AK535" s="67"/>
    </row>
    <row r="536" spans="1:37" x14ac:dyDescent="0.25">
      <c r="A536" s="76" t="str">
        <f>IF(OR(SUM('Inputs_NT INM'!M415:AI415)=0,COUNTIF($A$21:$A$60,'Inputs_NT INM'!D415)=0),"*","I"&amp;"-"&amp;'INM_New Techs'!$B$3&amp;"-"&amp;'Inputs_NT INM'!B415&amp;"_"&amp;'Inputs_NT INM'!I415&amp;IF('Inputs_NT INM'!C415="Ordinary","01",IF('Inputs_NT INM'!C415="Improved","02","03")))</f>
        <v>I-NM-HTH_GAS03</v>
      </c>
      <c r="B536" s="9" t="s">
        <v>115</v>
      </c>
      <c r="C536" s="9" t="s">
        <v>332</v>
      </c>
      <c r="D536" s="61" t="s">
        <v>907</v>
      </c>
      <c r="F536" s="61" t="s">
        <v>460</v>
      </c>
      <c r="G536" s="67">
        <f>'Inputs_NT INM'!M415</f>
        <v>0</v>
      </c>
      <c r="H536" s="67">
        <f>'Inputs_NT INM'!N415</f>
        <v>0</v>
      </c>
      <c r="I536" s="67">
        <f>'Inputs_NT INM'!O415</f>
        <v>0</v>
      </c>
      <c r="J536" s="67">
        <f>'Inputs_NT INM'!P415</f>
        <v>0</v>
      </c>
      <c r="K536" s="67">
        <f>'Inputs_NT INM'!Q415</f>
        <v>3.78048399022601E-3</v>
      </c>
      <c r="L536" s="67">
        <f>'Inputs_NT INM'!R415</f>
        <v>0</v>
      </c>
      <c r="M536" s="67">
        <f>'Inputs_NT INM'!S415</f>
        <v>0</v>
      </c>
      <c r="N536" s="67">
        <f>'Inputs_NT INM'!T415</f>
        <v>0</v>
      </c>
      <c r="O536" s="67">
        <f>'Inputs_NT INM'!U415</f>
        <v>0</v>
      </c>
      <c r="P536" s="67">
        <f>'Inputs_NT INM'!V415</f>
        <v>0</v>
      </c>
      <c r="Q536" s="67">
        <f>'Inputs_NT INM'!W415</f>
        <v>0</v>
      </c>
      <c r="R536" s="67">
        <f>'Inputs_NT INM'!X415</f>
        <v>0</v>
      </c>
      <c r="S536" s="67">
        <f>'Inputs_NT INM'!Y415</f>
        <v>0</v>
      </c>
      <c r="T536" s="67">
        <f>'Inputs_NT INM'!Z415</f>
        <v>0</v>
      </c>
      <c r="U536" s="67">
        <f>'Inputs_NT INM'!AA415</f>
        <v>3.0120781616915809E-4</v>
      </c>
      <c r="V536" s="67">
        <f>'Inputs_NT INM'!AB415</f>
        <v>9.7520092465061276E-4</v>
      </c>
      <c r="W536" s="67">
        <f>'Inputs_NT INM'!AC415</f>
        <v>9.7520092465061276E-4</v>
      </c>
      <c r="X536" s="67">
        <f>'Inputs_NT INM'!AD415</f>
        <v>0</v>
      </c>
      <c r="Y536" s="67">
        <f>'Inputs_NT INM'!AE415</f>
        <v>0</v>
      </c>
      <c r="Z536" s="67">
        <f>'Inputs_NT INM'!AF415</f>
        <v>0</v>
      </c>
      <c r="AA536" s="67">
        <f>'Inputs_NT INM'!AG415</f>
        <v>0</v>
      </c>
      <c r="AB536" s="67">
        <f>'Inputs_NT INM'!AH415</f>
        <v>0</v>
      </c>
      <c r="AC536" s="67">
        <f>'Inputs_NT INM'!AI415</f>
        <v>0</v>
      </c>
      <c r="AD536" s="67">
        <f>'Inputs_NT INM'!AJ415</f>
        <v>0</v>
      </c>
      <c r="AE536" s="67">
        <f>'Inputs_NT INM'!AK415</f>
        <v>0</v>
      </c>
      <c r="AF536" s="67">
        <f>'Inputs_NT INM'!AL415</f>
        <v>0</v>
      </c>
      <c r="AG536" s="67">
        <f>'Inputs_NT INM'!AM415</f>
        <v>0</v>
      </c>
      <c r="AH536" s="67">
        <f>'Inputs_NT INM'!AN415</f>
        <v>0</v>
      </c>
      <c r="AI536" s="67"/>
      <c r="AJ536" s="67"/>
      <c r="AK536" s="67"/>
    </row>
    <row r="537" spans="1:37" x14ac:dyDescent="0.25">
      <c r="A537" s="76" t="str">
        <f>IF(OR(SUM('Inputs_NT INM'!M416:AI416)=0,COUNTIF($A$21:$A$60,'Inputs_NT INM'!D416)=0),"*","I"&amp;"-"&amp;'INM_New Techs'!$B$3&amp;"-"&amp;'Inputs_NT INM'!B416&amp;"_"&amp;'Inputs_NT INM'!I416&amp;IF('Inputs_NT INM'!C416="Ordinary","01",IF('Inputs_NT INM'!C416="Improved","02","03")))</f>
        <v>I-NM-HTH_BIO03</v>
      </c>
      <c r="B537" s="9" t="s">
        <v>139</v>
      </c>
      <c r="C537" s="9" t="s">
        <v>332</v>
      </c>
      <c r="D537" s="61" t="s">
        <v>907</v>
      </c>
      <c r="F537" s="61" t="s">
        <v>460</v>
      </c>
      <c r="G537" s="67">
        <f>'Inputs_NT INM'!M416</f>
        <v>0</v>
      </c>
      <c r="H537" s="67">
        <f>'Inputs_NT INM'!N416</f>
        <v>0.77536479586936136</v>
      </c>
      <c r="I537" s="67">
        <f>'Inputs_NT INM'!O416</f>
        <v>0.15455783322282335</v>
      </c>
      <c r="J537" s="67">
        <f>'Inputs_NT INM'!P416</f>
        <v>0</v>
      </c>
      <c r="K537" s="67">
        <f>'Inputs_NT INM'!Q416</f>
        <v>0</v>
      </c>
      <c r="L537" s="67">
        <f>'Inputs_NT INM'!R416</f>
        <v>0</v>
      </c>
      <c r="M537" s="67">
        <f>'Inputs_NT INM'!S416</f>
        <v>0</v>
      </c>
      <c r="N537" s="67">
        <f>'Inputs_NT INM'!T416</f>
        <v>0</v>
      </c>
      <c r="O537" s="67">
        <f>'Inputs_NT INM'!U416</f>
        <v>0</v>
      </c>
      <c r="P537" s="67">
        <f>'Inputs_NT INM'!V416</f>
        <v>0</v>
      </c>
      <c r="Q537" s="67">
        <f>'Inputs_NT INM'!W416</f>
        <v>0.61695982567649055</v>
      </c>
      <c r="R537" s="67">
        <f>'Inputs_NT INM'!X416</f>
        <v>0</v>
      </c>
      <c r="S537" s="67">
        <f>'Inputs_NT INM'!Y416</f>
        <v>0.28445650578883097</v>
      </c>
      <c r="T537" s="67">
        <f>'Inputs_NT INM'!Z416</f>
        <v>1</v>
      </c>
      <c r="U537" s="67">
        <f>'Inputs_NT INM'!AA416</f>
        <v>0.96921981415406133</v>
      </c>
      <c r="V537" s="67">
        <f>'Inputs_NT INM'!AB416</f>
        <v>0.8272357414162409</v>
      </c>
      <c r="W537" s="67">
        <f>'Inputs_NT INM'!AC416</f>
        <v>0.8272357414162409</v>
      </c>
      <c r="X537" s="67">
        <f>'Inputs_NT INM'!AD416</f>
        <v>0</v>
      </c>
      <c r="Y537" s="67">
        <f>'Inputs_NT INM'!AE416</f>
        <v>0</v>
      </c>
      <c r="Z537" s="67">
        <f>'Inputs_NT INM'!AF416</f>
        <v>1</v>
      </c>
      <c r="AA537" s="67">
        <f>'Inputs_NT INM'!AG416</f>
        <v>0.61695982567649055</v>
      </c>
      <c r="AB537" s="67">
        <f>'Inputs_NT INM'!AH416</f>
        <v>0</v>
      </c>
      <c r="AC537" s="67">
        <f>'Inputs_NT INM'!AI416</f>
        <v>0</v>
      </c>
      <c r="AD537" s="67">
        <f>'Inputs_NT INM'!AJ416</f>
        <v>0</v>
      </c>
      <c r="AE537" s="67">
        <f>'Inputs_NT INM'!AK416</f>
        <v>0</v>
      </c>
      <c r="AF537" s="67">
        <f>'Inputs_NT INM'!AL416</f>
        <v>0.99123656847484043</v>
      </c>
      <c r="AG537" s="67">
        <f>'Inputs_NT INM'!AM416</f>
        <v>0.99636001609616121</v>
      </c>
      <c r="AH537" s="67">
        <f>'Inputs_NT INM'!AN416</f>
        <v>1</v>
      </c>
      <c r="AI537" s="67"/>
      <c r="AJ537" s="67"/>
      <c r="AK537" s="67"/>
    </row>
    <row r="538" spans="1:37" x14ac:dyDescent="0.25">
      <c r="A538" s="76" t="str">
        <f>IF(OR(SUM('Inputs_NT INM'!M417:AI417)=0,COUNTIF($A$21:$A$60,'Inputs_NT INM'!D417)=0),"*","I"&amp;"-"&amp;'INM_New Techs'!$B$3&amp;"-"&amp;'Inputs_NT INM'!B417&amp;"_"&amp;'Inputs_NT INM'!I417&amp;IF('Inputs_NT INM'!C417="Ordinary","01",IF('Inputs_NT INM'!C417="Improved","02","03")))</f>
        <v>I-NM-HTH_HET03</v>
      </c>
      <c r="B538" s="9" t="s">
        <v>1701</v>
      </c>
      <c r="C538" s="9" t="s">
        <v>332</v>
      </c>
      <c r="D538" s="61" t="s">
        <v>907</v>
      </c>
      <c r="F538" s="61" t="s">
        <v>460</v>
      </c>
      <c r="G538" s="67">
        <f>'Inputs_NT INM'!M417</f>
        <v>0</v>
      </c>
      <c r="H538" s="67">
        <f>'Inputs_NT INM'!N417</f>
        <v>0</v>
      </c>
      <c r="I538" s="67">
        <f>'Inputs_NT INM'!O417</f>
        <v>0</v>
      </c>
      <c r="J538" s="67">
        <f>'Inputs_NT INM'!P417</f>
        <v>0</v>
      </c>
      <c r="K538" s="67">
        <f>'Inputs_NT INM'!Q417</f>
        <v>0</v>
      </c>
      <c r="L538" s="67">
        <f>'Inputs_NT INM'!R417</f>
        <v>0</v>
      </c>
      <c r="M538" s="67">
        <f>'Inputs_NT INM'!S417</f>
        <v>0</v>
      </c>
      <c r="N538" s="67">
        <f>'Inputs_NT INM'!T417</f>
        <v>0</v>
      </c>
      <c r="O538" s="67">
        <f>'Inputs_NT INM'!U417</f>
        <v>0</v>
      </c>
      <c r="P538" s="67">
        <f>'Inputs_NT INM'!V417</f>
        <v>0</v>
      </c>
      <c r="Q538" s="67">
        <f>'Inputs_NT INM'!W417</f>
        <v>0</v>
      </c>
      <c r="R538" s="67">
        <f>'Inputs_NT INM'!X417</f>
        <v>0</v>
      </c>
      <c r="S538" s="67">
        <f>'Inputs_NT INM'!Y417</f>
        <v>0</v>
      </c>
      <c r="T538" s="67">
        <f>'Inputs_NT INM'!Z417</f>
        <v>0</v>
      </c>
      <c r="U538" s="67">
        <f>'Inputs_NT INM'!AA417</f>
        <v>3.5993702901677342E-3</v>
      </c>
      <c r="V538" s="67">
        <f>'Inputs_NT INM'!AB417</f>
        <v>0</v>
      </c>
      <c r="W538" s="67">
        <f>'Inputs_NT INM'!AC417</f>
        <v>0</v>
      </c>
      <c r="X538" s="67">
        <f>'Inputs_NT INM'!AD417</f>
        <v>0</v>
      </c>
      <c r="Y538" s="67">
        <f>'Inputs_NT INM'!AE417</f>
        <v>0</v>
      </c>
      <c r="Z538" s="67">
        <f>'Inputs_NT INM'!AF417</f>
        <v>0</v>
      </c>
      <c r="AA538" s="67">
        <f>'Inputs_NT INM'!AG417</f>
        <v>0</v>
      </c>
      <c r="AB538" s="67">
        <f>'Inputs_NT INM'!AH417</f>
        <v>0</v>
      </c>
      <c r="AC538" s="67">
        <f>'Inputs_NT INM'!AI417</f>
        <v>0</v>
      </c>
      <c r="AD538" s="67">
        <f>'Inputs_NT INM'!AJ417</f>
        <v>0</v>
      </c>
      <c r="AE538" s="67">
        <f>'Inputs_NT INM'!AK417</f>
        <v>0</v>
      </c>
      <c r="AF538" s="67">
        <f>'Inputs_NT INM'!AL417</f>
        <v>0</v>
      </c>
      <c r="AG538" s="67">
        <f>'Inputs_NT INM'!AM417</f>
        <v>0</v>
      </c>
      <c r="AH538" s="67">
        <f>'Inputs_NT INM'!AN417</f>
        <v>0</v>
      </c>
      <c r="AI538" s="67"/>
      <c r="AJ538" s="67"/>
      <c r="AK538" s="67"/>
    </row>
    <row r="539" spans="1:37" x14ac:dyDescent="0.25">
      <c r="A539" s="76" t="str">
        <f>IF(OR(SUM('Inputs_NT INM'!M418:AI418)=0,COUNTIF($A$21:$A$60,'Inputs_NT INM'!D418)=0),"*","I"&amp;"-"&amp;'INM_New Techs'!$B$3&amp;"-"&amp;'Inputs_NT INM'!B418&amp;"_"&amp;'Inputs_NT INM'!I418&amp;IF('Inputs_NT INM'!C418="Ordinary","01",IF('Inputs_NT INM'!C418="Improved","02","03")))</f>
        <v>*</v>
      </c>
      <c r="B539" s="9" t="s">
        <v>558</v>
      </c>
      <c r="C539" s="9" t="s">
        <v>332</v>
      </c>
      <c r="D539" s="61" t="s">
        <v>907</v>
      </c>
      <c r="F539" s="61" t="s">
        <v>460</v>
      </c>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row>
    <row r="540" spans="1:37" x14ac:dyDescent="0.25">
      <c r="A540" s="76" t="str">
        <f>IF(OR(SUM('Inputs_NT INM'!M419:AI419)=0,COUNTIF($A$21:$A$60,'Inputs_NT INM'!D419)=0),"*","I"&amp;"-"&amp;'INM_New Techs'!$B$3&amp;"-"&amp;'Inputs_NT INM'!B419&amp;"_"&amp;'Inputs_NT INM'!I419&amp;IF('Inputs_NT INM'!C419="Ordinary","01",IF('Inputs_NT INM'!C419="Improved","02","03")))</f>
        <v>*</v>
      </c>
      <c r="B540" s="9" t="s">
        <v>558</v>
      </c>
      <c r="C540" s="9" t="s">
        <v>332</v>
      </c>
      <c r="D540" s="61" t="s">
        <v>907</v>
      </c>
      <c r="F540" s="61" t="s">
        <v>460</v>
      </c>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row>
    <row r="541" spans="1:37" x14ac:dyDescent="0.25">
      <c r="A541" s="76" t="str">
        <f>IF(OR(SUM('Inputs_NT INM'!M420:AI420)=0,COUNTIF($A$21:$A$60,'Inputs_NT INM'!D420)=0),"*","I"&amp;"-"&amp;'INM_New Techs'!$B$3&amp;"-"&amp;'Inputs_NT INM'!B420&amp;"_"&amp;'Inputs_NT INM'!I420&amp;IF('Inputs_NT INM'!C420="Ordinary","01",IF('Inputs_NT INM'!C420="Improved","02","03")))</f>
        <v>I-NM-HTH_HET03</v>
      </c>
      <c r="B541" s="9" t="s">
        <v>130</v>
      </c>
      <c r="C541" s="9" t="s">
        <v>332</v>
      </c>
      <c r="D541" s="61" t="s">
        <v>907</v>
      </c>
      <c r="F541" s="61" t="s">
        <v>460</v>
      </c>
      <c r="G541" s="67">
        <f>'Inputs_NT INM'!M420</f>
        <v>0</v>
      </c>
      <c r="H541" s="67">
        <f>'Inputs_NT INM'!N420</f>
        <v>0</v>
      </c>
      <c r="I541" s="67">
        <f>'Inputs_NT INM'!O420</f>
        <v>0</v>
      </c>
      <c r="J541" s="67">
        <f>'Inputs_NT INM'!P420</f>
        <v>0</v>
      </c>
      <c r="K541" s="67">
        <f>'Inputs_NT INM'!Q420</f>
        <v>0</v>
      </c>
      <c r="L541" s="67">
        <f>'Inputs_NT INM'!R420</f>
        <v>1</v>
      </c>
      <c r="M541" s="67">
        <f>'Inputs_NT INM'!S420</f>
        <v>0</v>
      </c>
      <c r="N541" s="67">
        <f>'Inputs_NT INM'!T420</f>
        <v>0</v>
      </c>
      <c r="O541" s="67">
        <f>'Inputs_NT INM'!U420</f>
        <v>0</v>
      </c>
      <c r="P541" s="67">
        <f>'Inputs_NT INM'!V420</f>
        <v>0</v>
      </c>
      <c r="Q541" s="67">
        <f>'Inputs_NT INM'!W420</f>
        <v>0</v>
      </c>
      <c r="R541" s="67">
        <f>'Inputs_NT INM'!X420</f>
        <v>0</v>
      </c>
      <c r="S541" s="67">
        <f>'Inputs_NT INM'!Y420</f>
        <v>1</v>
      </c>
      <c r="T541" s="67">
        <f>'Inputs_NT INM'!Z420</f>
        <v>0</v>
      </c>
      <c r="U541" s="67">
        <f>'Inputs_NT INM'!AA420</f>
        <v>0.99640062970983223</v>
      </c>
      <c r="V541" s="67">
        <f>'Inputs_NT INM'!AB420</f>
        <v>1</v>
      </c>
      <c r="W541" s="67">
        <f>'Inputs_NT INM'!AC420</f>
        <v>1</v>
      </c>
      <c r="X541" s="67">
        <f>'Inputs_NT INM'!AD420</f>
        <v>0</v>
      </c>
      <c r="Y541" s="67">
        <f>'Inputs_NT INM'!AE420</f>
        <v>0</v>
      </c>
      <c r="Z541" s="67">
        <f>'Inputs_NT INM'!AF420</f>
        <v>0</v>
      </c>
      <c r="AA541" s="67">
        <f>'Inputs_NT INM'!AG420</f>
        <v>0</v>
      </c>
      <c r="AB541" s="67">
        <f>'Inputs_NT INM'!AH420</f>
        <v>1</v>
      </c>
      <c r="AC541" s="67">
        <f>'Inputs_NT INM'!AI420</f>
        <v>0</v>
      </c>
      <c r="AD541" s="67">
        <f>'Inputs_NT INM'!AJ420</f>
        <v>0</v>
      </c>
      <c r="AE541" s="67">
        <f>'Inputs_NT INM'!AK420</f>
        <v>0</v>
      </c>
      <c r="AF541" s="67">
        <f>'Inputs_NT INM'!AL420</f>
        <v>1</v>
      </c>
      <c r="AG541" s="67">
        <f>'Inputs_NT INM'!AM420</f>
        <v>1</v>
      </c>
      <c r="AH541" s="67">
        <f>'Inputs_NT INM'!AN420</f>
        <v>1</v>
      </c>
      <c r="AI541" s="67"/>
      <c r="AJ541" s="67"/>
      <c r="AK541" s="67"/>
    </row>
    <row r="542" spans="1:37" x14ac:dyDescent="0.25">
      <c r="A542" s="76" t="str">
        <f>IF(OR(SUM('Inputs_NT INM'!M421:AI421)=0,COUNTIF($A$21:$A$60,'Inputs_NT INM'!D421)=0),"*","I"&amp;"-"&amp;'INM_New Techs'!$B$3&amp;"-"&amp;'Inputs_NT INM'!B421&amp;"_"&amp;'Inputs_NT INM'!I421&amp;IF('Inputs_NT INM'!C421="Ordinary","01",IF('Inputs_NT INM'!C421="Improved","02","03")))</f>
        <v>I-NM-HTH_GAS03</v>
      </c>
      <c r="B542" s="9" t="s">
        <v>132</v>
      </c>
      <c r="C542" s="9" t="s">
        <v>332</v>
      </c>
      <c r="D542" s="61" t="s">
        <v>907</v>
      </c>
      <c r="F542" s="61" t="s">
        <v>460</v>
      </c>
      <c r="G542" s="67">
        <f>'Inputs_NT INM'!M421</f>
        <v>0</v>
      </c>
      <c r="H542" s="67">
        <f>'Inputs_NT INM'!N421</f>
        <v>2.253002537937546E-2</v>
      </c>
      <c r="I542" s="67">
        <f>'Inputs_NT INM'!O421</f>
        <v>0</v>
      </c>
      <c r="J542" s="67">
        <f>'Inputs_NT INM'!P421</f>
        <v>0</v>
      </c>
      <c r="K542" s="67">
        <f>'Inputs_NT INM'!Q421</f>
        <v>7.8606816807532842E-2</v>
      </c>
      <c r="L542" s="67">
        <f>'Inputs_NT INM'!R421</f>
        <v>1.0885051020294327E-2</v>
      </c>
      <c r="M542" s="67">
        <f>'Inputs_NT INM'!S421</f>
        <v>0.13511663349361738</v>
      </c>
      <c r="N542" s="67">
        <f>'Inputs_NT INM'!T421</f>
        <v>0</v>
      </c>
      <c r="O542" s="67">
        <f>'Inputs_NT INM'!U421</f>
        <v>7.8481852777614242E-2</v>
      </c>
      <c r="P542" s="67">
        <f>'Inputs_NT INM'!V421</f>
        <v>0</v>
      </c>
      <c r="Q542" s="67">
        <f>'Inputs_NT INM'!W421</f>
        <v>1.9606305844928881E-2</v>
      </c>
      <c r="R542" s="67">
        <f>'Inputs_NT INM'!X421</f>
        <v>0.9976875048176983</v>
      </c>
      <c r="S542" s="67">
        <f>'Inputs_NT INM'!Y421</f>
        <v>2.3674341468874392E-2</v>
      </c>
      <c r="T542" s="67">
        <f>'Inputs_NT INM'!Z421</f>
        <v>0</v>
      </c>
      <c r="U542" s="67">
        <f>'Inputs_NT INM'!AA421</f>
        <v>8.7535227729794683E-3</v>
      </c>
      <c r="V542" s="67">
        <f>'Inputs_NT INM'!AB421</f>
        <v>2.2027979706591278E-2</v>
      </c>
      <c r="W542" s="67">
        <f>'Inputs_NT INM'!AC421</f>
        <v>2.2027979706591278E-2</v>
      </c>
      <c r="X542" s="67">
        <f>'Inputs_NT INM'!AD421</f>
        <v>0</v>
      </c>
      <c r="Y542" s="67">
        <f>'Inputs_NT INM'!AE421</f>
        <v>0</v>
      </c>
      <c r="Z542" s="67">
        <f>'Inputs_NT INM'!AF421</f>
        <v>0.17695693936118218</v>
      </c>
      <c r="AA542" s="67">
        <f>'Inputs_NT INM'!AG421</f>
        <v>1.9606305844928881E-2</v>
      </c>
      <c r="AB542" s="67">
        <f>'Inputs_NT INM'!AH421</f>
        <v>1.0885051020294327E-2</v>
      </c>
      <c r="AC542" s="67">
        <f>'Inputs_NT INM'!AI421</f>
        <v>0</v>
      </c>
      <c r="AD542" s="67">
        <f>'Inputs_NT INM'!AJ421</f>
        <v>2.7756979700719604E-3</v>
      </c>
      <c r="AE542" s="67">
        <f>'Inputs_NT INM'!AK421</f>
        <v>0</v>
      </c>
      <c r="AF542" s="67">
        <f>'Inputs_NT INM'!AL421</f>
        <v>2.5886103401703852E-3</v>
      </c>
      <c r="AG542" s="67">
        <f>'Inputs_NT INM'!AM421</f>
        <v>2.7241040649219072E-2</v>
      </c>
      <c r="AH542" s="67">
        <f>'Inputs_NT INM'!AN421</f>
        <v>4.256718669593383E-3</v>
      </c>
      <c r="AI542" s="67"/>
      <c r="AJ542" s="67"/>
      <c r="AK542" s="67"/>
    </row>
    <row r="543" spans="1:37" x14ac:dyDescent="0.25">
      <c r="A543" s="76" t="str">
        <f>IF(OR(SUM('Inputs_NT INM'!M422:AI422)=0,COUNTIF($A$21:$A$60,'Inputs_NT INM'!D422)=0),"*","I"&amp;"-"&amp;'INM_New Techs'!$B$3&amp;"-"&amp;'Inputs_NT INM'!B422&amp;"_"&amp;'Inputs_NT INM'!I422&amp;IF('Inputs_NT INM'!C422="Ordinary","01",IF('Inputs_NT INM'!C422="Improved","02","03")))</f>
        <v>I-NM-HTH_H2G03</v>
      </c>
      <c r="B543" s="9" t="s">
        <v>141</v>
      </c>
      <c r="C543" s="9" t="s">
        <v>332</v>
      </c>
      <c r="D543" s="61" t="s">
        <v>907</v>
      </c>
      <c r="F543" s="61" t="s">
        <v>460</v>
      </c>
      <c r="G543" s="67">
        <f>'Inputs_NT INM'!M422</f>
        <v>1</v>
      </c>
      <c r="H543" s="67">
        <f>'Inputs_NT INM'!N422</f>
        <v>1</v>
      </c>
      <c r="I543" s="67">
        <f>'Inputs_NT INM'!O422</f>
        <v>1</v>
      </c>
      <c r="J543" s="67">
        <f>'Inputs_NT INM'!P422</f>
        <v>1</v>
      </c>
      <c r="K543" s="67">
        <f>'Inputs_NT INM'!Q422</f>
        <v>1</v>
      </c>
      <c r="L543" s="67">
        <f>'Inputs_NT INM'!R422</f>
        <v>1</v>
      </c>
      <c r="M543" s="67">
        <f>'Inputs_NT INM'!S422</f>
        <v>1</v>
      </c>
      <c r="N543" s="67">
        <f>'Inputs_NT INM'!T422</f>
        <v>1</v>
      </c>
      <c r="O543" s="67">
        <f>'Inputs_NT INM'!U422</f>
        <v>1</v>
      </c>
      <c r="P543" s="67">
        <f>'Inputs_NT INM'!V422</f>
        <v>1</v>
      </c>
      <c r="Q543" s="67">
        <f>'Inputs_NT INM'!W422</f>
        <v>1</v>
      </c>
      <c r="R543" s="67">
        <f>'Inputs_NT INM'!X422</f>
        <v>1</v>
      </c>
      <c r="S543" s="67">
        <f>'Inputs_NT INM'!Y422</f>
        <v>1</v>
      </c>
      <c r="T543" s="67">
        <f>'Inputs_NT INM'!Z422</f>
        <v>1</v>
      </c>
      <c r="U543" s="67">
        <f>'Inputs_NT INM'!AA422</f>
        <v>1</v>
      </c>
      <c r="V543" s="67">
        <f>'Inputs_NT INM'!AB422</f>
        <v>1</v>
      </c>
      <c r="W543" s="67">
        <f>'Inputs_NT INM'!AC422</f>
        <v>1</v>
      </c>
      <c r="X543" s="67">
        <f>'Inputs_NT INM'!AD422</f>
        <v>1</v>
      </c>
      <c r="Y543" s="67">
        <f>'Inputs_NT INM'!AE422</f>
        <v>1</v>
      </c>
      <c r="Z543" s="67">
        <f>'Inputs_NT INM'!AF422</f>
        <v>1</v>
      </c>
      <c r="AA543" s="67">
        <f>'Inputs_NT INM'!AG422</f>
        <v>1</v>
      </c>
      <c r="AB543" s="67">
        <f>'Inputs_NT INM'!AH422</f>
        <v>1</v>
      </c>
      <c r="AC543" s="67">
        <f>'Inputs_NT INM'!AI422</f>
        <v>1</v>
      </c>
      <c r="AD543" s="67">
        <f>'Inputs_NT INM'!AJ422</f>
        <v>1</v>
      </c>
      <c r="AE543" s="67">
        <f>'Inputs_NT INM'!AK422</f>
        <v>1</v>
      </c>
      <c r="AF543" s="67">
        <f>'Inputs_NT INM'!AL422</f>
        <v>1</v>
      </c>
      <c r="AG543" s="67">
        <f>'Inputs_NT INM'!AM422</f>
        <v>1</v>
      </c>
      <c r="AH543" s="67">
        <f>'Inputs_NT INM'!AN422</f>
        <v>1</v>
      </c>
      <c r="AI543" s="67"/>
      <c r="AJ543" s="67"/>
      <c r="AK543" s="67"/>
    </row>
    <row r="544" spans="1:37" x14ac:dyDescent="0.25">
      <c r="A544" s="76" t="str">
        <f>IF(OR(SUM('Inputs_NT INM'!M423:AI423)=0,COUNTIF($A$21:$A$60,'Inputs_NT INM'!D423)=0),"*","I"&amp;"-"&amp;'INM_New Techs'!$B$3&amp;"-"&amp;'Inputs_NT INM'!B423&amp;"_"&amp;'Inputs_NT INM'!I423&amp;IF('Inputs_NT INM'!C423="Ordinary","01",IF('Inputs_NT INM'!C423="Improved","02","03")))</f>
        <v>I-NM-LTH_COA01</v>
      </c>
      <c r="B544" s="9" t="s">
        <v>120</v>
      </c>
      <c r="C544" s="9" t="s">
        <v>332</v>
      </c>
      <c r="D544" s="61" t="s">
        <v>907</v>
      </c>
      <c r="F544" s="61" t="s">
        <v>460</v>
      </c>
      <c r="G544" s="67">
        <f>'Inputs_NT INM'!M423</f>
        <v>1</v>
      </c>
      <c r="H544" s="67">
        <f>'Inputs_NT INM'!N423</f>
        <v>1</v>
      </c>
      <c r="I544" s="67">
        <f>'Inputs_NT INM'!O423</f>
        <v>1</v>
      </c>
      <c r="J544" s="67">
        <f>'Inputs_NT INM'!P423</f>
        <v>1</v>
      </c>
      <c r="K544" s="67">
        <f>'Inputs_NT INM'!Q423</f>
        <v>1</v>
      </c>
      <c r="L544" s="67">
        <f>'Inputs_NT INM'!R423</f>
        <v>1</v>
      </c>
      <c r="M544" s="67">
        <f>'Inputs_NT INM'!S423</f>
        <v>1</v>
      </c>
      <c r="N544" s="67">
        <f>'Inputs_NT INM'!T423</f>
        <v>1</v>
      </c>
      <c r="O544" s="67">
        <f>'Inputs_NT INM'!U423</f>
        <v>1</v>
      </c>
      <c r="P544" s="67">
        <f>'Inputs_NT INM'!V423</f>
        <v>1</v>
      </c>
      <c r="Q544" s="67">
        <f>'Inputs_NT INM'!W423</f>
        <v>1</v>
      </c>
      <c r="R544" s="67">
        <f>'Inputs_NT INM'!X423</f>
        <v>1</v>
      </c>
      <c r="S544" s="67">
        <f>'Inputs_NT INM'!Y423</f>
        <v>1</v>
      </c>
      <c r="T544" s="67">
        <f>'Inputs_NT INM'!Z423</f>
        <v>1</v>
      </c>
      <c r="U544" s="67">
        <f>'Inputs_NT INM'!AA423</f>
        <v>1</v>
      </c>
      <c r="V544" s="67">
        <f>'Inputs_NT INM'!AB423</f>
        <v>1</v>
      </c>
      <c r="W544" s="67">
        <f>'Inputs_NT INM'!AC423</f>
        <v>1</v>
      </c>
      <c r="X544" s="67">
        <f>'Inputs_NT INM'!AD423</f>
        <v>0</v>
      </c>
      <c r="Y544" s="67">
        <f>'Inputs_NT INM'!AE423</f>
        <v>0</v>
      </c>
      <c r="Z544" s="67">
        <f>'Inputs_NT INM'!AF423</f>
        <v>1</v>
      </c>
      <c r="AA544" s="67">
        <f>'Inputs_NT INM'!AG423</f>
        <v>1</v>
      </c>
      <c r="AB544" s="67">
        <f>'Inputs_NT INM'!AH423</f>
        <v>1</v>
      </c>
      <c r="AC544" s="67">
        <f>'Inputs_NT INM'!AI423</f>
        <v>1</v>
      </c>
      <c r="AD544" s="67">
        <f>'Inputs_NT INM'!AJ423</f>
        <v>1</v>
      </c>
      <c r="AE544" s="67">
        <f>'Inputs_NT INM'!AK423</f>
        <v>1</v>
      </c>
      <c r="AF544" s="67">
        <f>'Inputs_NT INM'!AL423</f>
        <v>1</v>
      </c>
      <c r="AG544" s="67">
        <f>'Inputs_NT INM'!AM423</f>
        <v>1</v>
      </c>
      <c r="AH544" s="67">
        <f>'Inputs_NT INM'!AN423</f>
        <v>1</v>
      </c>
      <c r="AI544" s="67"/>
      <c r="AJ544" s="67"/>
      <c r="AK544" s="67"/>
    </row>
    <row r="545" spans="1:37" x14ac:dyDescent="0.25">
      <c r="A545" s="76" t="str">
        <f>IF(OR(SUM('Inputs_NT INM'!M424:AI424)=0,COUNTIF($A$21:$A$60,'Inputs_NT INM'!D424)=0),"*","I"&amp;"-"&amp;'INM_New Techs'!$B$3&amp;"-"&amp;'Inputs_NT INM'!B424&amp;"_"&amp;'Inputs_NT INM'!I424&amp;IF('Inputs_NT INM'!C424="Ordinary","01",IF('Inputs_NT INM'!C424="Improved","02","03")))</f>
        <v>I-NM-LTH_GAS01</v>
      </c>
      <c r="B545" s="9" t="s">
        <v>128</v>
      </c>
      <c r="C545" s="9" t="s">
        <v>332</v>
      </c>
      <c r="D545" s="61" t="s">
        <v>907</v>
      </c>
      <c r="F545" s="61" t="s">
        <v>460</v>
      </c>
      <c r="G545" s="67">
        <f>'Inputs_NT INM'!M424</f>
        <v>0</v>
      </c>
      <c r="H545" s="67">
        <f>'Inputs_NT INM'!N424</f>
        <v>0.97746997462062457</v>
      </c>
      <c r="I545" s="67">
        <f>'Inputs_NT INM'!O424</f>
        <v>0</v>
      </c>
      <c r="J545" s="67">
        <f>'Inputs_NT INM'!P424</f>
        <v>1</v>
      </c>
      <c r="K545" s="67">
        <f>'Inputs_NT INM'!Q424</f>
        <v>0.91761269920224098</v>
      </c>
      <c r="L545" s="67">
        <f>'Inputs_NT INM'!R424</f>
        <v>0.98911494897970564</v>
      </c>
      <c r="M545" s="67">
        <f>'Inputs_NT INM'!S424</f>
        <v>0.86488336650638264</v>
      </c>
      <c r="N545" s="67">
        <f>'Inputs_NT INM'!T424</f>
        <v>1</v>
      </c>
      <c r="O545" s="67">
        <f>'Inputs_NT INM'!U424</f>
        <v>0.92151814722238579</v>
      </c>
      <c r="P545" s="67">
        <f>'Inputs_NT INM'!V424</f>
        <v>1</v>
      </c>
      <c r="Q545" s="67">
        <f>'Inputs_NT INM'!W424</f>
        <v>0.98039369415507116</v>
      </c>
      <c r="R545" s="67">
        <f>'Inputs_NT INM'!X424</f>
        <v>2.3124951823017036E-3</v>
      </c>
      <c r="S545" s="67">
        <f>'Inputs_NT INM'!Y424</f>
        <v>0.97632565853112563</v>
      </c>
      <c r="T545" s="67">
        <f>'Inputs_NT INM'!Z424</f>
        <v>1</v>
      </c>
      <c r="U545" s="67">
        <f>'Inputs_NT INM'!AA424</f>
        <v>0.99094526941085137</v>
      </c>
      <c r="V545" s="67">
        <f>'Inputs_NT INM'!AB424</f>
        <v>0.97699681936875804</v>
      </c>
      <c r="W545" s="67">
        <f>'Inputs_NT INM'!AC424</f>
        <v>0.97699681936875804</v>
      </c>
      <c r="X545" s="67">
        <f>'Inputs_NT INM'!AD424</f>
        <v>0</v>
      </c>
      <c r="Y545" s="67">
        <f>'Inputs_NT INM'!AE424</f>
        <v>0</v>
      </c>
      <c r="Z545" s="67">
        <f>'Inputs_NT INM'!AF424</f>
        <v>0.82304306063881782</v>
      </c>
      <c r="AA545" s="67">
        <f>'Inputs_NT INM'!AG424</f>
        <v>0.98039369415507116</v>
      </c>
      <c r="AB545" s="67">
        <f>'Inputs_NT INM'!AH424</f>
        <v>0.98911494897970564</v>
      </c>
      <c r="AC545" s="67">
        <f>'Inputs_NT INM'!AI424</f>
        <v>1</v>
      </c>
      <c r="AD545" s="67">
        <f>'Inputs_NT INM'!AJ424</f>
        <v>0.99722430202992807</v>
      </c>
      <c r="AE545" s="67">
        <f>'Inputs_NT INM'!AK424</f>
        <v>0</v>
      </c>
      <c r="AF545" s="67">
        <f>'Inputs_NT INM'!AL424</f>
        <v>0.99741138965982967</v>
      </c>
      <c r="AG545" s="67">
        <f>'Inputs_NT INM'!AM424</f>
        <v>0.97275895935078094</v>
      </c>
      <c r="AH545" s="67">
        <f>'Inputs_NT INM'!AN424</f>
        <v>0.99574328133040657</v>
      </c>
      <c r="AI545" s="67"/>
      <c r="AJ545" s="67"/>
      <c r="AK545" s="67"/>
    </row>
    <row r="546" spans="1:37" x14ac:dyDescent="0.25">
      <c r="A546" s="76" t="str">
        <f>IF(OR(SUM('Inputs_NT INM'!M425:AI425)=0,COUNTIF($A$21:$A$60,'Inputs_NT INM'!D425)=0),"*","I"&amp;"-"&amp;'INM_New Techs'!$B$3&amp;"-"&amp;'Inputs_NT INM'!B425&amp;"_"&amp;'Inputs_NT INM'!I425&amp;IF('Inputs_NT INM'!C425="Ordinary","01",IF('Inputs_NT INM'!C425="Improved","02","03")))</f>
        <v>I-NM-LTH_OIL01</v>
      </c>
      <c r="B546" s="9" t="s">
        <v>134</v>
      </c>
      <c r="C546" s="9" t="s">
        <v>332</v>
      </c>
      <c r="D546" s="61" t="s">
        <v>907</v>
      </c>
      <c r="F546" s="61" t="s">
        <v>460</v>
      </c>
      <c r="G546" s="67">
        <f>'Inputs_NT INM'!M425</f>
        <v>1</v>
      </c>
      <c r="H546" s="67">
        <f>'Inputs_NT INM'!N425</f>
        <v>1</v>
      </c>
      <c r="I546" s="67">
        <f>'Inputs_NT INM'!O425</f>
        <v>1</v>
      </c>
      <c r="J546" s="67">
        <f>'Inputs_NT INM'!P425</f>
        <v>1</v>
      </c>
      <c r="K546" s="67">
        <f>'Inputs_NT INM'!Q425</f>
        <v>1</v>
      </c>
      <c r="L546" s="67">
        <f>'Inputs_NT INM'!R425</f>
        <v>1</v>
      </c>
      <c r="M546" s="67">
        <f>'Inputs_NT INM'!S425</f>
        <v>0.99775548819489068</v>
      </c>
      <c r="N546" s="67">
        <f>'Inputs_NT INM'!T425</f>
        <v>1</v>
      </c>
      <c r="O546" s="67">
        <f>'Inputs_NT INM'!U425</f>
        <v>0.99858214504502074</v>
      </c>
      <c r="P546" s="67">
        <f>'Inputs_NT INM'!V425</f>
        <v>1</v>
      </c>
      <c r="Q546" s="67">
        <f>'Inputs_NT INM'!W425</f>
        <v>1</v>
      </c>
      <c r="R546" s="67">
        <f>'Inputs_NT INM'!X425</f>
        <v>1</v>
      </c>
      <c r="S546" s="67">
        <f>'Inputs_NT INM'!Y425</f>
        <v>1</v>
      </c>
      <c r="T546" s="67">
        <f>'Inputs_NT INM'!Z425</f>
        <v>1</v>
      </c>
      <c r="U546" s="67">
        <f>'Inputs_NT INM'!AA425</f>
        <v>0.99996017570778672</v>
      </c>
      <c r="V546" s="67">
        <f>'Inputs_NT INM'!AB425</f>
        <v>0.99805420114513055</v>
      </c>
      <c r="W546" s="67">
        <f>'Inputs_NT INM'!AC425</f>
        <v>0.99805420114513055</v>
      </c>
      <c r="X546" s="67">
        <f>'Inputs_NT INM'!AD425</f>
        <v>0</v>
      </c>
      <c r="Y546" s="67">
        <f>'Inputs_NT INM'!AE425</f>
        <v>0</v>
      </c>
      <c r="Z546" s="67">
        <f>'Inputs_NT INM'!AF425</f>
        <v>1</v>
      </c>
      <c r="AA546" s="67">
        <f>'Inputs_NT INM'!AG425</f>
        <v>1</v>
      </c>
      <c r="AB546" s="67">
        <f>'Inputs_NT INM'!AH425</f>
        <v>1</v>
      </c>
      <c r="AC546" s="67">
        <f>'Inputs_NT INM'!AI425</f>
        <v>1</v>
      </c>
      <c r="AD546" s="67">
        <f>'Inputs_NT INM'!AJ425</f>
        <v>1</v>
      </c>
      <c r="AE546" s="67">
        <f>'Inputs_NT INM'!AK425</f>
        <v>1</v>
      </c>
      <c r="AF546" s="67">
        <f>'Inputs_NT INM'!AL425</f>
        <v>1</v>
      </c>
      <c r="AG546" s="67">
        <f>'Inputs_NT INM'!AM425</f>
        <v>1</v>
      </c>
      <c r="AH546" s="67">
        <f>'Inputs_NT INM'!AN425</f>
        <v>0.98954412741826625</v>
      </c>
      <c r="AI546" s="67"/>
      <c r="AJ546" s="67"/>
      <c r="AK546" s="67"/>
    </row>
    <row r="547" spans="1:37" x14ac:dyDescent="0.25">
      <c r="A547" s="76" t="str">
        <f>IF(OR(SUM('Inputs_NT INM'!M426:AI426)=0,COUNTIF($A$21:$A$60,'Inputs_NT INM'!D426)=0),"*","I"&amp;"-"&amp;'INM_New Techs'!$B$3&amp;"-"&amp;'Inputs_NT INM'!B426&amp;"_"&amp;'Inputs_NT INM'!I426&amp;IF('Inputs_NT INM'!C426="Ordinary","01",IF('Inputs_NT INM'!C426="Improved","02","03")))</f>
        <v>*</v>
      </c>
      <c r="B547" s="9" t="s">
        <v>558</v>
      </c>
      <c r="C547" s="9" t="s">
        <v>332</v>
      </c>
      <c r="D547" s="61" t="s">
        <v>907</v>
      </c>
      <c r="F547" s="61" t="s">
        <v>460</v>
      </c>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row>
    <row r="548" spans="1:37" x14ac:dyDescent="0.25">
      <c r="A548" s="76" t="str">
        <f>IF(OR(SUM('Inputs_NT INM'!M427:AI427)=0,COUNTIF($A$21:$A$60,'Inputs_NT INM'!D427)=0),"*","I"&amp;"-"&amp;'INM_New Techs'!$B$3&amp;"-"&amp;'Inputs_NT INM'!B427&amp;"_"&amp;'Inputs_NT INM'!I427&amp;IF('Inputs_NT INM'!C427="Ordinary","01",IF('Inputs_NT INM'!C427="Improved","02","03")))</f>
        <v>I-NM-LTH_OIL01</v>
      </c>
      <c r="B548" s="9" t="s">
        <v>119</v>
      </c>
      <c r="C548" s="9" t="s">
        <v>332</v>
      </c>
      <c r="D548" s="61" t="s">
        <v>907</v>
      </c>
      <c r="F548" s="61" t="s">
        <v>460</v>
      </c>
      <c r="G548" s="67">
        <f>'Inputs_NT INM'!M427</f>
        <v>0</v>
      </c>
      <c r="H548" s="67">
        <f>'Inputs_NT INM'!N427</f>
        <v>0</v>
      </c>
      <c r="I548" s="67">
        <f>'Inputs_NT INM'!O427</f>
        <v>0</v>
      </c>
      <c r="J548" s="67">
        <f>'Inputs_NT INM'!P427</f>
        <v>0</v>
      </c>
      <c r="K548" s="67">
        <f>'Inputs_NT INM'!Q427</f>
        <v>0</v>
      </c>
      <c r="L548" s="67">
        <f>'Inputs_NT INM'!R427</f>
        <v>0</v>
      </c>
      <c r="M548" s="67">
        <f>'Inputs_NT INM'!S427</f>
        <v>2.244511805109321E-3</v>
      </c>
      <c r="N548" s="67">
        <f>'Inputs_NT INM'!T427</f>
        <v>0</v>
      </c>
      <c r="O548" s="67">
        <f>'Inputs_NT INM'!U427</f>
        <v>1.4178549549792524E-3</v>
      </c>
      <c r="P548" s="67">
        <f>'Inputs_NT INM'!V427</f>
        <v>0</v>
      </c>
      <c r="Q548" s="67">
        <f>'Inputs_NT INM'!W427</f>
        <v>0</v>
      </c>
      <c r="R548" s="67">
        <f>'Inputs_NT INM'!X427</f>
        <v>0</v>
      </c>
      <c r="S548" s="67">
        <f>'Inputs_NT INM'!Y427</f>
        <v>0</v>
      </c>
      <c r="T548" s="67">
        <f>'Inputs_NT INM'!Z427</f>
        <v>0</v>
      </c>
      <c r="U548" s="67">
        <f>'Inputs_NT INM'!AA427</f>
        <v>3.9824292213258897E-5</v>
      </c>
      <c r="V548" s="67">
        <f>'Inputs_NT INM'!AB427</f>
        <v>1.9457988548694542E-3</v>
      </c>
      <c r="W548" s="67">
        <f>'Inputs_NT INM'!AC427</f>
        <v>1.9457988548694542E-3</v>
      </c>
      <c r="X548" s="67">
        <f>'Inputs_NT INM'!AD427</f>
        <v>0</v>
      </c>
      <c r="Y548" s="67">
        <f>'Inputs_NT INM'!AE427</f>
        <v>0</v>
      </c>
      <c r="Z548" s="67">
        <f>'Inputs_NT INM'!AF427</f>
        <v>0</v>
      </c>
      <c r="AA548" s="67">
        <f>'Inputs_NT INM'!AG427</f>
        <v>0</v>
      </c>
      <c r="AB548" s="67">
        <f>'Inputs_NT INM'!AH427</f>
        <v>0</v>
      </c>
      <c r="AC548" s="67">
        <f>'Inputs_NT INM'!AI427</f>
        <v>0</v>
      </c>
      <c r="AD548" s="67">
        <f>'Inputs_NT INM'!AJ427</f>
        <v>0</v>
      </c>
      <c r="AE548" s="67">
        <f>'Inputs_NT INM'!AK427</f>
        <v>0</v>
      </c>
      <c r="AF548" s="67">
        <f>'Inputs_NT INM'!AL427</f>
        <v>0</v>
      </c>
      <c r="AG548" s="67">
        <f>'Inputs_NT INM'!AM427</f>
        <v>0</v>
      </c>
      <c r="AH548" s="67">
        <f>'Inputs_NT INM'!AN427</f>
        <v>1.045587258173373E-2</v>
      </c>
      <c r="AI548" s="67"/>
      <c r="AJ548" s="67"/>
      <c r="AK548" s="67"/>
    </row>
    <row r="549" spans="1:37" x14ac:dyDescent="0.25">
      <c r="A549" s="76" t="str">
        <f>IF(OR(SUM('Inputs_NT INM'!M428:AI428)=0,COUNTIF($A$21:$A$60,'Inputs_NT INM'!D428)=0),"*","I"&amp;"-"&amp;'INM_New Techs'!$B$3&amp;"-"&amp;'Inputs_NT INM'!B428&amp;"_"&amp;'Inputs_NT INM'!I428&amp;IF('Inputs_NT INM'!C428="Ordinary","01",IF('Inputs_NT INM'!C428="Improved","02","03")))</f>
        <v>I-NM-LTH_GAS01</v>
      </c>
      <c r="B549" s="9" t="s">
        <v>115</v>
      </c>
      <c r="C549" s="9" t="s">
        <v>332</v>
      </c>
      <c r="D549" s="61" t="s">
        <v>907</v>
      </c>
      <c r="F549" s="61" t="s">
        <v>460</v>
      </c>
      <c r="G549" s="67">
        <f>'Inputs_NT INM'!M428</f>
        <v>0</v>
      </c>
      <c r="H549" s="67">
        <f>'Inputs_NT INM'!N428</f>
        <v>0</v>
      </c>
      <c r="I549" s="67">
        <f>'Inputs_NT INM'!O428</f>
        <v>0</v>
      </c>
      <c r="J549" s="67">
        <f>'Inputs_NT INM'!P428</f>
        <v>0</v>
      </c>
      <c r="K549" s="67">
        <f>'Inputs_NT INM'!Q428</f>
        <v>3.7804839902260095E-3</v>
      </c>
      <c r="L549" s="67">
        <f>'Inputs_NT INM'!R428</f>
        <v>0</v>
      </c>
      <c r="M549" s="67">
        <f>'Inputs_NT INM'!S428</f>
        <v>0</v>
      </c>
      <c r="N549" s="67">
        <f>'Inputs_NT INM'!T428</f>
        <v>0</v>
      </c>
      <c r="O549" s="67">
        <f>'Inputs_NT INM'!U428</f>
        <v>0</v>
      </c>
      <c r="P549" s="67">
        <f>'Inputs_NT INM'!V428</f>
        <v>0</v>
      </c>
      <c r="Q549" s="67">
        <f>'Inputs_NT INM'!W428</f>
        <v>0</v>
      </c>
      <c r="R549" s="67">
        <f>'Inputs_NT INM'!X428</f>
        <v>0</v>
      </c>
      <c r="S549" s="67">
        <f>'Inputs_NT INM'!Y428</f>
        <v>0</v>
      </c>
      <c r="T549" s="67">
        <f>'Inputs_NT INM'!Z428</f>
        <v>0</v>
      </c>
      <c r="U549" s="67">
        <f>'Inputs_NT INM'!AA428</f>
        <v>3.0120781616915814E-4</v>
      </c>
      <c r="V549" s="67">
        <f>'Inputs_NT INM'!AB428</f>
        <v>9.7520092465061266E-4</v>
      </c>
      <c r="W549" s="67">
        <f>'Inputs_NT INM'!AC428</f>
        <v>9.7520092465061266E-4</v>
      </c>
      <c r="X549" s="67">
        <f>'Inputs_NT INM'!AD428</f>
        <v>0</v>
      </c>
      <c r="Y549" s="67">
        <f>'Inputs_NT INM'!AE428</f>
        <v>0</v>
      </c>
      <c r="Z549" s="67">
        <f>'Inputs_NT INM'!AF428</f>
        <v>0</v>
      </c>
      <c r="AA549" s="67">
        <f>'Inputs_NT INM'!AG428</f>
        <v>0</v>
      </c>
      <c r="AB549" s="67">
        <f>'Inputs_NT INM'!AH428</f>
        <v>0</v>
      </c>
      <c r="AC549" s="67">
        <f>'Inputs_NT INM'!AI428</f>
        <v>0</v>
      </c>
      <c r="AD549" s="67">
        <f>'Inputs_NT INM'!AJ428</f>
        <v>0</v>
      </c>
      <c r="AE549" s="67">
        <f>'Inputs_NT INM'!AK428</f>
        <v>0</v>
      </c>
      <c r="AF549" s="67">
        <f>'Inputs_NT INM'!AL428</f>
        <v>0</v>
      </c>
      <c r="AG549" s="67">
        <f>'Inputs_NT INM'!AM428</f>
        <v>0</v>
      </c>
      <c r="AH549" s="67">
        <f>'Inputs_NT INM'!AN428</f>
        <v>0</v>
      </c>
      <c r="AI549" s="67"/>
      <c r="AJ549" s="67"/>
      <c r="AK549" s="67"/>
    </row>
    <row r="550" spans="1:37" x14ac:dyDescent="0.25">
      <c r="A550" s="76" t="str">
        <f>IF(OR(SUM('Inputs_NT INM'!M429:AI429)=0,COUNTIF($A$21:$A$60,'Inputs_NT INM'!D429)=0),"*","I"&amp;"-"&amp;'INM_New Techs'!$B$3&amp;"-"&amp;'Inputs_NT INM'!B429&amp;"_"&amp;'Inputs_NT INM'!I429&amp;IF('Inputs_NT INM'!C429="Ordinary","01",IF('Inputs_NT INM'!C429="Improved","02","03")))</f>
        <v>*</v>
      </c>
      <c r="B550" s="9" t="s">
        <v>558</v>
      </c>
      <c r="C550" s="9" t="s">
        <v>332</v>
      </c>
      <c r="D550" s="61" t="s">
        <v>907</v>
      </c>
      <c r="F550" s="61" t="s">
        <v>460</v>
      </c>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row>
    <row r="551" spans="1:37" x14ac:dyDescent="0.25">
      <c r="A551" s="76" t="str">
        <f>IF(OR(SUM('Inputs_NT INM'!M430:AI430)=0,COUNTIF($A$21:$A$60,'Inputs_NT INM'!D430)=0),"*","I"&amp;"-"&amp;'INM_New Techs'!$B$3&amp;"-"&amp;'Inputs_NT INM'!B430&amp;"_"&amp;'Inputs_NT INM'!I430&amp;IF('Inputs_NT INM'!C430="Ordinary","01",IF('Inputs_NT INM'!C430="Improved","02","03")))</f>
        <v>*</v>
      </c>
      <c r="B551" s="9" t="s">
        <v>558</v>
      </c>
      <c r="C551" s="9" t="s">
        <v>332</v>
      </c>
      <c r="D551" s="61" t="s">
        <v>907</v>
      </c>
      <c r="F551" s="61" t="s">
        <v>460</v>
      </c>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c r="AI551" s="67"/>
      <c r="AJ551" s="67"/>
      <c r="AK551" s="67"/>
    </row>
    <row r="552" spans="1:37" x14ac:dyDescent="0.25">
      <c r="A552" s="76" t="str">
        <f>IF(OR(SUM('Inputs_NT INM'!M431:AI431)=0,COUNTIF($A$21:$A$60,'Inputs_NT INM'!D431)=0),"*","I"&amp;"-"&amp;'INM_New Techs'!$B$3&amp;"-"&amp;'Inputs_NT INM'!B431&amp;"_"&amp;'Inputs_NT INM'!I431&amp;IF('Inputs_NT INM'!C431="Ordinary","01",IF('Inputs_NT INM'!C431="Improved","02","03")))</f>
        <v>I-NM-LTH_ELC01</v>
      </c>
      <c r="B552" s="9" t="s">
        <v>137</v>
      </c>
      <c r="C552" s="9" t="s">
        <v>332</v>
      </c>
      <c r="D552" s="61" t="s">
        <v>907</v>
      </c>
      <c r="F552" s="61" t="s">
        <v>460</v>
      </c>
      <c r="G552" s="67">
        <f>'Inputs_NT INM'!M431</f>
        <v>0</v>
      </c>
      <c r="H552" s="67">
        <f>'Inputs_NT INM'!N431</f>
        <v>0</v>
      </c>
      <c r="I552" s="67">
        <f>'Inputs_NT INM'!O431</f>
        <v>0</v>
      </c>
      <c r="J552" s="67">
        <f>'Inputs_NT INM'!P431</f>
        <v>0</v>
      </c>
      <c r="K552" s="67">
        <f>'Inputs_NT INM'!Q431</f>
        <v>0</v>
      </c>
      <c r="L552" s="67">
        <f>'Inputs_NT INM'!R431</f>
        <v>0</v>
      </c>
      <c r="M552" s="67">
        <f>'Inputs_NT INM'!S431</f>
        <v>0</v>
      </c>
      <c r="N552" s="67">
        <f>'Inputs_NT INM'!T431</f>
        <v>0</v>
      </c>
      <c r="O552" s="67">
        <f>'Inputs_NT INM'!U431</f>
        <v>0</v>
      </c>
      <c r="P552" s="67">
        <f>'Inputs_NT INM'!V431</f>
        <v>0</v>
      </c>
      <c r="Q552" s="67">
        <f>'Inputs_NT INM'!W431</f>
        <v>0</v>
      </c>
      <c r="R552" s="67">
        <f>'Inputs_NT INM'!X431</f>
        <v>0</v>
      </c>
      <c r="S552" s="67">
        <f>'Inputs_NT INM'!Y431</f>
        <v>0</v>
      </c>
      <c r="T552" s="67">
        <f>'Inputs_NT INM'!Z431</f>
        <v>0</v>
      </c>
      <c r="U552" s="67">
        <f>'Inputs_NT INM'!AA431</f>
        <v>0</v>
      </c>
      <c r="V552" s="67">
        <f>'Inputs_NT INM'!AB431</f>
        <v>1.0565926842793377E-5</v>
      </c>
      <c r="W552" s="67">
        <f>'Inputs_NT INM'!AC431</f>
        <v>1.0565926842793377E-5</v>
      </c>
      <c r="X552" s="67">
        <f>'Inputs_NT INM'!AD431</f>
        <v>0</v>
      </c>
      <c r="Y552" s="67">
        <f>'Inputs_NT INM'!AE431</f>
        <v>0</v>
      </c>
      <c r="Z552" s="67">
        <f>'Inputs_NT INM'!AF431</f>
        <v>0</v>
      </c>
      <c r="AA552" s="67">
        <f>'Inputs_NT INM'!AG431</f>
        <v>0</v>
      </c>
      <c r="AB552" s="67">
        <f>'Inputs_NT INM'!AH431</f>
        <v>0</v>
      </c>
      <c r="AC552" s="67">
        <f>'Inputs_NT INM'!AI431</f>
        <v>0</v>
      </c>
      <c r="AD552" s="67">
        <f>'Inputs_NT INM'!AJ431</f>
        <v>0</v>
      </c>
      <c r="AE552" s="67">
        <f>'Inputs_NT INM'!AK431</f>
        <v>0</v>
      </c>
      <c r="AF552" s="67">
        <f>'Inputs_NT INM'!AL431</f>
        <v>0</v>
      </c>
      <c r="AG552" s="67">
        <f>'Inputs_NT INM'!AM431</f>
        <v>0</v>
      </c>
      <c r="AH552" s="67">
        <f>'Inputs_NT INM'!AN431</f>
        <v>0</v>
      </c>
      <c r="AI552" s="67"/>
      <c r="AJ552" s="67"/>
      <c r="AK552" s="67"/>
    </row>
    <row r="553" spans="1:37" x14ac:dyDescent="0.25">
      <c r="A553" s="76" t="str">
        <f>IF(OR(SUM('Inputs_NT INM'!M432:AI432)=0,COUNTIF($A$21:$A$60,'Inputs_NT INM'!D432)=0),"*","I"&amp;"-"&amp;'INM_New Techs'!$B$3&amp;"-"&amp;'Inputs_NT INM'!B432&amp;"_"&amp;'Inputs_NT INM'!I432&amp;IF('Inputs_NT INM'!C432="Ordinary","01",IF('Inputs_NT INM'!C432="Improved","02","03")))</f>
        <v>I-NM-LTH_ELC01</v>
      </c>
      <c r="B553" s="9" t="s">
        <v>126</v>
      </c>
      <c r="C553" s="9" t="s">
        <v>332</v>
      </c>
      <c r="D553" s="61" t="s">
        <v>907</v>
      </c>
      <c r="F553" s="61" t="s">
        <v>460</v>
      </c>
      <c r="G553" s="67">
        <f>'Inputs_NT INM'!M432</f>
        <v>0</v>
      </c>
      <c r="H553" s="67">
        <f>'Inputs_NT INM'!N432</f>
        <v>1</v>
      </c>
      <c r="I553" s="67">
        <f>'Inputs_NT INM'!O432</f>
        <v>1</v>
      </c>
      <c r="J553" s="67">
        <f>'Inputs_NT INM'!P432</f>
        <v>1</v>
      </c>
      <c r="K553" s="67">
        <f>'Inputs_NT INM'!Q432</f>
        <v>1</v>
      </c>
      <c r="L553" s="67">
        <f>'Inputs_NT INM'!R432</f>
        <v>1</v>
      </c>
      <c r="M553" s="67">
        <f>'Inputs_NT INM'!S432</f>
        <v>1</v>
      </c>
      <c r="N553" s="67">
        <f>'Inputs_NT INM'!T432</f>
        <v>0</v>
      </c>
      <c r="O553" s="67">
        <f>'Inputs_NT INM'!U432</f>
        <v>1</v>
      </c>
      <c r="P553" s="67">
        <f>'Inputs_NT INM'!V432</f>
        <v>1</v>
      </c>
      <c r="Q553" s="67">
        <f>'Inputs_NT INM'!W432</f>
        <v>1</v>
      </c>
      <c r="R553" s="67">
        <f>'Inputs_NT INM'!X432</f>
        <v>0</v>
      </c>
      <c r="S553" s="67">
        <f>'Inputs_NT INM'!Y432</f>
        <v>1</v>
      </c>
      <c r="T553" s="67">
        <f>'Inputs_NT INM'!Z432</f>
        <v>1</v>
      </c>
      <c r="U553" s="67">
        <f>'Inputs_NT INM'!AA432</f>
        <v>1</v>
      </c>
      <c r="V553" s="67">
        <f>'Inputs_NT INM'!AB432</f>
        <v>0.99998943407315721</v>
      </c>
      <c r="W553" s="67">
        <f>'Inputs_NT INM'!AC432</f>
        <v>0.99998943407315721</v>
      </c>
      <c r="X553" s="67">
        <f>'Inputs_NT INM'!AD432</f>
        <v>0</v>
      </c>
      <c r="Y553" s="67">
        <f>'Inputs_NT INM'!AE432</f>
        <v>0</v>
      </c>
      <c r="Z553" s="67">
        <f>'Inputs_NT INM'!AF432</f>
        <v>1</v>
      </c>
      <c r="AA553" s="67">
        <f>'Inputs_NT INM'!AG432</f>
        <v>1</v>
      </c>
      <c r="AB553" s="67">
        <f>'Inputs_NT INM'!AH432</f>
        <v>1</v>
      </c>
      <c r="AC553" s="67">
        <f>'Inputs_NT INM'!AI432</f>
        <v>1</v>
      </c>
      <c r="AD553" s="67">
        <f>'Inputs_NT INM'!AJ432</f>
        <v>1</v>
      </c>
      <c r="AE553" s="67">
        <f>'Inputs_NT INM'!AK432</f>
        <v>0</v>
      </c>
      <c r="AF553" s="67">
        <f>'Inputs_NT INM'!AL432</f>
        <v>1</v>
      </c>
      <c r="AG553" s="67">
        <f>'Inputs_NT INM'!AM432</f>
        <v>1</v>
      </c>
      <c r="AH553" s="67">
        <f>'Inputs_NT INM'!AN432</f>
        <v>1</v>
      </c>
      <c r="AI553" s="67"/>
      <c r="AJ553" s="67"/>
      <c r="AK553" s="67"/>
    </row>
    <row r="554" spans="1:37" x14ac:dyDescent="0.25">
      <c r="A554" s="76" t="str">
        <f>IF(OR(SUM('Inputs_NT INM'!M433:AI433)=0,COUNTIF($A$21:$A$60,'Inputs_NT INM'!D433)=0),"*","I"&amp;"-"&amp;'INM_New Techs'!$B$3&amp;"-"&amp;'Inputs_NT INM'!B433&amp;"_"&amp;'Inputs_NT INM'!I433&amp;IF('Inputs_NT INM'!C433="Ordinary","01",IF('Inputs_NT INM'!C433="Improved","02","03")))</f>
        <v>*</v>
      </c>
      <c r="B554" s="9" t="s">
        <v>558</v>
      </c>
      <c r="C554" s="9" t="s">
        <v>332</v>
      </c>
      <c r="D554" s="61" t="s">
        <v>907</v>
      </c>
      <c r="F554" s="61" t="s">
        <v>460</v>
      </c>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c r="AH554" s="67"/>
      <c r="AI554" s="67"/>
      <c r="AJ554" s="67"/>
      <c r="AK554" s="67"/>
    </row>
    <row r="555" spans="1:37" x14ac:dyDescent="0.25">
      <c r="A555" s="76" t="str">
        <f>IF(OR(SUM('Inputs_NT INM'!M434:AI434)=0,COUNTIF($A$21:$A$60,'Inputs_NT INM'!D434)=0),"*","I"&amp;"-"&amp;'INM_New Techs'!$B$3&amp;"-"&amp;'Inputs_NT INM'!B434&amp;"_"&amp;'Inputs_NT INM'!I434&amp;IF('Inputs_NT INM'!C434="Ordinary","01",IF('Inputs_NT INM'!C434="Improved","02","03")))</f>
        <v>I-NM-LTH_GAS01</v>
      </c>
      <c r="B555" s="9" t="s">
        <v>132</v>
      </c>
      <c r="C555" s="9" t="s">
        <v>332</v>
      </c>
      <c r="D555" s="61" t="s">
        <v>907</v>
      </c>
      <c r="F555" s="61" t="s">
        <v>460</v>
      </c>
      <c r="G555" s="67">
        <f>'Inputs_NT INM'!M434</f>
        <v>0</v>
      </c>
      <c r="H555" s="67">
        <f>'Inputs_NT INM'!N434</f>
        <v>2.253002537937546E-2</v>
      </c>
      <c r="I555" s="67">
        <f>'Inputs_NT INM'!O434</f>
        <v>0</v>
      </c>
      <c r="J555" s="67">
        <f>'Inputs_NT INM'!P434</f>
        <v>0</v>
      </c>
      <c r="K555" s="67">
        <f>'Inputs_NT INM'!Q434</f>
        <v>7.8606816807532842E-2</v>
      </c>
      <c r="L555" s="67">
        <f>'Inputs_NT INM'!R434</f>
        <v>1.0885051020294327E-2</v>
      </c>
      <c r="M555" s="67">
        <f>'Inputs_NT INM'!S434</f>
        <v>0.13511663349361738</v>
      </c>
      <c r="N555" s="67">
        <f>'Inputs_NT INM'!T434</f>
        <v>0</v>
      </c>
      <c r="O555" s="67">
        <f>'Inputs_NT INM'!U434</f>
        <v>7.8481852777614228E-2</v>
      </c>
      <c r="P555" s="67">
        <f>'Inputs_NT INM'!V434</f>
        <v>0</v>
      </c>
      <c r="Q555" s="67">
        <f>'Inputs_NT INM'!W434</f>
        <v>1.9606305844928881E-2</v>
      </c>
      <c r="R555" s="67">
        <f>'Inputs_NT INM'!X434</f>
        <v>0.9976875048176983</v>
      </c>
      <c r="S555" s="67">
        <f>'Inputs_NT INM'!Y434</f>
        <v>2.3674341468874389E-2</v>
      </c>
      <c r="T555" s="67">
        <f>'Inputs_NT INM'!Z434</f>
        <v>0</v>
      </c>
      <c r="U555" s="67">
        <f>'Inputs_NT INM'!AA434</f>
        <v>8.7535227729794701E-3</v>
      </c>
      <c r="V555" s="67">
        <f>'Inputs_NT INM'!AB434</f>
        <v>2.2027979706591275E-2</v>
      </c>
      <c r="W555" s="67">
        <f>'Inputs_NT INM'!AC434</f>
        <v>2.2027979706591275E-2</v>
      </c>
      <c r="X555" s="67">
        <f>'Inputs_NT INM'!AD434</f>
        <v>0</v>
      </c>
      <c r="Y555" s="67">
        <f>'Inputs_NT INM'!AE434</f>
        <v>0</v>
      </c>
      <c r="Z555" s="67">
        <f>'Inputs_NT INM'!AF434</f>
        <v>0.17695693936118218</v>
      </c>
      <c r="AA555" s="67">
        <f>'Inputs_NT INM'!AG434</f>
        <v>1.9606305844928881E-2</v>
      </c>
      <c r="AB555" s="67">
        <f>'Inputs_NT INM'!AH434</f>
        <v>1.0885051020294327E-2</v>
      </c>
      <c r="AC555" s="67">
        <f>'Inputs_NT INM'!AI434</f>
        <v>0</v>
      </c>
      <c r="AD555" s="67">
        <f>'Inputs_NT INM'!AJ434</f>
        <v>2.77569797007196E-3</v>
      </c>
      <c r="AE555" s="67">
        <f>'Inputs_NT INM'!AK434</f>
        <v>0</v>
      </c>
      <c r="AF555" s="67">
        <f>'Inputs_NT INM'!AL434</f>
        <v>2.5886103401703848E-3</v>
      </c>
      <c r="AG555" s="67">
        <f>'Inputs_NT INM'!AM434</f>
        <v>2.7241040649219075E-2</v>
      </c>
      <c r="AH555" s="67">
        <f>'Inputs_NT INM'!AN434</f>
        <v>4.2567186695933821E-3</v>
      </c>
      <c r="AI555" s="67"/>
      <c r="AJ555" s="67"/>
      <c r="AK555" s="67"/>
    </row>
    <row r="556" spans="1:37" x14ac:dyDescent="0.25">
      <c r="A556" s="76" t="str">
        <f>IF(OR(SUM('Inputs_NT INM'!M435:AI435)=0,COUNTIF($A$21:$A$60,'Inputs_NT INM'!D435)=0),"*","I"&amp;"-"&amp;'INM_New Techs'!$B$3&amp;"-"&amp;'Inputs_NT INM'!B435&amp;"_"&amp;'Inputs_NT INM'!I435&amp;IF('Inputs_NT INM'!C435="Ordinary","01",IF('Inputs_NT INM'!C435="Improved","02","03")))</f>
        <v>I-NM-LTH_COA02</v>
      </c>
      <c r="B556" s="9" t="s">
        <v>120</v>
      </c>
      <c r="C556" s="9" t="s">
        <v>332</v>
      </c>
      <c r="D556" s="61" t="s">
        <v>907</v>
      </c>
      <c r="F556" s="61" t="s">
        <v>460</v>
      </c>
      <c r="G556" s="67">
        <f>'Inputs_NT INM'!M435</f>
        <v>1</v>
      </c>
      <c r="H556" s="67">
        <f>'Inputs_NT INM'!N435</f>
        <v>1</v>
      </c>
      <c r="I556" s="67">
        <f>'Inputs_NT INM'!O435</f>
        <v>1</v>
      </c>
      <c r="J556" s="67">
        <f>'Inputs_NT INM'!P435</f>
        <v>1</v>
      </c>
      <c r="K556" s="67">
        <f>'Inputs_NT INM'!Q435</f>
        <v>1</v>
      </c>
      <c r="L556" s="67">
        <f>'Inputs_NT INM'!R435</f>
        <v>1</v>
      </c>
      <c r="M556" s="67">
        <f>'Inputs_NT INM'!S435</f>
        <v>1</v>
      </c>
      <c r="N556" s="67">
        <f>'Inputs_NT INM'!T435</f>
        <v>1</v>
      </c>
      <c r="O556" s="67">
        <f>'Inputs_NT INM'!U435</f>
        <v>1</v>
      </c>
      <c r="P556" s="67">
        <f>'Inputs_NT INM'!V435</f>
        <v>1</v>
      </c>
      <c r="Q556" s="67">
        <f>'Inputs_NT INM'!W435</f>
        <v>1</v>
      </c>
      <c r="R556" s="67">
        <f>'Inputs_NT INM'!X435</f>
        <v>1</v>
      </c>
      <c r="S556" s="67">
        <f>'Inputs_NT INM'!Y435</f>
        <v>1</v>
      </c>
      <c r="T556" s="67">
        <f>'Inputs_NT INM'!Z435</f>
        <v>1</v>
      </c>
      <c r="U556" s="67">
        <f>'Inputs_NT INM'!AA435</f>
        <v>1</v>
      </c>
      <c r="V556" s="67">
        <f>'Inputs_NT INM'!AB435</f>
        <v>1</v>
      </c>
      <c r="W556" s="67">
        <f>'Inputs_NT INM'!AC435</f>
        <v>1</v>
      </c>
      <c r="X556" s="67">
        <f>'Inputs_NT INM'!AD435</f>
        <v>0</v>
      </c>
      <c r="Y556" s="67">
        <f>'Inputs_NT INM'!AE435</f>
        <v>0</v>
      </c>
      <c r="Z556" s="67">
        <f>'Inputs_NT INM'!AF435</f>
        <v>1</v>
      </c>
      <c r="AA556" s="67">
        <f>'Inputs_NT INM'!AG435</f>
        <v>1</v>
      </c>
      <c r="AB556" s="67">
        <f>'Inputs_NT INM'!AH435</f>
        <v>1</v>
      </c>
      <c r="AC556" s="67">
        <f>'Inputs_NT INM'!AI435</f>
        <v>1</v>
      </c>
      <c r="AD556" s="67">
        <f>'Inputs_NT INM'!AJ435</f>
        <v>1</v>
      </c>
      <c r="AE556" s="67">
        <f>'Inputs_NT INM'!AK435</f>
        <v>1</v>
      </c>
      <c r="AF556" s="67">
        <f>'Inputs_NT INM'!AL435</f>
        <v>1</v>
      </c>
      <c r="AG556" s="67">
        <f>'Inputs_NT INM'!AM435</f>
        <v>1</v>
      </c>
      <c r="AH556" s="67">
        <f>'Inputs_NT INM'!AN435</f>
        <v>1</v>
      </c>
      <c r="AI556" s="67"/>
      <c r="AJ556" s="67"/>
      <c r="AK556" s="67"/>
    </row>
    <row r="557" spans="1:37" x14ac:dyDescent="0.25">
      <c r="A557" s="76" t="str">
        <f>IF(OR(SUM('Inputs_NT INM'!M436:AI436)=0,COUNTIF($A$21:$A$60,'Inputs_NT INM'!D436)=0),"*","I"&amp;"-"&amp;'INM_New Techs'!$B$3&amp;"-"&amp;'Inputs_NT INM'!B436&amp;"_"&amp;'Inputs_NT INM'!I436&amp;IF('Inputs_NT INM'!C436="Ordinary","01",IF('Inputs_NT INM'!C436="Improved","02","03")))</f>
        <v>I-NM-LTH_GAS02</v>
      </c>
      <c r="B557" s="9" t="s">
        <v>128</v>
      </c>
      <c r="C557" s="9" t="s">
        <v>332</v>
      </c>
      <c r="D557" s="61" t="s">
        <v>907</v>
      </c>
      <c r="F557" s="61" t="s">
        <v>460</v>
      </c>
      <c r="G557" s="67">
        <f>'Inputs_NT INM'!M436</f>
        <v>0</v>
      </c>
      <c r="H557" s="67">
        <f>'Inputs_NT INM'!N436</f>
        <v>0.97746997462062457</v>
      </c>
      <c r="I557" s="67">
        <f>'Inputs_NT INM'!O436</f>
        <v>0</v>
      </c>
      <c r="J557" s="67">
        <f>'Inputs_NT INM'!P436</f>
        <v>1</v>
      </c>
      <c r="K557" s="67">
        <f>'Inputs_NT INM'!Q436</f>
        <v>0.91761269920224098</v>
      </c>
      <c r="L557" s="67">
        <f>'Inputs_NT INM'!R436</f>
        <v>0.98911494897970564</v>
      </c>
      <c r="M557" s="67">
        <f>'Inputs_NT INM'!S436</f>
        <v>0.86488336650638264</v>
      </c>
      <c r="N557" s="67">
        <f>'Inputs_NT INM'!T436</f>
        <v>1</v>
      </c>
      <c r="O557" s="67">
        <f>'Inputs_NT INM'!U436</f>
        <v>0.92151814722238579</v>
      </c>
      <c r="P557" s="67">
        <f>'Inputs_NT INM'!V436</f>
        <v>1</v>
      </c>
      <c r="Q557" s="67">
        <f>'Inputs_NT INM'!W436</f>
        <v>0.98039369415507116</v>
      </c>
      <c r="R557" s="67">
        <f>'Inputs_NT INM'!X436</f>
        <v>2.3124951823017036E-3</v>
      </c>
      <c r="S557" s="67">
        <f>'Inputs_NT INM'!Y436</f>
        <v>0.97632565853112563</v>
      </c>
      <c r="T557" s="67">
        <f>'Inputs_NT INM'!Z436</f>
        <v>1</v>
      </c>
      <c r="U557" s="67">
        <f>'Inputs_NT INM'!AA436</f>
        <v>0.99094526941085137</v>
      </c>
      <c r="V557" s="67">
        <f>'Inputs_NT INM'!AB436</f>
        <v>0.97699681936875804</v>
      </c>
      <c r="W557" s="67">
        <f>'Inputs_NT INM'!AC436</f>
        <v>0.97699681936875804</v>
      </c>
      <c r="X557" s="67">
        <f>'Inputs_NT INM'!AD436</f>
        <v>0</v>
      </c>
      <c r="Y557" s="67">
        <f>'Inputs_NT INM'!AE436</f>
        <v>0</v>
      </c>
      <c r="Z557" s="67">
        <f>'Inputs_NT INM'!AF436</f>
        <v>0.82304306063881782</v>
      </c>
      <c r="AA557" s="67">
        <f>'Inputs_NT INM'!AG436</f>
        <v>0.98039369415507116</v>
      </c>
      <c r="AB557" s="67">
        <f>'Inputs_NT INM'!AH436</f>
        <v>0.98911494897970564</v>
      </c>
      <c r="AC557" s="67">
        <f>'Inputs_NT INM'!AI436</f>
        <v>1</v>
      </c>
      <c r="AD557" s="67">
        <f>'Inputs_NT INM'!AJ436</f>
        <v>0.99722430202992807</v>
      </c>
      <c r="AE557" s="67">
        <f>'Inputs_NT INM'!AK436</f>
        <v>0</v>
      </c>
      <c r="AF557" s="67">
        <f>'Inputs_NT INM'!AL436</f>
        <v>0.99741138965982967</v>
      </c>
      <c r="AG557" s="67">
        <f>'Inputs_NT INM'!AM436</f>
        <v>0.97275895935078094</v>
      </c>
      <c r="AH557" s="67">
        <f>'Inputs_NT INM'!AN436</f>
        <v>0.99574328133040657</v>
      </c>
      <c r="AI557" s="67"/>
      <c r="AJ557" s="67"/>
      <c r="AK557" s="67"/>
    </row>
    <row r="558" spans="1:37" x14ac:dyDescent="0.25">
      <c r="A558" s="76" t="str">
        <f>IF(OR(SUM('Inputs_NT INM'!M437:AI437)=0,COUNTIF($A$21:$A$60,'Inputs_NT INM'!D437)=0),"*","I"&amp;"-"&amp;'INM_New Techs'!$B$3&amp;"-"&amp;'Inputs_NT INM'!B437&amp;"_"&amp;'Inputs_NT INM'!I437&amp;IF('Inputs_NT INM'!C437="Ordinary","01",IF('Inputs_NT INM'!C437="Improved","02","03")))</f>
        <v>I-NM-LTH_OIL02</v>
      </c>
      <c r="B558" s="9" t="s">
        <v>134</v>
      </c>
      <c r="C558" s="9" t="s">
        <v>332</v>
      </c>
      <c r="D558" s="61" t="s">
        <v>907</v>
      </c>
      <c r="F558" s="61" t="s">
        <v>460</v>
      </c>
      <c r="G558" s="67">
        <f>'Inputs_NT INM'!M437</f>
        <v>1</v>
      </c>
      <c r="H558" s="67">
        <f>'Inputs_NT INM'!N437</f>
        <v>1</v>
      </c>
      <c r="I558" s="67">
        <f>'Inputs_NT INM'!O437</f>
        <v>1</v>
      </c>
      <c r="J558" s="67">
        <f>'Inputs_NT INM'!P437</f>
        <v>1</v>
      </c>
      <c r="K558" s="67">
        <f>'Inputs_NT INM'!Q437</f>
        <v>1</v>
      </c>
      <c r="L558" s="67">
        <f>'Inputs_NT INM'!R437</f>
        <v>1</v>
      </c>
      <c r="M558" s="67">
        <f>'Inputs_NT INM'!S437</f>
        <v>0.99775548819489068</v>
      </c>
      <c r="N558" s="67">
        <f>'Inputs_NT INM'!T437</f>
        <v>1</v>
      </c>
      <c r="O558" s="67">
        <f>'Inputs_NT INM'!U437</f>
        <v>0.99858214504502074</v>
      </c>
      <c r="P558" s="67">
        <f>'Inputs_NT INM'!V437</f>
        <v>1</v>
      </c>
      <c r="Q558" s="67">
        <f>'Inputs_NT INM'!W437</f>
        <v>1</v>
      </c>
      <c r="R558" s="67">
        <f>'Inputs_NT INM'!X437</f>
        <v>1</v>
      </c>
      <c r="S558" s="67">
        <f>'Inputs_NT INM'!Y437</f>
        <v>1</v>
      </c>
      <c r="T558" s="67">
        <f>'Inputs_NT INM'!Z437</f>
        <v>1</v>
      </c>
      <c r="U558" s="67">
        <f>'Inputs_NT INM'!AA437</f>
        <v>0.99996017570778672</v>
      </c>
      <c r="V558" s="67">
        <f>'Inputs_NT INM'!AB437</f>
        <v>0.99805420114513055</v>
      </c>
      <c r="W558" s="67">
        <f>'Inputs_NT INM'!AC437</f>
        <v>0.99805420114513055</v>
      </c>
      <c r="X558" s="67">
        <f>'Inputs_NT INM'!AD437</f>
        <v>0</v>
      </c>
      <c r="Y558" s="67">
        <f>'Inputs_NT INM'!AE437</f>
        <v>0</v>
      </c>
      <c r="Z558" s="67">
        <f>'Inputs_NT INM'!AF437</f>
        <v>1</v>
      </c>
      <c r="AA558" s="67">
        <f>'Inputs_NT INM'!AG437</f>
        <v>1</v>
      </c>
      <c r="AB558" s="67">
        <f>'Inputs_NT INM'!AH437</f>
        <v>1</v>
      </c>
      <c r="AC558" s="67">
        <f>'Inputs_NT INM'!AI437</f>
        <v>1</v>
      </c>
      <c r="AD558" s="67">
        <f>'Inputs_NT INM'!AJ437</f>
        <v>1</v>
      </c>
      <c r="AE558" s="67">
        <f>'Inputs_NT INM'!AK437</f>
        <v>1</v>
      </c>
      <c r="AF558" s="67">
        <f>'Inputs_NT INM'!AL437</f>
        <v>1</v>
      </c>
      <c r="AG558" s="67">
        <f>'Inputs_NT INM'!AM437</f>
        <v>1</v>
      </c>
      <c r="AH558" s="67">
        <f>'Inputs_NT INM'!AN437</f>
        <v>0.98954412741826625</v>
      </c>
      <c r="AI558" s="67"/>
      <c r="AJ558" s="67"/>
      <c r="AK558" s="67"/>
    </row>
    <row r="559" spans="1:37" x14ac:dyDescent="0.25">
      <c r="A559" s="76" t="str">
        <f>IF(OR(SUM('Inputs_NT INM'!M438:AI438)=0,COUNTIF($A$21:$A$60,'Inputs_NT INM'!D438)=0),"*","I"&amp;"-"&amp;'INM_New Techs'!$B$3&amp;"-"&amp;'Inputs_NT INM'!B438&amp;"_"&amp;'Inputs_NT INM'!I438&amp;IF('Inputs_NT INM'!C438="Ordinary","01",IF('Inputs_NT INM'!C438="Improved","02","03")))</f>
        <v>*</v>
      </c>
      <c r="B559" s="9" t="s">
        <v>558</v>
      </c>
      <c r="C559" s="9" t="s">
        <v>332</v>
      </c>
      <c r="D559" s="61" t="s">
        <v>907</v>
      </c>
      <c r="F559" s="61" t="s">
        <v>460</v>
      </c>
      <c r="G559" s="67"/>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67"/>
      <c r="AG559" s="67"/>
      <c r="AH559" s="67"/>
      <c r="AI559" s="67"/>
      <c r="AJ559" s="67"/>
      <c r="AK559" s="67"/>
    </row>
    <row r="560" spans="1:37" x14ac:dyDescent="0.25">
      <c r="A560" s="76" t="str">
        <f>IF(OR(SUM('Inputs_NT INM'!M439:AI439)=0,COUNTIF($A$21:$A$60,'Inputs_NT INM'!D439)=0),"*","I"&amp;"-"&amp;'INM_New Techs'!$B$3&amp;"-"&amp;'Inputs_NT INM'!B439&amp;"_"&amp;'Inputs_NT INM'!I439&amp;IF('Inputs_NT INM'!C439="Ordinary","01",IF('Inputs_NT INM'!C439="Improved","02","03")))</f>
        <v>I-NM-LTH_OIL02</v>
      </c>
      <c r="B560" s="9" t="s">
        <v>119</v>
      </c>
      <c r="C560" s="9" t="s">
        <v>332</v>
      </c>
      <c r="D560" s="61" t="s">
        <v>907</v>
      </c>
      <c r="F560" s="61" t="s">
        <v>460</v>
      </c>
      <c r="G560" s="67">
        <f>'Inputs_NT INM'!M439</f>
        <v>0</v>
      </c>
      <c r="H560" s="67">
        <f>'Inputs_NT INM'!N439</f>
        <v>0</v>
      </c>
      <c r="I560" s="67">
        <f>'Inputs_NT INM'!O439</f>
        <v>0</v>
      </c>
      <c r="J560" s="67">
        <f>'Inputs_NT INM'!P439</f>
        <v>0</v>
      </c>
      <c r="K560" s="67">
        <f>'Inputs_NT INM'!Q439</f>
        <v>0</v>
      </c>
      <c r="L560" s="67">
        <f>'Inputs_NT INM'!R439</f>
        <v>0</v>
      </c>
      <c r="M560" s="67">
        <f>'Inputs_NT INM'!S439</f>
        <v>2.244511805109321E-3</v>
      </c>
      <c r="N560" s="67">
        <f>'Inputs_NT INM'!T439</f>
        <v>0</v>
      </c>
      <c r="O560" s="67">
        <f>'Inputs_NT INM'!U439</f>
        <v>1.4178549549792524E-3</v>
      </c>
      <c r="P560" s="67">
        <f>'Inputs_NT INM'!V439</f>
        <v>0</v>
      </c>
      <c r="Q560" s="67">
        <f>'Inputs_NT INM'!W439</f>
        <v>0</v>
      </c>
      <c r="R560" s="67">
        <f>'Inputs_NT INM'!X439</f>
        <v>0</v>
      </c>
      <c r="S560" s="67">
        <f>'Inputs_NT INM'!Y439</f>
        <v>0</v>
      </c>
      <c r="T560" s="67">
        <f>'Inputs_NT INM'!Z439</f>
        <v>0</v>
      </c>
      <c r="U560" s="67">
        <f>'Inputs_NT INM'!AA439</f>
        <v>3.9824292213258897E-5</v>
      </c>
      <c r="V560" s="67">
        <f>'Inputs_NT INM'!AB439</f>
        <v>1.9457988548694542E-3</v>
      </c>
      <c r="W560" s="67">
        <f>'Inputs_NT INM'!AC439</f>
        <v>1.9457988548694542E-3</v>
      </c>
      <c r="X560" s="67">
        <f>'Inputs_NT INM'!AD439</f>
        <v>0</v>
      </c>
      <c r="Y560" s="67">
        <f>'Inputs_NT INM'!AE439</f>
        <v>0</v>
      </c>
      <c r="Z560" s="67">
        <f>'Inputs_NT INM'!AF439</f>
        <v>0</v>
      </c>
      <c r="AA560" s="67">
        <f>'Inputs_NT INM'!AG439</f>
        <v>0</v>
      </c>
      <c r="AB560" s="67">
        <f>'Inputs_NT INM'!AH439</f>
        <v>0</v>
      </c>
      <c r="AC560" s="67">
        <f>'Inputs_NT INM'!AI439</f>
        <v>0</v>
      </c>
      <c r="AD560" s="67">
        <f>'Inputs_NT INM'!AJ439</f>
        <v>0</v>
      </c>
      <c r="AE560" s="67">
        <f>'Inputs_NT INM'!AK439</f>
        <v>0</v>
      </c>
      <c r="AF560" s="67">
        <f>'Inputs_NT INM'!AL439</f>
        <v>0</v>
      </c>
      <c r="AG560" s="67">
        <f>'Inputs_NT INM'!AM439</f>
        <v>0</v>
      </c>
      <c r="AH560" s="67">
        <f>'Inputs_NT INM'!AN439</f>
        <v>1.045587258173373E-2</v>
      </c>
      <c r="AI560" s="67"/>
      <c r="AJ560" s="67"/>
      <c r="AK560" s="67"/>
    </row>
    <row r="561" spans="1:37" x14ac:dyDescent="0.25">
      <c r="A561" s="76" t="str">
        <f>IF(OR(SUM('Inputs_NT INM'!M440:AI440)=0,COUNTIF($A$21:$A$60,'Inputs_NT INM'!D440)=0),"*","I"&amp;"-"&amp;'INM_New Techs'!$B$3&amp;"-"&amp;'Inputs_NT INM'!B440&amp;"_"&amp;'Inputs_NT INM'!I440&amp;IF('Inputs_NT INM'!C440="Ordinary","01",IF('Inputs_NT INM'!C440="Improved","02","03")))</f>
        <v>I-NM-LTH_GAS02</v>
      </c>
      <c r="B561" s="9" t="s">
        <v>115</v>
      </c>
      <c r="C561" s="9" t="s">
        <v>332</v>
      </c>
      <c r="D561" s="61" t="s">
        <v>907</v>
      </c>
      <c r="F561" s="61" t="s">
        <v>460</v>
      </c>
      <c r="G561" s="67">
        <f>'Inputs_NT INM'!M440</f>
        <v>0</v>
      </c>
      <c r="H561" s="67">
        <f>'Inputs_NT INM'!N440</f>
        <v>0</v>
      </c>
      <c r="I561" s="67">
        <f>'Inputs_NT INM'!O440</f>
        <v>0</v>
      </c>
      <c r="J561" s="67">
        <f>'Inputs_NT INM'!P440</f>
        <v>0</v>
      </c>
      <c r="K561" s="67">
        <f>'Inputs_NT INM'!Q440</f>
        <v>3.7804839902260095E-3</v>
      </c>
      <c r="L561" s="67">
        <f>'Inputs_NT INM'!R440</f>
        <v>0</v>
      </c>
      <c r="M561" s="67">
        <f>'Inputs_NT INM'!S440</f>
        <v>0</v>
      </c>
      <c r="N561" s="67">
        <f>'Inputs_NT INM'!T440</f>
        <v>0</v>
      </c>
      <c r="O561" s="67">
        <f>'Inputs_NT INM'!U440</f>
        <v>0</v>
      </c>
      <c r="P561" s="67">
        <f>'Inputs_NT INM'!V440</f>
        <v>0</v>
      </c>
      <c r="Q561" s="67">
        <f>'Inputs_NT INM'!W440</f>
        <v>0</v>
      </c>
      <c r="R561" s="67">
        <f>'Inputs_NT INM'!X440</f>
        <v>0</v>
      </c>
      <c r="S561" s="67">
        <f>'Inputs_NT INM'!Y440</f>
        <v>0</v>
      </c>
      <c r="T561" s="67">
        <f>'Inputs_NT INM'!Z440</f>
        <v>0</v>
      </c>
      <c r="U561" s="67">
        <f>'Inputs_NT INM'!AA440</f>
        <v>3.0120781616915814E-4</v>
      </c>
      <c r="V561" s="67">
        <f>'Inputs_NT INM'!AB440</f>
        <v>9.7520092465061266E-4</v>
      </c>
      <c r="W561" s="67">
        <f>'Inputs_NT INM'!AC440</f>
        <v>9.7520092465061266E-4</v>
      </c>
      <c r="X561" s="67">
        <f>'Inputs_NT INM'!AD440</f>
        <v>0</v>
      </c>
      <c r="Y561" s="67">
        <f>'Inputs_NT INM'!AE440</f>
        <v>0</v>
      </c>
      <c r="Z561" s="67">
        <f>'Inputs_NT INM'!AF440</f>
        <v>0</v>
      </c>
      <c r="AA561" s="67">
        <f>'Inputs_NT INM'!AG440</f>
        <v>0</v>
      </c>
      <c r="AB561" s="67">
        <f>'Inputs_NT INM'!AH440</f>
        <v>0</v>
      </c>
      <c r="AC561" s="67">
        <f>'Inputs_NT INM'!AI440</f>
        <v>0</v>
      </c>
      <c r="AD561" s="67">
        <f>'Inputs_NT INM'!AJ440</f>
        <v>0</v>
      </c>
      <c r="AE561" s="67">
        <f>'Inputs_NT INM'!AK440</f>
        <v>0</v>
      </c>
      <c r="AF561" s="67">
        <f>'Inputs_NT INM'!AL440</f>
        <v>0</v>
      </c>
      <c r="AG561" s="67">
        <f>'Inputs_NT INM'!AM440</f>
        <v>0</v>
      </c>
      <c r="AH561" s="67">
        <f>'Inputs_NT INM'!AN440</f>
        <v>0</v>
      </c>
      <c r="AI561" s="67"/>
      <c r="AJ561" s="67"/>
      <c r="AK561" s="67"/>
    </row>
    <row r="562" spans="1:37" x14ac:dyDescent="0.25">
      <c r="A562" s="76" t="str">
        <f>IF(OR(SUM('Inputs_NT INM'!M441:AI441)=0,COUNTIF($A$21:$A$60,'Inputs_NT INM'!D441)=0),"*","I"&amp;"-"&amp;'INM_New Techs'!$B$3&amp;"-"&amp;'Inputs_NT INM'!B441&amp;"_"&amp;'Inputs_NT INM'!I441&amp;IF('Inputs_NT INM'!C441="Ordinary","01",IF('Inputs_NT INM'!C441="Improved","02","03")))</f>
        <v>*</v>
      </c>
      <c r="B562" s="9" t="s">
        <v>558</v>
      </c>
      <c r="C562" s="9" t="s">
        <v>332</v>
      </c>
      <c r="D562" s="61" t="s">
        <v>907</v>
      </c>
      <c r="F562" s="61" t="s">
        <v>460</v>
      </c>
      <c r="G562" s="67"/>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67"/>
      <c r="AG562" s="67"/>
      <c r="AH562" s="67"/>
      <c r="AI562" s="67"/>
      <c r="AJ562" s="67"/>
      <c r="AK562" s="67"/>
    </row>
    <row r="563" spans="1:37" x14ac:dyDescent="0.25">
      <c r="A563" s="76" t="str">
        <f>IF(OR(SUM('Inputs_NT INM'!M442:AI442)=0,COUNTIF($A$21:$A$60,'Inputs_NT INM'!D442)=0),"*","I"&amp;"-"&amp;'INM_New Techs'!$B$3&amp;"-"&amp;'Inputs_NT INM'!B442&amp;"_"&amp;'Inputs_NT INM'!I442&amp;IF('Inputs_NT INM'!C442="Ordinary","01",IF('Inputs_NT INM'!C442="Improved","02","03")))</f>
        <v>*</v>
      </c>
      <c r="B563" s="9" t="s">
        <v>558</v>
      </c>
      <c r="C563" s="9" t="s">
        <v>332</v>
      </c>
      <c r="D563" s="61" t="s">
        <v>907</v>
      </c>
      <c r="F563" s="61" t="s">
        <v>460</v>
      </c>
      <c r="G563" s="67"/>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67"/>
      <c r="AG563" s="67"/>
      <c r="AH563" s="67"/>
      <c r="AI563" s="67"/>
      <c r="AJ563" s="67"/>
      <c r="AK563" s="67"/>
    </row>
    <row r="564" spans="1:37" x14ac:dyDescent="0.25">
      <c r="A564" s="76" t="str">
        <f>IF(OR(SUM('Inputs_NT INM'!M443:AI443)=0,COUNTIF($A$21:$A$60,'Inputs_NT INM'!D443)=0),"*","I"&amp;"-"&amp;'INM_New Techs'!$B$3&amp;"-"&amp;'Inputs_NT INM'!B443&amp;"_"&amp;'Inputs_NT INM'!I443&amp;IF('Inputs_NT INM'!C443="Ordinary","01",IF('Inputs_NT INM'!C443="Improved","02","03")))</f>
        <v>I-NM-LTH_ELC02</v>
      </c>
      <c r="B564" s="9" t="s">
        <v>137</v>
      </c>
      <c r="C564" s="9" t="s">
        <v>332</v>
      </c>
      <c r="D564" s="61" t="s">
        <v>907</v>
      </c>
      <c r="F564" s="61" t="s">
        <v>460</v>
      </c>
      <c r="G564" s="67">
        <f>'Inputs_NT INM'!M443</f>
        <v>0</v>
      </c>
      <c r="H564" s="67">
        <f>'Inputs_NT INM'!N443</f>
        <v>0</v>
      </c>
      <c r="I564" s="67">
        <f>'Inputs_NT INM'!O443</f>
        <v>0</v>
      </c>
      <c r="J564" s="67">
        <f>'Inputs_NT INM'!P443</f>
        <v>0</v>
      </c>
      <c r="K564" s="67">
        <f>'Inputs_NT INM'!Q443</f>
        <v>0</v>
      </c>
      <c r="L564" s="67">
        <f>'Inputs_NT INM'!R443</f>
        <v>0</v>
      </c>
      <c r="M564" s="67">
        <f>'Inputs_NT INM'!S443</f>
        <v>0</v>
      </c>
      <c r="N564" s="67">
        <f>'Inputs_NT INM'!T443</f>
        <v>0</v>
      </c>
      <c r="O564" s="67">
        <f>'Inputs_NT INM'!U443</f>
        <v>0</v>
      </c>
      <c r="P564" s="67">
        <f>'Inputs_NT INM'!V443</f>
        <v>0</v>
      </c>
      <c r="Q564" s="67">
        <f>'Inputs_NT INM'!W443</f>
        <v>0</v>
      </c>
      <c r="R564" s="67">
        <f>'Inputs_NT INM'!X443</f>
        <v>0</v>
      </c>
      <c r="S564" s="67">
        <f>'Inputs_NT INM'!Y443</f>
        <v>0</v>
      </c>
      <c r="T564" s="67">
        <f>'Inputs_NT INM'!Z443</f>
        <v>0</v>
      </c>
      <c r="U564" s="67">
        <f>'Inputs_NT INM'!AA443</f>
        <v>0</v>
      </c>
      <c r="V564" s="67">
        <f>'Inputs_NT INM'!AB443</f>
        <v>1.0565926842793377E-5</v>
      </c>
      <c r="W564" s="67">
        <f>'Inputs_NT INM'!AC443</f>
        <v>1.0565926842793377E-5</v>
      </c>
      <c r="X564" s="67">
        <f>'Inputs_NT INM'!AD443</f>
        <v>0</v>
      </c>
      <c r="Y564" s="67">
        <f>'Inputs_NT INM'!AE443</f>
        <v>0</v>
      </c>
      <c r="Z564" s="67">
        <f>'Inputs_NT INM'!AF443</f>
        <v>0</v>
      </c>
      <c r="AA564" s="67">
        <f>'Inputs_NT INM'!AG443</f>
        <v>0</v>
      </c>
      <c r="AB564" s="67">
        <f>'Inputs_NT INM'!AH443</f>
        <v>0</v>
      </c>
      <c r="AC564" s="67">
        <f>'Inputs_NT INM'!AI443</f>
        <v>0</v>
      </c>
      <c r="AD564" s="67">
        <f>'Inputs_NT INM'!AJ443</f>
        <v>0</v>
      </c>
      <c r="AE564" s="67">
        <f>'Inputs_NT INM'!AK443</f>
        <v>0</v>
      </c>
      <c r="AF564" s="67">
        <f>'Inputs_NT INM'!AL443</f>
        <v>0</v>
      </c>
      <c r="AG564" s="67">
        <f>'Inputs_NT INM'!AM443</f>
        <v>0</v>
      </c>
      <c r="AH564" s="67">
        <f>'Inputs_NT INM'!AN443</f>
        <v>0</v>
      </c>
      <c r="AI564" s="67"/>
      <c r="AJ564" s="67"/>
      <c r="AK564" s="67"/>
    </row>
    <row r="565" spans="1:37" x14ac:dyDescent="0.25">
      <c r="A565" s="76" t="str">
        <f>IF(OR(SUM('Inputs_NT INM'!M444:AI444)=0,COUNTIF($A$21:$A$60,'Inputs_NT INM'!D444)=0),"*","I"&amp;"-"&amp;'INM_New Techs'!$B$3&amp;"-"&amp;'Inputs_NT INM'!B444&amp;"_"&amp;'Inputs_NT INM'!I444&amp;IF('Inputs_NT INM'!C444="Ordinary","01",IF('Inputs_NT INM'!C444="Improved","02","03")))</f>
        <v>I-NM-LTH_ELC02</v>
      </c>
      <c r="B565" s="9" t="s">
        <v>126</v>
      </c>
      <c r="C565" s="9" t="s">
        <v>332</v>
      </c>
      <c r="D565" s="61" t="s">
        <v>907</v>
      </c>
      <c r="F565" s="61" t="s">
        <v>460</v>
      </c>
      <c r="G565" s="67">
        <f>'Inputs_NT INM'!M444</f>
        <v>0</v>
      </c>
      <c r="H565" s="67">
        <f>'Inputs_NT INM'!N444</f>
        <v>1</v>
      </c>
      <c r="I565" s="67">
        <f>'Inputs_NT INM'!O444</f>
        <v>1</v>
      </c>
      <c r="J565" s="67">
        <f>'Inputs_NT INM'!P444</f>
        <v>1</v>
      </c>
      <c r="K565" s="67">
        <f>'Inputs_NT INM'!Q444</f>
        <v>1</v>
      </c>
      <c r="L565" s="67">
        <f>'Inputs_NT INM'!R444</f>
        <v>1</v>
      </c>
      <c r="M565" s="67">
        <f>'Inputs_NT INM'!S444</f>
        <v>1</v>
      </c>
      <c r="N565" s="67">
        <f>'Inputs_NT INM'!T444</f>
        <v>0</v>
      </c>
      <c r="O565" s="67">
        <f>'Inputs_NT INM'!U444</f>
        <v>1</v>
      </c>
      <c r="P565" s="67">
        <f>'Inputs_NT INM'!V444</f>
        <v>1</v>
      </c>
      <c r="Q565" s="67">
        <f>'Inputs_NT INM'!W444</f>
        <v>1</v>
      </c>
      <c r="R565" s="67">
        <f>'Inputs_NT INM'!X444</f>
        <v>0</v>
      </c>
      <c r="S565" s="67">
        <f>'Inputs_NT INM'!Y444</f>
        <v>1</v>
      </c>
      <c r="T565" s="67">
        <f>'Inputs_NT INM'!Z444</f>
        <v>1</v>
      </c>
      <c r="U565" s="67">
        <f>'Inputs_NT INM'!AA444</f>
        <v>1</v>
      </c>
      <c r="V565" s="67">
        <f>'Inputs_NT INM'!AB444</f>
        <v>0.99998943407315721</v>
      </c>
      <c r="W565" s="67">
        <f>'Inputs_NT INM'!AC444</f>
        <v>0.99998943407315721</v>
      </c>
      <c r="X565" s="67">
        <f>'Inputs_NT INM'!AD444</f>
        <v>0</v>
      </c>
      <c r="Y565" s="67">
        <f>'Inputs_NT INM'!AE444</f>
        <v>0</v>
      </c>
      <c r="Z565" s="67">
        <f>'Inputs_NT INM'!AF444</f>
        <v>1</v>
      </c>
      <c r="AA565" s="67">
        <f>'Inputs_NT INM'!AG444</f>
        <v>1</v>
      </c>
      <c r="AB565" s="67">
        <f>'Inputs_NT INM'!AH444</f>
        <v>1</v>
      </c>
      <c r="AC565" s="67">
        <f>'Inputs_NT INM'!AI444</f>
        <v>1</v>
      </c>
      <c r="AD565" s="67">
        <f>'Inputs_NT INM'!AJ444</f>
        <v>1</v>
      </c>
      <c r="AE565" s="67">
        <f>'Inputs_NT INM'!AK444</f>
        <v>0</v>
      </c>
      <c r="AF565" s="67">
        <f>'Inputs_NT INM'!AL444</f>
        <v>1</v>
      </c>
      <c r="AG565" s="67">
        <f>'Inputs_NT INM'!AM444</f>
        <v>1</v>
      </c>
      <c r="AH565" s="67">
        <f>'Inputs_NT INM'!AN444</f>
        <v>1</v>
      </c>
      <c r="AI565" s="67"/>
      <c r="AJ565" s="67"/>
      <c r="AK565" s="67"/>
    </row>
    <row r="566" spans="1:37" x14ac:dyDescent="0.25">
      <c r="A566" s="76" t="str">
        <f>IF(OR(SUM('Inputs_NT INM'!M445:AI445)=0,COUNTIF($A$21:$A$60,'Inputs_NT INM'!D445)=0),"*","I"&amp;"-"&amp;'INM_New Techs'!$B$3&amp;"-"&amp;'Inputs_NT INM'!B445&amp;"_"&amp;'Inputs_NT INM'!I445&amp;IF('Inputs_NT INM'!C445="Ordinary","01",IF('Inputs_NT INM'!C445="Improved","02","03")))</f>
        <v>*</v>
      </c>
      <c r="B566" s="9" t="s">
        <v>558</v>
      </c>
      <c r="C566" s="9" t="s">
        <v>332</v>
      </c>
      <c r="D566" s="61" t="s">
        <v>907</v>
      </c>
      <c r="F566" s="61" t="s">
        <v>460</v>
      </c>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c r="AI566" s="67"/>
      <c r="AJ566" s="67"/>
      <c r="AK566" s="67"/>
    </row>
    <row r="567" spans="1:37" x14ac:dyDescent="0.25">
      <c r="A567" s="76" t="str">
        <f>IF(OR(SUM('Inputs_NT INM'!M446:AI446)=0,COUNTIF($A$21:$A$60,'Inputs_NT INM'!D446)=0),"*","I"&amp;"-"&amp;'INM_New Techs'!$B$3&amp;"-"&amp;'Inputs_NT INM'!B446&amp;"_"&amp;'Inputs_NT INM'!I446&amp;IF('Inputs_NT INM'!C446="Ordinary","01",IF('Inputs_NT INM'!C446="Improved","02","03")))</f>
        <v>I-NM-LTH_GAS02</v>
      </c>
      <c r="B567" s="9" t="s">
        <v>132</v>
      </c>
      <c r="C567" s="9" t="s">
        <v>332</v>
      </c>
      <c r="D567" s="61" t="s">
        <v>907</v>
      </c>
      <c r="F567" s="61" t="s">
        <v>460</v>
      </c>
      <c r="G567" s="67">
        <f>'Inputs_NT INM'!M446</f>
        <v>0</v>
      </c>
      <c r="H567" s="67">
        <f>'Inputs_NT INM'!N446</f>
        <v>2.253002537937546E-2</v>
      </c>
      <c r="I567" s="67">
        <f>'Inputs_NT INM'!O446</f>
        <v>0</v>
      </c>
      <c r="J567" s="67">
        <f>'Inputs_NT INM'!P446</f>
        <v>0</v>
      </c>
      <c r="K567" s="67">
        <f>'Inputs_NT INM'!Q446</f>
        <v>7.8606816807532842E-2</v>
      </c>
      <c r="L567" s="67">
        <f>'Inputs_NT INM'!R446</f>
        <v>1.0885051020294327E-2</v>
      </c>
      <c r="M567" s="67">
        <f>'Inputs_NT INM'!S446</f>
        <v>0.13511663349361738</v>
      </c>
      <c r="N567" s="67">
        <f>'Inputs_NT INM'!T446</f>
        <v>0</v>
      </c>
      <c r="O567" s="67">
        <f>'Inputs_NT INM'!U446</f>
        <v>7.8481852777614228E-2</v>
      </c>
      <c r="P567" s="67">
        <f>'Inputs_NT INM'!V446</f>
        <v>0</v>
      </c>
      <c r="Q567" s="67">
        <f>'Inputs_NT INM'!W446</f>
        <v>1.9606305844928881E-2</v>
      </c>
      <c r="R567" s="67">
        <f>'Inputs_NT INM'!X446</f>
        <v>0.9976875048176983</v>
      </c>
      <c r="S567" s="67">
        <f>'Inputs_NT INM'!Y446</f>
        <v>2.3674341468874389E-2</v>
      </c>
      <c r="T567" s="67">
        <f>'Inputs_NT INM'!Z446</f>
        <v>0</v>
      </c>
      <c r="U567" s="67">
        <f>'Inputs_NT INM'!AA446</f>
        <v>8.7535227729794701E-3</v>
      </c>
      <c r="V567" s="67">
        <f>'Inputs_NT INM'!AB446</f>
        <v>2.2027979706591275E-2</v>
      </c>
      <c r="W567" s="67">
        <f>'Inputs_NT INM'!AC446</f>
        <v>2.2027979706591275E-2</v>
      </c>
      <c r="X567" s="67">
        <f>'Inputs_NT INM'!AD446</f>
        <v>0</v>
      </c>
      <c r="Y567" s="67">
        <f>'Inputs_NT INM'!AE446</f>
        <v>0</v>
      </c>
      <c r="Z567" s="67">
        <f>'Inputs_NT INM'!AF446</f>
        <v>0.17695693936118218</v>
      </c>
      <c r="AA567" s="67">
        <f>'Inputs_NT INM'!AG446</f>
        <v>1.9606305844928881E-2</v>
      </c>
      <c r="AB567" s="67">
        <f>'Inputs_NT INM'!AH446</f>
        <v>1.0885051020294327E-2</v>
      </c>
      <c r="AC567" s="67">
        <f>'Inputs_NT INM'!AI446</f>
        <v>0</v>
      </c>
      <c r="AD567" s="67">
        <f>'Inputs_NT INM'!AJ446</f>
        <v>2.77569797007196E-3</v>
      </c>
      <c r="AE567" s="67">
        <f>'Inputs_NT INM'!AK446</f>
        <v>0</v>
      </c>
      <c r="AF567" s="67">
        <f>'Inputs_NT INM'!AL446</f>
        <v>2.5886103401703848E-3</v>
      </c>
      <c r="AG567" s="67">
        <f>'Inputs_NT INM'!AM446</f>
        <v>2.7241040649219075E-2</v>
      </c>
      <c r="AH567" s="67">
        <f>'Inputs_NT INM'!AN446</f>
        <v>4.2567186695933821E-3</v>
      </c>
      <c r="AI567" s="67"/>
      <c r="AJ567" s="67"/>
      <c r="AK567" s="67"/>
    </row>
    <row r="568" spans="1:37" x14ac:dyDescent="0.25">
      <c r="A568" s="76" t="str">
        <f>IF(OR(SUM('Inputs_NT INM'!M447:AI447)=0,COUNTIF($A$21:$A$60,'Inputs_NT INM'!D447)=0),"*","I"&amp;"-"&amp;'INM_New Techs'!$B$3&amp;"-"&amp;'Inputs_NT INM'!B447&amp;"_"&amp;'Inputs_NT INM'!I447&amp;IF('Inputs_NT INM'!C447="Ordinary","01",IF('Inputs_NT INM'!C447="Improved","02","03")))</f>
        <v>I-NM-LTH_COA03</v>
      </c>
      <c r="B568" s="9" t="s">
        <v>120</v>
      </c>
      <c r="C568" s="9" t="s">
        <v>332</v>
      </c>
      <c r="D568" s="61" t="s">
        <v>907</v>
      </c>
      <c r="F568" s="61" t="s">
        <v>460</v>
      </c>
      <c r="G568" s="67">
        <f>'Inputs_NT INM'!M447</f>
        <v>1</v>
      </c>
      <c r="H568" s="67">
        <f>'Inputs_NT INM'!N447</f>
        <v>1</v>
      </c>
      <c r="I568" s="67">
        <f>'Inputs_NT INM'!O447</f>
        <v>1</v>
      </c>
      <c r="J568" s="67">
        <f>'Inputs_NT INM'!P447</f>
        <v>1</v>
      </c>
      <c r="K568" s="67">
        <f>'Inputs_NT INM'!Q447</f>
        <v>1</v>
      </c>
      <c r="L568" s="67">
        <f>'Inputs_NT INM'!R447</f>
        <v>1</v>
      </c>
      <c r="M568" s="67">
        <f>'Inputs_NT INM'!S447</f>
        <v>1</v>
      </c>
      <c r="N568" s="67">
        <f>'Inputs_NT INM'!T447</f>
        <v>1</v>
      </c>
      <c r="O568" s="67">
        <f>'Inputs_NT INM'!U447</f>
        <v>1</v>
      </c>
      <c r="P568" s="67">
        <f>'Inputs_NT INM'!V447</f>
        <v>1</v>
      </c>
      <c r="Q568" s="67">
        <f>'Inputs_NT INM'!W447</f>
        <v>1</v>
      </c>
      <c r="R568" s="67">
        <f>'Inputs_NT INM'!X447</f>
        <v>1</v>
      </c>
      <c r="S568" s="67">
        <f>'Inputs_NT INM'!Y447</f>
        <v>1</v>
      </c>
      <c r="T568" s="67">
        <f>'Inputs_NT INM'!Z447</f>
        <v>1</v>
      </c>
      <c r="U568" s="67">
        <f>'Inputs_NT INM'!AA447</f>
        <v>1</v>
      </c>
      <c r="V568" s="67">
        <f>'Inputs_NT INM'!AB447</f>
        <v>1</v>
      </c>
      <c r="W568" s="67">
        <f>'Inputs_NT INM'!AC447</f>
        <v>1</v>
      </c>
      <c r="X568" s="67">
        <f>'Inputs_NT INM'!AD447</f>
        <v>0</v>
      </c>
      <c r="Y568" s="67">
        <f>'Inputs_NT INM'!AE447</f>
        <v>0</v>
      </c>
      <c r="Z568" s="67">
        <f>'Inputs_NT INM'!AF447</f>
        <v>1</v>
      </c>
      <c r="AA568" s="67">
        <f>'Inputs_NT INM'!AG447</f>
        <v>1</v>
      </c>
      <c r="AB568" s="67">
        <f>'Inputs_NT INM'!AH447</f>
        <v>1</v>
      </c>
      <c r="AC568" s="67">
        <f>'Inputs_NT INM'!AI447</f>
        <v>1</v>
      </c>
      <c r="AD568" s="67">
        <f>'Inputs_NT INM'!AJ447</f>
        <v>1</v>
      </c>
      <c r="AE568" s="67">
        <f>'Inputs_NT INM'!AK447</f>
        <v>1</v>
      </c>
      <c r="AF568" s="67">
        <f>'Inputs_NT INM'!AL447</f>
        <v>1</v>
      </c>
      <c r="AG568" s="67">
        <f>'Inputs_NT INM'!AM447</f>
        <v>1</v>
      </c>
      <c r="AH568" s="67">
        <f>'Inputs_NT INM'!AN447</f>
        <v>1</v>
      </c>
      <c r="AI568" s="67"/>
      <c r="AJ568" s="67"/>
      <c r="AK568" s="67"/>
    </row>
    <row r="569" spans="1:37" x14ac:dyDescent="0.25">
      <c r="A569" s="76" t="str">
        <f>IF(OR(SUM('Inputs_NT INM'!M448:AI448)=0,COUNTIF($A$21:$A$60,'Inputs_NT INM'!D448)=0),"*","I"&amp;"-"&amp;'INM_New Techs'!$B$3&amp;"-"&amp;'Inputs_NT INM'!B448&amp;"_"&amp;'Inputs_NT INM'!I448&amp;IF('Inputs_NT INM'!C448="Ordinary","01",IF('Inputs_NT INM'!C448="Improved","02","03")))</f>
        <v>I-NM-LTH_GAS03</v>
      </c>
      <c r="B569" s="9" t="s">
        <v>128</v>
      </c>
      <c r="C569" s="9" t="s">
        <v>332</v>
      </c>
      <c r="D569" s="61" t="s">
        <v>907</v>
      </c>
      <c r="F569" s="61" t="s">
        <v>460</v>
      </c>
      <c r="G569" s="67">
        <f>'Inputs_NT INM'!M448</f>
        <v>0</v>
      </c>
      <c r="H569" s="67">
        <f>'Inputs_NT INM'!N448</f>
        <v>0.97746997462062457</v>
      </c>
      <c r="I569" s="67">
        <f>'Inputs_NT INM'!O448</f>
        <v>0</v>
      </c>
      <c r="J569" s="67">
        <f>'Inputs_NT INM'!P448</f>
        <v>1</v>
      </c>
      <c r="K569" s="67">
        <f>'Inputs_NT INM'!Q448</f>
        <v>0.91761269920224098</v>
      </c>
      <c r="L569" s="67">
        <f>'Inputs_NT INM'!R448</f>
        <v>0.98911494897970564</v>
      </c>
      <c r="M569" s="67">
        <f>'Inputs_NT INM'!S448</f>
        <v>0.86488336650638264</v>
      </c>
      <c r="N569" s="67">
        <f>'Inputs_NT INM'!T448</f>
        <v>1</v>
      </c>
      <c r="O569" s="67">
        <f>'Inputs_NT INM'!U448</f>
        <v>0.92151814722238579</v>
      </c>
      <c r="P569" s="67">
        <f>'Inputs_NT INM'!V448</f>
        <v>1</v>
      </c>
      <c r="Q569" s="67">
        <f>'Inputs_NT INM'!W448</f>
        <v>0.98039369415507116</v>
      </c>
      <c r="R569" s="67">
        <f>'Inputs_NT INM'!X448</f>
        <v>2.3124951823017036E-3</v>
      </c>
      <c r="S569" s="67">
        <f>'Inputs_NT INM'!Y448</f>
        <v>0.97632565853112563</v>
      </c>
      <c r="T569" s="67">
        <f>'Inputs_NT INM'!Z448</f>
        <v>1</v>
      </c>
      <c r="U569" s="67">
        <f>'Inputs_NT INM'!AA448</f>
        <v>0.99094526941085137</v>
      </c>
      <c r="V569" s="67">
        <f>'Inputs_NT INM'!AB448</f>
        <v>0.97699681936875804</v>
      </c>
      <c r="W569" s="67">
        <f>'Inputs_NT INM'!AC448</f>
        <v>0.97699681936875804</v>
      </c>
      <c r="X569" s="67">
        <f>'Inputs_NT INM'!AD448</f>
        <v>0</v>
      </c>
      <c r="Y569" s="67">
        <f>'Inputs_NT INM'!AE448</f>
        <v>0</v>
      </c>
      <c r="Z569" s="67">
        <f>'Inputs_NT INM'!AF448</f>
        <v>0.82304306063881782</v>
      </c>
      <c r="AA569" s="67">
        <f>'Inputs_NT INM'!AG448</f>
        <v>0.98039369415507116</v>
      </c>
      <c r="AB569" s="67">
        <f>'Inputs_NT INM'!AH448</f>
        <v>0.98911494897970564</v>
      </c>
      <c r="AC569" s="67">
        <f>'Inputs_NT INM'!AI448</f>
        <v>1</v>
      </c>
      <c r="AD569" s="67">
        <f>'Inputs_NT INM'!AJ448</f>
        <v>0.99722430202992807</v>
      </c>
      <c r="AE569" s="67">
        <f>'Inputs_NT INM'!AK448</f>
        <v>0</v>
      </c>
      <c r="AF569" s="67">
        <f>'Inputs_NT INM'!AL448</f>
        <v>0.99741138965982967</v>
      </c>
      <c r="AG569" s="67">
        <f>'Inputs_NT INM'!AM448</f>
        <v>0.97275895935078094</v>
      </c>
      <c r="AH569" s="67">
        <f>'Inputs_NT INM'!AN448</f>
        <v>0.99574328133040657</v>
      </c>
      <c r="AI569" s="67"/>
      <c r="AJ569" s="67"/>
      <c r="AK569" s="67"/>
    </row>
    <row r="570" spans="1:37" x14ac:dyDescent="0.25">
      <c r="A570" s="76" t="str">
        <f>IF(OR(SUM('Inputs_NT INM'!M449:AI449)=0,COUNTIF($A$21:$A$60,'Inputs_NT INM'!D449)=0),"*","I"&amp;"-"&amp;'INM_New Techs'!$B$3&amp;"-"&amp;'Inputs_NT INM'!B449&amp;"_"&amp;'Inputs_NT INM'!I449&amp;IF('Inputs_NT INM'!C449="Ordinary","01",IF('Inputs_NT INM'!C449="Improved","02","03")))</f>
        <v>I-NM-LTH_OIL03</v>
      </c>
      <c r="B570" s="9" t="s">
        <v>134</v>
      </c>
      <c r="C570" s="9" t="s">
        <v>332</v>
      </c>
      <c r="D570" s="61" t="s">
        <v>907</v>
      </c>
      <c r="F570" s="61" t="s">
        <v>460</v>
      </c>
      <c r="G570" s="67">
        <f>'Inputs_NT INM'!M449</f>
        <v>1</v>
      </c>
      <c r="H570" s="67">
        <f>'Inputs_NT INM'!N449</f>
        <v>1</v>
      </c>
      <c r="I570" s="67">
        <f>'Inputs_NT INM'!O449</f>
        <v>1</v>
      </c>
      <c r="J570" s="67">
        <f>'Inputs_NT INM'!P449</f>
        <v>1</v>
      </c>
      <c r="K570" s="67">
        <f>'Inputs_NT INM'!Q449</f>
        <v>1</v>
      </c>
      <c r="L570" s="67">
        <f>'Inputs_NT INM'!R449</f>
        <v>1</v>
      </c>
      <c r="M570" s="67">
        <f>'Inputs_NT INM'!S449</f>
        <v>0.99775548819489068</v>
      </c>
      <c r="N570" s="67">
        <f>'Inputs_NT INM'!T449</f>
        <v>1</v>
      </c>
      <c r="O570" s="67">
        <f>'Inputs_NT INM'!U449</f>
        <v>0.99858214504502074</v>
      </c>
      <c r="P570" s="67">
        <f>'Inputs_NT INM'!V449</f>
        <v>1</v>
      </c>
      <c r="Q570" s="67">
        <f>'Inputs_NT INM'!W449</f>
        <v>1</v>
      </c>
      <c r="R570" s="67">
        <f>'Inputs_NT INM'!X449</f>
        <v>1</v>
      </c>
      <c r="S570" s="67">
        <f>'Inputs_NT INM'!Y449</f>
        <v>1</v>
      </c>
      <c r="T570" s="67">
        <f>'Inputs_NT INM'!Z449</f>
        <v>1</v>
      </c>
      <c r="U570" s="67">
        <f>'Inputs_NT INM'!AA449</f>
        <v>0.99996017570778672</v>
      </c>
      <c r="V570" s="67">
        <f>'Inputs_NT INM'!AB449</f>
        <v>0.99805420114513055</v>
      </c>
      <c r="W570" s="67">
        <f>'Inputs_NT INM'!AC449</f>
        <v>0.99805420114513055</v>
      </c>
      <c r="X570" s="67">
        <f>'Inputs_NT INM'!AD449</f>
        <v>0</v>
      </c>
      <c r="Y570" s="67">
        <f>'Inputs_NT INM'!AE449</f>
        <v>0</v>
      </c>
      <c r="Z570" s="67">
        <f>'Inputs_NT INM'!AF449</f>
        <v>1</v>
      </c>
      <c r="AA570" s="67">
        <f>'Inputs_NT INM'!AG449</f>
        <v>1</v>
      </c>
      <c r="AB570" s="67">
        <f>'Inputs_NT INM'!AH449</f>
        <v>1</v>
      </c>
      <c r="AC570" s="67">
        <f>'Inputs_NT INM'!AI449</f>
        <v>1</v>
      </c>
      <c r="AD570" s="67">
        <f>'Inputs_NT INM'!AJ449</f>
        <v>1</v>
      </c>
      <c r="AE570" s="67">
        <f>'Inputs_NT INM'!AK449</f>
        <v>1</v>
      </c>
      <c r="AF570" s="67">
        <f>'Inputs_NT INM'!AL449</f>
        <v>1</v>
      </c>
      <c r="AG570" s="67">
        <f>'Inputs_NT INM'!AM449</f>
        <v>1</v>
      </c>
      <c r="AH570" s="67">
        <f>'Inputs_NT INM'!AN449</f>
        <v>0.98954412741826625</v>
      </c>
      <c r="AI570" s="67"/>
      <c r="AJ570" s="67"/>
      <c r="AK570" s="67"/>
    </row>
    <row r="571" spans="1:37" x14ac:dyDescent="0.25">
      <c r="A571" s="76" t="str">
        <f>IF(OR(SUM('Inputs_NT INM'!M450:AI450)=0,COUNTIF($A$21:$A$60,'Inputs_NT INM'!D450)=0),"*","I"&amp;"-"&amp;'INM_New Techs'!$B$3&amp;"-"&amp;'Inputs_NT INM'!B450&amp;"_"&amp;'Inputs_NT INM'!I450&amp;IF('Inputs_NT INM'!C450="Ordinary","01",IF('Inputs_NT INM'!C450="Improved","02","03")))</f>
        <v>*</v>
      </c>
      <c r="B571" s="9" t="s">
        <v>558</v>
      </c>
      <c r="C571" s="9" t="s">
        <v>332</v>
      </c>
      <c r="D571" s="61" t="s">
        <v>907</v>
      </c>
      <c r="F571" s="61" t="s">
        <v>460</v>
      </c>
      <c r="G571" s="67"/>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c r="AI571" s="67"/>
      <c r="AJ571" s="67"/>
      <c r="AK571" s="67"/>
    </row>
    <row r="572" spans="1:37" x14ac:dyDescent="0.25">
      <c r="A572" s="76" t="str">
        <f>IF(OR(SUM('Inputs_NT INM'!M451:AI451)=0,COUNTIF($A$21:$A$60,'Inputs_NT INM'!D451)=0),"*","I"&amp;"-"&amp;'INM_New Techs'!$B$3&amp;"-"&amp;'Inputs_NT INM'!B451&amp;"_"&amp;'Inputs_NT INM'!I451&amp;IF('Inputs_NT INM'!C451="Ordinary","01",IF('Inputs_NT INM'!C451="Improved","02","03")))</f>
        <v>I-NM-LTH_OIL03</v>
      </c>
      <c r="B572" s="9" t="s">
        <v>119</v>
      </c>
      <c r="C572" s="9" t="s">
        <v>332</v>
      </c>
      <c r="D572" s="61" t="s">
        <v>907</v>
      </c>
      <c r="F572" s="61" t="s">
        <v>460</v>
      </c>
      <c r="G572" s="67">
        <f>'Inputs_NT INM'!M451</f>
        <v>0</v>
      </c>
      <c r="H572" s="67">
        <f>'Inputs_NT INM'!N451</f>
        <v>0</v>
      </c>
      <c r="I572" s="67">
        <f>'Inputs_NT INM'!O451</f>
        <v>0</v>
      </c>
      <c r="J572" s="67">
        <f>'Inputs_NT INM'!P451</f>
        <v>0</v>
      </c>
      <c r="K572" s="67">
        <f>'Inputs_NT INM'!Q451</f>
        <v>0</v>
      </c>
      <c r="L572" s="67">
        <f>'Inputs_NT INM'!R451</f>
        <v>0</v>
      </c>
      <c r="M572" s="67">
        <f>'Inputs_NT INM'!S451</f>
        <v>2.244511805109321E-3</v>
      </c>
      <c r="N572" s="67">
        <f>'Inputs_NT INM'!T451</f>
        <v>0</v>
      </c>
      <c r="O572" s="67">
        <f>'Inputs_NT INM'!U451</f>
        <v>1.4178549549792524E-3</v>
      </c>
      <c r="P572" s="67">
        <f>'Inputs_NT INM'!V451</f>
        <v>0</v>
      </c>
      <c r="Q572" s="67">
        <f>'Inputs_NT INM'!W451</f>
        <v>0</v>
      </c>
      <c r="R572" s="67">
        <f>'Inputs_NT INM'!X451</f>
        <v>0</v>
      </c>
      <c r="S572" s="67">
        <f>'Inputs_NT INM'!Y451</f>
        <v>0</v>
      </c>
      <c r="T572" s="67">
        <f>'Inputs_NT INM'!Z451</f>
        <v>0</v>
      </c>
      <c r="U572" s="67">
        <f>'Inputs_NT INM'!AA451</f>
        <v>3.9824292213258897E-5</v>
      </c>
      <c r="V572" s="67">
        <f>'Inputs_NT INM'!AB451</f>
        <v>1.9457988548694542E-3</v>
      </c>
      <c r="W572" s="67">
        <f>'Inputs_NT INM'!AC451</f>
        <v>1.9457988548694542E-3</v>
      </c>
      <c r="X572" s="67">
        <f>'Inputs_NT INM'!AD451</f>
        <v>0</v>
      </c>
      <c r="Y572" s="67">
        <f>'Inputs_NT INM'!AE451</f>
        <v>0</v>
      </c>
      <c r="Z572" s="67">
        <f>'Inputs_NT INM'!AF451</f>
        <v>0</v>
      </c>
      <c r="AA572" s="67">
        <f>'Inputs_NT INM'!AG451</f>
        <v>0</v>
      </c>
      <c r="AB572" s="67">
        <f>'Inputs_NT INM'!AH451</f>
        <v>0</v>
      </c>
      <c r="AC572" s="67">
        <f>'Inputs_NT INM'!AI451</f>
        <v>0</v>
      </c>
      <c r="AD572" s="67">
        <f>'Inputs_NT INM'!AJ451</f>
        <v>0</v>
      </c>
      <c r="AE572" s="67">
        <f>'Inputs_NT INM'!AK451</f>
        <v>0</v>
      </c>
      <c r="AF572" s="67">
        <f>'Inputs_NT INM'!AL451</f>
        <v>0</v>
      </c>
      <c r="AG572" s="67">
        <f>'Inputs_NT INM'!AM451</f>
        <v>0</v>
      </c>
      <c r="AH572" s="67">
        <f>'Inputs_NT INM'!AN451</f>
        <v>1.045587258173373E-2</v>
      </c>
      <c r="AI572" s="67"/>
      <c r="AJ572" s="67"/>
      <c r="AK572" s="67"/>
    </row>
    <row r="573" spans="1:37" x14ac:dyDescent="0.25">
      <c r="A573" s="76" t="str">
        <f>IF(OR(SUM('Inputs_NT INM'!M452:AI452)=0,COUNTIF($A$21:$A$60,'Inputs_NT INM'!D452)=0),"*","I"&amp;"-"&amp;'INM_New Techs'!$B$3&amp;"-"&amp;'Inputs_NT INM'!B452&amp;"_"&amp;'Inputs_NT INM'!I452&amp;IF('Inputs_NT INM'!C452="Ordinary","01",IF('Inputs_NT INM'!C452="Improved","02","03")))</f>
        <v>I-NM-LTH_GAS03</v>
      </c>
      <c r="B573" s="9" t="s">
        <v>115</v>
      </c>
      <c r="C573" s="9" t="s">
        <v>332</v>
      </c>
      <c r="D573" s="61" t="s">
        <v>907</v>
      </c>
      <c r="F573" s="61" t="s">
        <v>460</v>
      </c>
      <c r="G573" s="67">
        <f>'Inputs_NT INM'!M452</f>
        <v>0</v>
      </c>
      <c r="H573" s="67">
        <f>'Inputs_NT INM'!N452</f>
        <v>0</v>
      </c>
      <c r="I573" s="67">
        <f>'Inputs_NT INM'!O452</f>
        <v>0</v>
      </c>
      <c r="J573" s="67">
        <f>'Inputs_NT INM'!P452</f>
        <v>0</v>
      </c>
      <c r="K573" s="67">
        <f>'Inputs_NT INM'!Q452</f>
        <v>3.7804839902260095E-3</v>
      </c>
      <c r="L573" s="67">
        <f>'Inputs_NT INM'!R452</f>
        <v>0</v>
      </c>
      <c r="M573" s="67">
        <f>'Inputs_NT INM'!S452</f>
        <v>0</v>
      </c>
      <c r="N573" s="67">
        <f>'Inputs_NT INM'!T452</f>
        <v>0</v>
      </c>
      <c r="O573" s="67">
        <f>'Inputs_NT INM'!U452</f>
        <v>0</v>
      </c>
      <c r="P573" s="67">
        <f>'Inputs_NT INM'!V452</f>
        <v>0</v>
      </c>
      <c r="Q573" s="67">
        <f>'Inputs_NT INM'!W452</f>
        <v>0</v>
      </c>
      <c r="R573" s="67">
        <f>'Inputs_NT INM'!X452</f>
        <v>0</v>
      </c>
      <c r="S573" s="67">
        <f>'Inputs_NT INM'!Y452</f>
        <v>0</v>
      </c>
      <c r="T573" s="67">
        <f>'Inputs_NT INM'!Z452</f>
        <v>0</v>
      </c>
      <c r="U573" s="67">
        <f>'Inputs_NT INM'!AA452</f>
        <v>3.0120781616915814E-4</v>
      </c>
      <c r="V573" s="67">
        <f>'Inputs_NT INM'!AB452</f>
        <v>9.7520092465061266E-4</v>
      </c>
      <c r="W573" s="67">
        <f>'Inputs_NT INM'!AC452</f>
        <v>9.7520092465061266E-4</v>
      </c>
      <c r="X573" s="67">
        <f>'Inputs_NT INM'!AD452</f>
        <v>0</v>
      </c>
      <c r="Y573" s="67">
        <f>'Inputs_NT INM'!AE452</f>
        <v>0</v>
      </c>
      <c r="Z573" s="67">
        <f>'Inputs_NT INM'!AF452</f>
        <v>0</v>
      </c>
      <c r="AA573" s="67">
        <f>'Inputs_NT INM'!AG452</f>
        <v>0</v>
      </c>
      <c r="AB573" s="67">
        <f>'Inputs_NT INM'!AH452</f>
        <v>0</v>
      </c>
      <c r="AC573" s="67">
        <f>'Inputs_NT INM'!AI452</f>
        <v>0</v>
      </c>
      <c r="AD573" s="67">
        <f>'Inputs_NT INM'!AJ452</f>
        <v>0</v>
      </c>
      <c r="AE573" s="67">
        <f>'Inputs_NT INM'!AK452</f>
        <v>0</v>
      </c>
      <c r="AF573" s="67">
        <f>'Inputs_NT INM'!AL452</f>
        <v>0</v>
      </c>
      <c r="AG573" s="67">
        <f>'Inputs_NT INM'!AM452</f>
        <v>0</v>
      </c>
      <c r="AH573" s="67">
        <f>'Inputs_NT INM'!AN452</f>
        <v>0</v>
      </c>
      <c r="AI573" s="67"/>
      <c r="AJ573" s="67"/>
      <c r="AK573" s="67"/>
    </row>
    <row r="574" spans="1:37" x14ac:dyDescent="0.25">
      <c r="A574" s="76" t="str">
        <f>IF(OR(SUM('Inputs_NT INM'!M453:AI453)=0,COUNTIF($A$21:$A$60,'Inputs_NT INM'!D453)=0),"*","I"&amp;"-"&amp;'INM_New Techs'!$B$3&amp;"-"&amp;'Inputs_NT INM'!B453&amp;"_"&amp;'Inputs_NT INM'!I453&amp;IF('Inputs_NT INM'!C453="Ordinary","01",IF('Inputs_NT INM'!C453="Improved","02","03")))</f>
        <v>*</v>
      </c>
      <c r="B574" s="9" t="s">
        <v>558</v>
      </c>
      <c r="C574" s="9" t="s">
        <v>332</v>
      </c>
      <c r="D574" s="61" t="s">
        <v>907</v>
      </c>
      <c r="F574" s="61" t="s">
        <v>460</v>
      </c>
      <c r="G574" s="67"/>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c r="AH574" s="67"/>
      <c r="AI574" s="67"/>
      <c r="AJ574" s="67"/>
      <c r="AK574" s="67"/>
    </row>
    <row r="575" spans="1:37" x14ac:dyDescent="0.25">
      <c r="A575" s="76" t="str">
        <f>IF(OR(SUM('Inputs_NT INM'!M454:AI454)=0,COUNTIF($A$21:$A$60,'Inputs_NT INM'!D454)=0),"*","I"&amp;"-"&amp;'INM_New Techs'!$B$3&amp;"-"&amp;'Inputs_NT INM'!B454&amp;"_"&amp;'Inputs_NT INM'!I454&amp;IF('Inputs_NT INM'!C454="Ordinary","01",IF('Inputs_NT INM'!C454="Improved","02","03")))</f>
        <v>*</v>
      </c>
      <c r="B575" s="9" t="s">
        <v>558</v>
      </c>
      <c r="C575" s="9" t="s">
        <v>332</v>
      </c>
      <c r="D575" s="61" t="s">
        <v>907</v>
      </c>
      <c r="F575" s="61" t="s">
        <v>460</v>
      </c>
      <c r="G575" s="67"/>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c r="AH575" s="67"/>
      <c r="AI575" s="67"/>
      <c r="AJ575" s="67"/>
      <c r="AK575" s="67"/>
    </row>
    <row r="576" spans="1:37" x14ac:dyDescent="0.25">
      <c r="A576" s="76" t="str">
        <f>IF(OR(SUM('Inputs_NT INM'!M455:AI455)=0,COUNTIF($A$21:$A$60,'Inputs_NT INM'!D455)=0),"*","I"&amp;"-"&amp;'INM_New Techs'!$B$3&amp;"-"&amp;'Inputs_NT INM'!B455&amp;"_"&amp;'Inputs_NT INM'!I455&amp;IF('Inputs_NT INM'!C455="Ordinary","01",IF('Inputs_NT INM'!C455="Improved","02","03")))</f>
        <v>I-NM-LTH_ELC03</v>
      </c>
      <c r="B576" s="9" t="s">
        <v>137</v>
      </c>
      <c r="C576" s="9" t="s">
        <v>332</v>
      </c>
      <c r="D576" s="61" t="s">
        <v>907</v>
      </c>
      <c r="F576" s="61" t="s">
        <v>460</v>
      </c>
      <c r="G576" s="67">
        <f>'Inputs_NT INM'!M455</f>
        <v>0</v>
      </c>
      <c r="H576" s="67">
        <f>'Inputs_NT INM'!N455</f>
        <v>0</v>
      </c>
      <c r="I576" s="67">
        <f>'Inputs_NT INM'!O455</f>
        <v>0</v>
      </c>
      <c r="J576" s="67">
        <f>'Inputs_NT INM'!P455</f>
        <v>0</v>
      </c>
      <c r="K576" s="67">
        <f>'Inputs_NT INM'!Q455</f>
        <v>0</v>
      </c>
      <c r="L576" s="67">
        <f>'Inputs_NT INM'!R455</f>
        <v>0</v>
      </c>
      <c r="M576" s="67">
        <f>'Inputs_NT INM'!S455</f>
        <v>0</v>
      </c>
      <c r="N576" s="67">
        <f>'Inputs_NT INM'!T455</f>
        <v>0</v>
      </c>
      <c r="O576" s="67">
        <f>'Inputs_NT INM'!U455</f>
        <v>0</v>
      </c>
      <c r="P576" s="67">
        <f>'Inputs_NT INM'!V455</f>
        <v>0</v>
      </c>
      <c r="Q576" s="67">
        <f>'Inputs_NT INM'!W455</f>
        <v>0</v>
      </c>
      <c r="R576" s="67">
        <f>'Inputs_NT INM'!X455</f>
        <v>0</v>
      </c>
      <c r="S576" s="67">
        <f>'Inputs_NT INM'!Y455</f>
        <v>0</v>
      </c>
      <c r="T576" s="67">
        <f>'Inputs_NT INM'!Z455</f>
        <v>0</v>
      </c>
      <c r="U576" s="67">
        <f>'Inputs_NT INM'!AA455</f>
        <v>0</v>
      </c>
      <c r="V576" s="67">
        <f>'Inputs_NT INM'!AB455</f>
        <v>1.0565926842793377E-5</v>
      </c>
      <c r="W576" s="67">
        <f>'Inputs_NT INM'!AC455</f>
        <v>1.0565926842793377E-5</v>
      </c>
      <c r="X576" s="67">
        <f>'Inputs_NT INM'!AD455</f>
        <v>0</v>
      </c>
      <c r="Y576" s="67">
        <f>'Inputs_NT INM'!AE455</f>
        <v>0</v>
      </c>
      <c r="Z576" s="67">
        <f>'Inputs_NT INM'!AF455</f>
        <v>0</v>
      </c>
      <c r="AA576" s="67">
        <f>'Inputs_NT INM'!AG455</f>
        <v>0</v>
      </c>
      <c r="AB576" s="67">
        <f>'Inputs_NT INM'!AH455</f>
        <v>0</v>
      </c>
      <c r="AC576" s="67">
        <f>'Inputs_NT INM'!AI455</f>
        <v>0</v>
      </c>
      <c r="AD576" s="67">
        <f>'Inputs_NT INM'!AJ455</f>
        <v>0</v>
      </c>
      <c r="AE576" s="67">
        <f>'Inputs_NT INM'!AK455</f>
        <v>0</v>
      </c>
      <c r="AF576" s="67">
        <f>'Inputs_NT INM'!AL455</f>
        <v>0</v>
      </c>
      <c r="AG576" s="67">
        <f>'Inputs_NT INM'!AM455</f>
        <v>0</v>
      </c>
      <c r="AH576" s="67">
        <f>'Inputs_NT INM'!AN455</f>
        <v>0</v>
      </c>
      <c r="AI576" s="67"/>
      <c r="AJ576" s="67"/>
      <c r="AK576" s="67"/>
    </row>
    <row r="577" spans="1:37" x14ac:dyDescent="0.25">
      <c r="A577" s="76" t="str">
        <f>IF(OR(SUM('Inputs_NT INM'!M456:AI456)=0,COUNTIF($A$21:$A$60,'Inputs_NT INM'!D456)=0),"*","I"&amp;"-"&amp;'INM_New Techs'!$B$3&amp;"-"&amp;'Inputs_NT INM'!B456&amp;"_"&amp;'Inputs_NT INM'!I456&amp;IF('Inputs_NT INM'!C456="Ordinary","01",IF('Inputs_NT INM'!C456="Improved","02","03")))</f>
        <v>I-NM-LTH_ELC03</v>
      </c>
      <c r="B577" s="9" t="s">
        <v>126</v>
      </c>
      <c r="C577" s="9" t="s">
        <v>332</v>
      </c>
      <c r="D577" s="61" t="s">
        <v>907</v>
      </c>
      <c r="F577" s="61" t="s">
        <v>460</v>
      </c>
      <c r="G577" s="67">
        <f>'Inputs_NT INM'!M456</f>
        <v>0</v>
      </c>
      <c r="H577" s="67">
        <f>'Inputs_NT INM'!N456</f>
        <v>1</v>
      </c>
      <c r="I577" s="67">
        <f>'Inputs_NT INM'!O456</f>
        <v>1</v>
      </c>
      <c r="J577" s="67">
        <f>'Inputs_NT INM'!P456</f>
        <v>1</v>
      </c>
      <c r="K577" s="67">
        <f>'Inputs_NT INM'!Q456</f>
        <v>1</v>
      </c>
      <c r="L577" s="67">
        <f>'Inputs_NT INM'!R456</f>
        <v>1</v>
      </c>
      <c r="M577" s="67">
        <f>'Inputs_NT INM'!S456</f>
        <v>1</v>
      </c>
      <c r="N577" s="67">
        <f>'Inputs_NT INM'!T456</f>
        <v>0</v>
      </c>
      <c r="O577" s="67">
        <f>'Inputs_NT INM'!U456</f>
        <v>1</v>
      </c>
      <c r="P577" s="67">
        <f>'Inputs_NT INM'!V456</f>
        <v>1</v>
      </c>
      <c r="Q577" s="67">
        <f>'Inputs_NT INM'!W456</f>
        <v>1</v>
      </c>
      <c r="R577" s="67">
        <f>'Inputs_NT INM'!X456</f>
        <v>0</v>
      </c>
      <c r="S577" s="67">
        <f>'Inputs_NT INM'!Y456</f>
        <v>1</v>
      </c>
      <c r="T577" s="67">
        <f>'Inputs_NT INM'!Z456</f>
        <v>1</v>
      </c>
      <c r="U577" s="67">
        <f>'Inputs_NT INM'!AA456</f>
        <v>1</v>
      </c>
      <c r="V577" s="67">
        <f>'Inputs_NT INM'!AB456</f>
        <v>0.99998943407315721</v>
      </c>
      <c r="W577" s="67">
        <f>'Inputs_NT INM'!AC456</f>
        <v>0.99998943407315721</v>
      </c>
      <c r="X577" s="67">
        <f>'Inputs_NT INM'!AD456</f>
        <v>0</v>
      </c>
      <c r="Y577" s="67">
        <f>'Inputs_NT INM'!AE456</f>
        <v>0</v>
      </c>
      <c r="Z577" s="67">
        <f>'Inputs_NT INM'!AF456</f>
        <v>1</v>
      </c>
      <c r="AA577" s="67">
        <f>'Inputs_NT INM'!AG456</f>
        <v>1</v>
      </c>
      <c r="AB577" s="67">
        <f>'Inputs_NT INM'!AH456</f>
        <v>1</v>
      </c>
      <c r="AC577" s="67">
        <f>'Inputs_NT INM'!AI456</f>
        <v>1</v>
      </c>
      <c r="AD577" s="67">
        <f>'Inputs_NT INM'!AJ456</f>
        <v>1</v>
      </c>
      <c r="AE577" s="67">
        <f>'Inputs_NT INM'!AK456</f>
        <v>0</v>
      </c>
      <c r="AF577" s="67">
        <f>'Inputs_NT INM'!AL456</f>
        <v>1</v>
      </c>
      <c r="AG577" s="67">
        <f>'Inputs_NT INM'!AM456</f>
        <v>1</v>
      </c>
      <c r="AH577" s="67">
        <f>'Inputs_NT INM'!AN456</f>
        <v>1</v>
      </c>
      <c r="AI577" s="67"/>
      <c r="AJ577" s="67"/>
      <c r="AK577" s="67"/>
    </row>
    <row r="578" spans="1:37" x14ac:dyDescent="0.25">
      <c r="A578" s="76" t="str">
        <f>IF(OR(SUM('Inputs_NT INM'!M457:AI457)=0,COUNTIF($A$21:$A$60,'Inputs_NT INM'!D457)=0),"*","I"&amp;"-"&amp;'INM_New Techs'!$B$3&amp;"-"&amp;'Inputs_NT INM'!B457&amp;"_"&amp;'Inputs_NT INM'!I457&amp;IF('Inputs_NT INM'!C457="Ordinary","01",IF('Inputs_NT INM'!C457="Improved","02","03")))</f>
        <v>*</v>
      </c>
      <c r="B578" s="9" t="s">
        <v>558</v>
      </c>
      <c r="C578" s="9" t="s">
        <v>332</v>
      </c>
      <c r="D578" s="61" t="s">
        <v>907</v>
      </c>
      <c r="F578" s="61" t="s">
        <v>460</v>
      </c>
      <c r="G578" s="67"/>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c r="AH578" s="67"/>
      <c r="AI578" s="67"/>
      <c r="AJ578" s="67"/>
      <c r="AK578" s="67"/>
    </row>
    <row r="579" spans="1:37" x14ac:dyDescent="0.25">
      <c r="A579" s="76" t="str">
        <f>IF(OR(SUM('Inputs_NT INM'!M458:AI458)=0,COUNTIF($A$21:$A$60,'Inputs_NT INM'!D458)=0),"*","I"&amp;"-"&amp;'INM_New Techs'!$B$3&amp;"-"&amp;'Inputs_NT INM'!B458&amp;"_"&amp;'Inputs_NT INM'!I458&amp;IF('Inputs_NT INM'!C458="Ordinary","01",IF('Inputs_NT INM'!C458="Improved","02","03")))</f>
        <v>I-NM-LTH_GAS03</v>
      </c>
      <c r="B579" s="9" t="s">
        <v>132</v>
      </c>
      <c r="C579" s="9" t="s">
        <v>332</v>
      </c>
      <c r="D579" s="61" t="s">
        <v>907</v>
      </c>
      <c r="F579" s="61" t="s">
        <v>460</v>
      </c>
      <c r="G579" s="67">
        <f>'Inputs_NT INM'!M458</f>
        <v>0</v>
      </c>
      <c r="H579" s="67">
        <f>'Inputs_NT INM'!N458</f>
        <v>2.253002537937546E-2</v>
      </c>
      <c r="I579" s="67">
        <f>'Inputs_NT INM'!O458</f>
        <v>0</v>
      </c>
      <c r="J579" s="67">
        <f>'Inputs_NT INM'!P458</f>
        <v>0</v>
      </c>
      <c r="K579" s="67">
        <f>'Inputs_NT INM'!Q458</f>
        <v>7.8606816807532842E-2</v>
      </c>
      <c r="L579" s="67">
        <f>'Inputs_NT INM'!R458</f>
        <v>1.0885051020294327E-2</v>
      </c>
      <c r="M579" s="67">
        <f>'Inputs_NT INM'!S458</f>
        <v>0.13511663349361738</v>
      </c>
      <c r="N579" s="67">
        <f>'Inputs_NT INM'!T458</f>
        <v>0</v>
      </c>
      <c r="O579" s="67">
        <f>'Inputs_NT INM'!U458</f>
        <v>7.8481852777614228E-2</v>
      </c>
      <c r="P579" s="67">
        <f>'Inputs_NT INM'!V458</f>
        <v>0</v>
      </c>
      <c r="Q579" s="67">
        <f>'Inputs_NT INM'!W458</f>
        <v>1.9606305844928881E-2</v>
      </c>
      <c r="R579" s="67">
        <f>'Inputs_NT INM'!X458</f>
        <v>0.9976875048176983</v>
      </c>
      <c r="S579" s="67">
        <f>'Inputs_NT INM'!Y458</f>
        <v>2.3674341468874389E-2</v>
      </c>
      <c r="T579" s="67">
        <f>'Inputs_NT INM'!Z458</f>
        <v>0</v>
      </c>
      <c r="U579" s="67">
        <f>'Inputs_NT INM'!AA458</f>
        <v>8.7535227729794701E-3</v>
      </c>
      <c r="V579" s="67">
        <f>'Inputs_NT INM'!AB458</f>
        <v>2.2027979706591275E-2</v>
      </c>
      <c r="W579" s="67">
        <f>'Inputs_NT INM'!AC458</f>
        <v>2.2027979706591275E-2</v>
      </c>
      <c r="X579" s="67">
        <f>'Inputs_NT INM'!AD458</f>
        <v>0</v>
      </c>
      <c r="Y579" s="67">
        <f>'Inputs_NT INM'!AE458</f>
        <v>0</v>
      </c>
      <c r="Z579" s="67">
        <f>'Inputs_NT INM'!AF458</f>
        <v>0.17695693936118218</v>
      </c>
      <c r="AA579" s="67">
        <f>'Inputs_NT INM'!AG458</f>
        <v>1.9606305844928881E-2</v>
      </c>
      <c r="AB579" s="67">
        <f>'Inputs_NT INM'!AH458</f>
        <v>1.0885051020294327E-2</v>
      </c>
      <c r="AC579" s="67">
        <f>'Inputs_NT INM'!AI458</f>
        <v>0</v>
      </c>
      <c r="AD579" s="67">
        <f>'Inputs_NT INM'!AJ458</f>
        <v>2.77569797007196E-3</v>
      </c>
      <c r="AE579" s="67">
        <f>'Inputs_NT INM'!AK458</f>
        <v>0</v>
      </c>
      <c r="AF579" s="67">
        <f>'Inputs_NT INM'!AL458</f>
        <v>2.5886103401703848E-3</v>
      </c>
      <c r="AG579" s="67">
        <f>'Inputs_NT INM'!AM458</f>
        <v>2.7241040649219075E-2</v>
      </c>
      <c r="AH579" s="67">
        <f>'Inputs_NT INM'!AN458</f>
        <v>4.2567186695933821E-3</v>
      </c>
      <c r="AI579" s="67"/>
      <c r="AJ579" s="67"/>
      <c r="AK579" s="67"/>
    </row>
    <row r="580" spans="1:37" x14ac:dyDescent="0.25">
      <c r="A580" s="76" t="str">
        <f>IF(OR(SUM('Inputs_NT INM'!M459:AI459)=0,COUNTIF($A$21:$A$60,'Inputs_NT INM'!D459)=0),"*","I"&amp;"-"&amp;'INM_New Techs'!$B$3&amp;"-"&amp;'Inputs_NT INM'!B459&amp;"_"&amp;'Inputs_NT INM'!I459&amp;IF('Inputs_NT INM'!C459="Ordinary","01",IF('Inputs_NT INM'!C459="Improved","02","03")))</f>
        <v>I-NM-LTH_H2G03</v>
      </c>
      <c r="B580" s="9" t="s">
        <v>141</v>
      </c>
      <c r="C580" s="9" t="s">
        <v>332</v>
      </c>
      <c r="D580" s="61" t="s">
        <v>907</v>
      </c>
      <c r="F580" s="61" t="s">
        <v>460</v>
      </c>
      <c r="G580" s="67">
        <f>'Inputs_NT INM'!M459</f>
        <v>1</v>
      </c>
      <c r="H580" s="67">
        <f>'Inputs_NT INM'!N459</f>
        <v>1</v>
      </c>
      <c r="I580" s="67">
        <f>'Inputs_NT INM'!O459</f>
        <v>1</v>
      </c>
      <c r="J580" s="67">
        <f>'Inputs_NT INM'!P459</f>
        <v>1</v>
      </c>
      <c r="K580" s="67">
        <f>'Inputs_NT INM'!Q459</f>
        <v>1</v>
      </c>
      <c r="L580" s="67">
        <f>'Inputs_NT INM'!R459</f>
        <v>1</v>
      </c>
      <c r="M580" s="67">
        <f>'Inputs_NT INM'!S459</f>
        <v>1</v>
      </c>
      <c r="N580" s="67">
        <f>'Inputs_NT INM'!T459</f>
        <v>1</v>
      </c>
      <c r="O580" s="67">
        <f>'Inputs_NT INM'!U459</f>
        <v>1</v>
      </c>
      <c r="P580" s="67">
        <f>'Inputs_NT INM'!V459</f>
        <v>1</v>
      </c>
      <c r="Q580" s="67">
        <f>'Inputs_NT INM'!W459</f>
        <v>1</v>
      </c>
      <c r="R580" s="67">
        <f>'Inputs_NT INM'!X459</f>
        <v>1</v>
      </c>
      <c r="S580" s="67">
        <f>'Inputs_NT INM'!Y459</f>
        <v>1</v>
      </c>
      <c r="T580" s="67">
        <f>'Inputs_NT INM'!Z459</f>
        <v>1</v>
      </c>
      <c r="U580" s="67">
        <f>'Inputs_NT INM'!AA459</f>
        <v>1</v>
      </c>
      <c r="V580" s="67">
        <f>'Inputs_NT INM'!AB459</f>
        <v>1</v>
      </c>
      <c r="W580" s="67">
        <f>'Inputs_NT INM'!AC459</f>
        <v>1</v>
      </c>
      <c r="X580" s="67">
        <f>'Inputs_NT INM'!AD459</f>
        <v>1</v>
      </c>
      <c r="Y580" s="67">
        <f>'Inputs_NT INM'!AE459</f>
        <v>1</v>
      </c>
      <c r="Z580" s="67">
        <f>'Inputs_NT INM'!AF459</f>
        <v>1</v>
      </c>
      <c r="AA580" s="67">
        <f>'Inputs_NT INM'!AG459</f>
        <v>1</v>
      </c>
      <c r="AB580" s="67">
        <f>'Inputs_NT INM'!AH459</f>
        <v>1</v>
      </c>
      <c r="AC580" s="67">
        <f>'Inputs_NT INM'!AI459</f>
        <v>1</v>
      </c>
      <c r="AD580" s="67">
        <f>'Inputs_NT INM'!AJ459</f>
        <v>1</v>
      </c>
      <c r="AE580" s="67">
        <f>'Inputs_NT INM'!AK459</f>
        <v>1</v>
      </c>
      <c r="AF580" s="67">
        <f>'Inputs_NT INM'!AL459</f>
        <v>1</v>
      </c>
      <c r="AG580" s="67">
        <f>'Inputs_NT INM'!AM459</f>
        <v>1</v>
      </c>
      <c r="AH580" s="67">
        <f>'Inputs_NT INM'!AN459</f>
        <v>1</v>
      </c>
      <c r="AI580" s="67"/>
      <c r="AJ580" s="67"/>
      <c r="AK580" s="67"/>
    </row>
    <row r="581" spans="1:37" x14ac:dyDescent="0.25">
      <c r="A581" s="76" t="str">
        <f>IF(OR(SUM('Inputs_NT INM'!M460:AI460)=0,COUNTIF($A$21:$A$60,'Inputs_NT INM'!D460)=0),"*","I"&amp;"-"&amp;'INM_New Techs'!$B$3&amp;"-"&amp;'Inputs_NT INM'!B460&amp;"_"&amp;'Inputs_NT INM'!I460&amp;IF('Inputs_NT INM'!C460="Ordinary","01",IF('Inputs_NT INM'!C460="Improved","02","03")))</f>
        <v>I-NM-MDR_ELC01</v>
      </c>
      <c r="B581" s="9" t="s">
        <v>126</v>
      </c>
      <c r="C581" s="9" t="s">
        <v>332</v>
      </c>
      <c r="D581" s="61" t="s">
        <v>907</v>
      </c>
      <c r="F581" s="61" t="s">
        <v>460</v>
      </c>
      <c r="G581" s="67">
        <f>'Inputs_NT INM'!M460</f>
        <v>0</v>
      </c>
      <c r="H581" s="67">
        <f>'Inputs_NT INM'!N460</f>
        <v>1</v>
      </c>
      <c r="I581" s="67">
        <f>'Inputs_NT INM'!O460</f>
        <v>1</v>
      </c>
      <c r="J581" s="67">
        <f>'Inputs_NT INM'!P460</f>
        <v>1</v>
      </c>
      <c r="K581" s="67">
        <f>'Inputs_NT INM'!Q460</f>
        <v>1</v>
      </c>
      <c r="L581" s="67">
        <f>'Inputs_NT INM'!R460</f>
        <v>1</v>
      </c>
      <c r="M581" s="67">
        <f>'Inputs_NT INM'!S460</f>
        <v>1</v>
      </c>
      <c r="N581" s="67">
        <f>'Inputs_NT INM'!T460</f>
        <v>1</v>
      </c>
      <c r="O581" s="67">
        <f>'Inputs_NT INM'!U460</f>
        <v>1</v>
      </c>
      <c r="P581" s="67">
        <f>'Inputs_NT INM'!V460</f>
        <v>1</v>
      </c>
      <c r="Q581" s="67">
        <f>'Inputs_NT INM'!W460</f>
        <v>1</v>
      </c>
      <c r="R581" s="67">
        <f>'Inputs_NT INM'!X460</f>
        <v>0</v>
      </c>
      <c r="S581" s="67">
        <f>'Inputs_NT INM'!Y460</f>
        <v>1</v>
      </c>
      <c r="T581" s="67">
        <f>'Inputs_NT INM'!Z460</f>
        <v>1</v>
      </c>
      <c r="U581" s="67">
        <f>'Inputs_NT INM'!AA460</f>
        <v>1</v>
      </c>
      <c r="V581" s="67">
        <f>'Inputs_NT INM'!AB460</f>
        <v>1</v>
      </c>
      <c r="W581" s="67">
        <f>'Inputs_NT INM'!AC460</f>
        <v>1</v>
      </c>
      <c r="X581" s="67">
        <f>'Inputs_NT INM'!AD460</f>
        <v>0</v>
      </c>
      <c r="Y581" s="67">
        <f>'Inputs_NT INM'!AE460</f>
        <v>0</v>
      </c>
      <c r="Z581" s="67">
        <f>'Inputs_NT INM'!AF460</f>
        <v>1</v>
      </c>
      <c r="AA581" s="67">
        <f>'Inputs_NT INM'!AG460</f>
        <v>1</v>
      </c>
      <c r="AB581" s="67">
        <f>'Inputs_NT INM'!AH460</f>
        <v>1</v>
      </c>
      <c r="AC581" s="67">
        <f>'Inputs_NT INM'!AI460</f>
        <v>1</v>
      </c>
      <c r="AD581" s="67">
        <f>'Inputs_NT INM'!AJ460</f>
        <v>1</v>
      </c>
      <c r="AE581" s="67">
        <f>'Inputs_NT INM'!AK460</f>
        <v>0</v>
      </c>
      <c r="AF581" s="67">
        <f>'Inputs_NT INM'!AL460</f>
        <v>1</v>
      </c>
      <c r="AG581" s="67">
        <f>'Inputs_NT INM'!AM460</f>
        <v>1</v>
      </c>
      <c r="AH581" s="67">
        <f>'Inputs_NT INM'!AN460</f>
        <v>1</v>
      </c>
      <c r="AI581" s="67"/>
      <c r="AJ581" s="67"/>
      <c r="AK581" s="67"/>
    </row>
    <row r="582" spans="1:37" x14ac:dyDescent="0.25">
      <c r="A582" s="76" t="str">
        <f>IF(OR(SUM('Inputs_NT INM'!M461:AI461)=0,COUNTIF($A$21:$A$60,'Inputs_NT INM'!D461)=0),"*","I"&amp;"-"&amp;'INM_New Techs'!$B$3&amp;"-"&amp;'Inputs_NT INM'!B461&amp;"_"&amp;'Inputs_NT INM'!I461&amp;IF('Inputs_NT INM'!C461="Ordinary","01",IF('Inputs_NT INM'!C461="Improved","02","03")))</f>
        <v>I-NM-MDR_ELC02</v>
      </c>
      <c r="B582" s="9" t="s">
        <v>126</v>
      </c>
      <c r="C582" s="9" t="s">
        <v>332</v>
      </c>
      <c r="D582" s="61" t="s">
        <v>907</v>
      </c>
      <c r="F582" s="61" t="s">
        <v>460</v>
      </c>
      <c r="G582" s="67">
        <f>'Inputs_NT INM'!M461</f>
        <v>0</v>
      </c>
      <c r="H582" s="67">
        <f>'Inputs_NT INM'!N461</f>
        <v>1</v>
      </c>
      <c r="I582" s="67">
        <f>'Inputs_NT INM'!O461</f>
        <v>1</v>
      </c>
      <c r="J582" s="67">
        <f>'Inputs_NT INM'!P461</f>
        <v>1</v>
      </c>
      <c r="K582" s="67">
        <f>'Inputs_NT INM'!Q461</f>
        <v>1</v>
      </c>
      <c r="L582" s="67">
        <f>'Inputs_NT INM'!R461</f>
        <v>1</v>
      </c>
      <c r="M582" s="67">
        <f>'Inputs_NT INM'!S461</f>
        <v>1</v>
      </c>
      <c r="N582" s="67">
        <f>'Inputs_NT INM'!T461</f>
        <v>1</v>
      </c>
      <c r="O582" s="67">
        <f>'Inputs_NT INM'!U461</f>
        <v>1</v>
      </c>
      <c r="P582" s="67">
        <f>'Inputs_NT INM'!V461</f>
        <v>1</v>
      </c>
      <c r="Q582" s="67">
        <f>'Inputs_NT INM'!W461</f>
        <v>1</v>
      </c>
      <c r="R582" s="67">
        <f>'Inputs_NT INM'!X461</f>
        <v>0</v>
      </c>
      <c r="S582" s="67">
        <f>'Inputs_NT INM'!Y461</f>
        <v>1</v>
      </c>
      <c r="T582" s="67">
        <f>'Inputs_NT INM'!Z461</f>
        <v>1</v>
      </c>
      <c r="U582" s="67">
        <f>'Inputs_NT INM'!AA461</f>
        <v>1</v>
      </c>
      <c r="V582" s="67">
        <f>'Inputs_NT INM'!AB461</f>
        <v>1</v>
      </c>
      <c r="W582" s="67">
        <f>'Inputs_NT INM'!AC461</f>
        <v>1</v>
      </c>
      <c r="X582" s="67">
        <f>'Inputs_NT INM'!AD461</f>
        <v>0</v>
      </c>
      <c r="Y582" s="67">
        <f>'Inputs_NT INM'!AE461</f>
        <v>0</v>
      </c>
      <c r="Z582" s="67">
        <f>'Inputs_NT INM'!AF461</f>
        <v>1</v>
      </c>
      <c r="AA582" s="67">
        <f>'Inputs_NT INM'!AG461</f>
        <v>1</v>
      </c>
      <c r="AB582" s="67">
        <f>'Inputs_NT INM'!AH461</f>
        <v>1</v>
      </c>
      <c r="AC582" s="67">
        <f>'Inputs_NT INM'!AI461</f>
        <v>1</v>
      </c>
      <c r="AD582" s="67">
        <f>'Inputs_NT INM'!AJ461</f>
        <v>1</v>
      </c>
      <c r="AE582" s="67">
        <f>'Inputs_NT INM'!AK461</f>
        <v>0</v>
      </c>
      <c r="AF582" s="67">
        <f>'Inputs_NT INM'!AL461</f>
        <v>1</v>
      </c>
      <c r="AG582" s="67">
        <f>'Inputs_NT INM'!AM461</f>
        <v>1</v>
      </c>
      <c r="AH582" s="67">
        <f>'Inputs_NT INM'!AN461</f>
        <v>1</v>
      </c>
      <c r="AI582" s="67"/>
      <c r="AJ582" s="67"/>
      <c r="AK582" s="67"/>
    </row>
    <row r="583" spans="1:37" x14ac:dyDescent="0.25">
      <c r="A583" s="76" t="str">
        <f>IF(OR(SUM('Inputs_NT INM'!M462:AI462)=0,COUNTIF($A$21:$A$60,'Inputs_NT INM'!D462)=0),"*","I"&amp;"-"&amp;'INM_New Techs'!$B$3&amp;"-"&amp;'Inputs_NT INM'!B462&amp;"_"&amp;'Inputs_NT INM'!I462&amp;IF('Inputs_NT INM'!C462="Ordinary","01",IF('Inputs_NT INM'!C462="Improved","02","03")))</f>
        <v>I-NM-MDR_ELC03</v>
      </c>
      <c r="B583" s="9" t="s">
        <v>126</v>
      </c>
      <c r="C583" s="9" t="s">
        <v>332</v>
      </c>
      <c r="D583" s="61" t="s">
        <v>907</v>
      </c>
      <c r="F583" s="61" t="s">
        <v>460</v>
      </c>
      <c r="G583" s="67">
        <f>'Inputs_NT INM'!M462</f>
        <v>0</v>
      </c>
      <c r="H583" s="67">
        <f>'Inputs_NT INM'!N462</f>
        <v>1</v>
      </c>
      <c r="I583" s="67">
        <f>'Inputs_NT INM'!O462</f>
        <v>1</v>
      </c>
      <c r="J583" s="67">
        <f>'Inputs_NT INM'!P462</f>
        <v>1</v>
      </c>
      <c r="K583" s="67">
        <f>'Inputs_NT INM'!Q462</f>
        <v>1</v>
      </c>
      <c r="L583" s="67">
        <f>'Inputs_NT INM'!R462</f>
        <v>1</v>
      </c>
      <c r="M583" s="67">
        <f>'Inputs_NT INM'!S462</f>
        <v>1</v>
      </c>
      <c r="N583" s="67">
        <f>'Inputs_NT INM'!T462</f>
        <v>1</v>
      </c>
      <c r="O583" s="67">
        <f>'Inputs_NT INM'!U462</f>
        <v>1</v>
      </c>
      <c r="P583" s="67">
        <f>'Inputs_NT INM'!V462</f>
        <v>1</v>
      </c>
      <c r="Q583" s="67">
        <f>'Inputs_NT INM'!W462</f>
        <v>1</v>
      </c>
      <c r="R583" s="67">
        <f>'Inputs_NT INM'!X462</f>
        <v>0</v>
      </c>
      <c r="S583" s="67">
        <f>'Inputs_NT INM'!Y462</f>
        <v>1</v>
      </c>
      <c r="T583" s="67">
        <f>'Inputs_NT INM'!Z462</f>
        <v>1</v>
      </c>
      <c r="U583" s="67">
        <f>'Inputs_NT INM'!AA462</f>
        <v>1</v>
      </c>
      <c r="V583" s="67">
        <f>'Inputs_NT INM'!AB462</f>
        <v>1</v>
      </c>
      <c r="W583" s="67">
        <f>'Inputs_NT INM'!AC462</f>
        <v>1</v>
      </c>
      <c r="X583" s="67">
        <f>'Inputs_NT INM'!AD462</f>
        <v>0</v>
      </c>
      <c r="Y583" s="67">
        <f>'Inputs_NT INM'!AE462</f>
        <v>0</v>
      </c>
      <c r="Z583" s="67">
        <f>'Inputs_NT INM'!AF462</f>
        <v>1</v>
      </c>
      <c r="AA583" s="67">
        <f>'Inputs_NT INM'!AG462</f>
        <v>1</v>
      </c>
      <c r="AB583" s="67">
        <f>'Inputs_NT INM'!AH462</f>
        <v>1</v>
      </c>
      <c r="AC583" s="67">
        <f>'Inputs_NT INM'!AI462</f>
        <v>1</v>
      </c>
      <c r="AD583" s="67">
        <f>'Inputs_NT INM'!AJ462</f>
        <v>1</v>
      </c>
      <c r="AE583" s="67">
        <f>'Inputs_NT INM'!AK462</f>
        <v>0</v>
      </c>
      <c r="AF583" s="67">
        <f>'Inputs_NT INM'!AL462</f>
        <v>1</v>
      </c>
      <c r="AG583" s="67">
        <f>'Inputs_NT INM'!AM462</f>
        <v>1</v>
      </c>
      <c r="AH583" s="67">
        <f>'Inputs_NT INM'!AN462</f>
        <v>1</v>
      </c>
      <c r="AI583" s="67"/>
      <c r="AJ583" s="67"/>
      <c r="AK583" s="67"/>
    </row>
    <row r="584" spans="1:37" x14ac:dyDescent="0.25">
      <c r="A584" s="76" t="str">
        <f>IF(OR(SUM('Inputs_NT INM'!M463:AI463)=0,COUNTIF($A$21:$A$60,'Inputs_NT INM'!D463)=0),"*","I"&amp;"-"&amp;'INM_New Techs'!$B$3&amp;"-"&amp;'Inputs_NT INM'!B463&amp;"_"&amp;'Inputs_NT INM'!I463&amp;IF('Inputs_NT INM'!C463="Ordinary","01",IF('Inputs_NT INM'!C463="Improved","02","03")))</f>
        <v>*</v>
      </c>
      <c r="B584" s="9" t="s">
        <v>558</v>
      </c>
      <c r="C584" s="9" t="s">
        <v>332</v>
      </c>
      <c r="D584" s="61" t="s">
        <v>907</v>
      </c>
      <c r="F584" s="61" t="s">
        <v>460</v>
      </c>
      <c r="G584" s="67"/>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c r="AI584" s="67"/>
      <c r="AJ584" s="67"/>
      <c r="AK584" s="67"/>
    </row>
    <row r="585" spans="1:37" x14ac:dyDescent="0.25">
      <c r="A585" s="76" t="str">
        <f>IF(OR(SUM('Inputs_NT INM'!M464:AI464)=0,COUNTIF($A$21:$A$60,'Inputs_NT INM'!D464)=0),"*","I"&amp;"-"&amp;'INM_New Techs'!$B$3&amp;"-"&amp;'Inputs_NT INM'!B464&amp;"_"&amp;'Inputs_NT INM'!I464&amp;IF('Inputs_NT INM'!C464="Ordinary","01",IF('Inputs_NT INM'!C464="Improved","02","03")))</f>
        <v>*</v>
      </c>
      <c r="B585" s="9" t="s">
        <v>128</v>
      </c>
      <c r="C585" s="9" t="s">
        <v>332</v>
      </c>
      <c r="D585" s="61" t="s">
        <v>907</v>
      </c>
      <c r="F585" s="61" t="s">
        <v>460</v>
      </c>
      <c r="G585" s="67">
        <f>'Inputs_NT INM'!M464</f>
        <v>0</v>
      </c>
      <c r="H585" s="67">
        <f>'Inputs_NT INM'!N464</f>
        <v>0.97746997462062457</v>
      </c>
      <c r="I585" s="67">
        <f>'Inputs_NT INM'!O464</f>
        <v>0</v>
      </c>
      <c r="J585" s="67">
        <f>'Inputs_NT INM'!P464</f>
        <v>1</v>
      </c>
      <c r="K585" s="67">
        <f>'Inputs_NT INM'!Q464</f>
        <v>0.91761269920224109</v>
      </c>
      <c r="L585" s="67">
        <f>'Inputs_NT INM'!R464</f>
        <v>0.98911494897970564</v>
      </c>
      <c r="M585" s="67">
        <f>'Inputs_NT INM'!S464</f>
        <v>0.86488336650638253</v>
      </c>
      <c r="N585" s="67">
        <f>'Inputs_NT INM'!T464</f>
        <v>0</v>
      </c>
      <c r="O585" s="67">
        <f>'Inputs_NT INM'!U464</f>
        <v>0.92151814722238579</v>
      </c>
      <c r="P585" s="67">
        <f>'Inputs_NT INM'!V464</f>
        <v>1</v>
      </c>
      <c r="Q585" s="67">
        <f>'Inputs_NT INM'!W464</f>
        <v>0.98039369415507116</v>
      </c>
      <c r="R585" s="67">
        <f>'Inputs_NT INM'!X464</f>
        <v>2.3124951823017036E-3</v>
      </c>
      <c r="S585" s="67">
        <f>'Inputs_NT INM'!Y464</f>
        <v>0.97632565853112563</v>
      </c>
      <c r="T585" s="67">
        <f>'Inputs_NT INM'!Z464</f>
        <v>1</v>
      </c>
      <c r="U585" s="67">
        <f>'Inputs_NT INM'!AA464</f>
        <v>0.99094526941085137</v>
      </c>
      <c r="V585" s="67">
        <f>'Inputs_NT INM'!AB464</f>
        <v>0.97699681936875815</v>
      </c>
      <c r="W585" s="67">
        <f>'Inputs_NT INM'!AC464</f>
        <v>0.97699681936875815</v>
      </c>
      <c r="X585" s="67">
        <f>'Inputs_NT INM'!AD464</f>
        <v>0</v>
      </c>
      <c r="Y585" s="67">
        <f>'Inputs_NT INM'!AE464</f>
        <v>0</v>
      </c>
      <c r="Z585" s="67">
        <f>'Inputs_NT INM'!AF464</f>
        <v>0.82304306063881782</v>
      </c>
      <c r="AA585" s="67">
        <f>'Inputs_NT INM'!AG464</f>
        <v>0.98039369415507116</v>
      </c>
      <c r="AB585" s="67">
        <f>'Inputs_NT INM'!AH464</f>
        <v>0.98911494897970564</v>
      </c>
      <c r="AC585" s="67">
        <f>'Inputs_NT INM'!AI464</f>
        <v>1</v>
      </c>
      <c r="AD585" s="67">
        <f>'Inputs_NT INM'!AJ464</f>
        <v>0.99722430202992807</v>
      </c>
      <c r="AE585" s="67">
        <f>'Inputs_NT INM'!AK464</f>
        <v>0</v>
      </c>
      <c r="AF585" s="67">
        <f>'Inputs_NT INM'!AL464</f>
        <v>0.99741138965982956</v>
      </c>
      <c r="AG585" s="67">
        <f>'Inputs_NT INM'!AM464</f>
        <v>0.97275895935078094</v>
      </c>
      <c r="AH585" s="67">
        <f>'Inputs_NT INM'!AN464</f>
        <v>0.99574328133040668</v>
      </c>
      <c r="AI585" s="67"/>
      <c r="AJ585" s="67"/>
      <c r="AK585" s="67"/>
    </row>
    <row r="586" spans="1:37" x14ac:dyDescent="0.25">
      <c r="A586" s="76" t="str">
        <f>IF(OR(SUM('Inputs_NT INM'!M465:AI465)=0,COUNTIF($A$21:$A$60,'Inputs_NT INM'!D465)=0),"*","I"&amp;"-"&amp;'INM_New Techs'!$B$3&amp;"-"&amp;'Inputs_NT INM'!B465&amp;"_"&amp;'Inputs_NT INM'!I465&amp;IF('Inputs_NT INM'!C465="Ordinary","01",IF('Inputs_NT INM'!C465="Improved","02","03")))</f>
        <v>*</v>
      </c>
      <c r="B586" s="9" t="s">
        <v>134</v>
      </c>
      <c r="C586" s="9" t="s">
        <v>332</v>
      </c>
      <c r="D586" s="61" t="s">
        <v>907</v>
      </c>
      <c r="F586" s="61" t="s">
        <v>460</v>
      </c>
      <c r="G586" s="67">
        <f>'Inputs_NT INM'!M465</f>
        <v>1</v>
      </c>
      <c r="H586" s="67">
        <f>'Inputs_NT INM'!N465</f>
        <v>1</v>
      </c>
      <c r="I586" s="67">
        <f>'Inputs_NT INM'!O465</f>
        <v>1</v>
      </c>
      <c r="J586" s="67">
        <f>'Inputs_NT INM'!P465</f>
        <v>1</v>
      </c>
      <c r="K586" s="67">
        <f>'Inputs_NT INM'!Q465</f>
        <v>1</v>
      </c>
      <c r="L586" s="67">
        <f>'Inputs_NT INM'!R465</f>
        <v>1</v>
      </c>
      <c r="M586" s="67">
        <f>'Inputs_NT INM'!S465</f>
        <v>0.99775548819489068</v>
      </c>
      <c r="N586" s="67">
        <f>'Inputs_NT INM'!T465</f>
        <v>0</v>
      </c>
      <c r="O586" s="67">
        <f>'Inputs_NT INM'!U465</f>
        <v>0.99858214504502074</v>
      </c>
      <c r="P586" s="67">
        <f>'Inputs_NT INM'!V465</f>
        <v>1</v>
      </c>
      <c r="Q586" s="67">
        <f>'Inputs_NT INM'!W465</f>
        <v>1</v>
      </c>
      <c r="R586" s="67">
        <f>'Inputs_NT INM'!X465</f>
        <v>1</v>
      </c>
      <c r="S586" s="67">
        <f>'Inputs_NT INM'!Y465</f>
        <v>1</v>
      </c>
      <c r="T586" s="67">
        <f>'Inputs_NT INM'!Z465</f>
        <v>1</v>
      </c>
      <c r="U586" s="67">
        <f>'Inputs_NT INM'!AA465</f>
        <v>0.99996017570778672</v>
      </c>
      <c r="V586" s="67">
        <f>'Inputs_NT INM'!AB465</f>
        <v>0.99805420114513066</v>
      </c>
      <c r="W586" s="67">
        <f>'Inputs_NT INM'!AC465</f>
        <v>0.99805420114513066</v>
      </c>
      <c r="X586" s="67">
        <f>'Inputs_NT INM'!AD465</f>
        <v>0</v>
      </c>
      <c r="Y586" s="67">
        <f>'Inputs_NT INM'!AE465</f>
        <v>0</v>
      </c>
      <c r="Z586" s="67">
        <f>'Inputs_NT INM'!AF465</f>
        <v>1</v>
      </c>
      <c r="AA586" s="67">
        <f>'Inputs_NT INM'!AG465</f>
        <v>1</v>
      </c>
      <c r="AB586" s="67">
        <f>'Inputs_NT INM'!AH465</f>
        <v>1</v>
      </c>
      <c r="AC586" s="67">
        <f>'Inputs_NT INM'!AI465</f>
        <v>1</v>
      </c>
      <c r="AD586" s="67">
        <f>'Inputs_NT INM'!AJ465</f>
        <v>1</v>
      </c>
      <c r="AE586" s="67">
        <f>'Inputs_NT INM'!AK465</f>
        <v>1</v>
      </c>
      <c r="AF586" s="67">
        <f>'Inputs_NT INM'!AL465</f>
        <v>1</v>
      </c>
      <c r="AG586" s="67">
        <f>'Inputs_NT INM'!AM465</f>
        <v>1</v>
      </c>
      <c r="AH586" s="67">
        <f>'Inputs_NT INM'!AN465</f>
        <v>0.98954412741826625</v>
      </c>
      <c r="AI586" s="67"/>
      <c r="AJ586" s="67"/>
      <c r="AK586" s="67"/>
    </row>
    <row r="587" spans="1:37" x14ac:dyDescent="0.25">
      <c r="A587" s="76" t="str">
        <f>IF(OR(SUM('Inputs_NT INM'!M466:AI466)=0,COUNTIF($A$21:$A$60,'Inputs_NT INM'!D466)=0),"*","I"&amp;"-"&amp;'INM_New Techs'!$B$3&amp;"-"&amp;'Inputs_NT INM'!B466&amp;"_"&amp;'Inputs_NT INM'!I466&amp;IF('Inputs_NT INM'!C466="Ordinary","01",IF('Inputs_NT INM'!C466="Improved","02","03")))</f>
        <v>*</v>
      </c>
      <c r="B587" s="9" t="s">
        <v>558</v>
      </c>
      <c r="C587" s="9" t="s">
        <v>332</v>
      </c>
      <c r="D587" s="61" t="s">
        <v>907</v>
      </c>
      <c r="F587" s="61" t="s">
        <v>460</v>
      </c>
      <c r="G587" s="67"/>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c r="AI587" s="67"/>
      <c r="AJ587" s="67"/>
      <c r="AK587" s="67"/>
    </row>
    <row r="588" spans="1:37" x14ac:dyDescent="0.25">
      <c r="A588" s="76" t="str">
        <f>IF(OR(SUM('Inputs_NT INM'!M467:AI467)=0,COUNTIF($A$21:$A$60,'Inputs_NT INM'!D467)=0),"*","I"&amp;"-"&amp;'INM_New Techs'!$B$3&amp;"-"&amp;'Inputs_NT INM'!B467&amp;"_"&amp;'Inputs_NT INM'!I467&amp;IF('Inputs_NT INM'!C467="Ordinary","01",IF('Inputs_NT INM'!C467="Improved","02","03")))</f>
        <v>*</v>
      </c>
      <c r="B588" s="9" t="s">
        <v>119</v>
      </c>
      <c r="C588" s="9" t="s">
        <v>332</v>
      </c>
      <c r="D588" s="61" t="s">
        <v>907</v>
      </c>
      <c r="F588" s="61" t="s">
        <v>460</v>
      </c>
      <c r="G588" s="67">
        <f>'Inputs_NT INM'!M467</f>
        <v>0</v>
      </c>
      <c r="H588" s="67">
        <f>'Inputs_NT INM'!N467</f>
        <v>0</v>
      </c>
      <c r="I588" s="67">
        <f>'Inputs_NT INM'!O467</f>
        <v>0</v>
      </c>
      <c r="J588" s="67">
        <f>'Inputs_NT INM'!P467</f>
        <v>0</v>
      </c>
      <c r="K588" s="67">
        <f>'Inputs_NT INM'!Q467</f>
        <v>0</v>
      </c>
      <c r="L588" s="67">
        <f>'Inputs_NT INM'!R467</f>
        <v>0</v>
      </c>
      <c r="M588" s="67">
        <f>'Inputs_NT INM'!S467</f>
        <v>2.244511805109321E-3</v>
      </c>
      <c r="N588" s="67">
        <f>'Inputs_NT INM'!T467</f>
        <v>0</v>
      </c>
      <c r="O588" s="67">
        <f>'Inputs_NT INM'!U467</f>
        <v>1.4178549549792524E-3</v>
      </c>
      <c r="P588" s="67">
        <f>'Inputs_NT INM'!V467</f>
        <v>0</v>
      </c>
      <c r="Q588" s="67">
        <f>'Inputs_NT INM'!W467</f>
        <v>0</v>
      </c>
      <c r="R588" s="67">
        <f>'Inputs_NT INM'!X467</f>
        <v>0</v>
      </c>
      <c r="S588" s="67">
        <f>'Inputs_NT INM'!Y467</f>
        <v>0</v>
      </c>
      <c r="T588" s="67">
        <f>'Inputs_NT INM'!Z467</f>
        <v>0</v>
      </c>
      <c r="U588" s="67">
        <f>'Inputs_NT INM'!AA467</f>
        <v>3.9824292213258897E-5</v>
      </c>
      <c r="V588" s="67">
        <f>'Inputs_NT INM'!AB467</f>
        <v>1.9457988548694544E-3</v>
      </c>
      <c r="W588" s="67">
        <f>'Inputs_NT INM'!AC467</f>
        <v>1.9457988548694544E-3</v>
      </c>
      <c r="X588" s="67">
        <f>'Inputs_NT INM'!AD467</f>
        <v>0</v>
      </c>
      <c r="Y588" s="67">
        <f>'Inputs_NT INM'!AE467</f>
        <v>0</v>
      </c>
      <c r="Z588" s="67">
        <f>'Inputs_NT INM'!AF467</f>
        <v>0</v>
      </c>
      <c r="AA588" s="67">
        <f>'Inputs_NT INM'!AG467</f>
        <v>0</v>
      </c>
      <c r="AB588" s="67">
        <f>'Inputs_NT INM'!AH467</f>
        <v>0</v>
      </c>
      <c r="AC588" s="67">
        <f>'Inputs_NT INM'!AI467</f>
        <v>0</v>
      </c>
      <c r="AD588" s="67">
        <f>'Inputs_NT INM'!AJ467</f>
        <v>0</v>
      </c>
      <c r="AE588" s="67">
        <f>'Inputs_NT INM'!AK467</f>
        <v>0</v>
      </c>
      <c r="AF588" s="67">
        <f>'Inputs_NT INM'!AL467</f>
        <v>0</v>
      </c>
      <c r="AG588" s="67">
        <f>'Inputs_NT INM'!AM467</f>
        <v>0</v>
      </c>
      <c r="AH588" s="67">
        <f>'Inputs_NT INM'!AN467</f>
        <v>1.0455872581733729E-2</v>
      </c>
      <c r="AI588" s="67"/>
      <c r="AJ588" s="67"/>
      <c r="AK588" s="67"/>
    </row>
    <row r="589" spans="1:37" x14ac:dyDescent="0.25">
      <c r="A589" s="76" t="str">
        <f>IF(OR(SUM('Inputs_NT INM'!M468:AI468)=0,COUNTIF($A$21:$A$60,'Inputs_NT INM'!D468)=0),"*","I"&amp;"-"&amp;'INM_New Techs'!$B$3&amp;"-"&amp;'Inputs_NT INM'!B468&amp;"_"&amp;'Inputs_NT INM'!I468&amp;IF('Inputs_NT INM'!C468="Ordinary","01",IF('Inputs_NT INM'!C468="Improved","02","03")))</f>
        <v>*</v>
      </c>
      <c r="B589" s="9" t="s">
        <v>115</v>
      </c>
      <c r="C589" s="9" t="s">
        <v>332</v>
      </c>
      <c r="D589" s="61" t="s">
        <v>907</v>
      </c>
      <c r="F589" s="61" t="s">
        <v>460</v>
      </c>
      <c r="G589" s="67">
        <f>'Inputs_NT INM'!M468</f>
        <v>0</v>
      </c>
      <c r="H589" s="67">
        <f>'Inputs_NT INM'!N468</f>
        <v>0</v>
      </c>
      <c r="I589" s="67">
        <f>'Inputs_NT INM'!O468</f>
        <v>0</v>
      </c>
      <c r="J589" s="67">
        <f>'Inputs_NT INM'!P468</f>
        <v>0</v>
      </c>
      <c r="K589" s="67">
        <f>'Inputs_NT INM'!Q468</f>
        <v>3.78048399022601E-3</v>
      </c>
      <c r="L589" s="67">
        <f>'Inputs_NT INM'!R468</f>
        <v>0</v>
      </c>
      <c r="M589" s="67">
        <f>'Inputs_NT INM'!S468</f>
        <v>0</v>
      </c>
      <c r="N589" s="67">
        <f>'Inputs_NT INM'!T468</f>
        <v>0</v>
      </c>
      <c r="O589" s="67">
        <f>'Inputs_NT INM'!U468</f>
        <v>0</v>
      </c>
      <c r="P589" s="67">
        <f>'Inputs_NT INM'!V468</f>
        <v>0</v>
      </c>
      <c r="Q589" s="67">
        <f>'Inputs_NT INM'!W468</f>
        <v>0</v>
      </c>
      <c r="R589" s="67">
        <f>'Inputs_NT INM'!X468</f>
        <v>0</v>
      </c>
      <c r="S589" s="67">
        <f>'Inputs_NT INM'!Y468</f>
        <v>0</v>
      </c>
      <c r="T589" s="67">
        <f>'Inputs_NT INM'!Z468</f>
        <v>0</v>
      </c>
      <c r="U589" s="67">
        <f>'Inputs_NT INM'!AA468</f>
        <v>3.0120781616915809E-4</v>
      </c>
      <c r="V589" s="67">
        <f>'Inputs_NT INM'!AB468</f>
        <v>9.7520092465061276E-4</v>
      </c>
      <c r="W589" s="67">
        <f>'Inputs_NT INM'!AC468</f>
        <v>9.7520092465061276E-4</v>
      </c>
      <c r="X589" s="67">
        <f>'Inputs_NT INM'!AD468</f>
        <v>0</v>
      </c>
      <c r="Y589" s="67">
        <f>'Inputs_NT INM'!AE468</f>
        <v>0</v>
      </c>
      <c r="Z589" s="67">
        <f>'Inputs_NT INM'!AF468</f>
        <v>0</v>
      </c>
      <c r="AA589" s="67">
        <f>'Inputs_NT INM'!AG468</f>
        <v>0</v>
      </c>
      <c r="AB589" s="67">
        <f>'Inputs_NT INM'!AH468</f>
        <v>0</v>
      </c>
      <c r="AC589" s="67">
        <f>'Inputs_NT INM'!AI468</f>
        <v>0</v>
      </c>
      <c r="AD589" s="67">
        <f>'Inputs_NT INM'!AJ468</f>
        <v>0</v>
      </c>
      <c r="AE589" s="67">
        <f>'Inputs_NT INM'!AK468</f>
        <v>0</v>
      </c>
      <c r="AF589" s="67">
        <f>'Inputs_NT INM'!AL468</f>
        <v>0</v>
      </c>
      <c r="AG589" s="67">
        <f>'Inputs_NT INM'!AM468</f>
        <v>0</v>
      </c>
      <c r="AH589" s="67">
        <f>'Inputs_NT INM'!AN468</f>
        <v>0</v>
      </c>
      <c r="AI589" s="67"/>
      <c r="AJ589" s="67"/>
      <c r="AK589" s="67"/>
    </row>
    <row r="590" spans="1:37" x14ac:dyDescent="0.25">
      <c r="A590" s="76" t="str">
        <f>IF(OR(SUM('Inputs_NT INM'!M469:AI469)=0,COUNTIF($A$21:$A$60,'Inputs_NT INM'!D469)=0),"*","I"&amp;"-"&amp;'INM_New Techs'!$B$3&amp;"-"&amp;'Inputs_NT INM'!B469&amp;"_"&amp;'Inputs_NT INM'!I469&amp;IF('Inputs_NT INM'!C469="Ordinary","01",IF('Inputs_NT INM'!C469="Improved","02","03")))</f>
        <v>*</v>
      </c>
      <c r="B590" s="9" t="s">
        <v>558</v>
      </c>
      <c r="C590" s="9" t="s">
        <v>332</v>
      </c>
      <c r="D590" s="61" t="s">
        <v>907</v>
      </c>
      <c r="F590" s="61" t="s">
        <v>460</v>
      </c>
      <c r="G590" s="67"/>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c r="AI590" s="67"/>
      <c r="AJ590" s="67"/>
      <c r="AK590" s="67"/>
    </row>
    <row r="591" spans="1:37" x14ac:dyDescent="0.25">
      <c r="A591" s="76" t="str">
        <f>IF(OR(SUM('Inputs_NT INM'!M470:AI470)=0,COUNTIF($A$21:$A$60,'Inputs_NT INM'!D470)=0),"*","I"&amp;"-"&amp;'INM_New Techs'!$B$3&amp;"-"&amp;'Inputs_NT INM'!B470&amp;"_"&amp;'Inputs_NT INM'!I470&amp;IF('Inputs_NT INM'!C470="Ordinary","01",IF('Inputs_NT INM'!C470="Improved","02","03")))</f>
        <v>*</v>
      </c>
      <c r="B591" s="9" t="s">
        <v>558</v>
      </c>
      <c r="C591" s="9" t="s">
        <v>332</v>
      </c>
      <c r="D591" s="61" t="s">
        <v>907</v>
      </c>
      <c r="F591" s="61" t="s">
        <v>460</v>
      </c>
      <c r="G591" s="67"/>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c r="AI591" s="67"/>
      <c r="AJ591" s="67"/>
      <c r="AK591" s="67"/>
    </row>
    <row r="592" spans="1:37" x14ac:dyDescent="0.25">
      <c r="A592" s="76" t="str">
        <f>IF(OR(SUM('Inputs_NT INM'!M471:AI471)=0,COUNTIF($A$21:$A$60,'Inputs_NT INM'!D471)=0),"*","I"&amp;"-"&amp;'INM_New Techs'!$B$3&amp;"-"&amp;'Inputs_NT INM'!B471&amp;"_"&amp;'Inputs_NT INM'!I471&amp;IF('Inputs_NT INM'!C471="Ordinary","01",IF('Inputs_NT INM'!C471="Improved","02","03")))</f>
        <v>I-NM-OTS_ELC01</v>
      </c>
      <c r="B592" s="9" t="s">
        <v>137</v>
      </c>
      <c r="C592" s="9" t="s">
        <v>332</v>
      </c>
      <c r="D592" s="61" t="s">
        <v>907</v>
      </c>
      <c r="F592" s="61" t="s">
        <v>460</v>
      </c>
      <c r="G592" s="67">
        <f>'Inputs_NT INM'!M471</f>
        <v>0</v>
      </c>
      <c r="H592" s="67">
        <f>'Inputs_NT INM'!N471</f>
        <v>0</v>
      </c>
      <c r="I592" s="67">
        <f>'Inputs_NT INM'!O471</f>
        <v>0</v>
      </c>
      <c r="J592" s="67">
        <f>'Inputs_NT INM'!P471</f>
        <v>0</v>
      </c>
      <c r="K592" s="67">
        <f>'Inputs_NT INM'!Q471</f>
        <v>0</v>
      </c>
      <c r="L592" s="67">
        <f>'Inputs_NT INM'!R471</f>
        <v>0</v>
      </c>
      <c r="M592" s="67">
        <f>'Inputs_NT INM'!S471</f>
        <v>0</v>
      </c>
      <c r="N592" s="67">
        <f>'Inputs_NT INM'!T471</f>
        <v>0</v>
      </c>
      <c r="O592" s="67">
        <f>'Inputs_NT INM'!U471</f>
        <v>0</v>
      </c>
      <c r="P592" s="67">
        <f>'Inputs_NT INM'!V471</f>
        <v>0</v>
      </c>
      <c r="Q592" s="67">
        <f>'Inputs_NT INM'!W471</f>
        <v>0</v>
      </c>
      <c r="R592" s="67">
        <f>'Inputs_NT INM'!X471</f>
        <v>0</v>
      </c>
      <c r="S592" s="67">
        <f>'Inputs_NT INM'!Y471</f>
        <v>0</v>
      </c>
      <c r="T592" s="67">
        <f>'Inputs_NT INM'!Z471</f>
        <v>0</v>
      </c>
      <c r="U592" s="67">
        <f>'Inputs_NT INM'!AA471</f>
        <v>0</v>
      </c>
      <c r="V592" s="67">
        <f>'Inputs_NT INM'!AB471</f>
        <v>1.0565926842793376E-5</v>
      </c>
      <c r="W592" s="67">
        <f>'Inputs_NT INM'!AC471</f>
        <v>1.0565926842793376E-5</v>
      </c>
      <c r="X592" s="67">
        <f>'Inputs_NT INM'!AD471</f>
        <v>0</v>
      </c>
      <c r="Y592" s="67">
        <f>'Inputs_NT INM'!AE471</f>
        <v>0</v>
      </c>
      <c r="Z592" s="67">
        <f>'Inputs_NT INM'!AF471</f>
        <v>0</v>
      </c>
      <c r="AA592" s="67">
        <f>'Inputs_NT INM'!AG471</f>
        <v>0</v>
      </c>
      <c r="AB592" s="67">
        <f>'Inputs_NT INM'!AH471</f>
        <v>0</v>
      </c>
      <c r="AC592" s="67">
        <f>'Inputs_NT INM'!AI471</f>
        <v>0</v>
      </c>
      <c r="AD592" s="67">
        <f>'Inputs_NT INM'!AJ471</f>
        <v>0</v>
      </c>
      <c r="AE592" s="67">
        <f>'Inputs_NT INM'!AK471</f>
        <v>0</v>
      </c>
      <c r="AF592" s="67">
        <f>'Inputs_NT INM'!AL471</f>
        <v>0</v>
      </c>
      <c r="AG592" s="67">
        <f>'Inputs_NT INM'!AM471</f>
        <v>0</v>
      </c>
      <c r="AH592" s="67">
        <f>'Inputs_NT INM'!AN471</f>
        <v>0</v>
      </c>
      <c r="AI592" s="67"/>
      <c r="AJ592" s="67"/>
      <c r="AK592" s="67"/>
    </row>
    <row r="593" spans="1:37" x14ac:dyDescent="0.25">
      <c r="A593" s="76" t="str">
        <f>IF(OR(SUM('Inputs_NT INM'!M472:AI472)=0,COUNTIF($A$21:$A$60,'Inputs_NT INM'!D472)=0),"*","I"&amp;"-"&amp;'INM_New Techs'!$B$3&amp;"-"&amp;'Inputs_NT INM'!B472&amp;"_"&amp;'Inputs_NT INM'!I472&amp;IF('Inputs_NT INM'!C472="Ordinary","01",IF('Inputs_NT INM'!C472="Improved","02","03")))</f>
        <v>I-NM-OTS_ELC01</v>
      </c>
      <c r="B593" s="9" t="s">
        <v>126</v>
      </c>
      <c r="C593" s="9" t="s">
        <v>332</v>
      </c>
      <c r="D593" s="61" t="s">
        <v>907</v>
      </c>
      <c r="F593" s="61" t="s">
        <v>460</v>
      </c>
      <c r="G593" s="67">
        <f>'Inputs_NT INM'!M472</f>
        <v>0</v>
      </c>
      <c r="H593" s="67">
        <f>'Inputs_NT INM'!N472</f>
        <v>1</v>
      </c>
      <c r="I593" s="67">
        <f>'Inputs_NT INM'!O472</f>
        <v>1</v>
      </c>
      <c r="J593" s="67">
        <f>'Inputs_NT INM'!P472</f>
        <v>1</v>
      </c>
      <c r="K593" s="67">
        <f>'Inputs_NT INM'!Q472</f>
        <v>1</v>
      </c>
      <c r="L593" s="67">
        <f>'Inputs_NT INM'!R472</f>
        <v>1</v>
      </c>
      <c r="M593" s="67">
        <f>'Inputs_NT INM'!S472</f>
        <v>1</v>
      </c>
      <c r="N593" s="67">
        <f>'Inputs_NT INM'!T472</f>
        <v>1</v>
      </c>
      <c r="O593" s="67">
        <f>'Inputs_NT INM'!U472</f>
        <v>1</v>
      </c>
      <c r="P593" s="67">
        <f>'Inputs_NT INM'!V472</f>
        <v>1</v>
      </c>
      <c r="Q593" s="67">
        <f>'Inputs_NT INM'!W472</f>
        <v>1</v>
      </c>
      <c r="R593" s="67">
        <f>'Inputs_NT INM'!X472</f>
        <v>0</v>
      </c>
      <c r="S593" s="67">
        <f>'Inputs_NT INM'!Y472</f>
        <v>1</v>
      </c>
      <c r="T593" s="67">
        <f>'Inputs_NT INM'!Z472</f>
        <v>1</v>
      </c>
      <c r="U593" s="67">
        <f>'Inputs_NT INM'!AA472</f>
        <v>1</v>
      </c>
      <c r="V593" s="67">
        <f>'Inputs_NT INM'!AB472</f>
        <v>0.99998943407315721</v>
      </c>
      <c r="W593" s="67">
        <f>'Inputs_NT INM'!AC472</f>
        <v>0.99998943407315721</v>
      </c>
      <c r="X593" s="67">
        <f>'Inputs_NT INM'!AD472</f>
        <v>0</v>
      </c>
      <c r="Y593" s="67">
        <f>'Inputs_NT INM'!AE472</f>
        <v>0</v>
      </c>
      <c r="Z593" s="67">
        <f>'Inputs_NT INM'!AF472</f>
        <v>1</v>
      </c>
      <c r="AA593" s="67">
        <f>'Inputs_NT INM'!AG472</f>
        <v>1</v>
      </c>
      <c r="AB593" s="67">
        <f>'Inputs_NT INM'!AH472</f>
        <v>1</v>
      </c>
      <c r="AC593" s="67">
        <f>'Inputs_NT INM'!AI472</f>
        <v>1</v>
      </c>
      <c r="AD593" s="67">
        <f>'Inputs_NT INM'!AJ472</f>
        <v>1</v>
      </c>
      <c r="AE593" s="67">
        <f>'Inputs_NT INM'!AK472</f>
        <v>0</v>
      </c>
      <c r="AF593" s="67">
        <f>'Inputs_NT INM'!AL472</f>
        <v>1</v>
      </c>
      <c r="AG593" s="67">
        <f>'Inputs_NT INM'!AM472</f>
        <v>1</v>
      </c>
      <c r="AH593" s="67">
        <f>'Inputs_NT INM'!AN472</f>
        <v>1</v>
      </c>
      <c r="AI593" s="67"/>
      <c r="AJ593" s="67"/>
      <c r="AK593" s="67"/>
    </row>
    <row r="594" spans="1:37" x14ac:dyDescent="0.25">
      <c r="A594" s="76" t="str">
        <f>IF(OR(SUM('Inputs_NT INM'!M473:AI473)=0,COUNTIF($A$21:$A$60,'Inputs_NT INM'!D473)=0),"*","I"&amp;"-"&amp;'INM_New Techs'!$B$3&amp;"-"&amp;'Inputs_NT INM'!B473&amp;"_"&amp;'Inputs_NT INM'!I473&amp;IF('Inputs_NT INM'!C473="Ordinary","01",IF('Inputs_NT INM'!C473="Improved","02","03")))</f>
        <v>*</v>
      </c>
      <c r="B594" s="9" t="s">
        <v>558</v>
      </c>
      <c r="C594" s="9" t="s">
        <v>332</v>
      </c>
      <c r="D594" s="61" t="s">
        <v>907</v>
      </c>
      <c r="F594" s="61" t="s">
        <v>460</v>
      </c>
      <c r="G594" s="67"/>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c r="AH594" s="67"/>
      <c r="AI594" s="67"/>
      <c r="AJ594" s="67"/>
      <c r="AK594" s="67"/>
    </row>
    <row r="595" spans="1:37" x14ac:dyDescent="0.25">
      <c r="A595" s="76" t="str">
        <f>IF(OR(SUM('Inputs_NT INM'!M474:AI474)=0,COUNTIF($A$21:$A$60,'Inputs_NT INM'!D474)=0),"*","I"&amp;"-"&amp;'INM_New Techs'!$B$3&amp;"-"&amp;'Inputs_NT INM'!B474&amp;"_"&amp;'Inputs_NT INM'!I474&amp;IF('Inputs_NT INM'!C474="Ordinary","01",IF('Inputs_NT INM'!C474="Improved","02","03")))</f>
        <v>*</v>
      </c>
      <c r="B595" s="9" t="s">
        <v>132</v>
      </c>
      <c r="C595" s="9" t="s">
        <v>332</v>
      </c>
      <c r="D595" s="61" t="s">
        <v>907</v>
      </c>
      <c r="F595" s="61" t="s">
        <v>460</v>
      </c>
      <c r="G595" s="67">
        <f>'Inputs_NT INM'!M474</f>
        <v>0</v>
      </c>
      <c r="H595" s="67">
        <f>'Inputs_NT INM'!N474</f>
        <v>2.253002537937546E-2</v>
      </c>
      <c r="I595" s="67">
        <f>'Inputs_NT INM'!O474</f>
        <v>0</v>
      </c>
      <c r="J595" s="67">
        <f>'Inputs_NT INM'!P474</f>
        <v>0</v>
      </c>
      <c r="K595" s="67">
        <f>'Inputs_NT INM'!Q474</f>
        <v>7.8606816807532842E-2</v>
      </c>
      <c r="L595" s="67">
        <f>'Inputs_NT INM'!R474</f>
        <v>1.0885051020294328E-2</v>
      </c>
      <c r="M595" s="67">
        <f>'Inputs_NT INM'!S474</f>
        <v>0.13511663349361738</v>
      </c>
      <c r="N595" s="67">
        <f>'Inputs_NT INM'!T474</f>
        <v>0</v>
      </c>
      <c r="O595" s="67">
        <f>'Inputs_NT INM'!U474</f>
        <v>7.8481852777614228E-2</v>
      </c>
      <c r="P595" s="67">
        <f>'Inputs_NT INM'!V474</f>
        <v>0</v>
      </c>
      <c r="Q595" s="67">
        <f>'Inputs_NT INM'!W474</f>
        <v>1.9606305844928881E-2</v>
      </c>
      <c r="R595" s="67">
        <f>'Inputs_NT INM'!X474</f>
        <v>0.9976875048176983</v>
      </c>
      <c r="S595" s="67">
        <f>'Inputs_NT INM'!Y474</f>
        <v>2.3674341468874392E-2</v>
      </c>
      <c r="T595" s="67">
        <f>'Inputs_NT INM'!Z474</f>
        <v>0</v>
      </c>
      <c r="U595" s="67">
        <f>'Inputs_NT INM'!AA474</f>
        <v>8.7535227729794683E-3</v>
      </c>
      <c r="V595" s="67">
        <f>'Inputs_NT INM'!AB474</f>
        <v>2.2027979706591275E-2</v>
      </c>
      <c r="W595" s="67">
        <f>'Inputs_NT INM'!AC474</f>
        <v>2.2027979706591275E-2</v>
      </c>
      <c r="X595" s="67">
        <f>'Inputs_NT INM'!AD474</f>
        <v>0</v>
      </c>
      <c r="Y595" s="67">
        <f>'Inputs_NT INM'!AE474</f>
        <v>0</v>
      </c>
      <c r="Z595" s="67">
        <f>'Inputs_NT INM'!AF474</f>
        <v>0.17695693936118215</v>
      </c>
      <c r="AA595" s="67">
        <f>'Inputs_NT INM'!AG474</f>
        <v>1.9606305844928881E-2</v>
      </c>
      <c r="AB595" s="67">
        <f>'Inputs_NT INM'!AH474</f>
        <v>1.0885051020294328E-2</v>
      </c>
      <c r="AC595" s="67">
        <f>'Inputs_NT INM'!AI474</f>
        <v>0</v>
      </c>
      <c r="AD595" s="67">
        <f>'Inputs_NT INM'!AJ474</f>
        <v>2.7756979700719604E-3</v>
      </c>
      <c r="AE595" s="67">
        <f>'Inputs_NT INM'!AK474</f>
        <v>0</v>
      </c>
      <c r="AF595" s="67">
        <f>'Inputs_NT INM'!AL474</f>
        <v>2.5886103401703848E-3</v>
      </c>
      <c r="AG595" s="67">
        <f>'Inputs_NT INM'!AM474</f>
        <v>2.7241040649219072E-2</v>
      </c>
      <c r="AH595" s="67">
        <f>'Inputs_NT INM'!AN474</f>
        <v>4.256718669593383E-3</v>
      </c>
      <c r="AI595" s="67"/>
      <c r="AJ595" s="67"/>
      <c r="AK595" s="67"/>
    </row>
    <row r="596" spans="1:37" x14ac:dyDescent="0.25">
      <c r="A596" s="76" t="str">
        <f>IF(OR(SUM('Inputs_NT INM'!M475:AI475)=0,COUNTIF($A$21:$A$60,'Inputs_NT INM'!D475)=0),"*","I"&amp;"-"&amp;'INM_New Techs'!$B$3&amp;"-"&amp;'Inputs_NT INM'!B475&amp;"_"&amp;'Inputs_NT INM'!I475&amp;IF('Inputs_NT INM'!C475="Ordinary","01",IF('Inputs_NT INM'!C475="Improved","02","03")))</f>
        <v>*</v>
      </c>
      <c r="B596" s="9" t="s">
        <v>558</v>
      </c>
      <c r="C596" s="9" t="s">
        <v>332</v>
      </c>
      <c r="D596" s="61" t="s">
        <v>907</v>
      </c>
      <c r="F596" s="61" t="s">
        <v>460</v>
      </c>
      <c r="G596" s="67"/>
      <c r="H596" s="67"/>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c r="AF596" s="67"/>
      <c r="AG596" s="67"/>
      <c r="AH596" s="67"/>
      <c r="AI596" s="67"/>
      <c r="AJ596" s="67"/>
      <c r="AK596" s="67"/>
    </row>
    <row r="597" spans="1:37" x14ac:dyDescent="0.25">
      <c r="A597" s="76" t="str">
        <f>IF(OR(SUM('Inputs_NT INM'!M476:AI476)=0,COUNTIF($A$21:$A$60,'Inputs_NT INM'!D476)=0),"*","I"&amp;"-"&amp;'INM_New Techs'!$B$3&amp;"-"&amp;'Inputs_NT INM'!B476&amp;"_"&amp;'Inputs_NT INM'!I476&amp;IF('Inputs_NT INM'!C476="Ordinary","01",IF('Inputs_NT INM'!C476="Improved","02","03")))</f>
        <v>*</v>
      </c>
      <c r="B597" s="9" t="s">
        <v>128</v>
      </c>
      <c r="C597" s="9" t="s">
        <v>332</v>
      </c>
      <c r="D597" s="61" t="s">
        <v>907</v>
      </c>
      <c r="F597" s="61" t="s">
        <v>460</v>
      </c>
      <c r="G597" s="67">
        <f>'Inputs_NT INM'!M476</f>
        <v>0</v>
      </c>
      <c r="H597" s="67">
        <f>'Inputs_NT INM'!N476</f>
        <v>0.97746997462062457</v>
      </c>
      <c r="I597" s="67">
        <f>'Inputs_NT INM'!O476</f>
        <v>0</v>
      </c>
      <c r="J597" s="67">
        <f>'Inputs_NT INM'!P476</f>
        <v>1</v>
      </c>
      <c r="K597" s="67">
        <f>'Inputs_NT INM'!Q476</f>
        <v>0.91761269920224109</v>
      </c>
      <c r="L597" s="67">
        <f>'Inputs_NT INM'!R476</f>
        <v>0.98911494897970564</v>
      </c>
      <c r="M597" s="67">
        <f>'Inputs_NT INM'!S476</f>
        <v>0.86488336650638253</v>
      </c>
      <c r="N597" s="67">
        <f>'Inputs_NT INM'!T476</f>
        <v>0</v>
      </c>
      <c r="O597" s="67">
        <f>'Inputs_NT INM'!U476</f>
        <v>0.92151814722238579</v>
      </c>
      <c r="P597" s="67">
        <f>'Inputs_NT INM'!V476</f>
        <v>1</v>
      </c>
      <c r="Q597" s="67">
        <f>'Inputs_NT INM'!W476</f>
        <v>0.98039369415507116</v>
      </c>
      <c r="R597" s="67">
        <f>'Inputs_NT INM'!X476</f>
        <v>2.3124951823017036E-3</v>
      </c>
      <c r="S597" s="67">
        <f>'Inputs_NT INM'!Y476</f>
        <v>0.97632565853112563</v>
      </c>
      <c r="T597" s="67">
        <f>'Inputs_NT INM'!Z476</f>
        <v>1</v>
      </c>
      <c r="U597" s="67">
        <f>'Inputs_NT INM'!AA476</f>
        <v>0.99094526941085137</v>
      </c>
      <c r="V597" s="67">
        <f>'Inputs_NT INM'!AB476</f>
        <v>0.97699681936875815</v>
      </c>
      <c r="W597" s="67">
        <f>'Inputs_NT INM'!AC476</f>
        <v>0.97699681936875815</v>
      </c>
      <c r="X597" s="67">
        <f>'Inputs_NT INM'!AD476</f>
        <v>0</v>
      </c>
      <c r="Y597" s="67">
        <f>'Inputs_NT INM'!AE476</f>
        <v>0</v>
      </c>
      <c r="Z597" s="67">
        <f>'Inputs_NT INM'!AF476</f>
        <v>0.82304306063881782</v>
      </c>
      <c r="AA597" s="67">
        <f>'Inputs_NT INM'!AG476</f>
        <v>0.98039369415507116</v>
      </c>
      <c r="AB597" s="67">
        <f>'Inputs_NT INM'!AH476</f>
        <v>0.98911494897970564</v>
      </c>
      <c r="AC597" s="67">
        <f>'Inputs_NT INM'!AI476</f>
        <v>1</v>
      </c>
      <c r="AD597" s="67">
        <f>'Inputs_NT INM'!AJ476</f>
        <v>0.99722430202992807</v>
      </c>
      <c r="AE597" s="67">
        <f>'Inputs_NT INM'!AK476</f>
        <v>0</v>
      </c>
      <c r="AF597" s="67">
        <f>'Inputs_NT INM'!AL476</f>
        <v>0.99741138965982956</v>
      </c>
      <c r="AG597" s="67">
        <f>'Inputs_NT INM'!AM476</f>
        <v>0.97275895935078094</v>
      </c>
      <c r="AH597" s="67">
        <f>'Inputs_NT INM'!AN476</f>
        <v>0.99574328133040668</v>
      </c>
      <c r="AI597" s="67"/>
      <c r="AJ597" s="67"/>
      <c r="AK597" s="67"/>
    </row>
    <row r="598" spans="1:37" x14ac:dyDescent="0.25">
      <c r="A598" s="76" t="str">
        <f>IF(OR(SUM('Inputs_NT INM'!M477:AI477)=0,COUNTIF($A$21:$A$60,'Inputs_NT INM'!D477)=0),"*","I"&amp;"-"&amp;'INM_New Techs'!$B$3&amp;"-"&amp;'Inputs_NT INM'!B477&amp;"_"&amp;'Inputs_NT INM'!I477&amp;IF('Inputs_NT INM'!C477="Ordinary","01",IF('Inputs_NT INM'!C477="Improved","02","03")))</f>
        <v>*</v>
      </c>
      <c r="B598" s="9" t="s">
        <v>134</v>
      </c>
      <c r="C598" s="9" t="s">
        <v>332</v>
      </c>
      <c r="D598" s="61" t="s">
        <v>907</v>
      </c>
      <c r="F598" s="61" t="s">
        <v>460</v>
      </c>
      <c r="G598" s="67">
        <f>'Inputs_NT INM'!M477</f>
        <v>1</v>
      </c>
      <c r="H598" s="67">
        <f>'Inputs_NT INM'!N477</f>
        <v>1</v>
      </c>
      <c r="I598" s="67">
        <f>'Inputs_NT INM'!O477</f>
        <v>1</v>
      </c>
      <c r="J598" s="67">
        <f>'Inputs_NT INM'!P477</f>
        <v>1</v>
      </c>
      <c r="K598" s="67">
        <f>'Inputs_NT INM'!Q477</f>
        <v>1</v>
      </c>
      <c r="L598" s="67">
        <f>'Inputs_NT INM'!R477</f>
        <v>1</v>
      </c>
      <c r="M598" s="67">
        <f>'Inputs_NT INM'!S477</f>
        <v>0.99775548819489068</v>
      </c>
      <c r="N598" s="67">
        <f>'Inputs_NT INM'!T477</f>
        <v>0</v>
      </c>
      <c r="O598" s="67">
        <f>'Inputs_NT INM'!U477</f>
        <v>0.99858214504502074</v>
      </c>
      <c r="P598" s="67">
        <f>'Inputs_NT INM'!V477</f>
        <v>1</v>
      </c>
      <c r="Q598" s="67">
        <f>'Inputs_NT INM'!W477</f>
        <v>1</v>
      </c>
      <c r="R598" s="67">
        <f>'Inputs_NT INM'!X477</f>
        <v>1</v>
      </c>
      <c r="S598" s="67">
        <f>'Inputs_NT INM'!Y477</f>
        <v>1</v>
      </c>
      <c r="T598" s="67">
        <f>'Inputs_NT INM'!Z477</f>
        <v>1</v>
      </c>
      <c r="U598" s="67">
        <f>'Inputs_NT INM'!AA477</f>
        <v>0.99996017570778672</v>
      </c>
      <c r="V598" s="67">
        <f>'Inputs_NT INM'!AB477</f>
        <v>0.99805420114513066</v>
      </c>
      <c r="W598" s="67">
        <f>'Inputs_NT INM'!AC477</f>
        <v>0.99805420114513066</v>
      </c>
      <c r="X598" s="67">
        <f>'Inputs_NT INM'!AD477</f>
        <v>0</v>
      </c>
      <c r="Y598" s="67">
        <f>'Inputs_NT INM'!AE477</f>
        <v>0</v>
      </c>
      <c r="Z598" s="67">
        <f>'Inputs_NT INM'!AF477</f>
        <v>1</v>
      </c>
      <c r="AA598" s="67">
        <f>'Inputs_NT INM'!AG477</f>
        <v>1</v>
      </c>
      <c r="AB598" s="67">
        <f>'Inputs_NT INM'!AH477</f>
        <v>1</v>
      </c>
      <c r="AC598" s="67">
        <f>'Inputs_NT INM'!AI477</f>
        <v>1</v>
      </c>
      <c r="AD598" s="67">
        <f>'Inputs_NT INM'!AJ477</f>
        <v>1</v>
      </c>
      <c r="AE598" s="67">
        <f>'Inputs_NT INM'!AK477</f>
        <v>1</v>
      </c>
      <c r="AF598" s="67">
        <f>'Inputs_NT INM'!AL477</f>
        <v>1</v>
      </c>
      <c r="AG598" s="67">
        <f>'Inputs_NT INM'!AM477</f>
        <v>1</v>
      </c>
      <c r="AH598" s="67">
        <f>'Inputs_NT INM'!AN477</f>
        <v>0.98954412741826625</v>
      </c>
      <c r="AI598" s="67"/>
      <c r="AJ598" s="67"/>
      <c r="AK598" s="67"/>
    </row>
    <row r="599" spans="1:37" x14ac:dyDescent="0.25">
      <c r="A599" s="76" t="str">
        <f>IF(OR(SUM('Inputs_NT INM'!M478:AI478)=0,COUNTIF($A$21:$A$60,'Inputs_NT INM'!D478)=0),"*","I"&amp;"-"&amp;'INM_New Techs'!$B$3&amp;"-"&amp;'Inputs_NT INM'!B478&amp;"_"&amp;'Inputs_NT INM'!I478&amp;IF('Inputs_NT INM'!C478="Ordinary","01",IF('Inputs_NT INM'!C478="Improved","02","03")))</f>
        <v>*</v>
      </c>
      <c r="B599" s="9" t="s">
        <v>558</v>
      </c>
      <c r="C599" s="9" t="s">
        <v>332</v>
      </c>
      <c r="D599" s="61" t="s">
        <v>907</v>
      </c>
      <c r="F599" s="61" t="s">
        <v>460</v>
      </c>
      <c r="G599" s="67"/>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c r="AI599" s="67"/>
      <c r="AJ599" s="67"/>
      <c r="AK599" s="67"/>
    </row>
    <row r="600" spans="1:37" x14ac:dyDescent="0.25">
      <c r="A600" s="76" t="str">
        <f>IF(OR(SUM('Inputs_NT INM'!M479:AI479)=0,COUNTIF($A$21:$A$60,'Inputs_NT INM'!D479)=0),"*","I"&amp;"-"&amp;'INM_New Techs'!$B$3&amp;"-"&amp;'Inputs_NT INM'!B479&amp;"_"&amp;'Inputs_NT INM'!I479&amp;IF('Inputs_NT INM'!C479="Ordinary","01",IF('Inputs_NT INM'!C479="Improved","02","03")))</f>
        <v>*</v>
      </c>
      <c r="B600" s="9" t="s">
        <v>119</v>
      </c>
      <c r="C600" s="9" t="s">
        <v>332</v>
      </c>
      <c r="D600" s="61" t="s">
        <v>907</v>
      </c>
      <c r="F600" s="61" t="s">
        <v>460</v>
      </c>
      <c r="G600" s="67">
        <f>'Inputs_NT INM'!M479</f>
        <v>0</v>
      </c>
      <c r="H600" s="67">
        <f>'Inputs_NT INM'!N479</f>
        <v>0</v>
      </c>
      <c r="I600" s="67">
        <f>'Inputs_NT INM'!O479</f>
        <v>0</v>
      </c>
      <c r="J600" s="67">
        <f>'Inputs_NT INM'!P479</f>
        <v>0</v>
      </c>
      <c r="K600" s="67">
        <f>'Inputs_NT INM'!Q479</f>
        <v>0</v>
      </c>
      <c r="L600" s="67">
        <f>'Inputs_NT INM'!R479</f>
        <v>0</v>
      </c>
      <c r="M600" s="67">
        <f>'Inputs_NT INM'!S479</f>
        <v>2.244511805109321E-3</v>
      </c>
      <c r="N600" s="67">
        <f>'Inputs_NT INM'!T479</f>
        <v>0</v>
      </c>
      <c r="O600" s="67">
        <f>'Inputs_NT INM'!U479</f>
        <v>1.4178549549792524E-3</v>
      </c>
      <c r="P600" s="67">
        <f>'Inputs_NT INM'!V479</f>
        <v>0</v>
      </c>
      <c r="Q600" s="67">
        <f>'Inputs_NT INM'!W479</f>
        <v>0</v>
      </c>
      <c r="R600" s="67">
        <f>'Inputs_NT INM'!X479</f>
        <v>0</v>
      </c>
      <c r="S600" s="67">
        <f>'Inputs_NT INM'!Y479</f>
        <v>0</v>
      </c>
      <c r="T600" s="67">
        <f>'Inputs_NT INM'!Z479</f>
        <v>0</v>
      </c>
      <c r="U600" s="67">
        <f>'Inputs_NT INM'!AA479</f>
        <v>3.9824292213258897E-5</v>
      </c>
      <c r="V600" s="67">
        <f>'Inputs_NT INM'!AB479</f>
        <v>1.9457988548694544E-3</v>
      </c>
      <c r="W600" s="67">
        <f>'Inputs_NT INM'!AC479</f>
        <v>1.9457988548694544E-3</v>
      </c>
      <c r="X600" s="67">
        <f>'Inputs_NT INM'!AD479</f>
        <v>0</v>
      </c>
      <c r="Y600" s="67">
        <f>'Inputs_NT INM'!AE479</f>
        <v>0</v>
      </c>
      <c r="Z600" s="67">
        <f>'Inputs_NT INM'!AF479</f>
        <v>0</v>
      </c>
      <c r="AA600" s="67">
        <f>'Inputs_NT INM'!AG479</f>
        <v>0</v>
      </c>
      <c r="AB600" s="67">
        <f>'Inputs_NT INM'!AH479</f>
        <v>0</v>
      </c>
      <c r="AC600" s="67">
        <f>'Inputs_NT INM'!AI479</f>
        <v>0</v>
      </c>
      <c r="AD600" s="67">
        <f>'Inputs_NT INM'!AJ479</f>
        <v>0</v>
      </c>
      <c r="AE600" s="67">
        <f>'Inputs_NT INM'!AK479</f>
        <v>0</v>
      </c>
      <c r="AF600" s="67">
        <f>'Inputs_NT INM'!AL479</f>
        <v>0</v>
      </c>
      <c r="AG600" s="67">
        <f>'Inputs_NT INM'!AM479</f>
        <v>0</v>
      </c>
      <c r="AH600" s="67">
        <f>'Inputs_NT INM'!AN479</f>
        <v>1.0455872581733729E-2</v>
      </c>
      <c r="AI600" s="67"/>
      <c r="AJ600" s="67"/>
      <c r="AK600" s="67"/>
    </row>
    <row r="601" spans="1:37" x14ac:dyDescent="0.25">
      <c r="A601" s="76" t="str">
        <f>IF(OR(SUM('Inputs_NT INM'!M480:AI480)=0,COUNTIF($A$21:$A$60,'Inputs_NT INM'!D480)=0),"*","I"&amp;"-"&amp;'INM_New Techs'!$B$3&amp;"-"&amp;'Inputs_NT INM'!B480&amp;"_"&amp;'Inputs_NT INM'!I480&amp;IF('Inputs_NT INM'!C480="Ordinary","01",IF('Inputs_NT INM'!C480="Improved","02","03")))</f>
        <v>*</v>
      </c>
      <c r="B601" s="9" t="s">
        <v>115</v>
      </c>
      <c r="C601" s="9" t="s">
        <v>332</v>
      </c>
      <c r="D601" s="61" t="s">
        <v>907</v>
      </c>
      <c r="F601" s="61" t="s">
        <v>460</v>
      </c>
      <c r="G601" s="67">
        <f>'Inputs_NT INM'!M480</f>
        <v>0</v>
      </c>
      <c r="H601" s="67">
        <f>'Inputs_NT INM'!N480</f>
        <v>0</v>
      </c>
      <c r="I601" s="67">
        <f>'Inputs_NT INM'!O480</f>
        <v>0</v>
      </c>
      <c r="J601" s="67">
        <f>'Inputs_NT INM'!P480</f>
        <v>0</v>
      </c>
      <c r="K601" s="67">
        <f>'Inputs_NT INM'!Q480</f>
        <v>3.78048399022601E-3</v>
      </c>
      <c r="L601" s="67">
        <f>'Inputs_NT INM'!R480</f>
        <v>0</v>
      </c>
      <c r="M601" s="67">
        <f>'Inputs_NT INM'!S480</f>
        <v>0</v>
      </c>
      <c r="N601" s="67">
        <f>'Inputs_NT INM'!T480</f>
        <v>0</v>
      </c>
      <c r="O601" s="67">
        <f>'Inputs_NT INM'!U480</f>
        <v>0</v>
      </c>
      <c r="P601" s="67">
        <f>'Inputs_NT INM'!V480</f>
        <v>0</v>
      </c>
      <c r="Q601" s="67">
        <f>'Inputs_NT INM'!W480</f>
        <v>0</v>
      </c>
      <c r="R601" s="67">
        <f>'Inputs_NT INM'!X480</f>
        <v>0</v>
      </c>
      <c r="S601" s="67">
        <f>'Inputs_NT INM'!Y480</f>
        <v>0</v>
      </c>
      <c r="T601" s="67">
        <f>'Inputs_NT INM'!Z480</f>
        <v>0</v>
      </c>
      <c r="U601" s="67">
        <f>'Inputs_NT INM'!AA480</f>
        <v>3.0120781616915809E-4</v>
      </c>
      <c r="V601" s="67">
        <f>'Inputs_NT INM'!AB480</f>
        <v>9.7520092465061276E-4</v>
      </c>
      <c r="W601" s="67">
        <f>'Inputs_NT INM'!AC480</f>
        <v>9.7520092465061276E-4</v>
      </c>
      <c r="X601" s="67">
        <f>'Inputs_NT INM'!AD480</f>
        <v>0</v>
      </c>
      <c r="Y601" s="67">
        <f>'Inputs_NT INM'!AE480</f>
        <v>0</v>
      </c>
      <c r="Z601" s="67">
        <f>'Inputs_NT INM'!AF480</f>
        <v>0</v>
      </c>
      <c r="AA601" s="67">
        <f>'Inputs_NT INM'!AG480</f>
        <v>0</v>
      </c>
      <c r="AB601" s="67">
        <f>'Inputs_NT INM'!AH480</f>
        <v>0</v>
      </c>
      <c r="AC601" s="67">
        <f>'Inputs_NT INM'!AI480</f>
        <v>0</v>
      </c>
      <c r="AD601" s="67">
        <f>'Inputs_NT INM'!AJ480</f>
        <v>0</v>
      </c>
      <c r="AE601" s="67">
        <f>'Inputs_NT INM'!AK480</f>
        <v>0</v>
      </c>
      <c r="AF601" s="67">
        <f>'Inputs_NT INM'!AL480</f>
        <v>0</v>
      </c>
      <c r="AG601" s="67">
        <f>'Inputs_NT INM'!AM480</f>
        <v>0</v>
      </c>
      <c r="AH601" s="67">
        <f>'Inputs_NT INM'!AN480</f>
        <v>0</v>
      </c>
      <c r="AI601" s="67"/>
      <c r="AJ601" s="67"/>
      <c r="AK601" s="67"/>
    </row>
    <row r="602" spans="1:37" x14ac:dyDescent="0.25">
      <c r="A602" s="76" t="str">
        <f>IF(OR(SUM('Inputs_NT INM'!M481:AI481)=0,COUNTIF($A$21:$A$60,'Inputs_NT INM'!D481)=0),"*","I"&amp;"-"&amp;'INM_New Techs'!$B$3&amp;"-"&amp;'Inputs_NT INM'!B481&amp;"_"&amp;'Inputs_NT INM'!I481&amp;IF('Inputs_NT INM'!C481="Ordinary","01",IF('Inputs_NT INM'!C481="Improved","02","03")))</f>
        <v>*</v>
      </c>
      <c r="B602" s="9" t="s">
        <v>558</v>
      </c>
      <c r="C602" s="9" t="s">
        <v>332</v>
      </c>
      <c r="D602" s="61" t="s">
        <v>907</v>
      </c>
      <c r="F602" s="61" t="s">
        <v>460</v>
      </c>
      <c r="G602" s="67"/>
      <c r="H602" s="67"/>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c r="AF602" s="67"/>
      <c r="AG602" s="67"/>
      <c r="AH602" s="67"/>
      <c r="AI602" s="67"/>
      <c r="AJ602" s="67"/>
      <c r="AK602" s="67"/>
    </row>
    <row r="603" spans="1:37" x14ac:dyDescent="0.25">
      <c r="A603" s="76" t="str">
        <f>IF(OR(SUM('Inputs_NT INM'!M482:AI482)=0,COUNTIF($A$21:$A$60,'Inputs_NT INM'!D482)=0),"*","I"&amp;"-"&amp;'INM_New Techs'!$B$3&amp;"-"&amp;'Inputs_NT INM'!B482&amp;"_"&amp;'Inputs_NT INM'!I482&amp;IF('Inputs_NT INM'!C482="Ordinary","01",IF('Inputs_NT INM'!C482="Improved","02","03")))</f>
        <v>*</v>
      </c>
      <c r="B603" s="9" t="s">
        <v>558</v>
      </c>
      <c r="C603" s="9" t="s">
        <v>332</v>
      </c>
      <c r="D603" s="61" t="s">
        <v>907</v>
      </c>
      <c r="F603" s="61" t="s">
        <v>460</v>
      </c>
      <c r="G603" s="67"/>
      <c r="H603" s="67"/>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c r="AF603" s="67"/>
      <c r="AG603" s="67"/>
      <c r="AH603" s="67"/>
      <c r="AI603" s="67"/>
      <c r="AJ603" s="67"/>
      <c r="AK603" s="67"/>
    </row>
    <row r="604" spans="1:37" x14ac:dyDescent="0.25">
      <c r="A604" s="76" t="str">
        <f>IF(OR(SUM('Inputs_NT INM'!M483:AI483)=0,COUNTIF($A$21:$A$60,'Inputs_NT INM'!D483)=0),"*","I"&amp;"-"&amp;'INM_New Techs'!$B$3&amp;"-"&amp;'Inputs_NT INM'!B483&amp;"_"&amp;'Inputs_NT INM'!I483&amp;IF('Inputs_NT INM'!C483="Ordinary","01",IF('Inputs_NT INM'!C483="Improved","02","03")))</f>
        <v>I-NM-OTS_ELC02</v>
      </c>
      <c r="B604" s="9" t="s">
        <v>137</v>
      </c>
      <c r="C604" s="9" t="s">
        <v>332</v>
      </c>
      <c r="D604" s="61" t="s">
        <v>907</v>
      </c>
      <c r="F604" s="61" t="s">
        <v>460</v>
      </c>
      <c r="G604" s="67">
        <f>'Inputs_NT INM'!M483</f>
        <v>0</v>
      </c>
      <c r="H604" s="67">
        <f>'Inputs_NT INM'!N483</f>
        <v>0</v>
      </c>
      <c r="I604" s="67">
        <f>'Inputs_NT INM'!O483</f>
        <v>0</v>
      </c>
      <c r="J604" s="67">
        <f>'Inputs_NT INM'!P483</f>
        <v>0</v>
      </c>
      <c r="K604" s="67">
        <f>'Inputs_NT INM'!Q483</f>
        <v>0</v>
      </c>
      <c r="L604" s="67">
        <f>'Inputs_NT INM'!R483</f>
        <v>0</v>
      </c>
      <c r="M604" s="67">
        <f>'Inputs_NT INM'!S483</f>
        <v>0</v>
      </c>
      <c r="N604" s="67">
        <f>'Inputs_NT INM'!T483</f>
        <v>0</v>
      </c>
      <c r="O604" s="67">
        <f>'Inputs_NT INM'!U483</f>
        <v>0</v>
      </c>
      <c r="P604" s="67">
        <f>'Inputs_NT INM'!V483</f>
        <v>0</v>
      </c>
      <c r="Q604" s="67">
        <f>'Inputs_NT INM'!W483</f>
        <v>0</v>
      </c>
      <c r="R604" s="67">
        <f>'Inputs_NT INM'!X483</f>
        <v>0</v>
      </c>
      <c r="S604" s="67">
        <f>'Inputs_NT INM'!Y483</f>
        <v>0</v>
      </c>
      <c r="T604" s="67">
        <f>'Inputs_NT INM'!Z483</f>
        <v>0</v>
      </c>
      <c r="U604" s="67">
        <f>'Inputs_NT INM'!AA483</f>
        <v>0</v>
      </c>
      <c r="V604" s="67">
        <f>'Inputs_NT INM'!AB483</f>
        <v>1.0565926842793376E-5</v>
      </c>
      <c r="W604" s="67">
        <f>'Inputs_NT INM'!AC483</f>
        <v>1.0565926842793376E-5</v>
      </c>
      <c r="X604" s="67">
        <f>'Inputs_NT INM'!AD483</f>
        <v>0</v>
      </c>
      <c r="Y604" s="67">
        <f>'Inputs_NT INM'!AE483</f>
        <v>0</v>
      </c>
      <c r="Z604" s="67">
        <f>'Inputs_NT INM'!AF483</f>
        <v>0</v>
      </c>
      <c r="AA604" s="67">
        <f>'Inputs_NT INM'!AG483</f>
        <v>0</v>
      </c>
      <c r="AB604" s="67">
        <f>'Inputs_NT INM'!AH483</f>
        <v>0</v>
      </c>
      <c r="AC604" s="67">
        <f>'Inputs_NT INM'!AI483</f>
        <v>0</v>
      </c>
      <c r="AD604" s="67">
        <f>'Inputs_NT INM'!AJ483</f>
        <v>0</v>
      </c>
      <c r="AE604" s="67">
        <f>'Inputs_NT INM'!AK483</f>
        <v>0</v>
      </c>
      <c r="AF604" s="67">
        <f>'Inputs_NT INM'!AL483</f>
        <v>0</v>
      </c>
      <c r="AG604" s="67">
        <f>'Inputs_NT INM'!AM483</f>
        <v>0</v>
      </c>
      <c r="AH604" s="67">
        <f>'Inputs_NT INM'!AN483</f>
        <v>0</v>
      </c>
      <c r="AI604" s="67"/>
      <c r="AJ604" s="67"/>
      <c r="AK604" s="67"/>
    </row>
    <row r="605" spans="1:37" x14ac:dyDescent="0.25">
      <c r="A605" s="76" t="str">
        <f>IF(OR(SUM('Inputs_NT INM'!M484:AI484)=0,COUNTIF($A$21:$A$60,'Inputs_NT INM'!D484)=0),"*","I"&amp;"-"&amp;'INM_New Techs'!$B$3&amp;"-"&amp;'Inputs_NT INM'!B484&amp;"_"&amp;'Inputs_NT INM'!I484&amp;IF('Inputs_NT INM'!C484="Ordinary","01",IF('Inputs_NT INM'!C484="Improved","02","03")))</f>
        <v>I-NM-OTS_ELC02</v>
      </c>
      <c r="B605" s="9" t="s">
        <v>126</v>
      </c>
      <c r="C605" s="9" t="s">
        <v>332</v>
      </c>
      <c r="D605" s="61" t="s">
        <v>907</v>
      </c>
      <c r="F605" s="61" t="s">
        <v>460</v>
      </c>
      <c r="G605" s="67">
        <f>'Inputs_NT INM'!M484</f>
        <v>0</v>
      </c>
      <c r="H605" s="67">
        <f>'Inputs_NT INM'!N484</f>
        <v>1</v>
      </c>
      <c r="I605" s="67">
        <f>'Inputs_NT INM'!O484</f>
        <v>1</v>
      </c>
      <c r="J605" s="67">
        <f>'Inputs_NT INM'!P484</f>
        <v>1</v>
      </c>
      <c r="K605" s="67">
        <f>'Inputs_NT INM'!Q484</f>
        <v>1</v>
      </c>
      <c r="L605" s="67">
        <f>'Inputs_NT INM'!R484</f>
        <v>1</v>
      </c>
      <c r="M605" s="67">
        <f>'Inputs_NT INM'!S484</f>
        <v>1</v>
      </c>
      <c r="N605" s="67">
        <f>'Inputs_NT INM'!T484</f>
        <v>1</v>
      </c>
      <c r="O605" s="67">
        <f>'Inputs_NT INM'!U484</f>
        <v>1</v>
      </c>
      <c r="P605" s="67">
        <f>'Inputs_NT INM'!V484</f>
        <v>1</v>
      </c>
      <c r="Q605" s="67">
        <f>'Inputs_NT INM'!W484</f>
        <v>1</v>
      </c>
      <c r="R605" s="67">
        <f>'Inputs_NT INM'!X484</f>
        <v>0</v>
      </c>
      <c r="S605" s="67">
        <f>'Inputs_NT INM'!Y484</f>
        <v>1</v>
      </c>
      <c r="T605" s="67">
        <f>'Inputs_NT INM'!Z484</f>
        <v>1</v>
      </c>
      <c r="U605" s="67">
        <f>'Inputs_NT INM'!AA484</f>
        <v>1</v>
      </c>
      <c r="V605" s="67">
        <f>'Inputs_NT INM'!AB484</f>
        <v>0.99998943407315721</v>
      </c>
      <c r="W605" s="67">
        <f>'Inputs_NT INM'!AC484</f>
        <v>0.99998943407315721</v>
      </c>
      <c r="X605" s="67">
        <f>'Inputs_NT INM'!AD484</f>
        <v>0</v>
      </c>
      <c r="Y605" s="67">
        <f>'Inputs_NT INM'!AE484</f>
        <v>0</v>
      </c>
      <c r="Z605" s="67">
        <f>'Inputs_NT INM'!AF484</f>
        <v>1</v>
      </c>
      <c r="AA605" s="67">
        <f>'Inputs_NT INM'!AG484</f>
        <v>1</v>
      </c>
      <c r="AB605" s="67">
        <f>'Inputs_NT INM'!AH484</f>
        <v>1</v>
      </c>
      <c r="AC605" s="67">
        <f>'Inputs_NT INM'!AI484</f>
        <v>1</v>
      </c>
      <c r="AD605" s="67">
        <f>'Inputs_NT INM'!AJ484</f>
        <v>1</v>
      </c>
      <c r="AE605" s="67">
        <f>'Inputs_NT INM'!AK484</f>
        <v>0</v>
      </c>
      <c r="AF605" s="67">
        <f>'Inputs_NT INM'!AL484</f>
        <v>1</v>
      </c>
      <c r="AG605" s="67">
        <f>'Inputs_NT INM'!AM484</f>
        <v>1</v>
      </c>
      <c r="AH605" s="67">
        <f>'Inputs_NT INM'!AN484</f>
        <v>1</v>
      </c>
      <c r="AI605" s="67"/>
      <c r="AJ605" s="67"/>
      <c r="AK605" s="67"/>
    </row>
    <row r="606" spans="1:37" x14ac:dyDescent="0.25">
      <c r="A606" s="76" t="str">
        <f>IF(OR(SUM('Inputs_NT INM'!M485:AI485)=0,COUNTIF($A$21:$A$60,'Inputs_NT INM'!D485)=0),"*","I"&amp;"-"&amp;'INM_New Techs'!$B$3&amp;"-"&amp;'Inputs_NT INM'!B485&amp;"_"&amp;'Inputs_NT INM'!I485&amp;IF('Inputs_NT INM'!C485="Ordinary","01",IF('Inputs_NT INM'!C485="Improved","02","03")))</f>
        <v>*</v>
      </c>
      <c r="B606" s="9" t="s">
        <v>558</v>
      </c>
      <c r="C606" s="9" t="s">
        <v>332</v>
      </c>
      <c r="D606" s="61" t="s">
        <v>907</v>
      </c>
      <c r="F606" s="61" t="s">
        <v>460</v>
      </c>
      <c r="G606" s="67"/>
      <c r="H606" s="67"/>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c r="AF606" s="67"/>
      <c r="AG606" s="67"/>
      <c r="AH606" s="67"/>
      <c r="AI606" s="67"/>
      <c r="AJ606" s="67"/>
      <c r="AK606" s="67"/>
    </row>
    <row r="607" spans="1:37" x14ac:dyDescent="0.25">
      <c r="A607" s="76" t="str">
        <f>IF(OR(SUM('Inputs_NT INM'!M486:AI486)=0,COUNTIF($A$21:$A$60,'Inputs_NT INM'!D486)=0),"*","I"&amp;"-"&amp;'INM_New Techs'!$B$3&amp;"-"&amp;'Inputs_NT INM'!B486&amp;"_"&amp;'Inputs_NT INM'!I486&amp;IF('Inputs_NT INM'!C486="Ordinary","01",IF('Inputs_NT INM'!C486="Improved","02","03")))</f>
        <v>*</v>
      </c>
      <c r="B607" s="9" t="s">
        <v>132</v>
      </c>
      <c r="C607" s="9" t="s">
        <v>332</v>
      </c>
      <c r="D607" s="61" t="s">
        <v>907</v>
      </c>
      <c r="F607" s="61" t="s">
        <v>460</v>
      </c>
      <c r="G607" s="67">
        <f>'Inputs_NT INM'!M486</f>
        <v>0</v>
      </c>
      <c r="H607" s="67">
        <f>'Inputs_NT INM'!N486</f>
        <v>2.253002537937546E-2</v>
      </c>
      <c r="I607" s="67">
        <f>'Inputs_NT INM'!O486</f>
        <v>0</v>
      </c>
      <c r="J607" s="67">
        <f>'Inputs_NT INM'!P486</f>
        <v>0</v>
      </c>
      <c r="K607" s="67">
        <f>'Inputs_NT INM'!Q486</f>
        <v>7.8606816807532842E-2</v>
      </c>
      <c r="L607" s="67">
        <f>'Inputs_NT INM'!R486</f>
        <v>1.0885051020294328E-2</v>
      </c>
      <c r="M607" s="67">
        <f>'Inputs_NT INM'!S486</f>
        <v>0.13511663349361738</v>
      </c>
      <c r="N607" s="67">
        <f>'Inputs_NT INM'!T486</f>
        <v>0</v>
      </c>
      <c r="O607" s="67">
        <f>'Inputs_NT INM'!U486</f>
        <v>7.8481852777614228E-2</v>
      </c>
      <c r="P607" s="67">
        <f>'Inputs_NT INM'!V486</f>
        <v>0</v>
      </c>
      <c r="Q607" s="67">
        <f>'Inputs_NT INM'!W486</f>
        <v>1.9606305844928881E-2</v>
      </c>
      <c r="R607" s="67">
        <f>'Inputs_NT INM'!X486</f>
        <v>0.9976875048176983</v>
      </c>
      <c r="S607" s="67">
        <f>'Inputs_NT INM'!Y486</f>
        <v>2.3674341468874392E-2</v>
      </c>
      <c r="T607" s="67">
        <f>'Inputs_NT INM'!Z486</f>
        <v>0</v>
      </c>
      <c r="U607" s="67">
        <f>'Inputs_NT INM'!AA486</f>
        <v>8.7535227729794683E-3</v>
      </c>
      <c r="V607" s="67">
        <f>'Inputs_NT INM'!AB486</f>
        <v>2.2027979706591275E-2</v>
      </c>
      <c r="W607" s="67">
        <f>'Inputs_NT INM'!AC486</f>
        <v>2.2027979706591275E-2</v>
      </c>
      <c r="X607" s="67">
        <f>'Inputs_NT INM'!AD486</f>
        <v>0</v>
      </c>
      <c r="Y607" s="67">
        <f>'Inputs_NT INM'!AE486</f>
        <v>0</v>
      </c>
      <c r="Z607" s="67">
        <f>'Inputs_NT INM'!AF486</f>
        <v>0.17695693936118215</v>
      </c>
      <c r="AA607" s="67">
        <f>'Inputs_NT INM'!AG486</f>
        <v>1.9606305844928881E-2</v>
      </c>
      <c r="AB607" s="67">
        <f>'Inputs_NT INM'!AH486</f>
        <v>1.0885051020294328E-2</v>
      </c>
      <c r="AC607" s="67">
        <f>'Inputs_NT INM'!AI486</f>
        <v>0</v>
      </c>
      <c r="AD607" s="67">
        <f>'Inputs_NT INM'!AJ486</f>
        <v>2.7756979700719604E-3</v>
      </c>
      <c r="AE607" s="67">
        <f>'Inputs_NT INM'!AK486</f>
        <v>0</v>
      </c>
      <c r="AF607" s="67">
        <f>'Inputs_NT INM'!AL486</f>
        <v>2.5886103401703848E-3</v>
      </c>
      <c r="AG607" s="67">
        <f>'Inputs_NT INM'!AM486</f>
        <v>2.7241040649219072E-2</v>
      </c>
      <c r="AH607" s="67">
        <f>'Inputs_NT INM'!AN486</f>
        <v>4.256718669593383E-3</v>
      </c>
      <c r="AI607" s="67"/>
      <c r="AJ607" s="67"/>
      <c r="AK607" s="67"/>
    </row>
    <row r="608" spans="1:37" x14ac:dyDescent="0.25">
      <c r="A608" s="76" t="str">
        <f>IF(OR(SUM('Inputs_NT INM'!M487:AI487)=0,COUNTIF($A$21:$A$60,'Inputs_NT INM'!D487)=0),"*","I"&amp;"-"&amp;'INM_New Techs'!$B$3&amp;"-"&amp;'Inputs_NT INM'!B487&amp;"_"&amp;'Inputs_NT INM'!I487&amp;IF('Inputs_NT INM'!C487="Ordinary","01",IF('Inputs_NT INM'!C487="Improved","02","03")))</f>
        <v>*</v>
      </c>
      <c r="B608" s="9" t="s">
        <v>558</v>
      </c>
      <c r="C608" s="9" t="s">
        <v>332</v>
      </c>
      <c r="D608" s="61" t="s">
        <v>907</v>
      </c>
      <c r="F608" s="61" t="s">
        <v>460</v>
      </c>
      <c r="G608" s="67"/>
      <c r="H608" s="67"/>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c r="AF608" s="67"/>
      <c r="AG608" s="67"/>
      <c r="AH608" s="67"/>
      <c r="AI608" s="67"/>
      <c r="AJ608" s="67"/>
      <c r="AK608" s="67"/>
    </row>
    <row r="609" spans="1:37" x14ac:dyDescent="0.25">
      <c r="A609" s="76" t="str">
        <f>IF(OR(SUM('Inputs_NT INM'!M488:AI488)=0,COUNTIF($A$21:$A$60,'Inputs_NT INM'!D488)=0),"*","I"&amp;"-"&amp;'INM_New Techs'!$B$3&amp;"-"&amp;'Inputs_NT INM'!B488&amp;"_"&amp;'Inputs_NT INM'!I488&amp;IF('Inputs_NT INM'!C488="Ordinary","01",IF('Inputs_NT INM'!C488="Improved","02","03")))</f>
        <v>*</v>
      </c>
      <c r="B609" s="9" t="s">
        <v>128</v>
      </c>
      <c r="C609" s="9" t="s">
        <v>332</v>
      </c>
      <c r="D609" s="61" t="s">
        <v>907</v>
      </c>
      <c r="F609" s="61" t="s">
        <v>460</v>
      </c>
      <c r="G609" s="67">
        <f>'Inputs_NT INM'!M488</f>
        <v>0</v>
      </c>
      <c r="H609" s="67">
        <f>'Inputs_NT INM'!N488</f>
        <v>0.97746997462062457</v>
      </c>
      <c r="I609" s="67">
        <f>'Inputs_NT INM'!O488</f>
        <v>0</v>
      </c>
      <c r="J609" s="67">
        <f>'Inputs_NT INM'!P488</f>
        <v>1</v>
      </c>
      <c r="K609" s="67">
        <f>'Inputs_NT INM'!Q488</f>
        <v>0.91761269920224109</v>
      </c>
      <c r="L609" s="67">
        <f>'Inputs_NT INM'!R488</f>
        <v>0.98911494897970564</v>
      </c>
      <c r="M609" s="67">
        <f>'Inputs_NT INM'!S488</f>
        <v>0.86488336650638253</v>
      </c>
      <c r="N609" s="67">
        <f>'Inputs_NT INM'!T488</f>
        <v>0</v>
      </c>
      <c r="O609" s="67">
        <f>'Inputs_NT INM'!U488</f>
        <v>0.92151814722238579</v>
      </c>
      <c r="P609" s="67">
        <f>'Inputs_NT INM'!V488</f>
        <v>1</v>
      </c>
      <c r="Q609" s="67">
        <f>'Inputs_NT INM'!W488</f>
        <v>0.98039369415507116</v>
      </c>
      <c r="R609" s="67">
        <f>'Inputs_NT INM'!X488</f>
        <v>2.3124951823017036E-3</v>
      </c>
      <c r="S609" s="67">
        <f>'Inputs_NT INM'!Y488</f>
        <v>0.97632565853112563</v>
      </c>
      <c r="T609" s="67">
        <f>'Inputs_NT INM'!Z488</f>
        <v>1</v>
      </c>
      <c r="U609" s="67">
        <f>'Inputs_NT INM'!AA488</f>
        <v>0.99094526941085137</v>
      </c>
      <c r="V609" s="67">
        <f>'Inputs_NT INM'!AB488</f>
        <v>0.97699681936875815</v>
      </c>
      <c r="W609" s="67">
        <f>'Inputs_NT INM'!AC488</f>
        <v>0.97699681936875815</v>
      </c>
      <c r="X609" s="67">
        <f>'Inputs_NT INM'!AD488</f>
        <v>0</v>
      </c>
      <c r="Y609" s="67">
        <f>'Inputs_NT INM'!AE488</f>
        <v>0</v>
      </c>
      <c r="Z609" s="67">
        <f>'Inputs_NT INM'!AF488</f>
        <v>0.82304306063881782</v>
      </c>
      <c r="AA609" s="67">
        <f>'Inputs_NT INM'!AG488</f>
        <v>0.98039369415507116</v>
      </c>
      <c r="AB609" s="67">
        <f>'Inputs_NT INM'!AH488</f>
        <v>0.98911494897970564</v>
      </c>
      <c r="AC609" s="67">
        <f>'Inputs_NT INM'!AI488</f>
        <v>1</v>
      </c>
      <c r="AD609" s="67">
        <f>'Inputs_NT INM'!AJ488</f>
        <v>0.99722430202992807</v>
      </c>
      <c r="AE609" s="67">
        <f>'Inputs_NT INM'!AK488</f>
        <v>0</v>
      </c>
      <c r="AF609" s="67">
        <f>'Inputs_NT INM'!AL488</f>
        <v>0.99741138965982956</v>
      </c>
      <c r="AG609" s="67">
        <f>'Inputs_NT INM'!AM488</f>
        <v>0.97275895935078094</v>
      </c>
      <c r="AH609" s="67">
        <f>'Inputs_NT INM'!AN488</f>
        <v>0.99574328133040668</v>
      </c>
      <c r="AI609" s="67"/>
      <c r="AJ609" s="67"/>
      <c r="AK609" s="67"/>
    </row>
    <row r="610" spans="1:37" x14ac:dyDescent="0.25">
      <c r="A610" s="76" t="str">
        <f>IF(OR(SUM('Inputs_NT INM'!M489:AI489)=0,COUNTIF($A$21:$A$60,'Inputs_NT INM'!D489)=0),"*","I"&amp;"-"&amp;'INM_New Techs'!$B$3&amp;"-"&amp;'Inputs_NT INM'!B489&amp;"_"&amp;'Inputs_NT INM'!I489&amp;IF('Inputs_NT INM'!C489="Ordinary","01",IF('Inputs_NT INM'!C489="Improved","02","03")))</f>
        <v>*</v>
      </c>
      <c r="B610" s="9" t="s">
        <v>134</v>
      </c>
      <c r="C610" s="9" t="s">
        <v>332</v>
      </c>
      <c r="D610" s="61" t="s">
        <v>907</v>
      </c>
      <c r="F610" s="61" t="s">
        <v>460</v>
      </c>
      <c r="G610" s="67">
        <f>'Inputs_NT INM'!M489</f>
        <v>1</v>
      </c>
      <c r="H610" s="67">
        <f>'Inputs_NT INM'!N489</f>
        <v>1</v>
      </c>
      <c r="I610" s="67">
        <f>'Inputs_NT INM'!O489</f>
        <v>1</v>
      </c>
      <c r="J610" s="67">
        <f>'Inputs_NT INM'!P489</f>
        <v>1</v>
      </c>
      <c r="K610" s="67">
        <f>'Inputs_NT INM'!Q489</f>
        <v>1</v>
      </c>
      <c r="L610" s="67">
        <f>'Inputs_NT INM'!R489</f>
        <v>1</v>
      </c>
      <c r="M610" s="67">
        <f>'Inputs_NT INM'!S489</f>
        <v>0.99775548819489068</v>
      </c>
      <c r="N610" s="67">
        <f>'Inputs_NT INM'!T489</f>
        <v>0</v>
      </c>
      <c r="O610" s="67">
        <f>'Inputs_NT INM'!U489</f>
        <v>0.99858214504502074</v>
      </c>
      <c r="P610" s="67">
        <f>'Inputs_NT INM'!V489</f>
        <v>1</v>
      </c>
      <c r="Q610" s="67">
        <f>'Inputs_NT INM'!W489</f>
        <v>1</v>
      </c>
      <c r="R610" s="67">
        <f>'Inputs_NT INM'!X489</f>
        <v>1</v>
      </c>
      <c r="S610" s="67">
        <f>'Inputs_NT INM'!Y489</f>
        <v>1</v>
      </c>
      <c r="T610" s="67">
        <f>'Inputs_NT INM'!Z489</f>
        <v>1</v>
      </c>
      <c r="U610" s="67">
        <f>'Inputs_NT INM'!AA489</f>
        <v>0.99996017570778672</v>
      </c>
      <c r="V610" s="67">
        <f>'Inputs_NT INM'!AB489</f>
        <v>0.99805420114513066</v>
      </c>
      <c r="W610" s="67">
        <f>'Inputs_NT INM'!AC489</f>
        <v>0.99805420114513066</v>
      </c>
      <c r="X610" s="67">
        <f>'Inputs_NT INM'!AD489</f>
        <v>0</v>
      </c>
      <c r="Y610" s="67">
        <f>'Inputs_NT INM'!AE489</f>
        <v>0</v>
      </c>
      <c r="Z610" s="67">
        <f>'Inputs_NT INM'!AF489</f>
        <v>1</v>
      </c>
      <c r="AA610" s="67">
        <f>'Inputs_NT INM'!AG489</f>
        <v>1</v>
      </c>
      <c r="AB610" s="67">
        <f>'Inputs_NT INM'!AH489</f>
        <v>1</v>
      </c>
      <c r="AC610" s="67">
        <f>'Inputs_NT INM'!AI489</f>
        <v>1</v>
      </c>
      <c r="AD610" s="67">
        <f>'Inputs_NT INM'!AJ489</f>
        <v>1</v>
      </c>
      <c r="AE610" s="67">
        <f>'Inputs_NT INM'!AK489</f>
        <v>1</v>
      </c>
      <c r="AF610" s="67">
        <f>'Inputs_NT INM'!AL489</f>
        <v>1</v>
      </c>
      <c r="AG610" s="67">
        <f>'Inputs_NT INM'!AM489</f>
        <v>1</v>
      </c>
      <c r="AH610" s="67">
        <f>'Inputs_NT INM'!AN489</f>
        <v>0.98954412741826625</v>
      </c>
      <c r="AI610" s="67"/>
      <c r="AJ610" s="67"/>
      <c r="AK610" s="67"/>
    </row>
    <row r="611" spans="1:37" x14ac:dyDescent="0.25">
      <c r="A611" s="76" t="str">
        <f>IF(OR(SUM('Inputs_NT INM'!M490:AI490)=0,COUNTIF($A$21:$A$60,'Inputs_NT INM'!D490)=0),"*","I"&amp;"-"&amp;'INM_New Techs'!$B$3&amp;"-"&amp;'Inputs_NT INM'!B490&amp;"_"&amp;'Inputs_NT INM'!I490&amp;IF('Inputs_NT INM'!C490="Ordinary","01",IF('Inputs_NT INM'!C490="Improved","02","03")))</f>
        <v>*</v>
      </c>
      <c r="B611" s="9" t="s">
        <v>558</v>
      </c>
      <c r="C611" s="9" t="s">
        <v>332</v>
      </c>
      <c r="D611" s="61" t="s">
        <v>907</v>
      </c>
      <c r="F611" s="61" t="s">
        <v>460</v>
      </c>
      <c r="G611" s="67"/>
      <c r="H611" s="67"/>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c r="AF611" s="67"/>
      <c r="AG611" s="67"/>
      <c r="AH611" s="67"/>
      <c r="AI611" s="67"/>
      <c r="AJ611" s="67"/>
      <c r="AK611" s="67"/>
    </row>
    <row r="612" spans="1:37" x14ac:dyDescent="0.25">
      <c r="A612" s="76" t="str">
        <f>IF(OR(SUM('Inputs_NT INM'!M491:AI491)=0,COUNTIF($A$21:$A$60,'Inputs_NT INM'!D491)=0),"*","I"&amp;"-"&amp;'INM_New Techs'!$B$3&amp;"-"&amp;'Inputs_NT INM'!B491&amp;"_"&amp;'Inputs_NT INM'!I491&amp;IF('Inputs_NT INM'!C491="Ordinary","01",IF('Inputs_NT INM'!C491="Improved","02","03")))</f>
        <v>*</v>
      </c>
      <c r="B612" s="9" t="s">
        <v>119</v>
      </c>
      <c r="C612" s="9" t="s">
        <v>332</v>
      </c>
      <c r="D612" s="61" t="s">
        <v>907</v>
      </c>
      <c r="F612" s="61" t="s">
        <v>460</v>
      </c>
      <c r="G612" s="67">
        <f>'Inputs_NT INM'!M491</f>
        <v>0</v>
      </c>
      <c r="H612" s="67">
        <f>'Inputs_NT INM'!N491</f>
        <v>0</v>
      </c>
      <c r="I612" s="67">
        <f>'Inputs_NT INM'!O491</f>
        <v>0</v>
      </c>
      <c r="J612" s="67">
        <f>'Inputs_NT INM'!P491</f>
        <v>0</v>
      </c>
      <c r="K612" s="67">
        <f>'Inputs_NT INM'!Q491</f>
        <v>0</v>
      </c>
      <c r="L612" s="67">
        <f>'Inputs_NT INM'!R491</f>
        <v>0</v>
      </c>
      <c r="M612" s="67">
        <f>'Inputs_NT INM'!S491</f>
        <v>2.244511805109321E-3</v>
      </c>
      <c r="N612" s="67">
        <f>'Inputs_NT INM'!T491</f>
        <v>0</v>
      </c>
      <c r="O612" s="67">
        <f>'Inputs_NT INM'!U491</f>
        <v>1.4178549549792524E-3</v>
      </c>
      <c r="P612" s="67">
        <f>'Inputs_NT INM'!V491</f>
        <v>0</v>
      </c>
      <c r="Q612" s="67">
        <f>'Inputs_NT INM'!W491</f>
        <v>0</v>
      </c>
      <c r="R612" s="67">
        <f>'Inputs_NT INM'!X491</f>
        <v>0</v>
      </c>
      <c r="S612" s="67">
        <f>'Inputs_NT INM'!Y491</f>
        <v>0</v>
      </c>
      <c r="T612" s="67">
        <f>'Inputs_NT INM'!Z491</f>
        <v>0</v>
      </c>
      <c r="U612" s="67">
        <f>'Inputs_NT INM'!AA491</f>
        <v>3.9824292213258897E-5</v>
      </c>
      <c r="V612" s="67">
        <f>'Inputs_NT INM'!AB491</f>
        <v>1.9457988548694544E-3</v>
      </c>
      <c r="W612" s="67">
        <f>'Inputs_NT INM'!AC491</f>
        <v>1.9457988548694544E-3</v>
      </c>
      <c r="X612" s="67">
        <f>'Inputs_NT INM'!AD491</f>
        <v>0</v>
      </c>
      <c r="Y612" s="67">
        <f>'Inputs_NT INM'!AE491</f>
        <v>0</v>
      </c>
      <c r="Z612" s="67">
        <f>'Inputs_NT INM'!AF491</f>
        <v>0</v>
      </c>
      <c r="AA612" s="67">
        <f>'Inputs_NT INM'!AG491</f>
        <v>0</v>
      </c>
      <c r="AB612" s="67">
        <f>'Inputs_NT INM'!AH491</f>
        <v>0</v>
      </c>
      <c r="AC612" s="67">
        <f>'Inputs_NT INM'!AI491</f>
        <v>0</v>
      </c>
      <c r="AD612" s="67">
        <f>'Inputs_NT INM'!AJ491</f>
        <v>0</v>
      </c>
      <c r="AE612" s="67">
        <f>'Inputs_NT INM'!AK491</f>
        <v>0</v>
      </c>
      <c r="AF612" s="67">
        <f>'Inputs_NT INM'!AL491</f>
        <v>0</v>
      </c>
      <c r="AG612" s="67">
        <f>'Inputs_NT INM'!AM491</f>
        <v>0</v>
      </c>
      <c r="AH612" s="67">
        <f>'Inputs_NT INM'!AN491</f>
        <v>1.0455872581733729E-2</v>
      </c>
      <c r="AI612" s="67"/>
      <c r="AJ612" s="67"/>
      <c r="AK612" s="67"/>
    </row>
    <row r="613" spans="1:37" x14ac:dyDescent="0.25">
      <c r="A613" s="76" t="str">
        <f>IF(OR(SUM('Inputs_NT INM'!M492:AI492)=0,COUNTIF($A$21:$A$60,'Inputs_NT INM'!D492)=0),"*","I"&amp;"-"&amp;'INM_New Techs'!$B$3&amp;"-"&amp;'Inputs_NT INM'!B492&amp;"_"&amp;'Inputs_NT INM'!I492&amp;IF('Inputs_NT INM'!C492="Ordinary","01",IF('Inputs_NT INM'!C492="Improved","02","03")))</f>
        <v>*</v>
      </c>
      <c r="B613" s="9" t="s">
        <v>115</v>
      </c>
      <c r="C613" s="9" t="s">
        <v>332</v>
      </c>
      <c r="D613" s="61" t="s">
        <v>907</v>
      </c>
      <c r="F613" s="61" t="s">
        <v>460</v>
      </c>
      <c r="G613" s="67">
        <f>'Inputs_NT INM'!M492</f>
        <v>0</v>
      </c>
      <c r="H613" s="67">
        <f>'Inputs_NT INM'!N492</f>
        <v>0</v>
      </c>
      <c r="I613" s="67">
        <f>'Inputs_NT INM'!O492</f>
        <v>0</v>
      </c>
      <c r="J613" s="67">
        <f>'Inputs_NT INM'!P492</f>
        <v>0</v>
      </c>
      <c r="K613" s="67">
        <f>'Inputs_NT INM'!Q492</f>
        <v>3.78048399022601E-3</v>
      </c>
      <c r="L613" s="67">
        <f>'Inputs_NT INM'!R492</f>
        <v>0</v>
      </c>
      <c r="M613" s="67">
        <f>'Inputs_NT INM'!S492</f>
        <v>0</v>
      </c>
      <c r="N613" s="67">
        <f>'Inputs_NT INM'!T492</f>
        <v>0</v>
      </c>
      <c r="O613" s="67">
        <f>'Inputs_NT INM'!U492</f>
        <v>0</v>
      </c>
      <c r="P613" s="67">
        <f>'Inputs_NT INM'!V492</f>
        <v>0</v>
      </c>
      <c r="Q613" s="67">
        <f>'Inputs_NT INM'!W492</f>
        <v>0</v>
      </c>
      <c r="R613" s="67">
        <f>'Inputs_NT INM'!X492</f>
        <v>0</v>
      </c>
      <c r="S613" s="67">
        <f>'Inputs_NT INM'!Y492</f>
        <v>0</v>
      </c>
      <c r="T613" s="67">
        <f>'Inputs_NT INM'!Z492</f>
        <v>0</v>
      </c>
      <c r="U613" s="67">
        <f>'Inputs_NT INM'!AA492</f>
        <v>3.0120781616915809E-4</v>
      </c>
      <c r="V613" s="67">
        <f>'Inputs_NT INM'!AB492</f>
        <v>9.7520092465061276E-4</v>
      </c>
      <c r="W613" s="67">
        <f>'Inputs_NT INM'!AC492</f>
        <v>9.7520092465061276E-4</v>
      </c>
      <c r="X613" s="67">
        <f>'Inputs_NT INM'!AD492</f>
        <v>0</v>
      </c>
      <c r="Y613" s="67">
        <f>'Inputs_NT INM'!AE492</f>
        <v>0</v>
      </c>
      <c r="Z613" s="67">
        <f>'Inputs_NT INM'!AF492</f>
        <v>0</v>
      </c>
      <c r="AA613" s="67">
        <f>'Inputs_NT INM'!AG492</f>
        <v>0</v>
      </c>
      <c r="AB613" s="67">
        <f>'Inputs_NT INM'!AH492</f>
        <v>0</v>
      </c>
      <c r="AC613" s="67">
        <f>'Inputs_NT INM'!AI492</f>
        <v>0</v>
      </c>
      <c r="AD613" s="67">
        <f>'Inputs_NT INM'!AJ492</f>
        <v>0</v>
      </c>
      <c r="AE613" s="67">
        <f>'Inputs_NT INM'!AK492</f>
        <v>0</v>
      </c>
      <c r="AF613" s="67">
        <f>'Inputs_NT INM'!AL492</f>
        <v>0</v>
      </c>
      <c r="AG613" s="67">
        <f>'Inputs_NT INM'!AM492</f>
        <v>0</v>
      </c>
      <c r="AH613" s="67">
        <f>'Inputs_NT INM'!AN492</f>
        <v>0</v>
      </c>
      <c r="AI613" s="67"/>
      <c r="AJ613" s="67"/>
      <c r="AK613" s="67"/>
    </row>
    <row r="614" spans="1:37" x14ac:dyDescent="0.25">
      <c r="A614" s="76" t="str">
        <f>IF(OR(SUM('Inputs_NT INM'!M493:AI493)=0,COUNTIF($A$21:$A$60,'Inputs_NT INM'!D493)=0),"*","I"&amp;"-"&amp;'INM_New Techs'!$B$3&amp;"-"&amp;'Inputs_NT INM'!B493&amp;"_"&amp;'Inputs_NT INM'!I493&amp;IF('Inputs_NT INM'!C493="Ordinary","01",IF('Inputs_NT INM'!C493="Improved","02","03")))</f>
        <v>*</v>
      </c>
      <c r="B614" s="9" t="s">
        <v>558</v>
      </c>
      <c r="C614" s="9" t="s">
        <v>332</v>
      </c>
      <c r="D614" s="61" t="s">
        <v>907</v>
      </c>
      <c r="F614" s="61" t="s">
        <v>460</v>
      </c>
      <c r="G614" s="67"/>
      <c r="H614" s="67"/>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c r="AF614" s="67"/>
      <c r="AG614" s="67"/>
      <c r="AH614" s="67"/>
      <c r="AI614" s="67"/>
      <c r="AJ614" s="67"/>
      <c r="AK614" s="67"/>
    </row>
    <row r="615" spans="1:37" x14ac:dyDescent="0.25">
      <c r="A615" s="76" t="str">
        <f>IF(OR(SUM('Inputs_NT INM'!M494:AI494)=0,COUNTIF($A$21:$A$60,'Inputs_NT INM'!D494)=0),"*","I"&amp;"-"&amp;'INM_New Techs'!$B$3&amp;"-"&amp;'Inputs_NT INM'!B494&amp;"_"&amp;'Inputs_NT INM'!I494&amp;IF('Inputs_NT INM'!C494="Ordinary","01",IF('Inputs_NT INM'!C494="Improved","02","03")))</f>
        <v>*</v>
      </c>
      <c r="B615" s="9" t="s">
        <v>558</v>
      </c>
      <c r="C615" s="9" t="s">
        <v>332</v>
      </c>
      <c r="D615" s="61" t="s">
        <v>907</v>
      </c>
      <c r="F615" s="61" t="s">
        <v>460</v>
      </c>
      <c r="G615" s="67"/>
      <c r="H615" s="67"/>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c r="AF615" s="67"/>
      <c r="AG615" s="67"/>
      <c r="AH615" s="67"/>
      <c r="AI615" s="67"/>
      <c r="AJ615" s="67"/>
      <c r="AK615" s="67"/>
    </row>
    <row r="616" spans="1:37" x14ac:dyDescent="0.25">
      <c r="A616" s="76" t="str">
        <f>IF(OR(SUM('Inputs_NT INM'!M495:AI495)=0,COUNTIF($A$21:$A$60,'Inputs_NT INM'!D495)=0),"*","I"&amp;"-"&amp;'INM_New Techs'!$B$3&amp;"-"&amp;'Inputs_NT INM'!B495&amp;"_"&amp;'Inputs_NT INM'!I495&amp;IF('Inputs_NT INM'!C495="Ordinary","01",IF('Inputs_NT INM'!C495="Improved","02","03")))</f>
        <v>I-NM-OTS_ELC03</v>
      </c>
      <c r="B616" s="9" t="s">
        <v>137</v>
      </c>
      <c r="C616" s="9" t="s">
        <v>332</v>
      </c>
      <c r="D616" s="61" t="s">
        <v>907</v>
      </c>
      <c r="F616" s="61" t="s">
        <v>460</v>
      </c>
      <c r="G616" s="67">
        <f>'Inputs_NT INM'!M495</f>
        <v>0</v>
      </c>
      <c r="H616" s="67">
        <f>'Inputs_NT INM'!N495</f>
        <v>0</v>
      </c>
      <c r="I616" s="67">
        <f>'Inputs_NT INM'!O495</f>
        <v>0</v>
      </c>
      <c r="J616" s="67">
        <f>'Inputs_NT INM'!P495</f>
        <v>0</v>
      </c>
      <c r="K616" s="67">
        <f>'Inputs_NT INM'!Q495</f>
        <v>0</v>
      </c>
      <c r="L616" s="67">
        <f>'Inputs_NT INM'!R495</f>
        <v>0</v>
      </c>
      <c r="M616" s="67">
        <f>'Inputs_NT INM'!S495</f>
        <v>0</v>
      </c>
      <c r="N616" s="67">
        <f>'Inputs_NT INM'!T495</f>
        <v>0</v>
      </c>
      <c r="O616" s="67">
        <f>'Inputs_NT INM'!U495</f>
        <v>0</v>
      </c>
      <c r="P616" s="67">
        <f>'Inputs_NT INM'!V495</f>
        <v>0</v>
      </c>
      <c r="Q616" s="67">
        <f>'Inputs_NT INM'!W495</f>
        <v>0</v>
      </c>
      <c r="R616" s="67">
        <f>'Inputs_NT INM'!X495</f>
        <v>0</v>
      </c>
      <c r="S616" s="67">
        <f>'Inputs_NT INM'!Y495</f>
        <v>0</v>
      </c>
      <c r="T616" s="67">
        <f>'Inputs_NT INM'!Z495</f>
        <v>0</v>
      </c>
      <c r="U616" s="67">
        <f>'Inputs_NT INM'!AA495</f>
        <v>0</v>
      </c>
      <c r="V616" s="67">
        <f>'Inputs_NT INM'!AB495</f>
        <v>1.0565926842793376E-5</v>
      </c>
      <c r="W616" s="67">
        <f>'Inputs_NT INM'!AC495</f>
        <v>1.0565926842793376E-5</v>
      </c>
      <c r="X616" s="67">
        <f>'Inputs_NT INM'!AD495</f>
        <v>0</v>
      </c>
      <c r="Y616" s="67">
        <f>'Inputs_NT INM'!AE495</f>
        <v>0</v>
      </c>
      <c r="Z616" s="67">
        <f>'Inputs_NT INM'!AF495</f>
        <v>0</v>
      </c>
      <c r="AA616" s="67">
        <f>'Inputs_NT INM'!AG495</f>
        <v>0</v>
      </c>
      <c r="AB616" s="67">
        <f>'Inputs_NT INM'!AH495</f>
        <v>0</v>
      </c>
      <c r="AC616" s="67">
        <f>'Inputs_NT INM'!AI495</f>
        <v>0</v>
      </c>
      <c r="AD616" s="67">
        <f>'Inputs_NT INM'!AJ495</f>
        <v>0</v>
      </c>
      <c r="AE616" s="67">
        <f>'Inputs_NT INM'!AK495</f>
        <v>0</v>
      </c>
      <c r="AF616" s="67">
        <f>'Inputs_NT INM'!AL495</f>
        <v>0</v>
      </c>
      <c r="AG616" s="67">
        <f>'Inputs_NT INM'!AM495</f>
        <v>0</v>
      </c>
      <c r="AH616" s="67">
        <f>'Inputs_NT INM'!AN495</f>
        <v>0</v>
      </c>
      <c r="AI616" s="67"/>
      <c r="AJ616" s="67"/>
      <c r="AK616" s="67"/>
    </row>
    <row r="617" spans="1:37" x14ac:dyDescent="0.25">
      <c r="A617" s="76" t="str">
        <f>IF(OR(SUM('Inputs_NT INM'!M496:AI496)=0,COUNTIF($A$21:$A$60,'Inputs_NT INM'!D496)=0),"*","I"&amp;"-"&amp;'INM_New Techs'!$B$3&amp;"-"&amp;'Inputs_NT INM'!B496&amp;"_"&amp;'Inputs_NT INM'!I496&amp;IF('Inputs_NT INM'!C496="Ordinary","01",IF('Inputs_NT INM'!C496="Improved","02","03")))</f>
        <v>I-NM-OTS_ELC03</v>
      </c>
      <c r="B617" s="9" t="s">
        <v>126</v>
      </c>
      <c r="C617" s="9" t="s">
        <v>332</v>
      </c>
      <c r="D617" s="62" t="s">
        <v>907</v>
      </c>
      <c r="F617" s="62" t="s">
        <v>460</v>
      </c>
      <c r="G617" s="67">
        <f>'Inputs_NT INM'!M496</f>
        <v>0</v>
      </c>
      <c r="H617" s="67">
        <f>'Inputs_NT INM'!N496</f>
        <v>1</v>
      </c>
      <c r="I617" s="67">
        <f>'Inputs_NT INM'!O496</f>
        <v>1</v>
      </c>
      <c r="J617" s="67">
        <f>'Inputs_NT INM'!P496</f>
        <v>1</v>
      </c>
      <c r="K617" s="67">
        <f>'Inputs_NT INM'!Q496</f>
        <v>1</v>
      </c>
      <c r="L617" s="67">
        <f>'Inputs_NT INM'!R496</f>
        <v>1</v>
      </c>
      <c r="M617" s="67">
        <f>'Inputs_NT INM'!S496</f>
        <v>1</v>
      </c>
      <c r="N617" s="67">
        <f>'Inputs_NT INM'!T496</f>
        <v>1</v>
      </c>
      <c r="O617" s="67">
        <f>'Inputs_NT INM'!U496</f>
        <v>1</v>
      </c>
      <c r="P617" s="67">
        <f>'Inputs_NT INM'!V496</f>
        <v>1</v>
      </c>
      <c r="Q617" s="67">
        <f>'Inputs_NT INM'!W496</f>
        <v>1</v>
      </c>
      <c r="R617" s="67">
        <f>'Inputs_NT INM'!X496</f>
        <v>0</v>
      </c>
      <c r="S617" s="67">
        <f>'Inputs_NT INM'!Y496</f>
        <v>1</v>
      </c>
      <c r="T617" s="67">
        <f>'Inputs_NT INM'!Z496</f>
        <v>1</v>
      </c>
      <c r="U617" s="67">
        <f>'Inputs_NT INM'!AA496</f>
        <v>1</v>
      </c>
      <c r="V617" s="67">
        <f>'Inputs_NT INM'!AB496</f>
        <v>0.99998943407315721</v>
      </c>
      <c r="W617" s="67">
        <f>'Inputs_NT INM'!AC496</f>
        <v>0.99998943407315721</v>
      </c>
      <c r="X617" s="67">
        <f>'Inputs_NT INM'!AD496</f>
        <v>0</v>
      </c>
      <c r="Y617" s="67">
        <f>'Inputs_NT INM'!AE496</f>
        <v>0</v>
      </c>
      <c r="Z617" s="67">
        <f>'Inputs_NT INM'!AF496</f>
        <v>1</v>
      </c>
      <c r="AA617" s="67">
        <f>'Inputs_NT INM'!AG496</f>
        <v>1</v>
      </c>
      <c r="AB617" s="67">
        <f>'Inputs_NT INM'!AH496</f>
        <v>1</v>
      </c>
      <c r="AC617" s="67">
        <f>'Inputs_NT INM'!AI496</f>
        <v>1</v>
      </c>
      <c r="AD617" s="67">
        <f>'Inputs_NT INM'!AJ496</f>
        <v>1</v>
      </c>
      <c r="AE617" s="67">
        <f>'Inputs_NT INM'!AK496</f>
        <v>0</v>
      </c>
      <c r="AF617" s="67">
        <f>'Inputs_NT INM'!AL496</f>
        <v>1</v>
      </c>
      <c r="AG617" s="67">
        <f>'Inputs_NT INM'!AM496</f>
        <v>1</v>
      </c>
      <c r="AH617" s="67">
        <f>'Inputs_NT INM'!AN496</f>
        <v>1</v>
      </c>
      <c r="AI617" s="67"/>
      <c r="AJ617" s="67"/>
      <c r="AK617" s="67"/>
    </row>
    <row r="618" spans="1:37" x14ac:dyDescent="0.25">
      <c r="A618" s="76" t="str">
        <f>IF(OR(SUM('Inputs_NT INM'!M497:AI497)=0,COUNTIF($A$21:$A$60,'Inputs_NT INM'!D497)=0),"*","I"&amp;"-"&amp;'INM_New Techs'!$B$3&amp;"-"&amp;'Inputs_NT INM'!B497&amp;"_"&amp;'Inputs_NT INM'!I497&amp;IF('Inputs_NT INM'!C497="Ordinary","01",IF('Inputs_NT INM'!C497="Improved","02","03")))</f>
        <v>*</v>
      </c>
      <c r="B618" s="9" t="s">
        <v>558</v>
      </c>
      <c r="C618" s="9" t="s">
        <v>332</v>
      </c>
      <c r="D618" s="62" t="s">
        <v>907</v>
      </c>
      <c r="F618" s="62" t="s">
        <v>460</v>
      </c>
      <c r="G618" s="67"/>
      <c r="H618" s="67"/>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c r="AF618" s="67"/>
      <c r="AG618" s="67"/>
      <c r="AH618" s="67"/>
      <c r="AI618" s="67"/>
      <c r="AJ618" s="67"/>
      <c r="AK618" s="67"/>
    </row>
    <row r="619" spans="1:37" x14ac:dyDescent="0.25">
      <c r="A619" s="77" t="str">
        <f>IF(OR(SUM('Inputs_NT INM'!M498:AI498)=0,COUNTIF($A$21:$A$60,'Inputs_NT INM'!D498)=0),"*","I"&amp;"-"&amp;'INM_New Techs'!$B$3&amp;"-"&amp;'Inputs_NT INM'!B498&amp;"_"&amp;'Inputs_NT INM'!I498&amp;IF('Inputs_NT INM'!C498="Ordinary","01",IF('Inputs_NT INM'!C498="Improved","02","03")))</f>
        <v>*</v>
      </c>
      <c r="B619" s="47" t="s">
        <v>132</v>
      </c>
      <c r="C619" s="47" t="s">
        <v>332</v>
      </c>
      <c r="D619" s="63" t="s">
        <v>907</v>
      </c>
      <c r="E619" s="47"/>
      <c r="F619" s="63" t="s">
        <v>460</v>
      </c>
      <c r="G619" s="64">
        <f>'Inputs_NT INM'!M498</f>
        <v>0</v>
      </c>
      <c r="H619" s="64">
        <f>'Inputs_NT INM'!N498</f>
        <v>2.253002537937546E-2</v>
      </c>
      <c r="I619" s="64">
        <f>'Inputs_NT INM'!O498</f>
        <v>0</v>
      </c>
      <c r="J619" s="64">
        <f>'Inputs_NT INM'!P498</f>
        <v>0</v>
      </c>
      <c r="K619" s="64">
        <f>'Inputs_NT INM'!Q498</f>
        <v>7.8606816807532842E-2</v>
      </c>
      <c r="L619" s="64">
        <f>'Inputs_NT INM'!R498</f>
        <v>1.0885051020294328E-2</v>
      </c>
      <c r="M619" s="64">
        <f>'Inputs_NT INM'!S498</f>
        <v>0.13511663349361738</v>
      </c>
      <c r="N619" s="64">
        <f>'Inputs_NT INM'!T498</f>
        <v>0</v>
      </c>
      <c r="O619" s="64">
        <f>'Inputs_NT INM'!U498</f>
        <v>7.8481852777614228E-2</v>
      </c>
      <c r="P619" s="64">
        <f>'Inputs_NT INM'!V498</f>
        <v>0</v>
      </c>
      <c r="Q619" s="64">
        <f>'Inputs_NT INM'!W498</f>
        <v>1.9606305844928881E-2</v>
      </c>
      <c r="R619" s="64">
        <f>'Inputs_NT INM'!X498</f>
        <v>0.9976875048176983</v>
      </c>
      <c r="S619" s="64">
        <f>'Inputs_NT INM'!Y498</f>
        <v>2.3674341468874392E-2</v>
      </c>
      <c r="T619" s="64">
        <f>'Inputs_NT INM'!Z498</f>
        <v>0</v>
      </c>
      <c r="U619" s="64">
        <f>'Inputs_NT INM'!AA498</f>
        <v>8.7535227729794683E-3</v>
      </c>
      <c r="V619" s="64">
        <f>'Inputs_NT INM'!AB498</f>
        <v>2.2027979706591275E-2</v>
      </c>
      <c r="W619" s="64">
        <f>'Inputs_NT INM'!AC498</f>
        <v>2.2027979706591275E-2</v>
      </c>
      <c r="X619" s="64">
        <f>'Inputs_NT INM'!AD498</f>
        <v>0</v>
      </c>
      <c r="Y619" s="64">
        <f>'Inputs_NT INM'!AE498</f>
        <v>0</v>
      </c>
      <c r="Z619" s="64">
        <f>'Inputs_NT INM'!AF498</f>
        <v>0.17695693936118215</v>
      </c>
      <c r="AA619" s="64">
        <f>'Inputs_NT INM'!AG498</f>
        <v>1.9606305844928881E-2</v>
      </c>
      <c r="AB619" s="64">
        <f>'Inputs_NT INM'!AH498</f>
        <v>1.0885051020294328E-2</v>
      </c>
      <c r="AC619" s="64">
        <f>'Inputs_NT INM'!AI498</f>
        <v>0</v>
      </c>
      <c r="AD619" s="64">
        <f>'Inputs_NT INM'!AJ498</f>
        <v>2.7756979700719604E-3</v>
      </c>
      <c r="AE619" s="64">
        <f>'Inputs_NT INM'!AK498</f>
        <v>0</v>
      </c>
      <c r="AF619" s="64">
        <f>'Inputs_NT INM'!AL498</f>
        <v>2.5886103401703848E-3</v>
      </c>
      <c r="AG619" s="64">
        <f>'Inputs_NT INM'!AM498</f>
        <v>2.7241040649219072E-2</v>
      </c>
      <c r="AH619" s="64">
        <f>'Inputs_NT INM'!AN498</f>
        <v>4.256718669593383E-3</v>
      </c>
      <c r="AI619" s="64"/>
      <c r="AJ619" s="64"/>
      <c r="AK619" s="64"/>
    </row>
    <row r="620" spans="1:37" x14ac:dyDescent="0.25">
      <c r="C620" s="461"/>
      <c r="D620" s="461"/>
      <c r="E620" s="461"/>
      <c r="F620" s="461"/>
      <c r="G620" s="461"/>
      <c r="H620" s="461"/>
      <c r="I620" s="461"/>
      <c r="J620" s="461"/>
      <c r="K620" s="461"/>
      <c r="L620" s="461"/>
      <c r="M620" s="461"/>
      <c r="N620" s="461"/>
      <c r="O620" s="461"/>
      <c r="P620" s="461"/>
      <c r="Q620" s="461"/>
      <c r="R620" s="461"/>
      <c r="S620" s="461"/>
      <c r="T620" s="461"/>
      <c r="U620" s="461"/>
      <c r="V620" s="461"/>
      <c r="W620" s="461"/>
      <c r="X620" s="461"/>
      <c r="Y620" s="461"/>
      <c r="Z620" s="461"/>
      <c r="AA620" s="461"/>
      <c r="AB620" s="461"/>
      <c r="AC620" s="461"/>
      <c r="AD620" s="461"/>
      <c r="AE620" s="461"/>
      <c r="AF620" s="461"/>
      <c r="AG620" s="461"/>
      <c r="AH620" s="461"/>
    </row>
    <row r="621" spans="1:37" x14ac:dyDescent="0.25">
      <c r="C621" s="461"/>
      <c r="D621" s="461"/>
      <c r="E621" s="461"/>
      <c r="F621" s="461"/>
      <c r="G621" s="461"/>
      <c r="H621" s="461"/>
      <c r="I621" s="461"/>
      <c r="J621" s="461"/>
      <c r="K621" s="461"/>
      <c r="L621" s="461"/>
      <c r="M621" s="461"/>
      <c r="N621" s="461"/>
      <c r="O621" s="461"/>
      <c r="P621" s="461"/>
      <c r="Q621" s="461"/>
      <c r="R621" s="461"/>
      <c r="S621" s="461"/>
      <c r="T621" s="461"/>
      <c r="U621" s="461"/>
      <c r="V621" s="461"/>
      <c r="W621" s="461"/>
      <c r="X621" s="461"/>
      <c r="Y621" s="461"/>
      <c r="Z621" s="461"/>
      <c r="AA621" s="461"/>
      <c r="AB621" s="461"/>
      <c r="AC621" s="461"/>
      <c r="AD621" s="461"/>
      <c r="AE621" s="461"/>
      <c r="AF621" s="461"/>
      <c r="AG621" s="461"/>
      <c r="AH621" s="461"/>
    </row>
    <row r="622" spans="1:37" x14ac:dyDescent="0.25">
      <c r="C622" s="461"/>
      <c r="D622" s="461"/>
      <c r="E622" s="461"/>
      <c r="F622" s="461"/>
      <c r="G622" s="461"/>
      <c r="H622" s="461"/>
      <c r="I622" s="461"/>
      <c r="J622" s="461"/>
      <c r="K622" s="461"/>
      <c r="L622" s="461"/>
      <c r="M622" s="461"/>
      <c r="N622" s="461"/>
      <c r="O622" s="461"/>
      <c r="P622" s="461"/>
      <c r="Q622" s="461"/>
      <c r="R622" s="461"/>
      <c r="S622" s="461"/>
      <c r="T622" s="461"/>
      <c r="U622" s="461"/>
      <c r="V622" s="461"/>
      <c r="W622" s="461"/>
      <c r="X622" s="461"/>
      <c r="Y622" s="461"/>
      <c r="Z622" s="461"/>
      <c r="AA622" s="461"/>
      <c r="AB622" s="461"/>
      <c r="AC622" s="461"/>
      <c r="AD622" s="461"/>
      <c r="AE622" s="461"/>
      <c r="AF622" s="461"/>
      <c r="AG622" s="461"/>
      <c r="AH622" s="461"/>
    </row>
  </sheetData>
  <phoneticPr fontId="67" type="noConversion"/>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9D5AC-EE3E-4613-AB31-850503BCCD89}">
  <sheetPr>
    <tabColor rgb="FFC00000"/>
  </sheetPr>
  <dimension ref="A2:AB109"/>
  <sheetViews>
    <sheetView topLeftCell="A7" zoomScale="70" zoomScaleNormal="70" workbookViewId="0">
      <selection activeCell="C21" sqref="C21:Z21"/>
    </sheetView>
  </sheetViews>
  <sheetFormatPr defaultRowHeight="15" x14ac:dyDescent="0.25"/>
  <cols>
    <col min="2" max="2" width="16.7109375" customWidth="1"/>
    <col min="3" max="3" width="12.42578125" bestFit="1" customWidth="1"/>
    <col min="4" max="4" width="11.140625" bestFit="1" customWidth="1"/>
    <col min="5" max="26" width="12.42578125" bestFit="1" customWidth="1"/>
    <col min="28" max="28" width="10.7109375" bestFit="1" customWidth="1"/>
  </cols>
  <sheetData>
    <row r="2" spans="2:28" x14ac:dyDescent="0.25">
      <c r="B2" s="5" t="s">
        <v>998</v>
      </c>
    </row>
    <row r="3" spans="2:28" x14ac:dyDescent="0.25">
      <c r="B3" s="141" t="s">
        <v>999</v>
      </c>
    </row>
    <row r="4" spans="2:28" x14ac:dyDescent="0.25">
      <c r="B4" s="157" t="s">
        <v>1000</v>
      </c>
    </row>
    <row r="7" spans="2:28" x14ac:dyDescent="0.25">
      <c r="B7" s="88" t="s">
        <v>1001</v>
      </c>
      <c r="E7" t="s">
        <v>1002</v>
      </c>
      <c r="AB7" s="210" t="s">
        <v>1003</v>
      </c>
    </row>
    <row r="9" spans="2:28" x14ac:dyDescent="0.25">
      <c r="B9" s="156" t="s">
        <v>1004</v>
      </c>
      <c r="C9" s="151" t="s">
        <v>1005</v>
      </c>
      <c r="D9" s="151" t="s">
        <v>1006</v>
      </c>
      <c r="E9" s="151" t="s">
        <v>1007</v>
      </c>
      <c r="F9" s="151" t="s">
        <v>1008</v>
      </c>
      <c r="G9" s="151" t="s">
        <v>1009</v>
      </c>
      <c r="H9" s="151" t="s">
        <v>1010</v>
      </c>
      <c r="I9" s="151" t="s">
        <v>1011</v>
      </c>
      <c r="J9" s="151" t="s">
        <v>1012</v>
      </c>
      <c r="K9" s="151" t="s">
        <v>1013</v>
      </c>
      <c r="L9" s="151" t="s">
        <v>1014</v>
      </c>
      <c r="M9" s="151" t="s">
        <v>1015</v>
      </c>
      <c r="N9" s="151" t="s">
        <v>1016</v>
      </c>
      <c r="O9" s="151" t="s">
        <v>1017</v>
      </c>
      <c r="P9" s="151" t="s">
        <v>1018</v>
      </c>
      <c r="Q9" s="151" t="s">
        <v>1019</v>
      </c>
      <c r="R9" s="151" t="s">
        <v>1020</v>
      </c>
      <c r="S9" s="151" t="s">
        <v>1021</v>
      </c>
      <c r="T9" s="151" t="s">
        <v>1022</v>
      </c>
      <c r="U9" s="151" t="s">
        <v>1023</v>
      </c>
      <c r="V9" s="151" t="s">
        <v>1024</v>
      </c>
      <c r="W9" s="151" t="s">
        <v>1025</v>
      </c>
      <c r="X9" s="151" t="s">
        <v>1026</v>
      </c>
      <c r="Y9" s="151" t="s">
        <v>1027</v>
      </c>
      <c r="Z9" s="151" t="s">
        <v>1028</v>
      </c>
      <c r="AB9" s="210">
        <v>2019</v>
      </c>
    </row>
    <row r="10" spans="2:28" x14ac:dyDescent="0.25">
      <c r="B10" s="152" t="s">
        <v>162</v>
      </c>
      <c r="C10" s="153">
        <v>3614</v>
      </c>
      <c r="D10" s="153">
        <v>3738</v>
      </c>
      <c r="E10" s="153">
        <v>4071</v>
      </c>
      <c r="F10" s="153">
        <v>4831.7</v>
      </c>
      <c r="G10" s="153">
        <v>5264.2000000000007</v>
      </c>
      <c r="H10" s="153">
        <v>5984</v>
      </c>
      <c r="I10" s="153">
        <v>6202.6</v>
      </c>
      <c r="J10" s="153">
        <v>6869.1999999999989</v>
      </c>
      <c r="K10" s="153">
        <v>7920</v>
      </c>
      <c r="L10" s="153">
        <v>8388.5</v>
      </c>
      <c r="M10" s="153">
        <v>9307.7999999999993</v>
      </c>
      <c r="N10" s="153">
        <v>11124.4</v>
      </c>
      <c r="O10" s="153">
        <v>13185.7</v>
      </c>
      <c r="P10" s="153">
        <v>14761.1</v>
      </c>
      <c r="Q10" s="153">
        <v>16994.5</v>
      </c>
      <c r="R10" s="153">
        <v>20074.2</v>
      </c>
      <c r="S10" s="153">
        <v>22702.2</v>
      </c>
      <c r="T10" s="153">
        <v>23016.3</v>
      </c>
      <c r="U10" s="153">
        <v>23629.9</v>
      </c>
      <c r="V10" s="153">
        <v>26228.2</v>
      </c>
      <c r="W10" s="153">
        <v>28590.9</v>
      </c>
      <c r="X10" s="153">
        <v>30987.7</v>
      </c>
      <c r="Y10" s="153">
        <v>31494</v>
      </c>
      <c r="Z10" s="153">
        <v>31494</v>
      </c>
      <c r="AB10" s="98"/>
    </row>
    <row r="11" spans="2:28" x14ac:dyDescent="0.25">
      <c r="B11" s="152" t="s">
        <v>164</v>
      </c>
      <c r="C11" s="153">
        <v>49200</v>
      </c>
      <c r="D11" s="153">
        <v>52721</v>
      </c>
      <c r="E11" s="153">
        <v>56677</v>
      </c>
      <c r="F11" s="153">
        <v>55577</v>
      </c>
      <c r="G11" s="153">
        <v>61024.5</v>
      </c>
      <c r="H11" s="153">
        <v>66570</v>
      </c>
      <c r="I11" s="153">
        <v>74385.600000000006</v>
      </c>
      <c r="J11" s="153">
        <v>81336</v>
      </c>
      <c r="K11" s="153">
        <v>83112</v>
      </c>
      <c r="L11" s="153">
        <v>95265</v>
      </c>
      <c r="M11" s="153">
        <v>97670</v>
      </c>
      <c r="N11" s="153">
        <v>92255</v>
      </c>
      <c r="O11" s="153">
        <v>95711</v>
      </c>
      <c r="P11" s="153">
        <v>95074</v>
      </c>
      <c r="Q11" s="153">
        <v>101107</v>
      </c>
      <c r="R11" s="153">
        <v>102817</v>
      </c>
      <c r="S11" s="153">
        <v>106722</v>
      </c>
      <c r="T11" s="153">
        <v>105684</v>
      </c>
      <c r="U11" s="153">
        <v>102182</v>
      </c>
      <c r="V11" s="153">
        <v>99456</v>
      </c>
      <c r="W11" s="153">
        <v>89961</v>
      </c>
      <c r="X11" s="153">
        <v>100599</v>
      </c>
      <c r="Y11" s="153">
        <v>96599</v>
      </c>
      <c r="Z11" s="153">
        <v>100599</v>
      </c>
      <c r="AB11" s="98"/>
    </row>
    <row r="12" spans="2:28" x14ac:dyDescent="0.25">
      <c r="B12" s="152" t="s">
        <v>166</v>
      </c>
      <c r="C12" s="153">
        <v>7040</v>
      </c>
      <c r="D12" s="153">
        <v>7529</v>
      </c>
      <c r="E12" s="153">
        <v>7663</v>
      </c>
      <c r="F12" s="153">
        <v>7832.8</v>
      </c>
      <c r="G12" s="153">
        <v>8851</v>
      </c>
      <c r="H12" s="153">
        <v>8875.7000000000007</v>
      </c>
      <c r="I12" s="153">
        <v>10255.199999999999</v>
      </c>
      <c r="J12" s="153">
        <v>11047.300000000001</v>
      </c>
      <c r="K12" s="153">
        <v>11414</v>
      </c>
      <c r="L12" s="153">
        <v>11583.6</v>
      </c>
      <c r="M12" s="153">
        <v>14218</v>
      </c>
      <c r="N12" s="153">
        <v>15767</v>
      </c>
      <c r="O12" s="153">
        <v>18740</v>
      </c>
      <c r="P12" s="153">
        <v>20513</v>
      </c>
      <c r="Q12" s="153">
        <v>20945</v>
      </c>
      <c r="R12" s="153">
        <v>22174</v>
      </c>
      <c r="S12" s="153">
        <v>25031</v>
      </c>
      <c r="T12" s="153">
        <v>26067</v>
      </c>
      <c r="U12" s="153">
        <v>31068</v>
      </c>
      <c r="V12" s="153">
        <v>34539</v>
      </c>
      <c r="W12" s="153">
        <v>35344</v>
      </c>
      <c r="X12" s="153">
        <v>39336</v>
      </c>
      <c r="Y12" s="153">
        <v>39336</v>
      </c>
      <c r="Z12" s="153">
        <v>39336</v>
      </c>
    </row>
    <row r="13" spans="2:28" x14ac:dyDescent="0.25">
      <c r="B13" s="152" t="s">
        <v>168</v>
      </c>
      <c r="C13" s="153">
        <v>9822</v>
      </c>
      <c r="D13" s="153">
        <v>9866</v>
      </c>
      <c r="E13" s="153">
        <v>10442</v>
      </c>
      <c r="F13" s="153">
        <v>11023.4</v>
      </c>
      <c r="G13" s="153">
        <v>12491.4</v>
      </c>
      <c r="H13" s="153">
        <v>14303.5</v>
      </c>
      <c r="I13" s="153">
        <v>15885.5</v>
      </c>
      <c r="J13" s="153">
        <v>16656.400000000001</v>
      </c>
      <c r="K13" s="153">
        <v>16957</v>
      </c>
      <c r="L13" s="153">
        <v>16191</v>
      </c>
      <c r="M13" s="153">
        <v>15446</v>
      </c>
      <c r="N13" s="153">
        <v>16709</v>
      </c>
      <c r="O13" s="153">
        <v>19267</v>
      </c>
      <c r="P13" s="153">
        <v>21002</v>
      </c>
      <c r="Q13" s="153">
        <v>22458</v>
      </c>
      <c r="R13" s="153">
        <v>23777</v>
      </c>
      <c r="S13" s="153">
        <v>24483</v>
      </c>
      <c r="T13" s="153">
        <v>23269</v>
      </c>
      <c r="U13" s="153">
        <v>23882</v>
      </c>
      <c r="V13" s="153">
        <v>22596</v>
      </c>
      <c r="W13" s="153">
        <v>22498</v>
      </c>
      <c r="X13" s="153">
        <v>23672</v>
      </c>
      <c r="Y13" s="153">
        <v>23672</v>
      </c>
      <c r="Z13" s="153">
        <v>23672</v>
      </c>
    </row>
    <row r="14" spans="2:28" x14ac:dyDescent="0.25">
      <c r="B14" s="152" t="s">
        <v>170</v>
      </c>
      <c r="C14" s="153">
        <v>8570</v>
      </c>
      <c r="D14" s="153">
        <v>8580</v>
      </c>
      <c r="E14" s="153">
        <v>8550</v>
      </c>
      <c r="F14" s="153">
        <v>9080</v>
      </c>
      <c r="G14" s="153">
        <v>9110</v>
      </c>
      <c r="H14" s="153">
        <v>9575</v>
      </c>
      <c r="I14" s="153">
        <v>10120</v>
      </c>
      <c r="J14" s="153">
        <v>10300</v>
      </c>
      <c r="K14" s="153">
        <v>10600</v>
      </c>
      <c r="L14" s="153">
        <v>10400</v>
      </c>
      <c r="M14" s="153">
        <v>9400</v>
      </c>
      <c r="N14" s="153">
        <v>9800</v>
      </c>
      <c r="O14" s="153">
        <v>9640</v>
      </c>
      <c r="P14" s="153">
        <v>9600</v>
      </c>
      <c r="Q14" s="153">
        <v>10100</v>
      </c>
      <c r="R14" s="153">
        <v>10700</v>
      </c>
      <c r="S14" s="153">
        <v>10500</v>
      </c>
      <c r="T14" s="153">
        <v>10060</v>
      </c>
      <c r="U14" s="153">
        <v>10650</v>
      </c>
      <c r="V14" s="153">
        <v>10900</v>
      </c>
      <c r="W14" s="153">
        <v>12580</v>
      </c>
      <c r="X14" s="153">
        <v>12300</v>
      </c>
      <c r="Y14" s="153">
        <v>12300</v>
      </c>
      <c r="Z14" s="153">
        <v>12300</v>
      </c>
    </row>
    <row r="15" spans="2:28" x14ac:dyDescent="0.25">
      <c r="B15" s="152" t="s">
        <v>173</v>
      </c>
      <c r="C15" s="153">
        <v>6580</v>
      </c>
      <c r="D15" s="153">
        <v>8260</v>
      </c>
      <c r="E15" s="153">
        <v>8937</v>
      </c>
      <c r="F15" s="153">
        <v>10675.6</v>
      </c>
      <c r="G15" s="153">
        <v>12782.5</v>
      </c>
      <c r="H15" s="153">
        <v>13638.7</v>
      </c>
      <c r="I15" s="153">
        <v>15709.8</v>
      </c>
      <c r="J15" s="153">
        <v>17755.199999999997</v>
      </c>
      <c r="K15" s="153">
        <v>17991.3</v>
      </c>
      <c r="L15" s="153">
        <v>17307.5</v>
      </c>
      <c r="M15" s="153">
        <v>18738.599999999999</v>
      </c>
      <c r="N15" s="153">
        <v>21421.7</v>
      </c>
      <c r="O15" s="153">
        <v>22060.799999999999</v>
      </c>
      <c r="P15" s="153">
        <v>23464</v>
      </c>
      <c r="Q15" s="153">
        <v>26740.1</v>
      </c>
      <c r="R15" s="153">
        <v>28662.799999999999</v>
      </c>
      <c r="S15" s="153">
        <v>28841.3</v>
      </c>
      <c r="T15" s="153">
        <v>32703.599999999999</v>
      </c>
      <c r="U15" s="153">
        <v>34633.199999999997</v>
      </c>
      <c r="V15" s="153">
        <v>37758.800000000003</v>
      </c>
      <c r="W15" s="153">
        <v>39247.5</v>
      </c>
      <c r="X15" s="153">
        <v>44190</v>
      </c>
      <c r="Y15" s="153">
        <v>44190</v>
      </c>
      <c r="Z15" s="153">
        <v>44190</v>
      </c>
    </row>
    <row r="16" spans="2:28" x14ac:dyDescent="0.25">
      <c r="B16" s="152" t="s">
        <v>175</v>
      </c>
      <c r="C16" s="153">
        <v>43605.9</v>
      </c>
      <c r="D16" s="153">
        <v>48377.599999999999</v>
      </c>
      <c r="E16" s="153">
        <v>52697.8</v>
      </c>
      <c r="F16" s="153">
        <v>56743.9</v>
      </c>
      <c r="G16" s="153">
        <v>58193.8</v>
      </c>
      <c r="H16" s="153">
        <v>62983.099999999991</v>
      </c>
      <c r="I16" s="153">
        <v>65435.5</v>
      </c>
      <c r="J16" s="153">
        <v>62839.199999999997</v>
      </c>
      <c r="K16" s="153">
        <v>60062.9</v>
      </c>
      <c r="L16" s="153">
        <v>59834.7</v>
      </c>
      <c r="M16" s="153">
        <v>58197</v>
      </c>
      <c r="N16" s="153">
        <v>61491</v>
      </c>
      <c r="O16" s="153">
        <v>64139</v>
      </c>
      <c r="P16" s="153">
        <v>69088</v>
      </c>
      <c r="Q16" s="153">
        <v>70923</v>
      </c>
      <c r="R16" s="153">
        <v>71794</v>
      </c>
      <c r="S16" s="153">
        <v>81641</v>
      </c>
      <c r="T16" s="153">
        <v>82287.7</v>
      </c>
      <c r="U16" s="153">
        <v>81823.899999999994</v>
      </c>
      <c r="V16" s="153">
        <v>85081.2</v>
      </c>
      <c r="W16" s="153">
        <v>89693.6</v>
      </c>
      <c r="X16" s="153">
        <v>99646.7</v>
      </c>
      <c r="Y16" s="153">
        <v>99489.1</v>
      </c>
      <c r="Z16" s="153">
        <v>102381.7</v>
      </c>
    </row>
    <row r="17" spans="2:28" x14ac:dyDescent="0.25">
      <c r="B17" s="152" t="s">
        <v>177</v>
      </c>
      <c r="C17" s="153">
        <v>14938</v>
      </c>
      <c r="D17" s="153">
        <v>17558</v>
      </c>
      <c r="E17" s="153">
        <v>17468</v>
      </c>
      <c r="F17" s="153">
        <v>19619</v>
      </c>
      <c r="G17" s="153">
        <v>21006</v>
      </c>
      <c r="H17" s="153">
        <v>23897</v>
      </c>
      <c r="I17" s="153">
        <v>27377</v>
      </c>
      <c r="J17" s="153">
        <v>31873</v>
      </c>
      <c r="K17" s="153">
        <v>39319</v>
      </c>
      <c r="L17" s="153">
        <v>45699</v>
      </c>
      <c r="M17" s="153">
        <v>46447</v>
      </c>
      <c r="N17" s="153">
        <v>48458</v>
      </c>
      <c r="O17" s="153">
        <v>50760</v>
      </c>
      <c r="P17" s="153">
        <v>53554</v>
      </c>
      <c r="Q17" s="153">
        <v>54639</v>
      </c>
      <c r="R17" s="153">
        <v>64278</v>
      </c>
      <c r="S17" s="153">
        <v>71727</v>
      </c>
      <c r="T17" s="153">
        <v>77661</v>
      </c>
      <c r="U17" s="153">
        <v>85012</v>
      </c>
      <c r="V17" s="153">
        <v>88699</v>
      </c>
      <c r="W17" s="153">
        <v>89348</v>
      </c>
      <c r="X17" s="153">
        <v>97035</v>
      </c>
      <c r="Y17" s="153">
        <v>92571</v>
      </c>
      <c r="Z17" s="153">
        <v>92571</v>
      </c>
    </row>
    <row r="18" spans="2:28" x14ac:dyDescent="0.25">
      <c r="B18" s="152" t="s">
        <v>179</v>
      </c>
      <c r="C18" s="153">
        <v>39900.699999999997</v>
      </c>
      <c r="D18" s="153">
        <v>39453.5</v>
      </c>
      <c r="E18" s="153">
        <v>38926.800000000003</v>
      </c>
      <c r="F18" s="153">
        <v>35122</v>
      </c>
      <c r="G18" s="153">
        <v>35984</v>
      </c>
      <c r="H18" s="153">
        <v>38705</v>
      </c>
      <c r="I18" s="153">
        <v>41895</v>
      </c>
      <c r="J18" s="153">
        <v>46551</v>
      </c>
      <c r="K18" s="153">
        <v>51970</v>
      </c>
      <c r="L18" s="153">
        <v>51747</v>
      </c>
      <c r="M18" s="153">
        <v>59117</v>
      </c>
      <c r="N18" s="153">
        <v>64093</v>
      </c>
      <c r="O18" s="153">
        <v>68809</v>
      </c>
      <c r="P18" s="153">
        <v>70161.5</v>
      </c>
      <c r="Q18" s="153">
        <v>72502.899999999994</v>
      </c>
      <c r="R18" s="153">
        <v>66488.600000000006</v>
      </c>
      <c r="S18" s="153">
        <v>58160.3</v>
      </c>
      <c r="T18" s="153">
        <v>54003.9</v>
      </c>
      <c r="U18" s="153">
        <v>53602.5</v>
      </c>
      <c r="V18" s="153">
        <v>56611.199999999997</v>
      </c>
      <c r="W18" s="153">
        <v>61052.2</v>
      </c>
      <c r="X18" s="153">
        <v>65883.5</v>
      </c>
      <c r="Y18" s="153">
        <v>63545.9</v>
      </c>
      <c r="Z18" s="153">
        <v>63000</v>
      </c>
      <c r="AB18" s="211">
        <f>Cem_GNR_Metrics!B9/1000</f>
        <v>42394.196538600001</v>
      </c>
    </row>
    <row r="19" spans="2:28" x14ac:dyDescent="0.25">
      <c r="B19" s="152" t="s">
        <v>181</v>
      </c>
      <c r="C19" s="153">
        <v>12612</v>
      </c>
      <c r="D19" s="153">
        <v>12793</v>
      </c>
      <c r="E19" s="153">
        <v>13079</v>
      </c>
      <c r="F19" s="153">
        <v>13416</v>
      </c>
      <c r="G19" s="153">
        <v>13862.9</v>
      </c>
      <c r="H19" s="153">
        <v>14179.4</v>
      </c>
      <c r="I19" s="153">
        <v>14335.5</v>
      </c>
      <c r="J19" s="153">
        <v>15077.6</v>
      </c>
      <c r="K19" s="153">
        <v>13672</v>
      </c>
      <c r="L19" s="153">
        <v>10985</v>
      </c>
      <c r="M19" s="153">
        <v>12431</v>
      </c>
      <c r="N19" s="153">
        <v>12001</v>
      </c>
      <c r="O19" s="153">
        <v>12465</v>
      </c>
      <c r="P19" s="153">
        <v>11611</v>
      </c>
      <c r="Q19" s="153">
        <v>11879</v>
      </c>
      <c r="R19" s="153">
        <v>12167</v>
      </c>
      <c r="S19" s="153">
        <v>11693</v>
      </c>
      <c r="T19" s="153">
        <v>12706</v>
      </c>
      <c r="U19" s="153">
        <v>13554</v>
      </c>
      <c r="V19" s="153">
        <v>13120</v>
      </c>
      <c r="W19" s="153">
        <v>13000</v>
      </c>
      <c r="X19" s="153">
        <v>14000</v>
      </c>
      <c r="Y19" s="153">
        <v>14000</v>
      </c>
      <c r="Z19" s="153">
        <v>14000</v>
      </c>
    </row>
    <row r="20" spans="2:28" x14ac:dyDescent="0.25">
      <c r="B20" s="152" t="s">
        <v>183</v>
      </c>
      <c r="C20" s="153">
        <v>3377</v>
      </c>
      <c r="D20" s="153">
        <v>3513</v>
      </c>
      <c r="E20" s="153">
        <v>3462</v>
      </c>
      <c r="F20" s="153">
        <v>3622.4</v>
      </c>
      <c r="G20" s="153">
        <v>3797.6</v>
      </c>
      <c r="H20" s="153">
        <v>3999.1</v>
      </c>
      <c r="I20" s="153">
        <v>4111.5</v>
      </c>
      <c r="J20" s="153">
        <v>4440</v>
      </c>
      <c r="K20" s="153">
        <v>4622</v>
      </c>
      <c r="L20" s="153">
        <v>3876</v>
      </c>
      <c r="M20" s="153">
        <v>3871</v>
      </c>
      <c r="N20" s="153">
        <v>4406</v>
      </c>
      <c r="O20" s="153">
        <v>4722</v>
      </c>
      <c r="P20" s="153">
        <v>4880</v>
      </c>
      <c r="Q20" s="153">
        <v>4200</v>
      </c>
      <c r="R20" s="153">
        <v>4320</v>
      </c>
      <c r="S20" s="153">
        <v>4310</v>
      </c>
      <c r="T20" s="153">
        <v>4000</v>
      </c>
      <c r="U20" s="153">
        <v>4750</v>
      </c>
      <c r="V20" s="153">
        <v>5030</v>
      </c>
      <c r="W20" s="153">
        <v>4280</v>
      </c>
      <c r="X20" s="153">
        <v>4750</v>
      </c>
      <c r="Y20" s="153">
        <v>4750</v>
      </c>
      <c r="Z20" s="153">
        <v>4750</v>
      </c>
    </row>
    <row r="21" spans="2:28" x14ac:dyDescent="0.25">
      <c r="B21" s="152" t="s">
        <v>185</v>
      </c>
      <c r="C21" s="153">
        <f>C41+C39</f>
        <v>615856.30299999996</v>
      </c>
      <c r="D21" s="153">
        <f t="shared" ref="D21:Z21" si="0">D41+D39</f>
        <v>680446.47</v>
      </c>
      <c r="E21" s="153">
        <f t="shared" si="0"/>
        <v>745568.88399999996</v>
      </c>
      <c r="F21" s="153">
        <f t="shared" si="0"/>
        <v>881743.79299999995</v>
      </c>
      <c r="G21" s="153">
        <f t="shared" si="0"/>
        <v>986909.2350000001</v>
      </c>
      <c r="H21" s="153">
        <f t="shared" si="0"/>
        <v>1089744.189</v>
      </c>
      <c r="I21" s="153">
        <f t="shared" si="0"/>
        <v>1257068.6030000001</v>
      </c>
      <c r="J21" s="153">
        <f t="shared" si="0"/>
        <v>1381129.8359999999</v>
      </c>
      <c r="K21" s="153">
        <f t="shared" si="0"/>
        <v>1442313.577</v>
      </c>
      <c r="L21" s="153">
        <f t="shared" si="0"/>
        <v>1661020.274</v>
      </c>
      <c r="M21" s="153">
        <f t="shared" si="0"/>
        <v>1899673.689</v>
      </c>
      <c r="N21" s="153">
        <f t="shared" si="0"/>
        <v>2118097.6350000002</v>
      </c>
      <c r="O21" s="153">
        <f t="shared" si="0"/>
        <v>2227749.3909999998</v>
      </c>
      <c r="P21" s="153">
        <f t="shared" si="0"/>
        <v>2438162.6429999997</v>
      </c>
      <c r="Q21" s="153">
        <f t="shared" si="0"/>
        <v>2509189.9309999999</v>
      </c>
      <c r="R21" s="153">
        <f t="shared" si="0"/>
        <v>2375163.3659999999</v>
      </c>
      <c r="S21" s="153">
        <f t="shared" si="0"/>
        <v>2424276.0089999996</v>
      </c>
      <c r="T21" s="153">
        <f t="shared" si="0"/>
        <v>2343296.9980000001</v>
      </c>
      <c r="U21" s="153">
        <f t="shared" si="0"/>
        <v>2248675.0470000003</v>
      </c>
      <c r="V21" s="153">
        <f t="shared" si="0"/>
        <v>2357176.963</v>
      </c>
      <c r="W21" s="153">
        <f t="shared" si="0"/>
        <v>2407994.2759999996</v>
      </c>
      <c r="X21" s="153">
        <f t="shared" si="0"/>
        <v>2390715.1779999998</v>
      </c>
      <c r="Y21" s="153">
        <f t="shared" si="0"/>
        <v>2142723.4730000002</v>
      </c>
      <c r="Z21" s="153">
        <f t="shared" si="0"/>
        <v>2034676.4720000001</v>
      </c>
    </row>
    <row r="22" spans="2:28" x14ac:dyDescent="0.25">
      <c r="B22" s="152" t="s">
        <v>188</v>
      </c>
      <c r="C22" s="153">
        <v>11094</v>
      </c>
      <c r="D22" s="153">
        <v>11753.8</v>
      </c>
      <c r="E22" s="153">
        <v>13696.8</v>
      </c>
      <c r="F22" s="153">
        <v>16188.4</v>
      </c>
      <c r="G22" s="153">
        <v>18643.400000000001</v>
      </c>
      <c r="H22" s="153">
        <v>20763.7</v>
      </c>
      <c r="I22" s="153">
        <v>23518.400000000001</v>
      </c>
      <c r="J22" s="153">
        <v>26145.4</v>
      </c>
      <c r="K22" s="153">
        <v>26995.9</v>
      </c>
      <c r="L22" s="153">
        <v>19972.400000000001</v>
      </c>
      <c r="M22" s="153">
        <v>20048.400000000001</v>
      </c>
      <c r="N22" s="153">
        <v>21855</v>
      </c>
      <c r="O22" s="153">
        <v>21352.400000000001</v>
      </c>
      <c r="P22" s="153">
        <v>21213.3</v>
      </c>
      <c r="Q22" s="153">
        <v>20184.2</v>
      </c>
      <c r="R22" s="153">
        <v>19385.8</v>
      </c>
      <c r="S22" s="153">
        <v>19603.2</v>
      </c>
      <c r="T22" s="153">
        <v>20258</v>
      </c>
      <c r="U22" s="153">
        <v>20457.900000000001</v>
      </c>
      <c r="V22" s="153">
        <v>20750.599999999999</v>
      </c>
      <c r="W22" s="153">
        <v>22445.200000000001</v>
      </c>
      <c r="X22" s="153">
        <v>24153.5</v>
      </c>
      <c r="Y22" s="153">
        <v>24153.5</v>
      </c>
      <c r="Z22" s="153">
        <v>24153.5</v>
      </c>
    </row>
    <row r="23" spans="2:28" x14ac:dyDescent="0.25">
      <c r="B23" s="152" t="s">
        <v>190</v>
      </c>
      <c r="C23" s="153">
        <v>16617</v>
      </c>
      <c r="D23" s="153">
        <v>15165</v>
      </c>
      <c r="E23" s="153">
        <v>14943</v>
      </c>
      <c r="F23" s="153">
        <v>14917.8</v>
      </c>
      <c r="G23" s="153">
        <v>15356.3</v>
      </c>
      <c r="H23" s="153">
        <v>15370.4</v>
      </c>
      <c r="I23" s="153">
        <v>15650.4</v>
      </c>
      <c r="J23" s="153">
        <v>16027</v>
      </c>
      <c r="K23" s="153">
        <v>14313</v>
      </c>
      <c r="L23" s="153">
        <v>11924</v>
      </c>
      <c r="M23" s="153">
        <v>12550</v>
      </c>
      <c r="N23" s="153">
        <v>13421</v>
      </c>
      <c r="O23" s="153">
        <v>12528</v>
      </c>
      <c r="P23" s="153">
        <v>12943</v>
      </c>
      <c r="Q23" s="153">
        <v>13748</v>
      </c>
      <c r="R23" s="153">
        <v>13625</v>
      </c>
      <c r="S23" s="153">
        <v>14080</v>
      </c>
      <c r="T23" s="153">
        <v>13939</v>
      </c>
      <c r="U23" s="153">
        <v>13487</v>
      </c>
      <c r="V23" s="153">
        <v>13289</v>
      </c>
      <c r="W23" s="153">
        <v>12196</v>
      </c>
      <c r="X23" s="153">
        <v>13188</v>
      </c>
      <c r="Y23" s="153">
        <v>12573</v>
      </c>
      <c r="Z23" s="153">
        <v>12573</v>
      </c>
    </row>
    <row r="24" spans="2:28" x14ac:dyDescent="0.25">
      <c r="B24" s="152" t="s">
        <v>192</v>
      </c>
      <c r="C24" s="153">
        <v>38828</v>
      </c>
      <c r="D24" s="153">
        <v>35216</v>
      </c>
      <c r="E24" s="153">
        <v>34521</v>
      </c>
      <c r="F24" s="153">
        <v>36390.199999999997</v>
      </c>
      <c r="G24" s="153">
        <v>38959.5</v>
      </c>
      <c r="H24" s="153">
        <v>40577.299999999996</v>
      </c>
      <c r="I24" s="153">
        <v>45650.7</v>
      </c>
      <c r="J24" s="153">
        <v>50991.4</v>
      </c>
      <c r="K24" s="153">
        <v>52050</v>
      </c>
      <c r="L24" s="153">
        <v>40242</v>
      </c>
      <c r="M24" s="153">
        <v>37925</v>
      </c>
      <c r="N24" s="153">
        <v>42906</v>
      </c>
      <c r="O24" s="153">
        <v>39377</v>
      </c>
      <c r="P24" s="153">
        <v>36958</v>
      </c>
      <c r="Q24" s="153">
        <v>38638</v>
      </c>
      <c r="R24" s="153">
        <v>39713</v>
      </c>
      <c r="S24" s="153">
        <v>39660</v>
      </c>
      <c r="T24" s="153">
        <v>43070</v>
      </c>
      <c r="U24" s="153">
        <v>46423</v>
      </c>
      <c r="V24" s="153">
        <v>48965</v>
      </c>
      <c r="W24" s="153">
        <v>48627</v>
      </c>
      <c r="X24" s="153">
        <v>49941</v>
      </c>
      <c r="Y24" s="153">
        <v>49468</v>
      </c>
      <c r="Z24" s="153">
        <v>47221</v>
      </c>
    </row>
    <row r="25" spans="2:28" x14ac:dyDescent="0.25">
      <c r="B25" s="152" t="s">
        <v>194</v>
      </c>
      <c r="C25" s="153">
        <v>124050.5</v>
      </c>
      <c r="D25" s="153">
        <v>126503.4</v>
      </c>
      <c r="E25" s="153">
        <v>129025.7</v>
      </c>
      <c r="F25" s="153">
        <v>132823.70000000001</v>
      </c>
      <c r="G25" s="153">
        <v>138469.4</v>
      </c>
      <c r="H25" s="153">
        <v>137281.60000000001</v>
      </c>
      <c r="I25" s="153">
        <v>150202.79999999999</v>
      </c>
      <c r="J25" s="153">
        <v>155732.19999999998</v>
      </c>
      <c r="K25" s="153">
        <v>127352.4</v>
      </c>
      <c r="L25" s="153">
        <v>100663.6</v>
      </c>
      <c r="M25" s="153">
        <v>93486.7</v>
      </c>
      <c r="N25" s="153">
        <v>86397.2</v>
      </c>
      <c r="O25" s="153">
        <v>70110</v>
      </c>
      <c r="P25" s="153">
        <v>65987.899999999994</v>
      </c>
      <c r="Q25" s="153">
        <v>63714</v>
      </c>
      <c r="R25" s="153">
        <v>63174</v>
      </c>
      <c r="S25" s="153">
        <v>61914.6</v>
      </c>
      <c r="T25" s="153">
        <v>63636.800000000003</v>
      </c>
      <c r="U25" s="153">
        <v>64266.400000000001</v>
      </c>
      <c r="V25" s="153">
        <v>64381.5</v>
      </c>
      <c r="W25" s="153">
        <v>64512.9</v>
      </c>
      <c r="X25" s="153">
        <v>70516.899999999994</v>
      </c>
      <c r="Y25" s="153">
        <v>70484.2</v>
      </c>
      <c r="Z25" s="153">
        <v>69944</v>
      </c>
    </row>
    <row r="26" spans="2:28" x14ac:dyDescent="0.25">
      <c r="B26" s="152" t="s">
        <v>196</v>
      </c>
      <c r="C26" s="153">
        <v>59241</v>
      </c>
      <c r="D26" s="153">
        <v>56653</v>
      </c>
      <c r="E26" s="153">
        <v>54908</v>
      </c>
      <c r="F26" s="153">
        <v>56100.9</v>
      </c>
      <c r="G26" s="153">
        <v>57134.7</v>
      </c>
      <c r="H26" s="153">
        <v>57687.7</v>
      </c>
      <c r="I26" s="153">
        <v>62919.8</v>
      </c>
      <c r="J26" s="153">
        <v>64200</v>
      </c>
      <c r="K26" s="153">
        <v>60222</v>
      </c>
      <c r="L26" s="153">
        <v>50962</v>
      </c>
      <c r="M26" s="153">
        <v>49711</v>
      </c>
      <c r="N26" s="153">
        <v>55072</v>
      </c>
      <c r="O26" s="153">
        <v>52584</v>
      </c>
      <c r="P26" s="153">
        <v>52645</v>
      </c>
      <c r="Q26" s="153">
        <v>55306</v>
      </c>
      <c r="R26" s="153">
        <v>55632</v>
      </c>
      <c r="S26" s="153">
        <v>57552</v>
      </c>
      <c r="T26" s="153">
        <v>59783</v>
      </c>
      <c r="U26" s="153">
        <v>61536</v>
      </c>
      <c r="V26" s="153">
        <v>58651.5</v>
      </c>
      <c r="W26" s="153">
        <v>58706</v>
      </c>
      <c r="X26" s="153">
        <v>58824.2</v>
      </c>
      <c r="Y26" s="153">
        <v>56932.800000000003</v>
      </c>
      <c r="Z26" s="153">
        <v>52304.3</v>
      </c>
    </row>
    <row r="27" spans="2:28" x14ac:dyDescent="0.25">
      <c r="B27" s="152" t="s">
        <v>198</v>
      </c>
      <c r="C27" s="153">
        <v>53046</v>
      </c>
      <c r="D27" s="153">
        <v>56026</v>
      </c>
      <c r="E27" s="153">
        <v>69161</v>
      </c>
      <c r="F27" s="153">
        <v>72694</v>
      </c>
      <c r="G27" s="153">
        <v>72729.100000000006</v>
      </c>
      <c r="H27" s="153">
        <v>80219</v>
      </c>
      <c r="I27" s="153">
        <v>79723</v>
      </c>
      <c r="J27" s="153">
        <v>86150</v>
      </c>
      <c r="K27" s="153">
        <v>91908</v>
      </c>
      <c r="L27" s="153">
        <v>100585</v>
      </c>
      <c r="M27" s="153">
        <v>111181</v>
      </c>
      <c r="N27" s="153">
        <v>119572</v>
      </c>
      <c r="O27" s="153">
        <v>127610</v>
      </c>
      <c r="P27" s="153">
        <v>134356</v>
      </c>
      <c r="Q27" s="153">
        <v>139047</v>
      </c>
      <c r="R27" s="153">
        <v>151545</v>
      </c>
      <c r="S27" s="153">
        <v>159457</v>
      </c>
      <c r="T27" s="153">
        <v>176767</v>
      </c>
      <c r="U27" s="153">
        <v>192034</v>
      </c>
      <c r="V27" s="153">
        <v>205133</v>
      </c>
      <c r="W27" s="153">
        <v>197983</v>
      </c>
      <c r="X27" s="153">
        <v>206686</v>
      </c>
      <c r="Y27" s="153">
        <v>211000</v>
      </c>
      <c r="Z27" s="153">
        <v>199000</v>
      </c>
    </row>
    <row r="28" spans="2:28" x14ac:dyDescent="0.25">
      <c r="B28" s="152" t="s">
        <v>9</v>
      </c>
      <c r="C28" s="153">
        <v>95000</v>
      </c>
      <c r="D28" s="153">
        <v>105000</v>
      </c>
      <c r="E28" s="153">
        <v>115000</v>
      </c>
      <c r="F28" s="153">
        <v>123000</v>
      </c>
      <c r="G28" s="153">
        <v>130000</v>
      </c>
      <c r="H28" s="153">
        <v>142086</v>
      </c>
      <c r="I28" s="153">
        <v>158788</v>
      </c>
      <c r="J28" s="153">
        <v>170330</v>
      </c>
      <c r="K28" s="153">
        <v>182690</v>
      </c>
      <c r="L28" s="153">
        <v>201810</v>
      </c>
      <c r="M28" s="153">
        <v>213190</v>
      </c>
      <c r="N28" s="153">
        <v>224050</v>
      </c>
      <c r="O28" s="153">
        <v>241920</v>
      </c>
      <c r="P28" s="153">
        <v>254757</v>
      </c>
      <c r="Q28" s="153">
        <v>271324</v>
      </c>
      <c r="R28" s="153">
        <v>275154</v>
      </c>
      <c r="S28" s="153">
        <v>289294</v>
      </c>
      <c r="T28" s="153">
        <v>284950</v>
      </c>
      <c r="U28" s="153">
        <v>327740</v>
      </c>
      <c r="V28" s="153">
        <v>338923</v>
      </c>
      <c r="W28" s="153">
        <v>289957</v>
      </c>
      <c r="X28" s="153">
        <v>351590</v>
      </c>
      <c r="Y28" s="153">
        <v>387660</v>
      </c>
      <c r="Z28" s="153">
        <v>418101</v>
      </c>
      <c r="AB28" s="211">
        <f>Cem_GNR_Metrics!F9/1000</f>
        <v>185314.1280883</v>
      </c>
    </row>
    <row r="29" spans="2:28" x14ac:dyDescent="0.25">
      <c r="B29" s="152" t="s">
        <v>201</v>
      </c>
      <c r="C29" s="153">
        <v>80995</v>
      </c>
      <c r="D29" s="153">
        <v>76548</v>
      </c>
      <c r="E29" s="153">
        <v>71829</v>
      </c>
      <c r="F29" s="153">
        <v>68765</v>
      </c>
      <c r="G29" s="153">
        <v>67377</v>
      </c>
      <c r="H29" s="153">
        <v>69629</v>
      </c>
      <c r="I29" s="153">
        <v>69944</v>
      </c>
      <c r="J29" s="153">
        <v>67685</v>
      </c>
      <c r="K29" s="153">
        <v>62809</v>
      </c>
      <c r="L29" s="153">
        <v>54802</v>
      </c>
      <c r="M29" s="153">
        <v>51526</v>
      </c>
      <c r="N29" s="153">
        <v>51293</v>
      </c>
      <c r="O29" s="153">
        <v>54740</v>
      </c>
      <c r="P29" s="153">
        <v>57962.400000000001</v>
      </c>
      <c r="Q29" s="153">
        <v>57912.6</v>
      </c>
      <c r="R29" s="153">
        <v>54826.9</v>
      </c>
      <c r="S29" s="153">
        <v>53255.5</v>
      </c>
      <c r="T29" s="153">
        <v>55195.4</v>
      </c>
      <c r="U29" s="153">
        <v>55307.4</v>
      </c>
      <c r="V29" s="153">
        <v>53461.7</v>
      </c>
      <c r="W29" s="153">
        <v>50905.4</v>
      </c>
      <c r="X29" s="153">
        <v>50083.3</v>
      </c>
      <c r="Y29" s="153">
        <v>48532.6</v>
      </c>
      <c r="Z29" s="153">
        <v>44474.8</v>
      </c>
    </row>
    <row r="30" spans="2:28" x14ac:dyDescent="0.25">
      <c r="B30" s="152" t="s">
        <v>203</v>
      </c>
      <c r="C30" s="153">
        <v>46167.5</v>
      </c>
      <c r="D30" s="153">
        <v>43503.8</v>
      </c>
      <c r="E30" s="153">
        <v>40387.199999999997</v>
      </c>
      <c r="F30" s="153">
        <v>43936.299999999996</v>
      </c>
      <c r="G30" s="153">
        <v>43756</v>
      </c>
      <c r="H30" s="153">
        <v>49838.80000000001</v>
      </c>
      <c r="I30" s="153">
        <v>58892.9</v>
      </c>
      <c r="J30" s="153">
        <v>59964.9</v>
      </c>
      <c r="K30" s="153">
        <v>62343.200000000004</v>
      </c>
      <c r="L30" s="153">
        <v>60379.1</v>
      </c>
      <c r="M30" s="153">
        <v>61505.8</v>
      </c>
      <c r="N30" s="153">
        <v>65941.700000000012</v>
      </c>
      <c r="O30" s="153">
        <v>68393.5</v>
      </c>
      <c r="P30" s="153">
        <v>72330.7</v>
      </c>
      <c r="Q30" s="153">
        <v>73482.8</v>
      </c>
      <c r="R30" s="153">
        <v>75036.3</v>
      </c>
      <c r="S30" s="153">
        <v>69927.600000000006</v>
      </c>
      <c r="T30" s="153">
        <v>71381.899999999994</v>
      </c>
      <c r="U30" s="153">
        <v>67429.200000000012</v>
      </c>
      <c r="V30" s="153">
        <v>66143.600000000006</v>
      </c>
      <c r="W30" s="153">
        <v>59434.400000000001</v>
      </c>
      <c r="X30" s="153">
        <v>71098.3</v>
      </c>
      <c r="Y30" s="153">
        <v>73084.600000000006</v>
      </c>
      <c r="Z30" s="153">
        <v>72318.599999999991</v>
      </c>
    </row>
    <row r="31" spans="2:28" x14ac:dyDescent="0.25">
      <c r="B31" s="152" t="s">
        <v>205</v>
      </c>
      <c r="C31" s="153">
        <v>51607</v>
      </c>
      <c r="D31" s="153">
        <v>45893</v>
      </c>
      <c r="E31" s="153">
        <v>48250</v>
      </c>
      <c r="F31" s="153">
        <v>51947.8</v>
      </c>
      <c r="G31" s="153">
        <v>56354.400000000001</v>
      </c>
      <c r="H31" s="153">
        <v>61225.5</v>
      </c>
      <c r="I31" s="153">
        <v>64707.5</v>
      </c>
      <c r="J31" s="153">
        <v>67856.600000000006</v>
      </c>
      <c r="K31" s="153">
        <v>70212</v>
      </c>
      <c r="L31" s="153">
        <v>72681</v>
      </c>
      <c r="M31" s="153">
        <v>83032</v>
      </c>
      <c r="N31" s="153">
        <v>82251</v>
      </c>
      <c r="O31" s="153">
        <v>85140</v>
      </c>
      <c r="P31" s="153">
        <v>91766</v>
      </c>
      <c r="Q31" s="153">
        <v>90092</v>
      </c>
      <c r="R31" s="153">
        <v>90173</v>
      </c>
      <c r="S31" s="153">
        <v>94797</v>
      </c>
      <c r="T31" s="153">
        <v>98862.3</v>
      </c>
      <c r="U31" s="153">
        <v>90194.4</v>
      </c>
      <c r="V31" s="153">
        <v>70839.3</v>
      </c>
      <c r="W31" s="153">
        <v>85227.1</v>
      </c>
      <c r="X31" s="153">
        <v>91114.8</v>
      </c>
      <c r="Y31" s="153">
        <v>88460.4</v>
      </c>
      <c r="Z31" s="153">
        <v>94606.1</v>
      </c>
    </row>
    <row r="32" spans="2:28" x14ac:dyDescent="0.25">
      <c r="B32" s="152" t="s">
        <v>207</v>
      </c>
      <c r="C32" s="153">
        <v>57517.7</v>
      </c>
      <c r="D32" s="153">
        <v>62512.4</v>
      </c>
      <c r="E32" s="153">
        <v>69946.2</v>
      </c>
      <c r="F32" s="153">
        <v>69461.100000000006</v>
      </c>
      <c r="G32" s="153">
        <v>75866.2</v>
      </c>
      <c r="H32" s="153">
        <v>78352</v>
      </c>
      <c r="I32" s="153">
        <v>86194.1</v>
      </c>
      <c r="J32" s="153">
        <v>98861.2</v>
      </c>
      <c r="K32" s="153">
        <v>115706.3</v>
      </c>
      <c r="L32" s="153">
        <v>124018</v>
      </c>
      <c r="M32" s="153">
        <v>140587</v>
      </c>
      <c r="N32" s="153">
        <v>153071</v>
      </c>
      <c r="O32" s="153">
        <v>163367.79999999999</v>
      </c>
      <c r="P32" s="153">
        <v>170125.5</v>
      </c>
      <c r="Q32" s="153">
        <v>169256.4</v>
      </c>
      <c r="R32" s="153">
        <v>168165.9</v>
      </c>
      <c r="S32" s="153">
        <v>160213.4</v>
      </c>
      <c r="T32" s="153">
        <v>144327.20000000001</v>
      </c>
      <c r="U32" s="153">
        <v>153582.9</v>
      </c>
      <c r="V32" s="153">
        <v>161832.20000000001</v>
      </c>
      <c r="W32" s="153">
        <v>178801.3</v>
      </c>
      <c r="X32" s="153">
        <v>177155</v>
      </c>
      <c r="Y32" s="153">
        <v>169960</v>
      </c>
      <c r="Z32" s="153">
        <v>176960</v>
      </c>
    </row>
    <row r="33" spans="1:28" x14ac:dyDescent="0.25">
      <c r="B33" s="152" t="s">
        <v>210</v>
      </c>
      <c r="C33" s="153">
        <v>33227.800000000003</v>
      </c>
      <c r="D33" s="153">
        <v>32133.599999999999</v>
      </c>
      <c r="E33" s="153">
        <v>33371.5</v>
      </c>
      <c r="F33" s="153">
        <v>33593.4</v>
      </c>
      <c r="G33" s="153">
        <v>34992.400000000001</v>
      </c>
      <c r="H33" s="153">
        <v>37451.599999999999</v>
      </c>
      <c r="I33" s="153">
        <v>40362</v>
      </c>
      <c r="J33" s="153">
        <v>43319.5</v>
      </c>
      <c r="K33" s="153">
        <v>42275.199999999997</v>
      </c>
      <c r="L33" s="153">
        <v>40901.800000000003</v>
      </c>
      <c r="M33" s="153">
        <v>39064.699999999997</v>
      </c>
      <c r="N33" s="153">
        <v>40552.199999999997</v>
      </c>
      <c r="O33" s="153">
        <v>41665.699999999997</v>
      </c>
      <c r="P33" s="153">
        <v>39391.300000000003</v>
      </c>
      <c r="Q33" s="153">
        <v>41483.699999999997</v>
      </c>
      <c r="R33" s="153">
        <v>44381.1</v>
      </c>
      <c r="S33" s="153">
        <v>47715.199999999997</v>
      </c>
      <c r="T33" s="153">
        <v>48358</v>
      </c>
      <c r="U33" s="153">
        <v>45542</v>
      </c>
      <c r="V33" s="153">
        <v>42431</v>
      </c>
      <c r="W33" s="153">
        <v>44996.800000000003</v>
      </c>
      <c r="X33" s="153">
        <v>48635.8</v>
      </c>
      <c r="Y33" s="153">
        <v>46718.8</v>
      </c>
      <c r="Z33" s="153">
        <v>46783.1</v>
      </c>
    </row>
    <row r="34" spans="1:28" x14ac:dyDescent="0.25">
      <c r="B34" s="152" t="s">
        <v>212</v>
      </c>
      <c r="C34" s="153">
        <v>2500</v>
      </c>
      <c r="D34" s="153">
        <v>2400</v>
      </c>
      <c r="E34" s="153">
        <v>2100</v>
      </c>
      <c r="F34" s="153">
        <v>2300</v>
      </c>
      <c r="G34" s="153">
        <v>2300</v>
      </c>
      <c r="H34" s="153">
        <v>2700</v>
      </c>
      <c r="I34" s="153">
        <v>3300</v>
      </c>
      <c r="J34" s="153">
        <v>4700</v>
      </c>
      <c r="K34" s="153">
        <v>10000</v>
      </c>
      <c r="L34" s="153">
        <v>10000</v>
      </c>
      <c r="M34" s="153">
        <v>10000</v>
      </c>
      <c r="N34" s="153">
        <v>12000</v>
      </c>
      <c r="O34" s="153">
        <v>16000</v>
      </c>
      <c r="P34" s="153">
        <v>20000</v>
      </c>
      <c r="Q34" s="153">
        <v>20000</v>
      </c>
      <c r="R34" s="153">
        <v>21000</v>
      </c>
      <c r="S34" s="153">
        <v>22000</v>
      </c>
      <c r="T34" s="153">
        <v>19000</v>
      </c>
      <c r="U34" s="153">
        <v>22000</v>
      </c>
      <c r="V34" s="153">
        <v>23000</v>
      </c>
      <c r="W34" s="153">
        <v>26000</v>
      </c>
      <c r="X34" s="153">
        <v>29000</v>
      </c>
      <c r="Y34" s="153">
        <v>29000</v>
      </c>
      <c r="Z34" s="153">
        <v>29000</v>
      </c>
    </row>
    <row r="35" spans="1:28" x14ac:dyDescent="0.25">
      <c r="B35" s="152" t="s">
        <v>214</v>
      </c>
      <c r="C35" s="153">
        <v>32400</v>
      </c>
      <c r="D35" s="153">
        <v>35300</v>
      </c>
      <c r="E35" s="153">
        <v>37700</v>
      </c>
      <c r="F35" s="153">
        <v>41000</v>
      </c>
      <c r="G35" s="153">
        <v>45700</v>
      </c>
      <c r="H35" s="153">
        <v>48534.1</v>
      </c>
      <c r="I35" s="153">
        <v>54731.199999999997</v>
      </c>
      <c r="J35" s="153">
        <v>59934.1</v>
      </c>
      <c r="K35" s="153">
        <v>53548.2</v>
      </c>
      <c r="L35" s="153">
        <v>44266.2</v>
      </c>
      <c r="M35" s="153">
        <v>50392.3</v>
      </c>
      <c r="N35" s="153">
        <v>56152.5</v>
      </c>
      <c r="O35" s="153">
        <v>61690.6</v>
      </c>
      <c r="P35" s="153">
        <v>66548.899999999994</v>
      </c>
      <c r="Q35" s="153">
        <v>69139.199999999997</v>
      </c>
      <c r="R35" s="153">
        <v>62102.6</v>
      </c>
      <c r="S35" s="153">
        <v>54935.199999999997</v>
      </c>
      <c r="T35" s="153">
        <v>54721.7</v>
      </c>
      <c r="U35" s="153">
        <v>53678.9</v>
      </c>
      <c r="V35" s="153">
        <v>57676</v>
      </c>
      <c r="W35" s="153">
        <v>56165</v>
      </c>
      <c r="X35" s="153">
        <v>59822.1</v>
      </c>
      <c r="Y35" s="153">
        <v>60689.4</v>
      </c>
      <c r="Z35" s="153">
        <v>62699.6</v>
      </c>
    </row>
    <row r="36" spans="1:28" x14ac:dyDescent="0.25">
      <c r="B36" s="152" t="s">
        <v>217</v>
      </c>
      <c r="C36" s="153">
        <f>C40-C39</f>
        <v>51254.997000000003</v>
      </c>
      <c r="D36" s="153">
        <f t="shared" ref="D36:Z36" si="1">D40-D39</f>
        <v>52046.030000000006</v>
      </c>
      <c r="E36" s="153">
        <f t="shared" si="1"/>
        <v>55514.015999999996</v>
      </c>
      <c r="F36" s="153">
        <f t="shared" si="1"/>
        <v>59194.006999999998</v>
      </c>
      <c r="G36" s="153">
        <f t="shared" si="1"/>
        <v>54329.964999999997</v>
      </c>
      <c r="H36" s="153">
        <f t="shared" si="1"/>
        <v>47197.010999999999</v>
      </c>
      <c r="I36" s="153">
        <f t="shared" si="1"/>
        <v>49198.997000000003</v>
      </c>
      <c r="J36" s="153">
        <f t="shared" si="1"/>
        <v>52181.964000000007</v>
      </c>
      <c r="K36" s="153">
        <f t="shared" si="1"/>
        <v>51653.023000000001</v>
      </c>
      <c r="L36" s="153">
        <f t="shared" si="1"/>
        <v>50126.025999999998</v>
      </c>
      <c r="M36" s="153">
        <f t="shared" si="1"/>
        <v>47420.110999999997</v>
      </c>
      <c r="N36" s="153">
        <f t="shared" si="1"/>
        <v>48249.164999999994</v>
      </c>
      <c r="O36" s="153">
        <f t="shared" si="1"/>
        <v>46862.208999999995</v>
      </c>
      <c r="P36" s="153">
        <f t="shared" si="1"/>
        <v>47290.557000000001</v>
      </c>
      <c r="Q36" s="153">
        <f t="shared" si="1"/>
        <v>47047.868999999999</v>
      </c>
      <c r="R36" s="153">
        <f t="shared" si="1"/>
        <v>52043.733999999997</v>
      </c>
      <c r="S36" s="153">
        <f t="shared" si="1"/>
        <v>56507.190999999992</v>
      </c>
      <c r="T36" s="153">
        <f t="shared" si="1"/>
        <v>57399.801999999996</v>
      </c>
      <c r="U36" s="153">
        <f t="shared" si="1"/>
        <v>52092.552999999993</v>
      </c>
      <c r="V36" s="153">
        <f t="shared" si="1"/>
        <v>50635.537000000004</v>
      </c>
      <c r="W36" s="153">
        <f t="shared" si="1"/>
        <v>47518.223999999995</v>
      </c>
      <c r="X36" s="153">
        <f t="shared" si="1"/>
        <v>50449.921999999999</v>
      </c>
      <c r="Y36" s="153">
        <f t="shared" si="1"/>
        <v>51062.226999999999</v>
      </c>
      <c r="Z36" s="153">
        <f t="shared" si="1"/>
        <v>50000.027999999998</v>
      </c>
    </row>
    <row r="37" spans="1:28" x14ac:dyDescent="0.25">
      <c r="B37" s="152" t="s">
        <v>219</v>
      </c>
      <c r="C37" s="153">
        <v>89510</v>
      </c>
      <c r="D37" s="153">
        <v>90450</v>
      </c>
      <c r="E37" s="153">
        <v>91266</v>
      </c>
      <c r="F37" s="153">
        <v>94328.7</v>
      </c>
      <c r="G37" s="153">
        <v>99014.6</v>
      </c>
      <c r="H37" s="153">
        <v>100902.7</v>
      </c>
      <c r="I37" s="153">
        <v>99712.4</v>
      </c>
      <c r="J37" s="153">
        <v>96849.7</v>
      </c>
      <c r="K37" s="153">
        <v>87610</v>
      </c>
      <c r="L37" s="153">
        <v>64843</v>
      </c>
      <c r="M37" s="153">
        <v>67202</v>
      </c>
      <c r="N37" s="153">
        <v>68639</v>
      </c>
      <c r="O37" s="153">
        <v>74934</v>
      </c>
      <c r="P37" s="153">
        <v>77415</v>
      </c>
      <c r="Q37" s="153">
        <v>83124</v>
      </c>
      <c r="R37" s="153">
        <v>84940</v>
      </c>
      <c r="S37" s="153">
        <v>85153</v>
      </c>
      <c r="T37" s="153">
        <v>86799</v>
      </c>
      <c r="U37" s="153">
        <v>87021</v>
      </c>
      <c r="V37" s="153">
        <v>88100</v>
      </c>
      <c r="W37" s="153">
        <v>89800</v>
      </c>
      <c r="X37" s="153">
        <v>93300</v>
      </c>
      <c r="Y37" s="153">
        <v>93000</v>
      </c>
      <c r="Z37" s="153">
        <v>91000</v>
      </c>
      <c r="AB37" s="211">
        <f>Cem_GNR_Metrics!L9/1000</f>
        <v>72526.995313099906</v>
      </c>
    </row>
    <row r="39" spans="1:28" x14ac:dyDescent="0.25">
      <c r="B39" s="212" t="s">
        <v>1520</v>
      </c>
      <c r="C39">
        <v>17572.303</v>
      </c>
      <c r="D39">
        <v>18127.57</v>
      </c>
      <c r="E39">
        <v>19362.883999999998</v>
      </c>
      <c r="F39">
        <v>18474.192999999999</v>
      </c>
      <c r="G39">
        <v>19049.935000000001</v>
      </c>
      <c r="H39">
        <v>19890.989000000001</v>
      </c>
      <c r="I39">
        <v>19293.803</v>
      </c>
      <c r="J39">
        <v>18957.335999999999</v>
      </c>
      <c r="K39">
        <v>17330.276999999998</v>
      </c>
      <c r="L39">
        <v>15918.474</v>
      </c>
      <c r="M39">
        <v>16300.989</v>
      </c>
      <c r="N39">
        <v>16852.035</v>
      </c>
      <c r="O39">
        <v>15793.591</v>
      </c>
      <c r="P39">
        <v>16575.742999999999</v>
      </c>
      <c r="Q39">
        <v>14629.130999999999</v>
      </c>
      <c r="R39">
        <v>13445.066000000001</v>
      </c>
      <c r="S39">
        <v>12126.209000000001</v>
      </c>
      <c r="T39">
        <v>10876.397999999999</v>
      </c>
      <c r="U39">
        <v>10938.847</v>
      </c>
      <c r="V39">
        <v>11270.763000000001</v>
      </c>
      <c r="W39">
        <v>11785.976000000001</v>
      </c>
      <c r="X39">
        <v>11970.278</v>
      </c>
      <c r="Y39">
        <v>11223.473</v>
      </c>
      <c r="Z39">
        <v>10246.472</v>
      </c>
    </row>
    <row r="40" spans="1:28" x14ac:dyDescent="0.25">
      <c r="B40" s="152" t="s">
        <v>217</v>
      </c>
      <c r="C40" s="153">
        <v>68827.3</v>
      </c>
      <c r="D40" s="153">
        <v>70173.600000000006</v>
      </c>
      <c r="E40" s="153">
        <v>74876.899999999994</v>
      </c>
      <c r="F40" s="153">
        <v>77668.2</v>
      </c>
      <c r="G40" s="153">
        <v>73379.899999999994</v>
      </c>
      <c r="H40" s="153">
        <v>67088</v>
      </c>
      <c r="I40" s="153">
        <v>68492.800000000003</v>
      </c>
      <c r="J40" s="153">
        <v>71139.3</v>
      </c>
      <c r="K40" s="153">
        <v>68983.3</v>
      </c>
      <c r="L40" s="153">
        <v>66044.5</v>
      </c>
      <c r="M40" s="153">
        <v>63721.1</v>
      </c>
      <c r="N40" s="153">
        <v>65101.2</v>
      </c>
      <c r="O40" s="153">
        <v>62655.799999999996</v>
      </c>
      <c r="P40" s="153">
        <v>63866.3</v>
      </c>
      <c r="Q40" s="153">
        <v>61677</v>
      </c>
      <c r="R40" s="153">
        <v>65488.799999999996</v>
      </c>
      <c r="S40" s="153">
        <v>68633.399999999994</v>
      </c>
      <c r="T40" s="153">
        <v>68276.2</v>
      </c>
      <c r="U40" s="153">
        <v>63031.399999999994</v>
      </c>
      <c r="V40" s="153">
        <v>61906.3</v>
      </c>
      <c r="W40" s="153">
        <v>59304.2</v>
      </c>
      <c r="X40" s="153">
        <v>62420.2</v>
      </c>
      <c r="Y40" s="153">
        <v>62285.7</v>
      </c>
      <c r="Z40" s="153">
        <v>60246.5</v>
      </c>
    </row>
    <row r="41" spans="1:28" x14ac:dyDescent="0.25">
      <c r="B41" s="682" t="s">
        <v>186</v>
      </c>
      <c r="C41" s="153">
        <v>598284</v>
      </c>
      <c r="D41" s="153">
        <v>662318.9</v>
      </c>
      <c r="E41" s="153">
        <v>726206</v>
      </c>
      <c r="F41" s="153">
        <v>863269.6</v>
      </c>
      <c r="G41" s="153">
        <v>967859.3</v>
      </c>
      <c r="H41" s="153">
        <v>1069853.2</v>
      </c>
      <c r="I41" s="153">
        <v>1237774.8</v>
      </c>
      <c r="J41" s="153">
        <v>1362172.5</v>
      </c>
      <c r="K41" s="153">
        <v>1424983.3</v>
      </c>
      <c r="L41" s="153">
        <v>1645101.8</v>
      </c>
      <c r="M41" s="153">
        <v>1883372.7</v>
      </c>
      <c r="N41" s="153">
        <v>2101245.6</v>
      </c>
      <c r="O41" s="153">
        <v>2211955.7999999998</v>
      </c>
      <c r="P41" s="153">
        <v>2421586.9</v>
      </c>
      <c r="Q41" s="153">
        <v>2494560.7999999998</v>
      </c>
      <c r="R41" s="153">
        <v>2361718.2999999998</v>
      </c>
      <c r="S41" s="153">
        <v>2412149.7999999998</v>
      </c>
      <c r="T41" s="153">
        <v>2332420.6</v>
      </c>
      <c r="U41" s="153">
        <v>2237736.2000000002</v>
      </c>
      <c r="V41" s="153">
        <v>2345906.2000000002</v>
      </c>
      <c r="W41" s="154">
        <v>2396208.2999999998</v>
      </c>
      <c r="X41" s="153">
        <v>2378744.9</v>
      </c>
      <c r="Y41" s="153">
        <v>2131500</v>
      </c>
      <c r="Z41" s="153">
        <v>2024430</v>
      </c>
    </row>
    <row r="42" spans="1:28" x14ac:dyDescent="0.25">
      <c r="B42" s="212"/>
      <c r="C42" s="655"/>
      <c r="D42" s="655"/>
      <c r="E42" s="655"/>
      <c r="F42" s="655"/>
      <c r="G42" s="655"/>
      <c r="H42" s="655"/>
      <c r="I42" s="655"/>
      <c r="J42" s="655"/>
      <c r="K42" s="655"/>
      <c r="L42" s="655"/>
      <c r="M42" s="655"/>
      <c r="N42" s="655"/>
      <c r="O42" s="655"/>
      <c r="P42" s="655"/>
      <c r="Q42" s="655"/>
      <c r="R42" s="655"/>
      <c r="S42" s="655"/>
      <c r="T42" s="655"/>
      <c r="U42" s="655"/>
      <c r="V42" s="655"/>
      <c r="W42" s="655"/>
      <c r="X42" s="655"/>
      <c r="Y42" s="655"/>
      <c r="Z42" s="655"/>
    </row>
    <row r="43" spans="1:28" x14ac:dyDescent="0.25">
      <c r="B43" s="88" t="s">
        <v>1029</v>
      </c>
    </row>
    <row r="45" spans="1:28" x14ac:dyDescent="0.25">
      <c r="B45" s="156" t="s">
        <v>1004</v>
      </c>
      <c r="C45" s="151" t="s">
        <v>1005</v>
      </c>
      <c r="D45" s="151" t="s">
        <v>1006</v>
      </c>
      <c r="E45" s="151" t="s">
        <v>1007</v>
      </c>
      <c r="F45" s="151" t="s">
        <v>1008</v>
      </c>
      <c r="G45" s="151" t="s">
        <v>1009</v>
      </c>
      <c r="H45" s="151" t="s">
        <v>1010</v>
      </c>
      <c r="I45" s="151" t="s">
        <v>1011</v>
      </c>
      <c r="J45" s="151" t="s">
        <v>1012</v>
      </c>
      <c r="K45" s="151" t="s">
        <v>1013</v>
      </c>
      <c r="L45" s="151" t="s">
        <v>1014</v>
      </c>
      <c r="M45" s="151" t="s">
        <v>1015</v>
      </c>
      <c r="N45" s="151" t="s">
        <v>1016</v>
      </c>
      <c r="O45" s="151" t="s">
        <v>1017</v>
      </c>
      <c r="P45" s="151" t="s">
        <v>1018</v>
      </c>
      <c r="Q45" s="151" t="s">
        <v>1019</v>
      </c>
      <c r="R45" s="151" t="s">
        <v>1020</v>
      </c>
      <c r="S45" s="151" t="s">
        <v>1021</v>
      </c>
      <c r="T45" s="151" t="s">
        <v>1022</v>
      </c>
      <c r="U45" s="151" t="s">
        <v>1023</v>
      </c>
      <c r="V45" s="151" t="s">
        <v>1024</v>
      </c>
      <c r="W45" s="151" t="s">
        <v>1025</v>
      </c>
      <c r="X45" s="151" t="s">
        <v>1026</v>
      </c>
      <c r="Y45" s="151" t="s">
        <v>1027</v>
      </c>
      <c r="Z45" s="151" t="s">
        <v>1028</v>
      </c>
    </row>
    <row r="46" spans="1:28" s="98" customFormat="1" x14ac:dyDescent="0.25">
      <c r="A46"/>
      <c r="B46" s="152" t="s">
        <v>162</v>
      </c>
      <c r="C46" s="155"/>
      <c r="D46" s="155"/>
      <c r="E46" s="155"/>
      <c r="F46" s="155"/>
      <c r="G46" s="155"/>
      <c r="H46" s="155"/>
      <c r="I46" s="153">
        <v>73.3</v>
      </c>
      <c r="J46" s="153">
        <v>70.8</v>
      </c>
      <c r="K46" s="153">
        <v>70.900000000000006</v>
      </c>
      <c r="L46" s="153">
        <v>59.4</v>
      </c>
      <c r="M46" s="153">
        <v>60.3</v>
      </c>
      <c r="N46" s="153">
        <v>60.5</v>
      </c>
      <c r="O46" s="153">
        <v>57</v>
      </c>
      <c r="P46" s="153">
        <v>60.4</v>
      </c>
      <c r="Q46" s="153">
        <v>74.3</v>
      </c>
      <c r="R46" s="153">
        <v>125.8</v>
      </c>
      <c r="S46" s="153">
        <v>205.2</v>
      </c>
      <c r="T46" s="153">
        <v>248.4</v>
      </c>
      <c r="U46" s="153">
        <v>255.4</v>
      </c>
      <c r="V46" s="209"/>
      <c r="W46" s="209"/>
      <c r="X46" s="209"/>
      <c r="Y46" s="209"/>
      <c r="Z46" s="209"/>
    </row>
    <row r="47" spans="1:28" s="98" customFormat="1" x14ac:dyDescent="0.25">
      <c r="A47"/>
      <c r="B47" s="152" t="s">
        <v>164</v>
      </c>
      <c r="C47" s="155"/>
      <c r="D47" s="155"/>
      <c r="E47" s="155"/>
      <c r="F47" s="155"/>
      <c r="G47" s="155"/>
      <c r="H47" s="155"/>
      <c r="I47" s="209"/>
      <c r="J47" s="209"/>
      <c r="K47" s="209"/>
      <c r="L47" s="209"/>
      <c r="M47" s="153">
        <v>6923</v>
      </c>
      <c r="N47" s="153">
        <v>5715</v>
      </c>
      <c r="O47" s="153">
        <v>6872</v>
      </c>
      <c r="P47" s="153">
        <v>6380</v>
      </c>
      <c r="Q47" s="153">
        <v>7995</v>
      </c>
      <c r="R47" s="153">
        <v>8093</v>
      </c>
      <c r="S47" s="153">
        <v>7433</v>
      </c>
      <c r="T47" s="153">
        <v>6890</v>
      </c>
      <c r="U47" s="153">
        <v>7353</v>
      </c>
      <c r="V47" s="153">
        <v>7207</v>
      </c>
      <c r="W47" s="153">
        <v>6101</v>
      </c>
      <c r="X47" s="153">
        <v>7261</v>
      </c>
      <c r="Y47" s="209"/>
      <c r="Z47" s="209"/>
    </row>
    <row r="48" spans="1:28" x14ac:dyDescent="0.25">
      <c r="B48" s="152" t="s">
        <v>166</v>
      </c>
      <c r="C48" s="153">
        <v>615.6</v>
      </c>
      <c r="D48" s="153">
        <v>763.1</v>
      </c>
      <c r="E48" s="153">
        <v>943.7</v>
      </c>
      <c r="F48" s="153">
        <v>1427.3</v>
      </c>
      <c r="G48" s="153">
        <v>1437.2</v>
      </c>
      <c r="H48" s="153">
        <v>1506.9</v>
      </c>
      <c r="I48" s="153">
        <v>1307.2</v>
      </c>
      <c r="J48" s="153">
        <v>1162.3</v>
      </c>
      <c r="K48" s="153">
        <v>906.2</v>
      </c>
      <c r="L48" s="153">
        <v>1050.2</v>
      </c>
      <c r="M48" s="153">
        <v>1060</v>
      </c>
      <c r="N48" s="153">
        <v>1200.5999999999999</v>
      </c>
      <c r="O48" s="153">
        <v>1167.5999999999999</v>
      </c>
      <c r="P48" s="153">
        <v>911</v>
      </c>
      <c r="Q48" s="153">
        <v>837.2</v>
      </c>
      <c r="R48" s="153">
        <v>1565.6</v>
      </c>
      <c r="S48" s="153">
        <v>0</v>
      </c>
      <c r="T48" s="153">
        <v>0</v>
      </c>
      <c r="U48" s="153">
        <v>0</v>
      </c>
      <c r="V48" s="153">
        <v>0</v>
      </c>
      <c r="W48" s="153">
        <v>0</v>
      </c>
      <c r="X48" s="153">
        <v>0</v>
      </c>
      <c r="Y48" s="153">
        <v>0</v>
      </c>
      <c r="Z48" s="153">
        <v>0</v>
      </c>
    </row>
    <row r="49" spans="2:26" x14ac:dyDescent="0.25">
      <c r="B49" s="152" t="s">
        <v>168</v>
      </c>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row>
    <row r="50" spans="2:26" x14ac:dyDescent="0.25">
      <c r="B50" s="152" t="s">
        <v>170</v>
      </c>
      <c r="C50" s="153">
        <v>6557</v>
      </c>
      <c r="D50" s="153">
        <v>6425.4</v>
      </c>
      <c r="E50" s="153">
        <v>6353.6</v>
      </c>
      <c r="F50" s="153">
        <v>6565.8</v>
      </c>
      <c r="G50" s="153">
        <v>6491.8</v>
      </c>
      <c r="H50" s="153">
        <v>6656.6</v>
      </c>
      <c r="I50" s="153">
        <v>7075.6</v>
      </c>
      <c r="J50" s="153">
        <v>7254.1</v>
      </c>
      <c r="K50" s="153">
        <v>7052.9</v>
      </c>
      <c r="L50" s="153">
        <v>6986.2</v>
      </c>
      <c r="M50" s="153">
        <v>6469.8</v>
      </c>
      <c r="N50" s="153">
        <v>6373.8</v>
      </c>
      <c r="O50" s="153">
        <v>6424.6</v>
      </c>
      <c r="P50" s="153">
        <v>6018.7</v>
      </c>
      <c r="Q50" s="153">
        <v>5738.6</v>
      </c>
      <c r="R50" s="153">
        <v>5631.5</v>
      </c>
      <c r="S50" s="153">
        <v>5476</v>
      </c>
      <c r="T50" s="153">
        <v>5579.2</v>
      </c>
      <c r="U50" s="153">
        <v>5443.5</v>
      </c>
      <c r="V50" s="153">
        <v>5625.4</v>
      </c>
      <c r="W50" s="153">
        <v>5245.9</v>
      </c>
      <c r="X50" s="153">
        <v>5366.7</v>
      </c>
      <c r="Y50" s="153">
        <v>5252.5</v>
      </c>
      <c r="Z50" s="209"/>
    </row>
    <row r="51" spans="2:26" x14ac:dyDescent="0.25">
      <c r="B51" s="152" t="s">
        <v>173</v>
      </c>
      <c r="C51" s="153">
        <v>3173.5</v>
      </c>
      <c r="D51" s="153">
        <v>3864.6</v>
      </c>
      <c r="E51" s="153">
        <v>3727.7999999999997</v>
      </c>
      <c r="F51" s="153">
        <v>3921.4</v>
      </c>
      <c r="G51" s="153">
        <v>5398</v>
      </c>
      <c r="H51" s="153">
        <v>5767.6</v>
      </c>
      <c r="I51" s="153">
        <v>6181.6</v>
      </c>
      <c r="J51" s="153">
        <v>6900.5</v>
      </c>
      <c r="K51" s="153">
        <v>8186.5999999999995</v>
      </c>
      <c r="L51" s="153">
        <v>7919.6</v>
      </c>
      <c r="M51" s="153">
        <v>8170.6</v>
      </c>
      <c r="N51" s="153">
        <v>9308.7000000000007</v>
      </c>
      <c r="O51" s="153">
        <v>12299.7</v>
      </c>
      <c r="P51" s="153">
        <v>8601.2999999999993</v>
      </c>
      <c r="Q51" s="153">
        <v>6640.2</v>
      </c>
      <c r="R51" s="153">
        <v>6665.9000000000005</v>
      </c>
      <c r="S51" s="153">
        <v>6876.7</v>
      </c>
      <c r="T51" s="153">
        <v>7359.3</v>
      </c>
      <c r="U51" s="153">
        <v>7393.8</v>
      </c>
      <c r="V51" s="153">
        <v>7221.6</v>
      </c>
      <c r="W51" s="153">
        <v>8453</v>
      </c>
      <c r="X51" s="153">
        <v>7295.7</v>
      </c>
      <c r="Y51" s="209"/>
      <c r="Z51" s="209"/>
    </row>
    <row r="52" spans="2:26" x14ac:dyDescent="0.25">
      <c r="B52" s="152" t="s">
        <v>175</v>
      </c>
      <c r="C52" s="153">
        <v>29404</v>
      </c>
      <c r="D52" s="153">
        <v>33576.300000000003</v>
      </c>
      <c r="E52" s="153">
        <v>37937.300000000003</v>
      </c>
      <c r="F52" s="153">
        <v>33615.699999999997</v>
      </c>
      <c r="G52" s="153">
        <v>35095.5</v>
      </c>
      <c r="H52" s="153">
        <v>38892.199999999997</v>
      </c>
      <c r="I52" s="153">
        <v>40796.199999999997</v>
      </c>
      <c r="J52" s="153">
        <v>42302</v>
      </c>
      <c r="K52" s="153">
        <v>37365.4</v>
      </c>
      <c r="L52" s="153">
        <v>35901.199999999997</v>
      </c>
      <c r="M52" s="153">
        <v>35528.300000000003</v>
      </c>
      <c r="N52" s="153">
        <v>34991.5</v>
      </c>
      <c r="O52" s="153">
        <v>36028</v>
      </c>
      <c r="P52" s="153">
        <v>36351.699999999997</v>
      </c>
      <c r="Q52" s="153">
        <v>37905.300000000003</v>
      </c>
      <c r="R52" s="153">
        <v>38484.400000000001</v>
      </c>
      <c r="S52" s="153">
        <v>44307.1</v>
      </c>
      <c r="T52" s="153">
        <v>43029.599999999999</v>
      </c>
      <c r="U52" s="153">
        <v>43178.3</v>
      </c>
      <c r="V52" s="153">
        <v>42867.8</v>
      </c>
      <c r="W52" s="153">
        <v>42139.9</v>
      </c>
      <c r="X52" s="153">
        <v>40651.5</v>
      </c>
      <c r="Y52" s="153">
        <v>40351.800000000003</v>
      </c>
      <c r="Z52" s="153">
        <v>36460</v>
      </c>
    </row>
    <row r="53" spans="2:26" x14ac:dyDescent="0.25">
      <c r="B53" s="152" t="s">
        <v>177</v>
      </c>
      <c r="C53" s="209"/>
      <c r="D53" s="209"/>
      <c r="E53" s="209"/>
      <c r="F53" s="209"/>
      <c r="G53" s="209"/>
      <c r="H53" s="209"/>
      <c r="I53" s="153">
        <v>1345.7</v>
      </c>
      <c r="J53" s="153">
        <v>1310.5999999999999</v>
      </c>
      <c r="K53" s="153">
        <v>1343.6</v>
      </c>
      <c r="L53" s="153">
        <v>1343.6</v>
      </c>
      <c r="M53" s="153">
        <v>1307.7</v>
      </c>
      <c r="N53" s="153">
        <v>1337.4</v>
      </c>
      <c r="O53" s="153">
        <v>1297.3</v>
      </c>
      <c r="P53" s="209"/>
      <c r="Q53" s="209"/>
      <c r="R53" s="209"/>
      <c r="S53" s="209"/>
      <c r="T53" s="209"/>
      <c r="U53" s="209"/>
      <c r="V53" s="209"/>
      <c r="W53" s="209"/>
      <c r="X53" s="209"/>
      <c r="Y53" s="209"/>
      <c r="Z53" s="209"/>
    </row>
    <row r="54" spans="2:26" x14ac:dyDescent="0.25">
      <c r="B54" s="152" t="s">
        <v>179</v>
      </c>
      <c r="C54" s="209"/>
      <c r="D54" s="209"/>
      <c r="E54" s="209"/>
      <c r="F54" s="209"/>
      <c r="G54" s="209"/>
      <c r="H54" s="209"/>
      <c r="I54" s="153">
        <v>28468</v>
      </c>
      <c r="J54" s="153">
        <v>31768</v>
      </c>
      <c r="K54" s="153">
        <v>34482</v>
      </c>
      <c r="L54" s="153">
        <v>34737</v>
      </c>
      <c r="M54" s="153">
        <v>38053</v>
      </c>
      <c r="N54" s="153">
        <v>40780</v>
      </c>
      <c r="O54" s="153">
        <v>44300</v>
      </c>
      <c r="P54" s="153">
        <v>46890</v>
      </c>
      <c r="Q54" s="153">
        <v>47000</v>
      </c>
      <c r="R54" s="153">
        <v>42500</v>
      </c>
      <c r="S54" s="153">
        <v>38500</v>
      </c>
      <c r="T54" s="153">
        <v>36500</v>
      </c>
      <c r="U54" s="153">
        <v>37000</v>
      </c>
      <c r="V54" s="153">
        <v>38000</v>
      </c>
      <c r="W54" s="153">
        <v>42185</v>
      </c>
      <c r="X54" s="153">
        <v>44210</v>
      </c>
      <c r="Y54" s="153">
        <v>43050</v>
      </c>
      <c r="Z54" s="209"/>
    </row>
    <row r="55" spans="2:26" x14ac:dyDescent="0.25">
      <c r="B55" s="152" t="s">
        <v>181</v>
      </c>
      <c r="C55" s="153">
        <v>13021.1</v>
      </c>
      <c r="D55" s="153">
        <v>12652.5</v>
      </c>
      <c r="E55" s="153">
        <v>13035.6</v>
      </c>
      <c r="F55" s="153">
        <v>13178.1</v>
      </c>
      <c r="G55" s="153">
        <v>13727.1</v>
      </c>
      <c r="H55" s="153">
        <v>13888.9</v>
      </c>
      <c r="I55" s="153">
        <v>14149.9</v>
      </c>
      <c r="J55" s="153">
        <v>14157.6</v>
      </c>
      <c r="K55" s="153">
        <v>12798</v>
      </c>
      <c r="L55" s="153">
        <v>9875.7000000000007</v>
      </c>
      <c r="M55" s="153">
        <v>11018.9</v>
      </c>
      <c r="N55" s="153">
        <v>11099.6</v>
      </c>
      <c r="O55" s="153">
        <v>12154.6</v>
      </c>
      <c r="P55" s="153">
        <v>10976.8</v>
      </c>
      <c r="Q55" s="153">
        <v>10930.4</v>
      </c>
      <c r="R55" s="153">
        <v>11514.5</v>
      </c>
      <c r="S55" s="153">
        <v>11383.2</v>
      </c>
      <c r="T55" s="153">
        <v>12572.4</v>
      </c>
      <c r="U55" s="153">
        <v>13639.2</v>
      </c>
      <c r="V55" s="153">
        <v>13381.9</v>
      </c>
      <c r="W55" s="153">
        <v>12608</v>
      </c>
      <c r="X55" s="153">
        <v>13801.9</v>
      </c>
      <c r="Y55" s="209"/>
      <c r="Z55" s="209"/>
    </row>
    <row r="56" spans="2:26" x14ac:dyDescent="0.25">
      <c r="B56" s="152" t="s">
        <v>183</v>
      </c>
      <c r="C56" s="153">
        <v>1977.3</v>
      </c>
      <c r="D56" s="153">
        <v>1982.7</v>
      </c>
      <c r="E56" s="153">
        <v>2111.6999999999998</v>
      </c>
      <c r="F56" s="153">
        <v>2178.6</v>
      </c>
      <c r="G56" s="153">
        <v>2335.5</v>
      </c>
      <c r="H56" s="153">
        <v>2254.1999999999998</v>
      </c>
      <c r="I56" s="153">
        <v>2419.4</v>
      </c>
      <c r="J56" s="153">
        <v>2576.1</v>
      </c>
      <c r="K56" s="153">
        <v>2558.5</v>
      </c>
      <c r="L56" s="153">
        <v>2114.6</v>
      </c>
      <c r="M56" s="153">
        <v>2047.8</v>
      </c>
      <c r="N56" s="153">
        <v>2113.6</v>
      </c>
      <c r="O56" s="153">
        <v>2206.3000000000002</v>
      </c>
      <c r="P56" s="153">
        <v>2124.6</v>
      </c>
      <c r="Q56" s="153">
        <v>1999.7</v>
      </c>
      <c r="R56" s="153">
        <v>2021.8</v>
      </c>
      <c r="S56" s="153">
        <v>2192.3000000000002</v>
      </c>
      <c r="T56" s="153">
        <v>1694.5</v>
      </c>
      <c r="U56" s="153">
        <v>1530.6</v>
      </c>
      <c r="V56" s="209"/>
      <c r="W56" s="209"/>
      <c r="X56" s="209"/>
      <c r="Y56" s="209"/>
      <c r="Z56" s="209"/>
    </row>
    <row r="57" spans="2:26" x14ac:dyDescent="0.25">
      <c r="B57" s="152" t="s">
        <v>185</v>
      </c>
      <c r="C57" s="153">
        <f>C73+C71</f>
        <v>470961</v>
      </c>
      <c r="D57" s="153">
        <f t="shared" ref="D57:W57" si="2">D73+D71</f>
        <v>520581.5</v>
      </c>
      <c r="E57" s="153">
        <f t="shared" si="2"/>
        <v>543937</v>
      </c>
      <c r="F57" s="153">
        <f t="shared" si="2"/>
        <v>674930</v>
      </c>
      <c r="G57" s="153">
        <f t="shared" si="2"/>
        <v>702717</v>
      </c>
      <c r="H57" s="153">
        <f t="shared" si="2"/>
        <v>783895</v>
      </c>
      <c r="I57" s="153">
        <f t="shared" si="2"/>
        <v>892138</v>
      </c>
      <c r="J57" s="153">
        <f t="shared" si="2"/>
        <v>974909</v>
      </c>
      <c r="K57" s="153">
        <f t="shared" si="2"/>
        <v>993354</v>
      </c>
      <c r="L57" s="153">
        <f t="shared" si="2"/>
        <v>1099196</v>
      </c>
      <c r="M57" s="153">
        <f t="shared" si="2"/>
        <v>1203748</v>
      </c>
      <c r="N57" s="153">
        <f t="shared" si="2"/>
        <v>1332660</v>
      </c>
      <c r="O57" s="153">
        <f t="shared" si="2"/>
        <v>1343219</v>
      </c>
      <c r="P57" s="153">
        <f t="shared" si="2"/>
        <v>1405593</v>
      </c>
      <c r="Q57" s="153">
        <f t="shared" si="2"/>
        <v>1444579.1</v>
      </c>
      <c r="R57" s="153">
        <f t="shared" si="2"/>
        <v>1347001.2</v>
      </c>
      <c r="S57" s="153">
        <f t="shared" si="2"/>
        <v>1386510</v>
      </c>
      <c r="T57" s="153">
        <f t="shared" si="2"/>
        <v>1409960.3</v>
      </c>
      <c r="U57" s="153">
        <f t="shared" si="2"/>
        <v>1433028.7</v>
      </c>
      <c r="V57" s="153">
        <f t="shared" si="2"/>
        <v>1533837</v>
      </c>
      <c r="W57" s="153">
        <f t="shared" si="2"/>
        <v>1589904</v>
      </c>
      <c r="X57" s="681"/>
      <c r="Y57" s="153"/>
      <c r="Z57" s="153"/>
    </row>
    <row r="58" spans="2:26" x14ac:dyDescent="0.25">
      <c r="B58" s="152" t="s">
        <v>188</v>
      </c>
      <c r="C58" s="153">
        <v>6225.6</v>
      </c>
      <c r="D58" s="153">
        <v>6551.2999999999993</v>
      </c>
      <c r="E58" s="153">
        <v>7587.0000000000009</v>
      </c>
      <c r="F58" s="153">
        <v>9476.6000000000022</v>
      </c>
      <c r="G58" s="153">
        <v>11130.2</v>
      </c>
      <c r="H58" s="153">
        <v>12661.400000000001</v>
      </c>
      <c r="I58" s="153">
        <v>14375</v>
      </c>
      <c r="J58" s="153">
        <v>16169.5</v>
      </c>
      <c r="K58" s="153">
        <v>16952.3</v>
      </c>
      <c r="L58" s="153">
        <v>9281.1999999999989</v>
      </c>
      <c r="M58" s="153">
        <v>10011.800000000001</v>
      </c>
      <c r="N58" s="153">
        <v>12052.800000000001</v>
      </c>
      <c r="O58" s="153">
        <v>11307.399999999998</v>
      </c>
      <c r="P58" s="153">
        <v>11857.9</v>
      </c>
      <c r="Q58" s="153">
        <v>12036.800000000001</v>
      </c>
      <c r="R58" s="153">
        <v>11236.8</v>
      </c>
      <c r="S58" s="153">
        <v>11707.7</v>
      </c>
      <c r="T58" s="153">
        <v>10795.8</v>
      </c>
      <c r="U58" s="153">
        <v>10967.5</v>
      </c>
      <c r="V58" s="153">
        <v>11817.8</v>
      </c>
      <c r="W58" s="153">
        <v>12047.7</v>
      </c>
      <c r="X58" s="153">
        <v>12449.900000000001</v>
      </c>
      <c r="Y58" s="209"/>
      <c r="Z58" s="209"/>
    </row>
    <row r="59" spans="2:26" x14ac:dyDescent="0.25">
      <c r="B59" s="152" t="s">
        <v>190</v>
      </c>
      <c r="C59" s="153">
        <v>14790.800000000001</v>
      </c>
      <c r="D59" s="153">
        <v>13566.5</v>
      </c>
      <c r="E59" s="153">
        <v>13548.7</v>
      </c>
      <c r="F59" s="153">
        <v>13287.5</v>
      </c>
      <c r="G59" s="153">
        <v>13760.2</v>
      </c>
      <c r="H59" s="153">
        <v>13615.1</v>
      </c>
      <c r="I59" s="153">
        <v>13633</v>
      </c>
      <c r="J59" s="153">
        <v>13853.6</v>
      </c>
      <c r="K59" s="153">
        <v>12271.5</v>
      </c>
      <c r="L59" s="153">
        <v>9915.6999999999989</v>
      </c>
      <c r="M59" s="153">
        <v>10259.200000000001</v>
      </c>
      <c r="N59" s="153">
        <v>10718.699999999999</v>
      </c>
      <c r="O59" s="153">
        <v>9922.5</v>
      </c>
      <c r="P59" s="153">
        <v>10126.700000000001</v>
      </c>
      <c r="Q59" s="153">
        <v>10698.7</v>
      </c>
      <c r="R59" s="153">
        <v>10998.7</v>
      </c>
      <c r="S59" s="153">
        <v>11351.7</v>
      </c>
      <c r="T59" s="153">
        <v>11102.5</v>
      </c>
      <c r="U59" s="153">
        <v>10973</v>
      </c>
      <c r="V59" s="153">
        <v>11057.099999999999</v>
      </c>
      <c r="W59" s="153">
        <v>10069.299999999999</v>
      </c>
      <c r="X59" s="153">
        <v>10594.2</v>
      </c>
      <c r="Y59" s="153">
        <v>10315</v>
      </c>
      <c r="Z59" s="153">
        <v>0</v>
      </c>
    </row>
    <row r="60" spans="2:26" x14ac:dyDescent="0.25">
      <c r="B60" s="152" t="s">
        <v>192</v>
      </c>
      <c r="C60" s="153">
        <v>31794.9</v>
      </c>
      <c r="D60" s="153">
        <v>29681.9</v>
      </c>
      <c r="E60" s="153">
        <v>28388.400000000001</v>
      </c>
      <c r="F60" s="153">
        <v>28019.200000000001</v>
      </c>
      <c r="G60" s="153">
        <v>30974.599999999995</v>
      </c>
      <c r="H60" s="153">
        <v>31685.599999999999</v>
      </c>
      <c r="I60" s="153">
        <v>35473.300000000003</v>
      </c>
      <c r="J60" s="153">
        <v>40258.6</v>
      </c>
      <c r="K60" s="153">
        <v>39375.30000000001</v>
      </c>
      <c r="L60" s="153">
        <v>30044.400000000001</v>
      </c>
      <c r="M60" s="153">
        <v>29257.3</v>
      </c>
      <c r="N60" s="153">
        <v>32662.600000000002</v>
      </c>
      <c r="O60" s="153">
        <v>31071.7</v>
      </c>
      <c r="P60" s="153">
        <v>28846.999999999996</v>
      </c>
      <c r="Q60" s="153">
        <v>31160.799999999996</v>
      </c>
      <c r="R60" s="153">
        <v>31526</v>
      </c>
      <c r="S60" s="153">
        <v>32113.100000000002</v>
      </c>
      <c r="T60" s="153">
        <v>34522.400000000001</v>
      </c>
      <c r="U60" s="153">
        <v>36869</v>
      </c>
      <c r="V60" s="153">
        <v>38039.800000000003</v>
      </c>
      <c r="W60" s="153">
        <v>37574.200000000004</v>
      </c>
      <c r="X60" s="153">
        <v>37826.299999999996</v>
      </c>
      <c r="Y60" s="153">
        <v>30489.5</v>
      </c>
      <c r="Z60" s="153">
        <v>12650</v>
      </c>
    </row>
    <row r="61" spans="2:26" x14ac:dyDescent="0.25">
      <c r="B61" s="152" t="s">
        <v>194</v>
      </c>
      <c r="C61" s="153">
        <v>94822.099999999991</v>
      </c>
      <c r="D61" s="153">
        <v>96295.4</v>
      </c>
      <c r="E61" s="153">
        <v>97248.599999999991</v>
      </c>
      <c r="F61" s="153">
        <v>98846.299999999988</v>
      </c>
      <c r="G61" s="153">
        <v>102025.2</v>
      </c>
      <c r="H61" s="153">
        <v>103977.9</v>
      </c>
      <c r="I61" s="153">
        <v>104579.49999999999</v>
      </c>
      <c r="J61" s="153">
        <v>105409.1</v>
      </c>
      <c r="K61" s="153">
        <v>96000.200000000012</v>
      </c>
      <c r="L61" s="153">
        <v>77655</v>
      </c>
      <c r="M61" s="153">
        <v>76882.3</v>
      </c>
      <c r="N61" s="153">
        <v>68541.5</v>
      </c>
      <c r="O61" s="153">
        <v>61811.5</v>
      </c>
      <c r="P61" s="153">
        <v>59092.2</v>
      </c>
      <c r="Q61" s="153">
        <v>60951.900000000009</v>
      </c>
      <c r="R61" s="153">
        <v>59538.6</v>
      </c>
      <c r="S61" s="153">
        <v>58588.100000000006</v>
      </c>
      <c r="T61" s="153">
        <v>58783.4</v>
      </c>
      <c r="U61" s="153">
        <v>58570.2</v>
      </c>
      <c r="V61" s="153">
        <v>57776.299999999996</v>
      </c>
      <c r="W61" s="153">
        <v>52819.700000000004</v>
      </c>
      <c r="X61" s="153">
        <v>56121.69999999999</v>
      </c>
      <c r="Y61" s="153">
        <v>38382.399999999994</v>
      </c>
      <c r="Z61" s="153">
        <v>15158.2</v>
      </c>
    </row>
    <row r="62" spans="2:26" x14ac:dyDescent="0.25">
      <c r="B62" s="152" t="s">
        <v>196</v>
      </c>
      <c r="C62" s="153">
        <v>48723.500000000007</v>
      </c>
      <c r="D62" s="153">
        <v>45167.799999999996</v>
      </c>
      <c r="E62" s="153">
        <v>43945.1</v>
      </c>
      <c r="F62" s="153">
        <v>44952.799999999996</v>
      </c>
      <c r="G62" s="153">
        <v>46953.599999999999</v>
      </c>
      <c r="H62" s="153">
        <v>45534.600000000013</v>
      </c>
      <c r="I62" s="153">
        <v>47032.69999999999</v>
      </c>
      <c r="J62" s="153">
        <v>49491.5</v>
      </c>
      <c r="K62" s="153">
        <v>46931.499999999993</v>
      </c>
      <c r="L62" s="153">
        <v>40796.5</v>
      </c>
      <c r="M62" s="153">
        <v>39600.400000000001</v>
      </c>
      <c r="N62" s="153">
        <v>42011.1</v>
      </c>
      <c r="O62" s="153">
        <v>42103.099999999991</v>
      </c>
      <c r="P62" s="153">
        <v>39976.400000000001</v>
      </c>
      <c r="Q62" s="153">
        <v>41481.899999999994</v>
      </c>
      <c r="R62" s="153">
        <v>41164.100000000006</v>
      </c>
      <c r="S62" s="153">
        <v>42109.7</v>
      </c>
      <c r="T62" s="153">
        <v>43663.700000000004</v>
      </c>
      <c r="U62" s="153">
        <v>44093.4</v>
      </c>
      <c r="V62" s="153">
        <v>43635</v>
      </c>
      <c r="W62" s="153">
        <v>43418</v>
      </c>
      <c r="X62" s="153">
        <v>44665.999999999993</v>
      </c>
      <c r="Y62" s="153">
        <v>36059.9</v>
      </c>
      <c r="Z62" s="153">
        <v>0</v>
      </c>
    </row>
    <row r="63" spans="2:26" x14ac:dyDescent="0.25">
      <c r="B63" s="152" t="s">
        <v>201</v>
      </c>
      <c r="C63" s="153">
        <v>69528</v>
      </c>
      <c r="D63" s="153">
        <v>67729</v>
      </c>
      <c r="E63" s="153">
        <v>63778</v>
      </c>
      <c r="F63" s="153">
        <v>62653</v>
      </c>
      <c r="G63" s="153">
        <v>61202</v>
      </c>
      <c r="H63" s="153">
        <v>63003</v>
      </c>
      <c r="I63" s="153">
        <v>62404</v>
      </c>
      <c r="J63" s="153">
        <v>59885</v>
      </c>
      <c r="K63" s="153">
        <v>55647</v>
      </c>
      <c r="L63" s="153">
        <v>49195.1</v>
      </c>
      <c r="M63" s="153">
        <v>47279</v>
      </c>
      <c r="N63" s="153">
        <v>48884</v>
      </c>
      <c r="O63" s="153">
        <v>49883</v>
      </c>
      <c r="P63" s="153">
        <v>52105</v>
      </c>
      <c r="Q63" s="153">
        <v>51573</v>
      </c>
      <c r="R63" s="153">
        <v>50307</v>
      </c>
      <c r="S63" s="153">
        <v>50436</v>
      </c>
      <c r="T63" s="153">
        <v>51351</v>
      </c>
      <c r="U63" s="153">
        <v>50979</v>
      </c>
      <c r="V63" s="153">
        <v>49293</v>
      </c>
      <c r="W63" s="153">
        <v>47522</v>
      </c>
      <c r="X63" s="153">
        <v>47338</v>
      </c>
      <c r="Y63" s="153">
        <v>45313.599999999999</v>
      </c>
      <c r="Z63" s="153">
        <v>40526.1</v>
      </c>
    </row>
    <row r="64" spans="2:26" x14ac:dyDescent="0.25">
      <c r="B64" s="152" t="s">
        <v>203</v>
      </c>
      <c r="C64" s="153">
        <v>994.40000000000009</v>
      </c>
      <c r="D64" s="153">
        <v>896.2</v>
      </c>
      <c r="E64" s="153">
        <v>889.5</v>
      </c>
      <c r="F64" s="153">
        <v>1032.7</v>
      </c>
      <c r="G64" s="153">
        <v>6482.6</v>
      </c>
      <c r="H64" s="153">
        <v>7384.3000000000011</v>
      </c>
      <c r="I64" s="153">
        <v>8236.7000000000007</v>
      </c>
      <c r="J64" s="153">
        <v>8846.4</v>
      </c>
      <c r="K64" s="153">
        <v>9062.4000000000015</v>
      </c>
      <c r="L64" s="153">
        <v>8866.2000000000007</v>
      </c>
      <c r="M64" s="153">
        <v>9364.9</v>
      </c>
      <c r="N64" s="153">
        <v>9921.2999999999993</v>
      </c>
      <c r="O64" s="153">
        <v>9809.5</v>
      </c>
      <c r="P64" s="153">
        <v>9782.6</v>
      </c>
      <c r="Q64" s="153">
        <v>9782.9</v>
      </c>
      <c r="R64" s="153">
        <v>10265</v>
      </c>
      <c r="S64" s="153">
        <v>9343.9</v>
      </c>
      <c r="T64" s="153">
        <v>9788.6</v>
      </c>
      <c r="U64" s="153">
        <v>9209</v>
      </c>
      <c r="V64" s="153">
        <v>8790.7000000000007</v>
      </c>
      <c r="W64" s="153">
        <v>7634.9</v>
      </c>
      <c r="X64" s="153">
        <v>9963.7999999999993</v>
      </c>
      <c r="Y64" s="153">
        <v>10717.2</v>
      </c>
      <c r="Z64" s="153">
        <v>9548.4</v>
      </c>
    </row>
    <row r="65" spans="2:26" x14ac:dyDescent="0.25">
      <c r="B65" s="152" t="s">
        <v>205</v>
      </c>
      <c r="C65" s="153">
        <v>32085.1</v>
      </c>
      <c r="D65" s="153">
        <v>28746</v>
      </c>
      <c r="E65" s="153">
        <v>29499</v>
      </c>
      <c r="F65" s="153">
        <v>30419</v>
      </c>
      <c r="G65" s="153">
        <v>32779</v>
      </c>
      <c r="H65" s="153">
        <v>36382</v>
      </c>
      <c r="I65" s="153">
        <v>43437.1</v>
      </c>
      <c r="J65" s="153">
        <v>43174</v>
      </c>
      <c r="K65" s="153">
        <v>47119.6</v>
      </c>
      <c r="L65" s="153">
        <v>51350.8</v>
      </c>
      <c r="M65" s="153">
        <v>56798.2</v>
      </c>
      <c r="N65" s="153">
        <v>64534.299999999996</v>
      </c>
      <c r="O65" s="153">
        <v>59507.9</v>
      </c>
      <c r="P65" s="153">
        <v>69363.899999999994</v>
      </c>
      <c r="Q65" s="153">
        <v>65594.100000000006</v>
      </c>
      <c r="R65" s="153">
        <v>65432.800000000003</v>
      </c>
      <c r="S65" s="153">
        <v>71297.8</v>
      </c>
      <c r="T65" s="153">
        <v>74985.2</v>
      </c>
      <c r="U65" s="153">
        <v>74880.3</v>
      </c>
      <c r="V65" s="153">
        <v>61458.2</v>
      </c>
      <c r="W65" s="153">
        <v>77538.7</v>
      </c>
      <c r="X65" s="153">
        <v>84024.9</v>
      </c>
      <c r="Y65" s="153">
        <v>72862.5</v>
      </c>
      <c r="Z65" s="153">
        <v>72894.5</v>
      </c>
    </row>
    <row r="66" spans="2:26" x14ac:dyDescent="0.25">
      <c r="B66" s="152" t="s">
        <v>207</v>
      </c>
      <c r="C66" s="153">
        <v>0</v>
      </c>
      <c r="D66" s="153">
        <v>0</v>
      </c>
      <c r="E66" s="153">
        <v>0</v>
      </c>
      <c r="F66" s="153">
        <v>22189</v>
      </c>
      <c r="G66" s="153">
        <v>22530</v>
      </c>
      <c r="H66" s="153">
        <v>22154</v>
      </c>
      <c r="I66" s="153">
        <v>23814</v>
      </c>
      <c r="J66" s="153">
        <v>27251</v>
      </c>
      <c r="K66" s="153">
        <v>35307</v>
      </c>
      <c r="L66" s="153">
        <v>38794</v>
      </c>
      <c r="M66" s="153">
        <v>40344</v>
      </c>
      <c r="N66" s="153">
        <v>42921</v>
      </c>
      <c r="O66" s="153">
        <v>48767.5</v>
      </c>
      <c r="P66" s="153">
        <v>54242.6</v>
      </c>
      <c r="Q66" s="153">
        <v>57378.2</v>
      </c>
      <c r="R66" s="153">
        <v>57023.9</v>
      </c>
      <c r="S66" s="153">
        <v>55505</v>
      </c>
      <c r="T66" s="153">
        <v>46123.4</v>
      </c>
      <c r="U66" s="153">
        <v>48308.1</v>
      </c>
      <c r="V66" s="153">
        <v>47287</v>
      </c>
      <c r="W66" s="153">
        <v>49188.4</v>
      </c>
      <c r="X66" s="153">
        <v>55137.4</v>
      </c>
      <c r="Y66" s="153">
        <v>57652.4</v>
      </c>
      <c r="Z66" s="153">
        <v>57441</v>
      </c>
    </row>
    <row r="67" spans="2:26" x14ac:dyDescent="0.25">
      <c r="B67" s="152" t="s">
        <v>214</v>
      </c>
      <c r="C67" s="153">
        <v>28745.5</v>
      </c>
      <c r="D67" s="153">
        <v>30172</v>
      </c>
      <c r="E67" s="153">
        <v>32556.5</v>
      </c>
      <c r="F67" s="153">
        <v>35505</v>
      </c>
      <c r="G67" s="153">
        <v>39782.9</v>
      </c>
      <c r="H67" s="153">
        <v>42333</v>
      </c>
      <c r="I67" s="153">
        <v>46686</v>
      </c>
      <c r="J67" s="153">
        <v>52583</v>
      </c>
      <c r="K67" s="153">
        <v>44937.599999999999</v>
      </c>
      <c r="L67" s="153">
        <v>37559.4</v>
      </c>
      <c r="M67" s="153">
        <v>43154.7</v>
      </c>
      <c r="N67" s="153">
        <v>47724</v>
      </c>
      <c r="O67" s="153">
        <v>49933</v>
      </c>
      <c r="P67" s="153">
        <v>51734.1</v>
      </c>
      <c r="Q67" s="153">
        <v>50163.7</v>
      </c>
      <c r="R67" s="153">
        <v>43873.3</v>
      </c>
      <c r="S67" s="153">
        <v>38686.800000000003</v>
      </c>
      <c r="T67" s="153">
        <v>38838.5</v>
      </c>
      <c r="U67" s="153">
        <v>38040.400000000001</v>
      </c>
      <c r="V67" s="153">
        <v>38448.400000000001</v>
      </c>
      <c r="W67" s="153">
        <v>38968.199999999997</v>
      </c>
      <c r="X67" s="153">
        <v>41955.3</v>
      </c>
      <c r="Y67" s="209"/>
      <c r="Z67" s="209"/>
    </row>
    <row r="68" spans="2:26" x14ac:dyDescent="0.25">
      <c r="B68" s="152" t="s">
        <v>217</v>
      </c>
      <c r="C68" s="153">
        <f>C72-C71</f>
        <v>45719</v>
      </c>
      <c r="D68" s="153">
        <f t="shared" ref="D68:Y68" si="3">D72-D71</f>
        <v>47393</v>
      </c>
      <c r="E68" s="153">
        <f t="shared" si="3"/>
        <v>50048</v>
      </c>
      <c r="F68" s="153">
        <f t="shared" si="3"/>
        <v>51575</v>
      </c>
      <c r="G68" s="153">
        <f t="shared" si="3"/>
        <v>48251</v>
      </c>
      <c r="H68" s="153">
        <f t="shared" si="3"/>
        <v>43071</v>
      </c>
      <c r="I68" s="153">
        <f t="shared" si="3"/>
        <v>42723</v>
      </c>
      <c r="J68" s="153">
        <f t="shared" si="3"/>
        <v>46293</v>
      </c>
      <c r="K68" s="153">
        <f t="shared" si="3"/>
        <v>46795</v>
      </c>
      <c r="L68" s="153">
        <f t="shared" si="3"/>
        <v>44774</v>
      </c>
      <c r="M68" s="153">
        <f t="shared" si="3"/>
        <v>44853.1</v>
      </c>
      <c r="N68" s="153">
        <f t="shared" si="3"/>
        <v>45280.800000000003</v>
      </c>
      <c r="O68" s="153">
        <f t="shared" si="3"/>
        <v>45155</v>
      </c>
      <c r="P68" s="153">
        <f t="shared" si="3"/>
        <v>44382.3</v>
      </c>
      <c r="Q68" s="153">
        <f t="shared" si="3"/>
        <v>44815.9</v>
      </c>
      <c r="R68" s="153">
        <f t="shared" si="3"/>
        <v>47015.3</v>
      </c>
      <c r="S68" s="153">
        <f t="shared" si="3"/>
        <v>49147.7</v>
      </c>
      <c r="T68" s="153">
        <f t="shared" si="3"/>
        <v>48657.4</v>
      </c>
      <c r="U68" s="153">
        <f t="shared" si="3"/>
        <v>45351</v>
      </c>
      <c r="V68" s="153">
        <f t="shared" si="3"/>
        <v>45931.7</v>
      </c>
      <c r="W68" s="153">
        <f t="shared" si="3"/>
        <v>41893.699999999997</v>
      </c>
      <c r="X68" s="153">
        <f t="shared" si="3"/>
        <v>43429.9</v>
      </c>
      <c r="Y68" s="153">
        <f t="shared" si="3"/>
        <v>42889.2</v>
      </c>
      <c r="Z68" s="209"/>
    </row>
    <row r="69" spans="2:26" x14ac:dyDescent="0.25">
      <c r="B69" s="152" t="s">
        <v>219</v>
      </c>
      <c r="C69" s="153">
        <v>79656</v>
      </c>
      <c r="D69" s="153">
        <v>79979</v>
      </c>
      <c r="E69" s="153">
        <v>82959</v>
      </c>
      <c r="F69" s="153">
        <v>83315</v>
      </c>
      <c r="G69" s="153">
        <v>88190</v>
      </c>
      <c r="H69" s="153">
        <v>88783</v>
      </c>
      <c r="I69" s="153">
        <v>90045</v>
      </c>
      <c r="J69" s="153">
        <v>87466</v>
      </c>
      <c r="K69" s="153">
        <v>79599</v>
      </c>
      <c r="L69" s="153">
        <v>56918</v>
      </c>
      <c r="M69" s="153">
        <v>60444</v>
      </c>
      <c r="N69" s="153">
        <v>61903</v>
      </c>
      <c r="O69" s="153">
        <v>67788</v>
      </c>
      <c r="P69" s="153">
        <v>69900</v>
      </c>
      <c r="Q69" s="153">
        <v>75800</v>
      </c>
      <c r="R69" s="153">
        <v>76700</v>
      </c>
      <c r="S69" s="153">
        <v>75800</v>
      </c>
      <c r="T69" s="153">
        <v>77500</v>
      </c>
      <c r="U69" s="153">
        <v>74900</v>
      </c>
      <c r="V69" s="153">
        <v>78600</v>
      </c>
      <c r="W69" s="153">
        <v>78200</v>
      </c>
      <c r="X69" s="153">
        <v>79400</v>
      </c>
      <c r="Y69" s="153">
        <v>79489.5</v>
      </c>
      <c r="Z69" s="153">
        <v>76328.899999999994</v>
      </c>
    </row>
    <row r="71" spans="2:26" x14ac:dyDescent="0.25">
      <c r="B71" s="212" t="s">
        <v>1520</v>
      </c>
      <c r="C71">
        <v>16961</v>
      </c>
      <c r="D71">
        <v>17464</v>
      </c>
      <c r="E71">
        <v>18787</v>
      </c>
      <c r="F71">
        <v>17900</v>
      </c>
      <c r="G71">
        <v>18347</v>
      </c>
      <c r="H71">
        <v>19175</v>
      </c>
      <c r="I71">
        <v>18858</v>
      </c>
      <c r="J71">
        <v>18229</v>
      </c>
      <c r="K71">
        <v>16344</v>
      </c>
      <c r="L71">
        <v>15116</v>
      </c>
      <c r="M71">
        <v>15578</v>
      </c>
      <c r="N71">
        <v>16360</v>
      </c>
      <c r="O71">
        <v>15369</v>
      </c>
      <c r="P71">
        <v>15433</v>
      </c>
      <c r="Q71">
        <v>13623</v>
      </c>
      <c r="R71">
        <v>12134</v>
      </c>
      <c r="S71">
        <v>10370</v>
      </c>
      <c r="T71">
        <v>10297</v>
      </c>
      <c r="U71">
        <v>10336</v>
      </c>
      <c r="V71">
        <v>10587</v>
      </c>
      <c r="W71">
        <v>10904</v>
      </c>
      <c r="X71">
        <v>11186</v>
      </c>
    </row>
    <row r="72" spans="2:26" x14ac:dyDescent="0.25">
      <c r="B72" s="212" t="s">
        <v>1707</v>
      </c>
      <c r="C72" s="153">
        <v>62680</v>
      </c>
      <c r="D72" s="153">
        <v>64857</v>
      </c>
      <c r="E72" s="153">
        <v>68835</v>
      </c>
      <c r="F72" s="153">
        <v>69475</v>
      </c>
      <c r="G72" s="153">
        <v>66598</v>
      </c>
      <c r="H72" s="153">
        <v>62246</v>
      </c>
      <c r="I72" s="153">
        <v>61581</v>
      </c>
      <c r="J72" s="153">
        <v>64522</v>
      </c>
      <c r="K72" s="153">
        <v>63139</v>
      </c>
      <c r="L72" s="153">
        <v>59890</v>
      </c>
      <c r="M72" s="153">
        <v>60431.1</v>
      </c>
      <c r="N72" s="153">
        <v>61640.800000000003</v>
      </c>
      <c r="O72" s="153">
        <v>60524</v>
      </c>
      <c r="P72" s="153">
        <v>59815.3</v>
      </c>
      <c r="Q72" s="153">
        <v>58438.9</v>
      </c>
      <c r="R72" s="153">
        <v>59149.3</v>
      </c>
      <c r="S72" s="153">
        <v>59517.7</v>
      </c>
      <c r="T72" s="153">
        <v>58954.400000000001</v>
      </c>
      <c r="U72" s="153">
        <v>55687</v>
      </c>
      <c r="V72" s="153">
        <v>56518.7</v>
      </c>
      <c r="W72" s="153">
        <v>52797.7</v>
      </c>
      <c r="X72" s="153">
        <v>54615.9</v>
      </c>
      <c r="Y72" s="153">
        <v>42889.2</v>
      </c>
      <c r="Z72" s="209"/>
    </row>
    <row r="73" spans="2:26" x14ac:dyDescent="0.25">
      <c r="B73" s="212" t="s">
        <v>186</v>
      </c>
      <c r="C73" s="680">
        <v>454000</v>
      </c>
      <c r="D73" s="680">
        <v>503117.5</v>
      </c>
      <c r="E73" s="680">
        <v>525150</v>
      </c>
      <c r="F73" s="680">
        <v>657030</v>
      </c>
      <c r="G73" s="680">
        <v>684370</v>
      </c>
      <c r="H73" s="680">
        <v>764720</v>
      </c>
      <c r="I73" s="680">
        <v>873280</v>
      </c>
      <c r="J73" s="680">
        <v>956680</v>
      </c>
      <c r="K73" s="680">
        <v>977010</v>
      </c>
      <c r="L73" s="680">
        <v>1084080</v>
      </c>
      <c r="M73" s="680">
        <v>1188170</v>
      </c>
      <c r="N73" s="680">
        <v>1316300</v>
      </c>
      <c r="O73" s="680">
        <v>1327850</v>
      </c>
      <c r="P73" s="680">
        <v>1390160</v>
      </c>
      <c r="Q73" s="680">
        <v>1430956.1</v>
      </c>
      <c r="R73" s="680">
        <v>1334867.2</v>
      </c>
      <c r="S73" s="680">
        <v>1376140</v>
      </c>
      <c r="T73" s="680">
        <v>1399663.3</v>
      </c>
      <c r="U73" s="680">
        <v>1422692.7</v>
      </c>
      <c r="V73" s="680">
        <v>1523250</v>
      </c>
      <c r="W73" s="680">
        <v>1579000</v>
      </c>
      <c r="X73" s="680"/>
      <c r="Y73" s="680"/>
      <c r="Z73" s="209"/>
    </row>
    <row r="74" spans="2:26" x14ac:dyDescent="0.25">
      <c r="B74" s="88" t="s">
        <v>1030</v>
      </c>
    </row>
    <row r="76" spans="2:26" x14ac:dyDescent="0.25">
      <c r="B76" s="151" t="s">
        <v>1031</v>
      </c>
      <c r="C76" s="151" t="s">
        <v>1005</v>
      </c>
      <c r="D76" s="151" t="s">
        <v>1006</v>
      </c>
      <c r="E76" s="151" t="s">
        <v>1007</v>
      </c>
      <c r="F76" s="151" t="s">
        <v>1008</v>
      </c>
      <c r="G76" s="151" t="s">
        <v>1009</v>
      </c>
      <c r="H76" s="151" t="s">
        <v>1010</v>
      </c>
      <c r="I76" s="151" t="s">
        <v>1011</v>
      </c>
      <c r="J76" s="151" t="s">
        <v>1012</v>
      </c>
      <c r="K76" s="151" t="s">
        <v>1013</v>
      </c>
      <c r="L76" s="151" t="s">
        <v>1014</v>
      </c>
      <c r="M76" s="151" t="s">
        <v>1015</v>
      </c>
      <c r="N76" s="151" t="s">
        <v>1016</v>
      </c>
      <c r="O76" s="151" t="s">
        <v>1017</v>
      </c>
      <c r="P76" s="151" t="s">
        <v>1018</v>
      </c>
      <c r="Q76" s="151" t="s">
        <v>1019</v>
      </c>
      <c r="R76" s="151" t="s">
        <v>1020</v>
      </c>
      <c r="S76" s="151" t="s">
        <v>1021</v>
      </c>
      <c r="T76" s="151" t="s">
        <v>1022</v>
      </c>
      <c r="U76" s="151" t="s">
        <v>1023</v>
      </c>
      <c r="V76" s="151" t="s">
        <v>1024</v>
      </c>
      <c r="W76" s="151" t="s">
        <v>1025</v>
      </c>
      <c r="X76" s="151" t="s">
        <v>1026</v>
      </c>
      <c r="Y76" s="151" t="s">
        <v>1027</v>
      </c>
      <c r="Z76" s="151" t="s">
        <v>1028</v>
      </c>
    </row>
    <row r="77" spans="2:26" x14ac:dyDescent="0.25">
      <c r="B77" s="152" t="s">
        <v>162</v>
      </c>
      <c r="C77" s="153">
        <v>1497.9999999999998</v>
      </c>
      <c r="D77" s="153">
        <v>1572.8000000000002</v>
      </c>
      <c r="E77" s="153">
        <v>1724.9</v>
      </c>
      <c r="F77" s="153">
        <v>2084.5</v>
      </c>
      <c r="G77" s="153">
        <v>2294.1999999999998</v>
      </c>
      <c r="H77" s="153">
        <v>2632.4000000000005</v>
      </c>
      <c r="I77" s="153">
        <v>2656.9000000000005</v>
      </c>
      <c r="J77" s="153">
        <v>2959.9</v>
      </c>
      <c r="K77" s="153">
        <v>3189.1</v>
      </c>
      <c r="L77" s="153">
        <v>3598.1000000000004</v>
      </c>
      <c r="M77" s="153">
        <v>4552.8999999999996</v>
      </c>
      <c r="N77" s="153">
        <v>5662.5</v>
      </c>
      <c r="O77" s="153">
        <v>6630.6</v>
      </c>
      <c r="P77" s="153">
        <v>7187.9999999999991</v>
      </c>
      <c r="Q77" s="153">
        <v>8103.4000000000005</v>
      </c>
      <c r="R77" s="153">
        <v>9319.7999999999993</v>
      </c>
      <c r="S77" s="153">
        <v>10435.700000000001</v>
      </c>
      <c r="T77" s="153">
        <v>10527.9</v>
      </c>
      <c r="U77" s="153">
        <v>10711.199999999999</v>
      </c>
      <c r="V77" s="153">
        <v>11596</v>
      </c>
      <c r="W77" s="153">
        <v>12461.800000000001</v>
      </c>
      <c r="X77" s="153">
        <v>13485.5</v>
      </c>
      <c r="Y77" s="153">
        <v>13737.5</v>
      </c>
      <c r="Z77" s="153">
        <v>13737.5</v>
      </c>
    </row>
    <row r="78" spans="2:26" x14ac:dyDescent="0.25">
      <c r="B78" s="152" t="s">
        <v>164</v>
      </c>
      <c r="C78" s="153">
        <v>22453</v>
      </c>
      <c r="D78" s="153">
        <v>23797</v>
      </c>
      <c r="E78" s="153">
        <v>25391</v>
      </c>
      <c r="F78" s="153">
        <v>24675</v>
      </c>
      <c r="G78" s="153">
        <v>26919</v>
      </c>
      <c r="H78" s="153">
        <v>29137</v>
      </c>
      <c r="I78" s="153">
        <v>32323</v>
      </c>
      <c r="J78" s="153">
        <v>34851</v>
      </c>
      <c r="K78" s="153">
        <v>35352</v>
      </c>
      <c r="L78" s="153">
        <v>40279</v>
      </c>
      <c r="M78" s="153">
        <v>41111</v>
      </c>
      <c r="N78" s="153">
        <v>38231</v>
      </c>
      <c r="O78" s="153">
        <v>39522.699999999997</v>
      </c>
      <c r="P78" s="153">
        <v>38072.5</v>
      </c>
      <c r="Q78" s="153">
        <v>40969</v>
      </c>
      <c r="R78" s="153">
        <v>41836</v>
      </c>
      <c r="S78" s="153">
        <v>43025</v>
      </c>
      <c r="T78" s="153">
        <v>42641</v>
      </c>
      <c r="U78" s="153">
        <v>41636</v>
      </c>
      <c r="V78" s="153">
        <v>40338</v>
      </c>
      <c r="W78" s="153">
        <v>36314</v>
      </c>
      <c r="X78" s="153">
        <v>40689</v>
      </c>
      <c r="Y78" s="153">
        <v>39079</v>
      </c>
      <c r="Z78" s="153">
        <v>40689</v>
      </c>
    </row>
    <row r="79" spans="2:26" x14ac:dyDescent="0.25">
      <c r="B79" s="152" t="s">
        <v>166</v>
      </c>
      <c r="C79" s="153">
        <v>1516.9</v>
      </c>
      <c r="D79" s="153">
        <v>1701.8</v>
      </c>
      <c r="E79" s="153">
        <v>1994.1000000000001</v>
      </c>
      <c r="F79" s="153">
        <v>2312.6000000000004</v>
      </c>
      <c r="G79" s="153">
        <v>2686.2</v>
      </c>
      <c r="H79" s="153">
        <v>2875.6</v>
      </c>
      <c r="I79" s="153">
        <v>2860.7</v>
      </c>
      <c r="J79" s="153">
        <v>2919.2999999999997</v>
      </c>
      <c r="K79" s="153">
        <v>2740.5</v>
      </c>
      <c r="L79" s="153">
        <v>3048.7</v>
      </c>
      <c r="M79" s="153">
        <v>3325.2</v>
      </c>
      <c r="N79" s="153">
        <v>3672.8</v>
      </c>
      <c r="O79" s="153">
        <v>3834.2999999999997</v>
      </c>
      <c r="P79" s="153">
        <v>4242.3</v>
      </c>
      <c r="Q79" s="153">
        <v>4197.2999999999993</v>
      </c>
      <c r="R79" s="153">
        <v>5062.5</v>
      </c>
      <c r="S79" s="153">
        <v>5724.2</v>
      </c>
      <c r="T79" s="153">
        <v>6221.4</v>
      </c>
      <c r="U79" s="153">
        <v>6900.3</v>
      </c>
      <c r="V79" s="153">
        <v>8139.4000000000005</v>
      </c>
      <c r="W79" s="153">
        <v>8346.9</v>
      </c>
      <c r="X79" s="153">
        <v>9698.3000000000011</v>
      </c>
      <c r="Y79" s="153">
        <v>9698.3000000000011</v>
      </c>
      <c r="Z79" s="153">
        <v>9698.3000000000011</v>
      </c>
    </row>
    <row r="80" spans="2:26" x14ac:dyDescent="0.25">
      <c r="B80" s="152" t="s">
        <v>168</v>
      </c>
      <c r="C80" s="153">
        <v>4420.3999999999996</v>
      </c>
      <c r="D80" s="153">
        <v>4373</v>
      </c>
      <c r="E80" s="153">
        <v>4973.8999999999996</v>
      </c>
      <c r="F80" s="153">
        <v>5276.9000000000005</v>
      </c>
      <c r="G80" s="153">
        <v>5207.8999999999996</v>
      </c>
      <c r="H80" s="153">
        <v>6193.5</v>
      </c>
      <c r="I80" s="153">
        <v>6600.2</v>
      </c>
      <c r="J80" s="153">
        <v>6654.6</v>
      </c>
      <c r="K80" s="153">
        <v>6683.1999999999989</v>
      </c>
      <c r="L80" s="153">
        <v>7268.2</v>
      </c>
      <c r="M80" s="153">
        <v>6807.7000000000007</v>
      </c>
      <c r="N80" s="153">
        <v>6771.1</v>
      </c>
      <c r="O80" s="153">
        <v>7638.7</v>
      </c>
      <c r="P80" s="153">
        <v>8399.5</v>
      </c>
      <c r="Q80" s="153">
        <v>9014.1</v>
      </c>
      <c r="R80" s="153">
        <v>9681.8000000000011</v>
      </c>
      <c r="S80" s="153">
        <v>9643.3000000000011</v>
      </c>
      <c r="T80" s="153">
        <v>9124.1999999999989</v>
      </c>
      <c r="U80" s="153">
        <v>9542</v>
      </c>
      <c r="V80" s="153">
        <v>9409.8000000000011</v>
      </c>
      <c r="W80" s="153">
        <v>9258.5</v>
      </c>
      <c r="X80" s="153">
        <v>9739.2999999999993</v>
      </c>
      <c r="Y80" s="153">
        <v>9739.2999999999993</v>
      </c>
      <c r="Z80" s="153">
        <v>9739.2999999999993</v>
      </c>
    </row>
    <row r="81" spans="2:26" x14ac:dyDescent="0.25">
      <c r="B81" s="152" t="s">
        <v>170</v>
      </c>
      <c r="C81" s="153">
        <v>4151.8</v>
      </c>
      <c r="D81" s="153">
        <v>4075.7</v>
      </c>
      <c r="E81" s="153">
        <v>4038.9</v>
      </c>
      <c r="F81" s="153">
        <v>4118.1000000000004</v>
      </c>
      <c r="G81" s="153">
        <v>4042.5</v>
      </c>
      <c r="H81" s="153">
        <v>4240.6000000000004</v>
      </c>
      <c r="I81" s="153">
        <v>4432.8</v>
      </c>
      <c r="J81" s="153">
        <v>4659.3</v>
      </c>
      <c r="K81" s="153">
        <v>4502.1000000000004</v>
      </c>
      <c r="L81" s="153">
        <v>4415</v>
      </c>
      <c r="M81" s="153">
        <v>4106.3999999999996</v>
      </c>
      <c r="N81" s="153">
        <v>4024.5</v>
      </c>
      <c r="O81" s="153">
        <v>4086.6</v>
      </c>
      <c r="P81" s="153">
        <v>3880.3</v>
      </c>
      <c r="Q81" s="153">
        <v>3757.5</v>
      </c>
      <c r="R81" s="153">
        <v>3696.7</v>
      </c>
      <c r="S81" s="153">
        <v>3417.4</v>
      </c>
      <c r="T81" s="153">
        <v>3462.8</v>
      </c>
      <c r="U81" s="153">
        <v>3360</v>
      </c>
      <c r="V81" s="153">
        <v>3450.9</v>
      </c>
      <c r="W81" s="153">
        <v>3199.2</v>
      </c>
      <c r="X81" s="153">
        <v>3269.6</v>
      </c>
      <c r="Y81" s="153">
        <v>3226.4</v>
      </c>
      <c r="Z81" s="153">
        <v>3226.4</v>
      </c>
    </row>
    <row r="82" spans="2:26" x14ac:dyDescent="0.25">
      <c r="B82" s="152" t="s">
        <v>173</v>
      </c>
      <c r="C82" s="153">
        <v>2327.3999999999996</v>
      </c>
      <c r="D82" s="153">
        <v>2868.7</v>
      </c>
      <c r="E82" s="153">
        <v>3063.8</v>
      </c>
      <c r="F82" s="153">
        <v>3338.4</v>
      </c>
      <c r="G82" s="153">
        <v>4417.1000000000004</v>
      </c>
      <c r="H82" s="153">
        <v>4748</v>
      </c>
      <c r="I82" s="153">
        <v>5203.6000000000004</v>
      </c>
      <c r="J82" s="153">
        <v>5696.7</v>
      </c>
      <c r="K82" s="153">
        <v>6223.7000000000007</v>
      </c>
      <c r="L82" s="153">
        <v>5872.9000000000005</v>
      </c>
      <c r="M82" s="153">
        <v>6304.9</v>
      </c>
      <c r="N82" s="153">
        <v>6689.7</v>
      </c>
      <c r="O82" s="153">
        <v>8416.1</v>
      </c>
      <c r="P82" s="153">
        <v>9567.5999999999985</v>
      </c>
      <c r="Q82" s="153">
        <v>10739.8</v>
      </c>
      <c r="R82" s="153">
        <v>11497.9</v>
      </c>
      <c r="S82" s="153">
        <v>11445.1</v>
      </c>
      <c r="T82" s="153">
        <v>13329.5</v>
      </c>
      <c r="U82" s="153">
        <v>14119.5</v>
      </c>
      <c r="V82" s="153">
        <v>15191.199999999999</v>
      </c>
      <c r="W82" s="153">
        <v>16234.300000000001</v>
      </c>
      <c r="X82" s="153">
        <v>17112.8</v>
      </c>
      <c r="Y82" s="153">
        <v>17112.8</v>
      </c>
      <c r="Z82" s="153">
        <v>17112.8</v>
      </c>
    </row>
    <row r="83" spans="2:26" x14ac:dyDescent="0.25">
      <c r="B83" s="152" t="s">
        <v>175</v>
      </c>
      <c r="C83" s="153">
        <v>24016.1</v>
      </c>
      <c r="D83" s="153">
        <v>26092.9</v>
      </c>
      <c r="E83" s="153">
        <v>29335.1</v>
      </c>
      <c r="F83" s="153">
        <v>27792.5</v>
      </c>
      <c r="G83" s="153">
        <v>28615.9</v>
      </c>
      <c r="H83" s="153">
        <v>30553.7</v>
      </c>
      <c r="I83" s="153">
        <v>32194.400000000001</v>
      </c>
      <c r="J83" s="153">
        <v>32728.5</v>
      </c>
      <c r="K83" s="153">
        <v>31140.6</v>
      </c>
      <c r="L83" s="153">
        <v>29985.600000000002</v>
      </c>
      <c r="M83" s="153">
        <v>29039</v>
      </c>
      <c r="N83" s="153">
        <v>29597.300000000003</v>
      </c>
      <c r="O83" s="153">
        <v>30739.200000000001</v>
      </c>
      <c r="P83" s="153">
        <v>32031.5</v>
      </c>
      <c r="Q83" s="153">
        <v>33628.400000000001</v>
      </c>
      <c r="R83" s="153">
        <v>33505</v>
      </c>
      <c r="S83" s="153">
        <v>38602.400000000001</v>
      </c>
      <c r="T83" s="153">
        <v>39709.699999999997</v>
      </c>
      <c r="U83" s="153">
        <v>40657.800000000003</v>
      </c>
      <c r="V83" s="153">
        <v>42529.4</v>
      </c>
      <c r="W83" s="153">
        <v>45405.9</v>
      </c>
      <c r="X83" s="153">
        <v>48704</v>
      </c>
      <c r="Y83" s="153">
        <v>48720</v>
      </c>
      <c r="Z83" s="153">
        <v>48580</v>
      </c>
    </row>
    <row r="84" spans="2:26" x14ac:dyDescent="0.25">
      <c r="B84" s="152" t="s">
        <v>177</v>
      </c>
      <c r="C84" s="153">
        <v>5294.9</v>
      </c>
      <c r="D84" s="153">
        <v>5987.5</v>
      </c>
      <c r="E84" s="153">
        <v>5881.5999999999995</v>
      </c>
      <c r="F84" s="153">
        <v>6665.7</v>
      </c>
      <c r="G84" s="153">
        <v>7141.3</v>
      </c>
      <c r="H84" s="153">
        <v>8179.9</v>
      </c>
      <c r="I84" s="153">
        <v>9416.3000000000011</v>
      </c>
      <c r="J84" s="153">
        <v>11006.199999999999</v>
      </c>
      <c r="K84" s="153">
        <v>11918.6</v>
      </c>
      <c r="L84" s="153">
        <v>13581.6</v>
      </c>
      <c r="M84" s="153">
        <v>13171.5</v>
      </c>
      <c r="N84" s="153">
        <v>13530.1</v>
      </c>
      <c r="O84" s="153">
        <v>14129.2</v>
      </c>
      <c r="P84" s="153">
        <v>14866.6</v>
      </c>
      <c r="Q84" s="153">
        <v>15197.9</v>
      </c>
      <c r="R84" s="153">
        <v>16520</v>
      </c>
      <c r="S84" s="153">
        <v>18973.5</v>
      </c>
      <c r="T84" s="153">
        <v>20547.8</v>
      </c>
      <c r="U84" s="153">
        <v>21945.1</v>
      </c>
      <c r="V84" s="153">
        <v>22457</v>
      </c>
      <c r="W84" s="153">
        <v>23511.5</v>
      </c>
      <c r="X84" s="153">
        <v>25511</v>
      </c>
      <c r="Y84" s="153">
        <v>23811</v>
      </c>
      <c r="Z84" s="153">
        <v>23811</v>
      </c>
    </row>
    <row r="85" spans="2:26" x14ac:dyDescent="0.25">
      <c r="B85" s="152" t="s">
        <v>179</v>
      </c>
      <c r="C85" s="153">
        <v>16050</v>
      </c>
      <c r="D85" s="153">
        <v>15230</v>
      </c>
      <c r="E85" s="153">
        <v>14390</v>
      </c>
      <c r="F85" s="153">
        <v>13100</v>
      </c>
      <c r="G85" s="153">
        <v>13270</v>
      </c>
      <c r="H85" s="153">
        <v>14350</v>
      </c>
      <c r="I85" s="153">
        <v>15440</v>
      </c>
      <c r="J85" s="153">
        <v>17200</v>
      </c>
      <c r="K85" s="153">
        <v>18880</v>
      </c>
      <c r="L85" s="153">
        <v>19030</v>
      </c>
      <c r="M85" s="153">
        <v>21290</v>
      </c>
      <c r="N85" s="153">
        <v>22840</v>
      </c>
      <c r="O85" s="153">
        <v>25000</v>
      </c>
      <c r="P85" s="153">
        <v>26650</v>
      </c>
      <c r="Q85" s="153">
        <v>26910</v>
      </c>
      <c r="R85" s="153">
        <v>25080</v>
      </c>
      <c r="S85" s="153">
        <v>22420</v>
      </c>
      <c r="T85" s="153">
        <v>20220</v>
      </c>
      <c r="U85" s="153">
        <v>20490</v>
      </c>
      <c r="V85" s="153">
        <v>21050</v>
      </c>
      <c r="W85" s="153">
        <v>23370</v>
      </c>
      <c r="X85" s="153">
        <v>24490</v>
      </c>
      <c r="Y85" s="153">
        <v>23850</v>
      </c>
      <c r="Z85" s="153">
        <v>23640</v>
      </c>
    </row>
    <row r="86" spans="2:26" x14ac:dyDescent="0.25">
      <c r="B86" s="152" t="s">
        <v>181</v>
      </c>
      <c r="C86" s="153">
        <v>7232</v>
      </c>
      <c r="D86" s="153">
        <v>6983</v>
      </c>
      <c r="E86" s="153">
        <v>7148</v>
      </c>
      <c r="F86" s="153">
        <v>7248</v>
      </c>
      <c r="G86" s="153">
        <v>7520</v>
      </c>
      <c r="H86" s="153">
        <v>7614</v>
      </c>
      <c r="I86" s="153">
        <v>7728</v>
      </c>
      <c r="J86" s="153">
        <v>7731</v>
      </c>
      <c r="K86" s="153">
        <v>6988</v>
      </c>
      <c r="L86" s="153">
        <v>5364</v>
      </c>
      <c r="M86" s="153">
        <v>6005</v>
      </c>
      <c r="N86" s="153">
        <v>6020</v>
      </c>
      <c r="O86" s="153">
        <v>6532</v>
      </c>
      <c r="P86" s="153">
        <v>5973</v>
      </c>
      <c r="Q86" s="153">
        <v>5912</v>
      </c>
      <c r="R86" s="153">
        <v>6185</v>
      </c>
      <c r="S86" s="153">
        <v>6114</v>
      </c>
      <c r="T86" s="153">
        <v>6863</v>
      </c>
      <c r="U86" s="153">
        <v>6990</v>
      </c>
      <c r="V86" s="153">
        <v>7195</v>
      </c>
      <c r="W86" s="153">
        <v>6713</v>
      </c>
      <c r="X86" s="153">
        <v>7380</v>
      </c>
      <c r="Y86" s="153">
        <v>7380</v>
      </c>
      <c r="Z86" s="153">
        <v>7380</v>
      </c>
    </row>
    <row r="87" spans="2:26" x14ac:dyDescent="0.25">
      <c r="B87" s="152" t="s">
        <v>183</v>
      </c>
      <c r="C87" s="153">
        <v>1010</v>
      </c>
      <c r="D87" s="153">
        <v>1013</v>
      </c>
      <c r="E87" s="153">
        <v>1079</v>
      </c>
      <c r="F87" s="153">
        <v>1113</v>
      </c>
      <c r="G87" s="153">
        <v>1194</v>
      </c>
      <c r="H87" s="153">
        <v>1152</v>
      </c>
      <c r="I87" s="153">
        <v>1236</v>
      </c>
      <c r="J87" s="153">
        <v>1316</v>
      </c>
      <c r="K87" s="153">
        <v>1307</v>
      </c>
      <c r="L87" s="153">
        <v>1081</v>
      </c>
      <c r="M87" s="153">
        <v>1046</v>
      </c>
      <c r="N87" s="153">
        <v>1080</v>
      </c>
      <c r="O87" s="153">
        <v>1128</v>
      </c>
      <c r="P87" s="153">
        <v>1086</v>
      </c>
      <c r="Q87" s="153">
        <v>1022</v>
      </c>
      <c r="R87" s="153">
        <v>1033</v>
      </c>
      <c r="S87" s="153">
        <v>1120</v>
      </c>
      <c r="T87" s="153">
        <v>914.9</v>
      </c>
      <c r="U87" s="153">
        <v>730.4</v>
      </c>
      <c r="V87" s="153">
        <v>840.5</v>
      </c>
      <c r="W87" s="153">
        <v>879.7</v>
      </c>
      <c r="X87" s="153">
        <v>976.3</v>
      </c>
      <c r="Y87" s="153">
        <v>976.3</v>
      </c>
      <c r="Z87" s="153">
        <v>976.3</v>
      </c>
    </row>
    <row r="88" spans="2:26" x14ac:dyDescent="0.25">
      <c r="B88" s="152" t="s">
        <v>185</v>
      </c>
      <c r="C88" s="153">
        <v>244917.4</v>
      </c>
      <c r="D88" s="153">
        <v>271313.2</v>
      </c>
      <c r="E88" s="153">
        <v>283181.8</v>
      </c>
      <c r="F88" s="153">
        <v>354172.8</v>
      </c>
      <c r="G88" s="153">
        <v>368811.6</v>
      </c>
      <c r="H88" s="153">
        <v>411996.4</v>
      </c>
      <c r="I88" s="153">
        <v>470494.3</v>
      </c>
      <c r="J88" s="153">
        <v>515384.9</v>
      </c>
      <c r="K88" s="153">
        <v>526444.69999999995</v>
      </c>
      <c r="L88" s="153">
        <v>584029</v>
      </c>
      <c r="M88" s="153">
        <v>640157.69999999995</v>
      </c>
      <c r="N88" s="153">
        <v>709181.4</v>
      </c>
      <c r="O88" s="153">
        <v>715431.7</v>
      </c>
      <c r="P88" s="153">
        <v>748976</v>
      </c>
      <c r="Q88" s="153">
        <v>771025.1</v>
      </c>
      <c r="R88" s="153">
        <v>719336.5</v>
      </c>
      <c r="S88" s="153">
        <v>741502.2</v>
      </c>
      <c r="T88" s="153">
        <v>754002.9</v>
      </c>
      <c r="U88" s="153">
        <v>766425.8</v>
      </c>
      <c r="V88" s="153">
        <v>820610.6</v>
      </c>
      <c r="W88" s="153">
        <v>850572.4</v>
      </c>
      <c r="X88" s="153">
        <v>844372.4</v>
      </c>
      <c r="Y88" s="153">
        <v>756572.4</v>
      </c>
      <c r="Z88" s="153">
        <v>718572.4</v>
      </c>
    </row>
    <row r="89" spans="2:26" x14ac:dyDescent="0.25">
      <c r="B89" s="152" t="s">
        <v>188</v>
      </c>
      <c r="C89" s="153">
        <v>4672.2</v>
      </c>
      <c r="D89" s="153">
        <v>4943</v>
      </c>
      <c r="E89" s="153">
        <v>5566.1</v>
      </c>
      <c r="F89" s="153">
        <v>6708</v>
      </c>
      <c r="G89" s="153">
        <v>7689.9</v>
      </c>
      <c r="H89" s="153">
        <v>8428.2999999999993</v>
      </c>
      <c r="I89" s="153">
        <v>9560.9</v>
      </c>
      <c r="J89" s="153">
        <v>10790.900000000001</v>
      </c>
      <c r="K89" s="153">
        <v>11331.9</v>
      </c>
      <c r="L89" s="153">
        <v>6855.7</v>
      </c>
      <c r="M89" s="153">
        <v>7450.3</v>
      </c>
      <c r="N89" s="153">
        <v>8640.1</v>
      </c>
      <c r="O89" s="153">
        <v>8144.9</v>
      </c>
      <c r="P89" s="153">
        <v>8482.2000000000007</v>
      </c>
      <c r="Q89" s="153">
        <v>8449.2999999999993</v>
      </c>
      <c r="R89" s="153">
        <v>7940</v>
      </c>
      <c r="S89" s="153">
        <v>8216.7999999999993</v>
      </c>
      <c r="T89" s="153">
        <v>8473.0999999999985</v>
      </c>
      <c r="U89" s="153">
        <v>8650.5</v>
      </c>
      <c r="V89" s="153">
        <v>9063.6</v>
      </c>
      <c r="W89" s="153">
        <v>9696.5</v>
      </c>
      <c r="X89" s="153">
        <v>9992.7000000000007</v>
      </c>
      <c r="Y89" s="153">
        <v>9992.7000000000007</v>
      </c>
      <c r="Z89" s="153">
        <v>9992.7000000000007</v>
      </c>
    </row>
    <row r="90" spans="2:26" x14ac:dyDescent="0.25">
      <c r="B90" s="152" t="s">
        <v>190</v>
      </c>
      <c r="C90" s="153">
        <v>8991.1</v>
      </c>
      <c r="D90" s="153">
        <v>8491.7000000000007</v>
      </c>
      <c r="E90" s="153">
        <v>8572.5</v>
      </c>
      <c r="F90" s="153">
        <v>8438.2000000000007</v>
      </c>
      <c r="G90" s="153">
        <v>8475.2000000000007</v>
      </c>
      <c r="H90" s="153">
        <v>8599.9</v>
      </c>
      <c r="I90" s="153">
        <v>8589.5</v>
      </c>
      <c r="J90" s="153">
        <v>8912</v>
      </c>
      <c r="K90" s="153">
        <v>7932.4</v>
      </c>
      <c r="L90" s="153">
        <v>6416</v>
      </c>
      <c r="M90" s="153">
        <v>6487.9</v>
      </c>
      <c r="N90" s="153">
        <v>6767.5</v>
      </c>
      <c r="O90" s="153">
        <v>6235.4</v>
      </c>
      <c r="P90" s="153">
        <v>6570.6</v>
      </c>
      <c r="Q90" s="153">
        <v>6800.2</v>
      </c>
      <c r="R90" s="153">
        <v>6759.5</v>
      </c>
      <c r="S90" s="153">
        <v>6985.5</v>
      </c>
      <c r="T90" s="153">
        <v>6914.6</v>
      </c>
      <c r="U90" s="153">
        <v>6811.8</v>
      </c>
      <c r="V90" s="153">
        <v>6881.7</v>
      </c>
      <c r="W90" s="153">
        <v>6283.7</v>
      </c>
      <c r="X90" s="153">
        <v>6624.6</v>
      </c>
      <c r="Y90" s="153">
        <v>6450.3</v>
      </c>
      <c r="Z90" s="153">
        <v>6343.1</v>
      </c>
    </row>
    <row r="91" spans="2:26" x14ac:dyDescent="0.25">
      <c r="B91" s="152" t="s">
        <v>192</v>
      </c>
      <c r="C91" s="153">
        <v>16964.3</v>
      </c>
      <c r="D91" s="153">
        <v>15869.099999999999</v>
      </c>
      <c r="E91" s="153">
        <v>15152.8</v>
      </c>
      <c r="F91" s="153">
        <v>14942.6</v>
      </c>
      <c r="G91" s="153">
        <v>16474.900000000001</v>
      </c>
      <c r="H91" s="153">
        <v>16849.3</v>
      </c>
      <c r="I91" s="153">
        <v>18867.8</v>
      </c>
      <c r="J91" s="153">
        <v>21436.2</v>
      </c>
      <c r="K91" s="153">
        <v>20982.2</v>
      </c>
      <c r="L91" s="153">
        <v>15972.3</v>
      </c>
      <c r="M91" s="153">
        <v>15468.9</v>
      </c>
      <c r="N91" s="153">
        <v>17426.599999999999</v>
      </c>
      <c r="O91" s="153">
        <v>16535.2</v>
      </c>
      <c r="P91" s="153">
        <v>15376</v>
      </c>
      <c r="Q91" s="153">
        <v>16651.400000000001</v>
      </c>
      <c r="R91" s="153">
        <v>17057.100000000002</v>
      </c>
      <c r="S91" s="153">
        <v>17053.8</v>
      </c>
      <c r="T91" s="153">
        <v>18314.600000000002</v>
      </c>
      <c r="U91" s="153">
        <v>19501.899999999998</v>
      </c>
      <c r="V91" s="153">
        <v>20158.699999999997</v>
      </c>
      <c r="W91" s="153">
        <v>19740.300000000003</v>
      </c>
      <c r="X91" s="153">
        <v>19647</v>
      </c>
      <c r="Y91" s="153">
        <v>19697.5</v>
      </c>
      <c r="Z91" s="153">
        <v>18658.5</v>
      </c>
    </row>
    <row r="92" spans="2:26" x14ac:dyDescent="0.25">
      <c r="B92" s="152" t="s">
        <v>194</v>
      </c>
      <c r="C92" s="153">
        <v>50259.7</v>
      </c>
      <c r="D92" s="153">
        <v>50993</v>
      </c>
      <c r="E92" s="153">
        <v>51452</v>
      </c>
      <c r="F92" s="153">
        <v>52271</v>
      </c>
      <c r="G92" s="153">
        <v>53940.7</v>
      </c>
      <c r="H92" s="153">
        <v>54965.2</v>
      </c>
      <c r="I92" s="153">
        <v>54937</v>
      </c>
      <c r="J92" s="153">
        <v>55593.4</v>
      </c>
      <c r="K92" s="153">
        <v>50284.2</v>
      </c>
      <c r="L92" s="153">
        <v>40897.1</v>
      </c>
      <c r="M92" s="153">
        <v>40508.1</v>
      </c>
      <c r="N92" s="153">
        <v>35957</v>
      </c>
      <c r="O92" s="153">
        <v>32479.5</v>
      </c>
      <c r="P92" s="153">
        <v>31024.3</v>
      </c>
      <c r="Q92" s="153">
        <v>32102.799999999999</v>
      </c>
      <c r="R92" s="153">
        <v>31283.1</v>
      </c>
      <c r="S92" s="153">
        <v>30685.200000000001</v>
      </c>
      <c r="T92" s="153">
        <v>30781.9</v>
      </c>
      <c r="U92" s="153">
        <v>30643.200000000001</v>
      </c>
      <c r="V92" s="153">
        <v>30157.200000000001</v>
      </c>
      <c r="W92" s="153">
        <v>27618.3</v>
      </c>
      <c r="X92" s="153">
        <v>29037.8</v>
      </c>
      <c r="Y92" s="153">
        <v>28019.599999999999</v>
      </c>
      <c r="Z92" s="153">
        <v>28264.6</v>
      </c>
    </row>
    <row r="93" spans="2:26" x14ac:dyDescent="0.25">
      <c r="B93" s="152" t="s">
        <v>196</v>
      </c>
      <c r="C93" s="153">
        <v>26071.399999999998</v>
      </c>
      <c r="D93" s="153">
        <v>24158.199999999997</v>
      </c>
      <c r="E93" s="153">
        <v>23522</v>
      </c>
      <c r="F93" s="153">
        <v>24149.7</v>
      </c>
      <c r="G93" s="153">
        <v>25137.200000000001</v>
      </c>
      <c r="H93" s="153">
        <v>24198.5</v>
      </c>
      <c r="I93" s="153">
        <v>24980.200000000004</v>
      </c>
      <c r="J93" s="153">
        <v>26206.799999999999</v>
      </c>
      <c r="K93" s="153">
        <v>24805.100000000002</v>
      </c>
      <c r="L93" s="153">
        <v>21667.800000000003</v>
      </c>
      <c r="M93" s="153">
        <v>20979.800000000003</v>
      </c>
      <c r="N93" s="153">
        <v>22305.1</v>
      </c>
      <c r="O93" s="153">
        <v>22319.499999999996</v>
      </c>
      <c r="P93" s="153">
        <v>21205.5</v>
      </c>
      <c r="Q93" s="153">
        <v>22040.199999999997</v>
      </c>
      <c r="R93" s="153">
        <v>21840.5</v>
      </c>
      <c r="S93" s="153">
        <v>22411.600000000002</v>
      </c>
      <c r="T93" s="153">
        <v>23201.4</v>
      </c>
      <c r="U93" s="153">
        <v>23465.600000000002</v>
      </c>
      <c r="V93" s="153">
        <v>23243.599999999999</v>
      </c>
      <c r="W93" s="153">
        <v>23052.799999999999</v>
      </c>
      <c r="X93" s="153">
        <v>23739.3</v>
      </c>
      <c r="Y93" s="153">
        <v>22250.600000000002</v>
      </c>
      <c r="Z93" s="153">
        <v>20310.600000000002</v>
      </c>
    </row>
    <row r="94" spans="2:26" x14ac:dyDescent="0.25">
      <c r="B94" s="152" t="s">
        <v>198</v>
      </c>
      <c r="C94" s="153">
        <v>27137</v>
      </c>
      <c r="D94" s="153">
        <v>28657</v>
      </c>
      <c r="E94" s="153">
        <v>31967</v>
      </c>
      <c r="F94" s="153">
        <v>32535</v>
      </c>
      <c r="G94" s="153">
        <v>34766</v>
      </c>
      <c r="H94" s="153">
        <v>36731</v>
      </c>
      <c r="I94" s="153">
        <v>36190</v>
      </c>
      <c r="J94" s="153">
        <v>38785</v>
      </c>
      <c r="K94" s="153">
        <v>41068</v>
      </c>
      <c r="L94" s="153">
        <v>44350</v>
      </c>
      <c r="M94" s="153">
        <v>49286</v>
      </c>
      <c r="N94" s="153">
        <v>55434</v>
      </c>
      <c r="O94" s="153">
        <v>58628</v>
      </c>
      <c r="P94" s="153">
        <v>62815</v>
      </c>
      <c r="Q94" s="153">
        <v>66375</v>
      </c>
      <c r="R94" s="153">
        <v>68066</v>
      </c>
      <c r="S94" s="153">
        <v>74334</v>
      </c>
      <c r="T94" s="153">
        <v>81662</v>
      </c>
      <c r="U94" s="153">
        <v>91070</v>
      </c>
      <c r="V94" s="153">
        <v>97300</v>
      </c>
      <c r="W94" s="153">
        <v>95174</v>
      </c>
      <c r="X94" s="153">
        <v>99660</v>
      </c>
      <c r="Y94" s="153">
        <v>95900</v>
      </c>
      <c r="Z94" s="153">
        <v>90170</v>
      </c>
    </row>
    <row r="95" spans="2:26" x14ac:dyDescent="0.25">
      <c r="B95" s="152" t="s">
        <v>9</v>
      </c>
      <c r="C95" s="153">
        <v>45960</v>
      </c>
      <c r="D95" s="153">
        <v>46740</v>
      </c>
      <c r="E95" s="153">
        <v>49110</v>
      </c>
      <c r="F95" s="153">
        <v>50880</v>
      </c>
      <c r="G95" s="153">
        <v>55540</v>
      </c>
      <c r="H95" s="153">
        <v>59690</v>
      </c>
      <c r="I95" s="153">
        <v>64910</v>
      </c>
      <c r="J95" s="153">
        <v>68330</v>
      </c>
      <c r="K95" s="153">
        <v>73240</v>
      </c>
      <c r="L95" s="153">
        <v>81270</v>
      </c>
      <c r="M95" s="153">
        <v>86030</v>
      </c>
      <c r="N95" s="153">
        <v>91310</v>
      </c>
      <c r="O95" s="153">
        <v>100200</v>
      </c>
      <c r="P95" s="153">
        <v>107800</v>
      </c>
      <c r="Q95" s="153">
        <v>115800</v>
      </c>
      <c r="R95" s="153">
        <v>117500</v>
      </c>
      <c r="S95" s="153">
        <v>123300</v>
      </c>
      <c r="T95" s="153">
        <v>121000</v>
      </c>
      <c r="U95" s="153">
        <v>139000</v>
      </c>
      <c r="V95" s="153">
        <v>143700</v>
      </c>
      <c r="W95" s="153">
        <v>122900</v>
      </c>
      <c r="X95" s="153">
        <v>149000</v>
      </c>
      <c r="Y95" s="153">
        <v>164300</v>
      </c>
      <c r="Z95" s="153">
        <v>177200</v>
      </c>
    </row>
    <row r="96" spans="2:26" x14ac:dyDescent="0.25">
      <c r="B96" s="152" t="s">
        <v>201</v>
      </c>
      <c r="C96" s="153">
        <v>35090</v>
      </c>
      <c r="D96" s="153">
        <v>34370</v>
      </c>
      <c r="E96" s="153">
        <v>32420</v>
      </c>
      <c r="F96" s="153">
        <v>31940</v>
      </c>
      <c r="G96" s="153">
        <v>31280</v>
      </c>
      <c r="H96" s="153">
        <v>32280</v>
      </c>
      <c r="I96" s="153">
        <v>31990</v>
      </c>
      <c r="J96" s="153">
        <v>30660</v>
      </c>
      <c r="K96" s="153">
        <v>28550</v>
      </c>
      <c r="L96" s="153">
        <v>25310</v>
      </c>
      <c r="M96" s="153">
        <v>24320</v>
      </c>
      <c r="N96" s="153">
        <v>24980</v>
      </c>
      <c r="O96" s="153">
        <v>25620</v>
      </c>
      <c r="P96" s="153">
        <v>26810</v>
      </c>
      <c r="Q96" s="153">
        <v>26560</v>
      </c>
      <c r="R96" s="153">
        <v>25940</v>
      </c>
      <c r="S96" s="153">
        <v>25970</v>
      </c>
      <c r="T96" s="153">
        <v>26430</v>
      </c>
      <c r="U96" s="153">
        <v>26180</v>
      </c>
      <c r="V96" s="153">
        <v>25330</v>
      </c>
      <c r="W96" s="153">
        <v>24490</v>
      </c>
      <c r="X96" s="153">
        <v>24400</v>
      </c>
      <c r="Y96" s="153">
        <v>23160</v>
      </c>
      <c r="Z96" s="153">
        <v>20710</v>
      </c>
    </row>
    <row r="97" spans="2:26" x14ac:dyDescent="0.25">
      <c r="B97" s="152" t="s">
        <v>203</v>
      </c>
      <c r="C97" s="153">
        <v>19437.199999999997</v>
      </c>
      <c r="D97" s="153">
        <v>19334.3</v>
      </c>
      <c r="E97" s="153">
        <v>18186.599999999999</v>
      </c>
      <c r="F97" s="153">
        <v>19549.399999999998</v>
      </c>
      <c r="G97" s="153">
        <v>19142.500000000004</v>
      </c>
      <c r="H97" s="153">
        <v>21391.800000000003</v>
      </c>
      <c r="I97" s="153">
        <v>25041.100000000002</v>
      </c>
      <c r="J97" s="153">
        <v>25066.1</v>
      </c>
      <c r="K97" s="153">
        <v>25779.7</v>
      </c>
      <c r="L97" s="153">
        <v>24859.8</v>
      </c>
      <c r="M97" s="153">
        <v>24941.499999999996</v>
      </c>
      <c r="N97" s="153">
        <v>26491.3</v>
      </c>
      <c r="O97" s="153">
        <v>27716.3</v>
      </c>
      <c r="P97" s="153">
        <v>28918.1</v>
      </c>
      <c r="Q97" s="153">
        <v>29520</v>
      </c>
      <c r="R97" s="153">
        <v>30097.000000000004</v>
      </c>
      <c r="S97" s="153">
        <v>28021.400000000005</v>
      </c>
      <c r="T97" s="153">
        <v>28294.9</v>
      </c>
      <c r="U97" s="153">
        <v>26971.200000000001</v>
      </c>
      <c r="V97" s="153">
        <v>26584.400000000001</v>
      </c>
      <c r="W97" s="153">
        <v>23659.199999999997</v>
      </c>
      <c r="X97" s="153">
        <v>28706.300000000003</v>
      </c>
      <c r="Y97" s="153">
        <v>29547.3</v>
      </c>
      <c r="Z97" s="153">
        <v>29203.5</v>
      </c>
    </row>
    <row r="98" spans="2:26" x14ac:dyDescent="0.25">
      <c r="B98" s="152" t="s">
        <v>205</v>
      </c>
      <c r="C98" s="153">
        <v>21774</v>
      </c>
      <c r="D98" s="153">
        <v>21697</v>
      </c>
      <c r="E98" s="153">
        <v>22065</v>
      </c>
      <c r="F98" s="153">
        <v>23242</v>
      </c>
      <c r="G98" s="153">
        <v>24856</v>
      </c>
      <c r="H98" s="153">
        <v>27075</v>
      </c>
      <c r="I98" s="153">
        <v>28213</v>
      </c>
      <c r="J98" s="153">
        <v>30703</v>
      </c>
      <c r="K98" s="153">
        <v>32819</v>
      </c>
      <c r="L98" s="153">
        <v>34652</v>
      </c>
      <c r="M98" s="153">
        <v>38134</v>
      </c>
      <c r="N98" s="153">
        <v>39044.5</v>
      </c>
      <c r="O98" s="153">
        <v>39510</v>
      </c>
      <c r="P98" s="153">
        <v>41475</v>
      </c>
      <c r="Q98" s="153">
        <v>41588.1</v>
      </c>
      <c r="R98" s="153">
        <v>41286.1</v>
      </c>
      <c r="S98" s="153">
        <v>44242.7</v>
      </c>
      <c r="T98" s="153">
        <v>46069.4</v>
      </c>
      <c r="U98" s="153">
        <v>45707.9</v>
      </c>
      <c r="V98" s="153">
        <v>37240.400000000001</v>
      </c>
      <c r="W98" s="153">
        <v>45251.8</v>
      </c>
      <c r="X98" s="153">
        <v>48918.3</v>
      </c>
      <c r="Y98" s="153">
        <v>42938.3</v>
      </c>
      <c r="Z98" s="153">
        <v>42958.3</v>
      </c>
    </row>
    <row r="99" spans="2:26" x14ac:dyDescent="0.25">
      <c r="B99" s="152" t="s">
        <v>207</v>
      </c>
      <c r="C99" s="153">
        <v>27349.3</v>
      </c>
      <c r="D99" s="153">
        <v>30045.7</v>
      </c>
      <c r="E99" s="153">
        <v>32662.399999999998</v>
      </c>
      <c r="F99" s="153">
        <v>32446.7</v>
      </c>
      <c r="G99" s="153">
        <v>34494.5</v>
      </c>
      <c r="H99" s="153">
        <v>34934.699999999997</v>
      </c>
      <c r="I99" s="153">
        <v>38586.700000000004</v>
      </c>
      <c r="J99" s="153">
        <v>44698.299999999996</v>
      </c>
      <c r="K99" s="153">
        <v>54600.5</v>
      </c>
      <c r="L99" s="153">
        <v>58729.3</v>
      </c>
      <c r="M99" s="153">
        <v>65194.5</v>
      </c>
      <c r="N99" s="153">
        <v>70226</v>
      </c>
      <c r="O99" s="153">
        <v>75181.900000000009</v>
      </c>
      <c r="P99" s="153">
        <v>81111.8</v>
      </c>
      <c r="Q99" s="153">
        <v>81573.899999999994</v>
      </c>
      <c r="R99" s="153">
        <v>78140.3</v>
      </c>
      <c r="S99" s="153">
        <v>76645.5</v>
      </c>
      <c r="T99" s="153">
        <v>71048</v>
      </c>
      <c r="U99" s="153">
        <v>75873.200000000012</v>
      </c>
      <c r="V99" s="153">
        <v>80712.600000000006</v>
      </c>
      <c r="W99" s="153">
        <v>84914.7</v>
      </c>
      <c r="X99" s="153">
        <v>87332.7</v>
      </c>
      <c r="Y99" s="153">
        <v>85922.7</v>
      </c>
      <c r="Z99" s="153">
        <v>90042.7</v>
      </c>
    </row>
    <row r="100" spans="2:26" x14ac:dyDescent="0.25">
      <c r="B100" s="152" t="s">
        <v>210</v>
      </c>
      <c r="C100" s="153">
        <v>14280</v>
      </c>
      <c r="D100" s="153">
        <v>13810</v>
      </c>
      <c r="E100" s="153">
        <v>14340</v>
      </c>
      <c r="F100" s="153">
        <v>14440</v>
      </c>
      <c r="G100" s="153">
        <v>15130</v>
      </c>
      <c r="H100" s="153">
        <v>16460</v>
      </c>
      <c r="I100" s="153">
        <v>17590</v>
      </c>
      <c r="J100" s="153">
        <v>18820</v>
      </c>
      <c r="K100" s="153">
        <v>18510</v>
      </c>
      <c r="L100" s="153">
        <v>17740</v>
      </c>
      <c r="M100" s="153">
        <v>16860</v>
      </c>
      <c r="N100" s="153">
        <v>17670</v>
      </c>
      <c r="O100" s="153">
        <v>18330</v>
      </c>
      <c r="P100" s="153">
        <v>17370</v>
      </c>
      <c r="Q100" s="153">
        <v>18190</v>
      </c>
      <c r="R100" s="153">
        <v>19070</v>
      </c>
      <c r="S100" s="153">
        <v>19640</v>
      </c>
      <c r="T100" s="153">
        <v>19660</v>
      </c>
      <c r="U100" s="153">
        <v>19380</v>
      </c>
      <c r="V100" s="153">
        <v>19410</v>
      </c>
      <c r="W100" s="153">
        <v>19340</v>
      </c>
      <c r="X100" s="153">
        <v>19560</v>
      </c>
      <c r="Y100" s="153">
        <v>18790</v>
      </c>
      <c r="Z100" s="153">
        <v>18820</v>
      </c>
    </row>
    <row r="101" spans="2:26" x14ac:dyDescent="0.25">
      <c r="B101" s="152" t="s">
        <v>212</v>
      </c>
      <c r="C101" s="153">
        <v>1011</v>
      </c>
      <c r="D101" s="153">
        <v>966.5</v>
      </c>
      <c r="E101" s="153">
        <v>842.3</v>
      </c>
      <c r="F101" s="153">
        <v>918.8</v>
      </c>
      <c r="G101" s="153">
        <v>915.1</v>
      </c>
      <c r="H101" s="153">
        <v>1070</v>
      </c>
      <c r="I101" s="153">
        <v>1296</v>
      </c>
      <c r="J101" s="153">
        <v>1820</v>
      </c>
      <c r="K101" s="153">
        <v>3846</v>
      </c>
      <c r="L101" s="153">
        <v>3851</v>
      </c>
      <c r="M101" s="153">
        <v>3856</v>
      </c>
      <c r="N101" s="153">
        <v>4590</v>
      </c>
      <c r="O101" s="153">
        <v>6118</v>
      </c>
      <c r="P101" s="153">
        <v>7785</v>
      </c>
      <c r="Q101" s="153">
        <v>7750</v>
      </c>
      <c r="R101" s="153">
        <v>8137</v>
      </c>
      <c r="S101" s="153">
        <v>8525</v>
      </c>
      <c r="T101" s="153">
        <v>7362</v>
      </c>
      <c r="U101" s="153">
        <v>8525</v>
      </c>
      <c r="V101" s="153">
        <v>8912</v>
      </c>
      <c r="W101" s="153">
        <v>10070</v>
      </c>
      <c r="X101" s="153">
        <v>11240</v>
      </c>
      <c r="Y101" s="153">
        <v>11240</v>
      </c>
      <c r="Z101" s="153">
        <v>11240</v>
      </c>
    </row>
    <row r="102" spans="2:26" x14ac:dyDescent="0.25">
      <c r="B102" s="152" t="s">
        <v>214</v>
      </c>
      <c r="C102" s="153">
        <v>15110</v>
      </c>
      <c r="D102" s="153">
        <v>15860</v>
      </c>
      <c r="E102" s="153">
        <v>17120</v>
      </c>
      <c r="F102" s="153">
        <v>18670</v>
      </c>
      <c r="G102" s="153">
        <v>20920</v>
      </c>
      <c r="H102" s="153">
        <v>22260</v>
      </c>
      <c r="I102" s="153">
        <v>24540</v>
      </c>
      <c r="J102" s="153">
        <v>27640</v>
      </c>
      <c r="K102" s="153">
        <v>23630</v>
      </c>
      <c r="L102" s="153">
        <v>19750</v>
      </c>
      <c r="M102" s="153">
        <v>22720</v>
      </c>
      <c r="N102" s="153">
        <v>25130</v>
      </c>
      <c r="O102" s="153">
        <v>26330</v>
      </c>
      <c r="P102" s="153">
        <v>27280</v>
      </c>
      <c r="Q102" s="153">
        <v>26450</v>
      </c>
      <c r="R102" s="153">
        <v>23170</v>
      </c>
      <c r="S102" s="153">
        <v>20430</v>
      </c>
      <c r="T102" s="153">
        <v>20510</v>
      </c>
      <c r="U102" s="153">
        <v>20090</v>
      </c>
      <c r="V102" s="153">
        <v>20310</v>
      </c>
      <c r="W102" s="153">
        <v>20580</v>
      </c>
      <c r="X102" s="153">
        <v>22160</v>
      </c>
      <c r="Y102" s="153">
        <v>22480</v>
      </c>
      <c r="Z102" s="153">
        <v>23220</v>
      </c>
    </row>
    <row r="103" spans="2:26" x14ac:dyDescent="0.25">
      <c r="B103" s="152" t="s">
        <v>217</v>
      </c>
      <c r="C103" s="153">
        <f t="shared" ref="C103:Y103" si="4">C68*C109/C72</f>
        <v>24496.281046585831</v>
      </c>
      <c r="D103" s="153">
        <f t="shared" si="4"/>
        <v>25397.275668008078</v>
      </c>
      <c r="E103" s="153">
        <f t="shared" si="4"/>
        <v>26817.323047868089</v>
      </c>
      <c r="F103" s="153">
        <f t="shared" si="4"/>
        <v>27640.042821158691</v>
      </c>
      <c r="G103" s="153">
        <f t="shared" si="4"/>
        <v>25840.418120664282</v>
      </c>
      <c r="H103" s="153">
        <f t="shared" si="4"/>
        <v>23046.71460013495</v>
      </c>
      <c r="I103" s="153">
        <f t="shared" si="4"/>
        <v>22861.082087007355</v>
      </c>
      <c r="J103" s="153">
        <f t="shared" si="4"/>
        <v>25659.819162456217</v>
      </c>
      <c r="K103" s="153">
        <f t="shared" si="4"/>
        <v>25631.674242544228</v>
      </c>
      <c r="L103" s="153">
        <f t="shared" si="4"/>
        <v>24233.581733177492</v>
      </c>
      <c r="M103" s="153">
        <f t="shared" si="4"/>
        <v>24051.601005111606</v>
      </c>
      <c r="N103" s="153">
        <f t="shared" si="4"/>
        <v>24411.940558850634</v>
      </c>
      <c r="O103" s="153">
        <f t="shared" si="4"/>
        <v>24505.338873835171</v>
      </c>
      <c r="P103" s="153">
        <f t="shared" si="4"/>
        <v>24544.999088861878</v>
      </c>
      <c r="Q103" s="153">
        <f t="shared" si="4"/>
        <v>24922.219928848765</v>
      </c>
      <c r="R103" s="153">
        <f t="shared" si="4"/>
        <v>25509.380887009651</v>
      </c>
      <c r="S103" s="153">
        <f t="shared" si="4"/>
        <v>26478.190529875988</v>
      </c>
      <c r="T103" s="153">
        <f t="shared" si="4"/>
        <v>26169.042205501199</v>
      </c>
      <c r="U103" s="153">
        <f t="shared" si="4"/>
        <v>24495.257025876777</v>
      </c>
      <c r="V103" s="153">
        <f t="shared" si="4"/>
        <v>24736.398476964259</v>
      </c>
      <c r="W103" s="153">
        <f t="shared" si="4"/>
        <v>22648.181248425593</v>
      </c>
      <c r="X103" s="153">
        <f t="shared" si="4"/>
        <v>23473.945279671305</v>
      </c>
      <c r="Y103" s="153">
        <f t="shared" si="4"/>
        <v>28867</v>
      </c>
      <c r="Z103" s="153">
        <f>Z109</f>
        <v>27902</v>
      </c>
    </row>
    <row r="104" spans="2:26" x14ac:dyDescent="0.25">
      <c r="B104" s="152" t="s">
        <v>219</v>
      </c>
      <c r="C104" s="153">
        <v>41450</v>
      </c>
      <c r="D104" s="153">
        <v>41610</v>
      </c>
      <c r="E104" s="153">
        <v>43160</v>
      </c>
      <c r="F104" s="153">
        <v>43350</v>
      </c>
      <c r="G104" s="153">
        <v>45890</v>
      </c>
      <c r="H104" s="153">
        <v>46190</v>
      </c>
      <c r="I104" s="153">
        <v>46850</v>
      </c>
      <c r="J104" s="153">
        <v>45510</v>
      </c>
      <c r="K104" s="153">
        <v>41420</v>
      </c>
      <c r="L104" s="153">
        <v>29610</v>
      </c>
      <c r="M104" s="153">
        <v>31450</v>
      </c>
      <c r="N104" s="153">
        <v>32210</v>
      </c>
      <c r="O104" s="153">
        <v>35270</v>
      </c>
      <c r="P104" s="153">
        <v>36370</v>
      </c>
      <c r="Q104" s="153">
        <v>39440</v>
      </c>
      <c r="R104" s="153">
        <v>39910</v>
      </c>
      <c r="S104" s="153">
        <v>39440</v>
      </c>
      <c r="T104" s="153">
        <v>40320</v>
      </c>
      <c r="U104" s="153">
        <v>38970</v>
      </c>
      <c r="V104" s="153">
        <v>40900</v>
      </c>
      <c r="W104" s="153">
        <v>40690</v>
      </c>
      <c r="X104" s="153">
        <v>41310</v>
      </c>
      <c r="Y104" s="153">
        <v>41420</v>
      </c>
      <c r="Z104" s="153">
        <v>39710</v>
      </c>
    </row>
    <row r="107" spans="2:26" x14ac:dyDescent="0.25">
      <c r="B107" s="679" t="s">
        <v>186</v>
      </c>
    </row>
    <row r="108" spans="2:26" x14ac:dyDescent="0.25">
      <c r="B108" t="s">
        <v>1520</v>
      </c>
    </row>
    <row r="109" spans="2:26" x14ac:dyDescent="0.25">
      <c r="B109" s="212" t="s">
        <v>1707</v>
      </c>
      <c r="C109" s="153">
        <v>33584</v>
      </c>
      <c r="D109" s="153">
        <v>34756</v>
      </c>
      <c r="E109" s="153">
        <v>36884</v>
      </c>
      <c r="F109" s="153">
        <v>37233</v>
      </c>
      <c r="G109" s="153">
        <v>35666</v>
      </c>
      <c r="H109" s="153">
        <v>33307</v>
      </c>
      <c r="I109" s="153">
        <v>32952</v>
      </c>
      <c r="J109" s="153">
        <v>35764</v>
      </c>
      <c r="K109" s="153">
        <v>34584</v>
      </c>
      <c r="L109" s="153">
        <v>32415</v>
      </c>
      <c r="M109" s="153">
        <v>32405</v>
      </c>
      <c r="N109" s="153">
        <v>33232</v>
      </c>
      <c r="O109" s="153">
        <v>32846</v>
      </c>
      <c r="P109" s="153">
        <v>33080</v>
      </c>
      <c r="Q109" s="153">
        <v>32498</v>
      </c>
      <c r="R109" s="153">
        <v>32093</v>
      </c>
      <c r="S109" s="153">
        <v>32065</v>
      </c>
      <c r="T109" s="153">
        <v>31707</v>
      </c>
      <c r="U109" s="153">
        <v>30078</v>
      </c>
      <c r="V109" s="153">
        <v>30438</v>
      </c>
      <c r="W109" s="153">
        <v>28543</v>
      </c>
      <c r="X109" s="153">
        <v>29520</v>
      </c>
      <c r="Y109" s="153">
        <v>28867</v>
      </c>
      <c r="Z109" s="153">
        <v>27902</v>
      </c>
    </row>
  </sheetData>
  <hyperlinks>
    <hyperlink ref="B3" r:id="rId1" xr:uid="{CEA3C5A1-9DD5-4D06-897C-386B6F160FF2}"/>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F126C-FFAA-470B-BC51-5967182FCA64}">
  <sheetPr>
    <tabColor rgb="FFC00000"/>
  </sheetPr>
  <dimension ref="B7:AE91"/>
  <sheetViews>
    <sheetView zoomScale="80" zoomScaleNormal="80" workbookViewId="0">
      <selection activeCell="A11" sqref="A11"/>
    </sheetView>
  </sheetViews>
  <sheetFormatPr defaultRowHeight="15" x14ac:dyDescent="0.25"/>
  <cols>
    <col min="2" max="2" width="11.42578125" customWidth="1"/>
    <col min="3" max="3" width="12.28515625" customWidth="1"/>
    <col min="6" max="6" width="13.7109375" customWidth="1"/>
  </cols>
  <sheetData>
    <row r="7" spans="2:31" x14ac:dyDescent="0.25">
      <c r="B7" s="157" t="s">
        <v>1032</v>
      </c>
    </row>
    <row r="8" spans="2:31" x14ac:dyDescent="0.25">
      <c r="B8" s="344" t="s">
        <v>1033</v>
      </c>
      <c r="C8" s="344" t="s">
        <v>1034</v>
      </c>
      <c r="D8" s="344" t="s">
        <v>162</v>
      </c>
      <c r="E8" s="344" t="s">
        <v>164</v>
      </c>
      <c r="F8" s="344" t="s">
        <v>166</v>
      </c>
      <c r="G8" s="344" t="s">
        <v>168</v>
      </c>
      <c r="H8" s="344" t="s">
        <v>170</v>
      </c>
      <c r="I8" s="344" t="s">
        <v>173</v>
      </c>
      <c r="J8" s="344" t="s">
        <v>175</v>
      </c>
      <c r="K8" s="344" t="s">
        <v>177</v>
      </c>
      <c r="L8" s="344" t="s">
        <v>179</v>
      </c>
      <c r="M8" s="344" t="s">
        <v>181</v>
      </c>
      <c r="N8" s="344" t="s">
        <v>183</v>
      </c>
      <c r="O8" s="344" t="s">
        <v>185</v>
      </c>
      <c r="P8" s="344" t="s">
        <v>188</v>
      </c>
      <c r="Q8" s="344" t="s">
        <v>190</v>
      </c>
      <c r="R8" s="344" t="s">
        <v>192</v>
      </c>
      <c r="S8" s="344" t="s">
        <v>194</v>
      </c>
      <c r="T8" s="344" t="s">
        <v>196</v>
      </c>
      <c r="U8" s="344" t="s">
        <v>198</v>
      </c>
      <c r="V8" s="344" t="s">
        <v>9</v>
      </c>
      <c r="W8" s="344" t="s">
        <v>201</v>
      </c>
      <c r="X8" s="344" t="s">
        <v>203</v>
      </c>
      <c r="Y8" s="344" t="s">
        <v>205</v>
      </c>
      <c r="Z8" s="344" t="s">
        <v>207</v>
      </c>
      <c r="AA8" s="344" t="s">
        <v>210</v>
      </c>
      <c r="AB8" s="344" t="s">
        <v>212</v>
      </c>
      <c r="AC8" s="344" t="s">
        <v>214</v>
      </c>
      <c r="AD8" s="344" t="s">
        <v>217</v>
      </c>
      <c r="AE8" s="344" t="s">
        <v>219</v>
      </c>
    </row>
    <row r="9" spans="2:31" x14ac:dyDescent="0.25">
      <c r="B9" s="345" t="s">
        <v>727</v>
      </c>
      <c r="C9" s="345" t="s">
        <v>1035</v>
      </c>
      <c r="D9" s="346">
        <v>12.389999999999999</v>
      </c>
      <c r="E9" s="346">
        <v>21.254999999999999</v>
      </c>
      <c r="F9" s="346">
        <v>19.79</v>
      </c>
      <c r="G9" s="346">
        <v>12.5</v>
      </c>
      <c r="H9" s="346">
        <v>8.3000000000000007</v>
      </c>
      <c r="I9" s="346">
        <v>7.8369999999999989</v>
      </c>
      <c r="J9" s="346">
        <v>21.3</v>
      </c>
      <c r="K9" s="346">
        <v>18.916000000000004</v>
      </c>
      <c r="L9" s="346">
        <v>46.749999999999993</v>
      </c>
      <c r="M9" s="346">
        <v>3.2770000000000001</v>
      </c>
      <c r="N9" s="346">
        <v>5.95</v>
      </c>
      <c r="O9" s="346">
        <v>252.54</v>
      </c>
      <c r="P9" s="346">
        <v>20.915000000000003</v>
      </c>
      <c r="Q9" s="346">
        <v>17.48</v>
      </c>
      <c r="R9" s="346">
        <v>27.35</v>
      </c>
      <c r="S9" s="346">
        <v>117.41099999999999</v>
      </c>
      <c r="T9" s="346">
        <v>68.47999999999999</v>
      </c>
      <c r="U9" s="346">
        <v>47.48</v>
      </c>
      <c r="V9" s="346">
        <v>92.72</v>
      </c>
      <c r="W9" s="346">
        <v>62.849999999999994</v>
      </c>
      <c r="X9" s="346">
        <v>50.515000000000001</v>
      </c>
      <c r="Y9" s="346">
        <v>29.599999999999998</v>
      </c>
      <c r="Z9" s="346">
        <v>8.7690000000000001</v>
      </c>
      <c r="AA9" s="346">
        <v>17</v>
      </c>
      <c r="AB9" s="347"/>
      <c r="AC9" s="346">
        <v>56.625</v>
      </c>
      <c r="AD9" s="346">
        <v>32.42</v>
      </c>
      <c r="AE9" s="346">
        <v>49.781999999999996</v>
      </c>
    </row>
    <row r="10" spans="2:31" x14ac:dyDescent="0.25">
      <c r="B10" s="345" t="s">
        <v>724</v>
      </c>
      <c r="C10" s="345" t="s">
        <v>725</v>
      </c>
      <c r="D10" s="346">
        <v>35.291000000000004</v>
      </c>
      <c r="E10" s="346">
        <v>107.08700000000002</v>
      </c>
      <c r="F10" s="346">
        <v>36.010000000000005</v>
      </c>
      <c r="G10" s="346">
        <v>36.350000000000009</v>
      </c>
      <c r="H10" s="346">
        <v>16.799999999999997</v>
      </c>
      <c r="I10" s="346">
        <v>35.870000000000005</v>
      </c>
      <c r="J10" s="346">
        <v>71.75500000000001</v>
      </c>
      <c r="K10" s="346">
        <v>87.364199999999983</v>
      </c>
      <c r="L10" s="346">
        <v>34.300000000000004</v>
      </c>
      <c r="M10" s="346">
        <v>12.588999999999999</v>
      </c>
      <c r="N10" s="346">
        <v>4.4000000000000004</v>
      </c>
      <c r="O10" s="346">
        <v>2622.0649999999996</v>
      </c>
      <c r="P10" s="346">
        <v>17.312999999999999</v>
      </c>
      <c r="Q10" s="346">
        <v>16.399999999999999</v>
      </c>
      <c r="R10" s="346">
        <v>36.26</v>
      </c>
      <c r="S10" s="346">
        <v>74.930000000000007</v>
      </c>
      <c r="T10" s="346">
        <v>36.700000000000003</v>
      </c>
      <c r="U10" s="346">
        <v>137.49499999999995</v>
      </c>
      <c r="V10" s="346">
        <v>479.56999999999982</v>
      </c>
      <c r="W10" s="346">
        <v>4.0999999999999996</v>
      </c>
      <c r="X10" s="346">
        <v>60.548000000000009</v>
      </c>
      <c r="Y10" s="346">
        <v>90.023599999999988</v>
      </c>
      <c r="Z10" s="346">
        <v>210.69300000000001</v>
      </c>
      <c r="AA10" s="346">
        <v>40.700000000000003</v>
      </c>
      <c r="AB10" s="346">
        <v>26.75</v>
      </c>
      <c r="AC10" s="346">
        <v>70.116</v>
      </c>
      <c r="AD10" s="346">
        <v>31.4</v>
      </c>
      <c r="AE10" s="346">
        <v>58.420000000000009</v>
      </c>
    </row>
    <row r="11" spans="2:31" x14ac:dyDescent="0.25">
      <c r="B11" s="345" t="s">
        <v>724</v>
      </c>
      <c r="C11" s="345" t="s">
        <v>726</v>
      </c>
      <c r="D11" s="346">
        <v>4.7</v>
      </c>
      <c r="E11" s="346">
        <v>16.12</v>
      </c>
      <c r="F11" s="346">
        <v>4.4499999999999993</v>
      </c>
      <c r="G11" s="346">
        <v>10.050000000000001</v>
      </c>
      <c r="H11" s="346">
        <v>0.5</v>
      </c>
      <c r="I11" s="346">
        <v>8.5</v>
      </c>
      <c r="J11" s="346">
        <v>31.499999999999996</v>
      </c>
      <c r="K11" s="346">
        <v>26.224</v>
      </c>
      <c r="L11" s="346">
        <v>26.089999999999996</v>
      </c>
      <c r="M11" s="346">
        <v>6.0709999999999997</v>
      </c>
      <c r="N11" s="346">
        <v>5.0999999999999996</v>
      </c>
      <c r="O11" s="346">
        <v>1156.5399999999997</v>
      </c>
      <c r="P11" s="346">
        <v>3.1</v>
      </c>
      <c r="Q11" s="346">
        <v>3.96</v>
      </c>
      <c r="R11" s="346">
        <v>9</v>
      </c>
      <c r="S11" s="346">
        <v>40.984999999999992</v>
      </c>
      <c r="T11" s="346">
        <v>13.57</v>
      </c>
      <c r="U11" s="346">
        <v>117.97999999999998</v>
      </c>
      <c r="V11" s="346">
        <v>96.15</v>
      </c>
      <c r="W11" s="346">
        <v>4.6000000000000005</v>
      </c>
      <c r="X11" s="346">
        <v>31.3048</v>
      </c>
      <c r="Y11" s="346">
        <v>27.75</v>
      </c>
      <c r="Z11" s="346">
        <v>63.76900000000002</v>
      </c>
      <c r="AA11" s="346">
        <v>10.7</v>
      </c>
      <c r="AB11" s="346">
        <v>15</v>
      </c>
      <c r="AC11" s="346">
        <v>10.220000000000001</v>
      </c>
      <c r="AD11" s="346">
        <v>83.566999999999993</v>
      </c>
      <c r="AE11" s="346">
        <v>25.26</v>
      </c>
    </row>
    <row r="12" spans="2:31" x14ac:dyDescent="0.25">
      <c r="B12" s="345"/>
      <c r="C12" s="345"/>
      <c r="D12" s="345"/>
      <c r="E12" s="346"/>
      <c r="F12" s="345"/>
    </row>
    <row r="13" spans="2:31" x14ac:dyDescent="0.25">
      <c r="B13" s="345"/>
      <c r="C13" s="345"/>
      <c r="D13" s="345"/>
      <c r="E13" s="346"/>
      <c r="F13" s="345"/>
    </row>
    <row r="14" spans="2:31" x14ac:dyDescent="0.25">
      <c r="B14" s="345"/>
      <c r="C14" s="345"/>
      <c r="D14" s="345"/>
      <c r="E14" s="346"/>
      <c r="F14" s="345"/>
    </row>
    <row r="15" spans="2:31" x14ac:dyDescent="0.25">
      <c r="B15" s="345"/>
      <c r="C15" s="345"/>
      <c r="D15" s="345"/>
      <c r="E15" s="346"/>
      <c r="F15" s="345"/>
    </row>
    <row r="16" spans="2:31" x14ac:dyDescent="0.25">
      <c r="B16" s="345"/>
      <c r="C16" s="345"/>
      <c r="D16" s="345"/>
      <c r="E16" s="346"/>
      <c r="F16" s="345"/>
    </row>
    <row r="17" spans="2:6" x14ac:dyDescent="0.25">
      <c r="B17" s="345"/>
      <c r="C17" s="345"/>
      <c r="D17" s="345"/>
      <c r="E17" s="346"/>
      <c r="F17" s="345"/>
    </row>
    <row r="18" spans="2:6" x14ac:dyDescent="0.25">
      <c r="B18" s="345"/>
      <c r="C18" s="345"/>
      <c r="D18" s="345"/>
      <c r="E18" s="346"/>
      <c r="F18" s="345"/>
    </row>
    <row r="19" spans="2:6" x14ac:dyDescent="0.25">
      <c r="B19" s="345"/>
      <c r="C19" s="345"/>
      <c r="D19" s="345"/>
      <c r="E19" s="346"/>
      <c r="F19" s="345"/>
    </row>
    <row r="20" spans="2:6" x14ac:dyDescent="0.25">
      <c r="B20" s="345"/>
      <c r="C20" s="345"/>
      <c r="D20" s="345"/>
      <c r="E20" s="346"/>
      <c r="F20" s="345"/>
    </row>
    <row r="21" spans="2:6" x14ac:dyDescent="0.25">
      <c r="B21" s="345"/>
      <c r="C21" s="345"/>
      <c r="D21" s="345"/>
      <c r="E21" s="346"/>
      <c r="F21" s="345"/>
    </row>
    <row r="22" spans="2:6" x14ac:dyDescent="0.25">
      <c r="B22" s="345"/>
      <c r="C22" s="345"/>
      <c r="D22" s="345"/>
      <c r="E22" s="346"/>
      <c r="F22" s="345"/>
    </row>
    <row r="23" spans="2:6" x14ac:dyDescent="0.25">
      <c r="B23" s="345"/>
      <c r="C23" s="345"/>
      <c r="D23" s="345"/>
      <c r="E23" s="346"/>
      <c r="F23" s="345"/>
    </row>
    <row r="24" spans="2:6" x14ac:dyDescent="0.25">
      <c r="B24" s="345"/>
      <c r="C24" s="345"/>
      <c r="D24" s="345"/>
      <c r="E24" s="346"/>
      <c r="F24" s="345"/>
    </row>
    <row r="25" spans="2:6" x14ac:dyDescent="0.25">
      <c r="B25" s="345"/>
      <c r="C25" s="345"/>
      <c r="D25" s="345"/>
      <c r="E25" s="346"/>
      <c r="F25" s="345"/>
    </row>
    <row r="26" spans="2:6" x14ac:dyDescent="0.25">
      <c r="B26" s="345"/>
      <c r="C26" s="345"/>
      <c r="D26" s="345"/>
      <c r="E26" s="346"/>
      <c r="F26" s="345"/>
    </row>
    <row r="27" spans="2:6" x14ac:dyDescent="0.25">
      <c r="B27" s="345"/>
      <c r="C27" s="345"/>
      <c r="D27" s="345"/>
      <c r="E27" s="346"/>
      <c r="F27" s="345"/>
    </row>
    <row r="28" spans="2:6" x14ac:dyDescent="0.25">
      <c r="B28" s="345"/>
      <c r="C28" s="345"/>
      <c r="D28" s="345"/>
      <c r="E28" s="346"/>
      <c r="F28" s="345"/>
    </row>
    <row r="29" spans="2:6" x14ac:dyDescent="0.25">
      <c r="B29" s="345"/>
      <c r="C29" s="345"/>
      <c r="D29" s="345"/>
      <c r="E29" s="346"/>
      <c r="F29" s="345"/>
    </row>
    <row r="30" spans="2:6" x14ac:dyDescent="0.25">
      <c r="B30" s="345"/>
      <c r="C30" s="345"/>
      <c r="D30" s="345"/>
      <c r="E30" s="346"/>
      <c r="F30" s="345"/>
    </row>
    <row r="31" spans="2:6" x14ac:dyDescent="0.25">
      <c r="B31" s="345"/>
      <c r="C31" s="345"/>
      <c r="D31" s="345"/>
      <c r="E31" s="346"/>
      <c r="F31" s="345"/>
    </row>
    <row r="32" spans="2:6" x14ac:dyDescent="0.25">
      <c r="B32" s="345"/>
      <c r="C32" s="345"/>
      <c r="D32" s="345"/>
      <c r="E32" s="346"/>
      <c r="F32" s="345"/>
    </row>
    <row r="33" spans="2:6" x14ac:dyDescent="0.25">
      <c r="B33" s="345"/>
      <c r="C33" s="345"/>
      <c r="D33" s="345"/>
      <c r="E33" s="346"/>
      <c r="F33" s="345"/>
    </row>
    <row r="34" spans="2:6" x14ac:dyDescent="0.25">
      <c r="B34" s="345"/>
      <c r="C34" s="345"/>
      <c r="D34" s="345"/>
      <c r="E34" s="346"/>
      <c r="F34" s="345"/>
    </row>
    <row r="35" spans="2:6" x14ac:dyDescent="0.25">
      <c r="B35" s="345"/>
      <c r="C35" s="345"/>
      <c r="D35" s="345"/>
      <c r="E35" s="346"/>
      <c r="F35" s="345"/>
    </row>
    <row r="36" spans="2:6" x14ac:dyDescent="0.25">
      <c r="B36" s="345"/>
      <c r="C36" s="345"/>
      <c r="D36" s="345"/>
      <c r="E36" s="346"/>
      <c r="F36" s="345"/>
    </row>
    <row r="37" spans="2:6" x14ac:dyDescent="0.25">
      <c r="B37" s="345"/>
      <c r="C37" s="345"/>
      <c r="D37" s="345"/>
      <c r="E37" s="346"/>
      <c r="F37" s="345"/>
    </row>
    <row r="38" spans="2:6" x14ac:dyDescent="0.25">
      <c r="B38" s="345"/>
      <c r="C38" s="345"/>
      <c r="D38" s="345"/>
      <c r="E38" s="346"/>
      <c r="F38" s="345"/>
    </row>
    <row r="39" spans="2:6" x14ac:dyDescent="0.25">
      <c r="B39" s="345"/>
      <c r="C39" s="345"/>
      <c r="D39" s="345"/>
      <c r="E39" s="346"/>
      <c r="F39" s="345"/>
    </row>
    <row r="40" spans="2:6" x14ac:dyDescent="0.25">
      <c r="B40" s="345"/>
      <c r="C40" s="345"/>
      <c r="D40" s="345"/>
      <c r="E40" s="346"/>
      <c r="F40" s="345"/>
    </row>
    <row r="41" spans="2:6" x14ac:dyDescent="0.25">
      <c r="B41" s="345"/>
      <c r="C41" s="345"/>
      <c r="D41" s="345"/>
      <c r="E41" s="346"/>
      <c r="F41" s="345"/>
    </row>
    <row r="42" spans="2:6" x14ac:dyDescent="0.25">
      <c r="B42" s="345"/>
      <c r="C42" s="345"/>
      <c r="D42" s="345"/>
      <c r="E42" s="346"/>
      <c r="F42" s="345"/>
    </row>
    <row r="43" spans="2:6" x14ac:dyDescent="0.25">
      <c r="B43" s="345"/>
      <c r="C43" s="345"/>
      <c r="D43" s="345"/>
      <c r="E43" s="346"/>
      <c r="F43" s="345"/>
    </row>
    <row r="44" spans="2:6" x14ac:dyDescent="0.25">
      <c r="B44" s="345"/>
      <c r="C44" s="345"/>
      <c r="D44" s="345"/>
      <c r="E44" s="346"/>
      <c r="F44" s="345"/>
    </row>
    <row r="45" spans="2:6" x14ac:dyDescent="0.25">
      <c r="B45" s="345"/>
      <c r="C45" s="345"/>
      <c r="D45" s="345"/>
      <c r="E45" s="346"/>
      <c r="F45" s="345"/>
    </row>
    <row r="46" spans="2:6" x14ac:dyDescent="0.25">
      <c r="B46" s="345"/>
      <c r="C46" s="345"/>
      <c r="D46" s="345"/>
      <c r="E46" s="346"/>
      <c r="F46" s="345"/>
    </row>
    <row r="47" spans="2:6" x14ac:dyDescent="0.25">
      <c r="B47" s="345"/>
      <c r="C47" s="345"/>
      <c r="D47" s="345"/>
      <c r="E47" s="346"/>
      <c r="F47" s="345"/>
    </row>
    <row r="48" spans="2:6" x14ac:dyDescent="0.25">
      <c r="B48" s="345"/>
      <c r="C48" s="345"/>
      <c r="D48" s="345"/>
      <c r="E48" s="346"/>
      <c r="F48" s="345"/>
    </row>
    <row r="49" spans="2:6" x14ac:dyDescent="0.25">
      <c r="B49" s="345"/>
      <c r="C49" s="345"/>
      <c r="D49" s="345"/>
      <c r="E49" s="346"/>
      <c r="F49" s="345"/>
    </row>
    <row r="50" spans="2:6" x14ac:dyDescent="0.25">
      <c r="B50" s="345"/>
      <c r="C50" s="345"/>
      <c r="D50" s="345"/>
      <c r="E50" s="346"/>
      <c r="F50" s="345"/>
    </row>
    <row r="51" spans="2:6" x14ac:dyDescent="0.25">
      <c r="B51" s="345"/>
      <c r="C51" s="345"/>
      <c r="D51" s="345"/>
      <c r="E51" s="346"/>
      <c r="F51" s="345"/>
    </row>
    <row r="52" spans="2:6" x14ac:dyDescent="0.25">
      <c r="B52" s="345"/>
      <c r="C52" s="345"/>
      <c r="D52" s="345"/>
      <c r="E52" s="346"/>
      <c r="F52" s="345"/>
    </row>
    <row r="53" spans="2:6" x14ac:dyDescent="0.25">
      <c r="B53" s="345"/>
      <c r="C53" s="345"/>
      <c r="D53" s="345"/>
      <c r="E53" s="346"/>
      <c r="F53" s="345"/>
    </row>
    <row r="54" spans="2:6" x14ac:dyDescent="0.25">
      <c r="B54" s="345"/>
      <c r="C54" s="345"/>
      <c r="D54" s="345"/>
      <c r="E54" s="346"/>
      <c r="F54" s="345"/>
    </row>
    <row r="55" spans="2:6" x14ac:dyDescent="0.25">
      <c r="B55" s="345"/>
      <c r="C55" s="345"/>
      <c r="D55" s="345"/>
      <c r="E55" s="346"/>
      <c r="F55" s="345"/>
    </row>
    <row r="56" spans="2:6" x14ac:dyDescent="0.25">
      <c r="B56" s="345"/>
      <c r="C56" s="345"/>
      <c r="D56" s="345"/>
      <c r="E56" s="346"/>
      <c r="F56" s="345"/>
    </row>
    <row r="57" spans="2:6" x14ac:dyDescent="0.25">
      <c r="B57" s="345"/>
      <c r="C57" s="345"/>
      <c r="D57" s="345"/>
      <c r="E57" s="346"/>
      <c r="F57" s="345"/>
    </row>
    <row r="58" spans="2:6" x14ac:dyDescent="0.25">
      <c r="B58" s="345"/>
      <c r="C58" s="345"/>
      <c r="D58" s="345"/>
      <c r="E58" s="346"/>
      <c r="F58" s="345"/>
    </row>
    <row r="59" spans="2:6" x14ac:dyDescent="0.25">
      <c r="B59" s="345"/>
      <c r="C59" s="345"/>
      <c r="D59" s="345"/>
      <c r="E59" s="346"/>
      <c r="F59" s="345"/>
    </row>
    <row r="60" spans="2:6" x14ac:dyDescent="0.25">
      <c r="B60" s="345"/>
      <c r="C60" s="345"/>
      <c r="D60" s="345"/>
      <c r="E60" s="346"/>
      <c r="F60" s="345"/>
    </row>
    <row r="61" spans="2:6" x14ac:dyDescent="0.25">
      <c r="B61" s="345"/>
      <c r="C61" s="345"/>
      <c r="D61" s="345"/>
      <c r="E61" s="346"/>
      <c r="F61" s="345"/>
    </row>
    <row r="62" spans="2:6" x14ac:dyDescent="0.25">
      <c r="B62" s="345"/>
      <c r="C62" s="345"/>
      <c r="D62" s="345"/>
      <c r="E62" s="346"/>
      <c r="F62" s="345"/>
    </row>
    <row r="63" spans="2:6" x14ac:dyDescent="0.25">
      <c r="B63" s="345"/>
      <c r="C63" s="345"/>
      <c r="D63" s="345"/>
      <c r="E63" s="346"/>
      <c r="F63" s="345"/>
    </row>
    <row r="64" spans="2:6" x14ac:dyDescent="0.25">
      <c r="B64" s="345"/>
      <c r="C64" s="345"/>
      <c r="D64" s="345"/>
      <c r="E64" s="346"/>
      <c r="F64" s="345"/>
    </row>
    <row r="65" spans="2:6" x14ac:dyDescent="0.25">
      <c r="B65" s="345"/>
      <c r="C65" s="345"/>
      <c r="D65" s="345"/>
      <c r="E65" s="346"/>
      <c r="F65" s="345"/>
    </row>
    <row r="66" spans="2:6" x14ac:dyDescent="0.25">
      <c r="B66" s="345"/>
      <c r="C66" s="345"/>
      <c r="D66" s="345"/>
      <c r="E66" s="346"/>
      <c r="F66" s="345"/>
    </row>
    <row r="67" spans="2:6" x14ac:dyDescent="0.25">
      <c r="B67" s="345"/>
      <c r="C67" s="345"/>
      <c r="D67" s="345"/>
      <c r="E67" s="346"/>
      <c r="F67" s="345"/>
    </row>
    <row r="68" spans="2:6" x14ac:dyDescent="0.25">
      <c r="B68" s="345"/>
      <c r="C68" s="345"/>
      <c r="D68" s="345"/>
      <c r="E68" s="346"/>
      <c r="F68" s="345"/>
    </row>
    <row r="69" spans="2:6" x14ac:dyDescent="0.25">
      <c r="B69" s="345"/>
      <c r="C69" s="345"/>
      <c r="D69" s="345"/>
      <c r="E69" s="346"/>
      <c r="F69" s="345"/>
    </row>
    <row r="70" spans="2:6" x14ac:dyDescent="0.25">
      <c r="B70" s="345"/>
      <c r="C70" s="345"/>
      <c r="D70" s="345"/>
      <c r="E70" s="346"/>
      <c r="F70" s="345"/>
    </row>
    <row r="71" spans="2:6" x14ac:dyDescent="0.25">
      <c r="B71" s="345"/>
      <c r="C71" s="345"/>
      <c r="D71" s="345"/>
      <c r="E71" s="346"/>
      <c r="F71" s="345"/>
    </row>
    <row r="72" spans="2:6" x14ac:dyDescent="0.25">
      <c r="B72" s="345"/>
      <c r="C72" s="345"/>
      <c r="D72" s="345"/>
      <c r="E72" s="346"/>
      <c r="F72" s="345"/>
    </row>
    <row r="73" spans="2:6" x14ac:dyDescent="0.25">
      <c r="B73" s="345"/>
      <c r="C73" s="345"/>
      <c r="D73" s="345"/>
      <c r="E73" s="346"/>
      <c r="F73" s="345"/>
    </row>
    <row r="74" spans="2:6" x14ac:dyDescent="0.25">
      <c r="B74" s="345"/>
      <c r="C74" s="345"/>
      <c r="D74" s="345"/>
      <c r="E74" s="346"/>
      <c r="F74" s="345"/>
    </row>
    <row r="75" spans="2:6" x14ac:dyDescent="0.25">
      <c r="B75" s="345"/>
      <c r="C75" s="345"/>
      <c r="D75" s="345"/>
      <c r="E75" s="346"/>
      <c r="F75" s="345"/>
    </row>
    <row r="76" spans="2:6" x14ac:dyDescent="0.25">
      <c r="B76" s="345"/>
      <c r="C76" s="345"/>
      <c r="D76" s="345"/>
      <c r="E76" s="346"/>
      <c r="F76" s="345"/>
    </row>
    <row r="77" spans="2:6" x14ac:dyDescent="0.25">
      <c r="B77" s="345"/>
      <c r="C77" s="345"/>
      <c r="D77" s="345"/>
      <c r="E77" s="346"/>
      <c r="F77" s="345"/>
    </row>
    <row r="78" spans="2:6" x14ac:dyDescent="0.25">
      <c r="B78" s="345"/>
      <c r="C78" s="345"/>
      <c r="D78" s="345"/>
      <c r="E78" s="346"/>
      <c r="F78" s="345"/>
    </row>
    <row r="79" spans="2:6" x14ac:dyDescent="0.25">
      <c r="B79" s="345"/>
      <c r="C79" s="345"/>
      <c r="D79" s="345"/>
      <c r="E79" s="346"/>
      <c r="F79" s="345"/>
    </row>
    <row r="80" spans="2:6" x14ac:dyDescent="0.25">
      <c r="B80" s="345"/>
      <c r="C80" s="345"/>
      <c r="D80" s="345"/>
      <c r="E80" s="346"/>
      <c r="F80" s="345"/>
    </row>
    <row r="81" spans="2:6" x14ac:dyDescent="0.25">
      <c r="B81" s="345"/>
      <c r="C81" s="345"/>
      <c r="D81" s="345"/>
      <c r="E81" s="346"/>
      <c r="F81" s="345"/>
    </row>
    <row r="82" spans="2:6" x14ac:dyDescent="0.25">
      <c r="B82" s="345"/>
      <c r="C82" s="345"/>
      <c r="D82" s="345"/>
      <c r="E82" s="346"/>
      <c r="F82" s="345"/>
    </row>
    <row r="83" spans="2:6" x14ac:dyDescent="0.25">
      <c r="B83" s="345"/>
      <c r="C83" s="345"/>
      <c r="D83" s="345"/>
      <c r="E83" s="346"/>
      <c r="F83" s="345"/>
    </row>
    <row r="84" spans="2:6" x14ac:dyDescent="0.25">
      <c r="B84" s="345"/>
      <c r="C84" s="345"/>
      <c r="D84" s="345"/>
      <c r="E84" s="346"/>
      <c r="F84" s="345"/>
    </row>
    <row r="85" spans="2:6" x14ac:dyDescent="0.25">
      <c r="B85" s="345"/>
      <c r="C85" s="345"/>
      <c r="D85" s="345"/>
      <c r="E85" s="346"/>
      <c r="F85" s="345"/>
    </row>
    <row r="86" spans="2:6" x14ac:dyDescent="0.25">
      <c r="B86" s="345"/>
      <c r="C86" s="345"/>
      <c r="D86" s="345"/>
      <c r="E86" s="346"/>
      <c r="F86" s="345"/>
    </row>
    <row r="87" spans="2:6" x14ac:dyDescent="0.25">
      <c r="B87" s="345"/>
      <c r="C87" s="345"/>
      <c r="D87" s="345"/>
      <c r="E87" s="346"/>
      <c r="F87" s="345"/>
    </row>
    <row r="88" spans="2:6" x14ac:dyDescent="0.25">
      <c r="B88" s="345"/>
      <c r="C88" s="345"/>
      <c r="D88" s="345"/>
      <c r="E88" s="346"/>
      <c r="F88" s="345"/>
    </row>
    <row r="89" spans="2:6" x14ac:dyDescent="0.25">
      <c r="B89" s="345"/>
      <c r="C89" s="345"/>
      <c r="D89" s="345"/>
      <c r="E89" s="346"/>
      <c r="F89" s="345"/>
    </row>
    <row r="90" spans="2:6" x14ac:dyDescent="0.25">
      <c r="B90" s="345"/>
      <c r="C90" s="345"/>
      <c r="D90" s="345"/>
      <c r="E90" s="346"/>
      <c r="F90" s="345"/>
    </row>
    <row r="91" spans="2:6" x14ac:dyDescent="0.25">
      <c r="B91" s="345"/>
      <c r="C91" s="345"/>
      <c r="D91" s="345"/>
      <c r="E91" s="346"/>
      <c r="F91" s="345"/>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9BD3-05D9-466D-871D-D22EEF6AF8BB}">
  <sheetPr>
    <tabColor rgb="FFC00000"/>
  </sheetPr>
  <dimension ref="A2:M60"/>
  <sheetViews>
    <sheetView zoomScale="70" zoomScaleNormal="70" workbookViewId="0">
      <selection activeCell="A11" sqref="A11"/>
    </sheetView>
  </sheetViews>
  <sheetFormatPr defaultRowHeight="15" x14ac:dyDescent="0.25"/>
  <cols>
    <col min="1" max="1" width="139.5703125" customWidth="1"/>
    <col min="2" max="2" width="11.7109375" bestFit="1" customWidth="1"/>
    <col min="13" max="13" width="17.42578125" customWidth="1"/>
  </cols>
  <sheetData>
    <row r="2" spans="1:13" x14ac:dyDescent="0.25">
      <c r="A2" s="5" t="s">
        <v>1036</v>
      </c>
    </row>
    <row r="3" spans="1:13" x14ac:dyDescent="0.25">
      <c r="A3" s="5" t="s">
        <v>1037</v>
      </c>
    </row>
    <row r="4" spans="1:13" x14ac:dyDescent="0.25">
      <c r="A4" s="135" t="s">
        <v>1038</v>
      </c>
    </row>
    <row r="7" spans="1:13" s="215" customFormat="1" x14ac:dyDescent="0.25">
      <c r="A7" s="213" t="s">
        <v>1039</v>
      </c>
      <c r="B7" s="213" t="s">
        <v>1040</v>
      </c>
      <c r="C7" s="213"/>
      <c r="D7" s="213"/>
      <c r="E7" s="213"/>
      <c r="F7" s="213"/>
      <c r="G7" s="213"/>
      <c r="H7" s="213"/>
      <c r="I7" s="213"/>
      <c r="J7" s="213"/>
      <c r="K7" s="213"/>
      <c r="L7" s="213"/>
      <c r="M7" s="213"/>
    </row>
    <row r="8" spans="1:13" s="216" customFormat="1" x14ac:dyDescent="0.25">
      <c r="A8" s="214" t="s">
        <v>1041</v>
      </c>
      <c r="B8" s="214" t="s">
        <v>180</v>
      </c>
      <c r="C8" s="214" t="s">
        <v>182</v>
      </c>
      <c r="D8" s="214" t="s">
        <v>1042</v>
      </c>
      <c r="E8" s="214" t="s">
        <v>1043</v>
      </c>
      <c r="F8" s="214" t="s">
        <v>200</v>
      </c>
      <c r="G8" s="214" t="s">
        <v>1044</v>
      </c>
      <c r="H8" s="214" t="s">
        <v>1045</v>
      </c>
      <c r="I8" s="214" t="s">
        <v>1046</v>
      </c>
      <c r="J8" s="214" t="s">
        <v>1047</v>
      </c>
      <c r="K8" s="214" t="s">
        <v>1048</v>
      </c>
      <c r="L8" s="214" t="s">
        <v>1049</v>
      </c>
      <c r="M8" s="214" t="s">
        <v>1050</v>
      </c>
    </row>
    <row r="9" spans="1:13" x14ac:dyDescent="0.25">
      <c r="A9" s="139" t="s">
        <v>1051</v>
      </c>
      <c r="B9" s="139">
        <v>42394196.538599998</v>
      </c>
      <c r="C9" s="139">
        <v>12814206.4063999</v>
      </c>
      <c r="D9" s="139">
        <v>22849338.3695</v>
      </c>
      <c r="E9" s="139">
        <v>156026628.47072601</v>
      </c>
      <c r="F9" s="139">
        <v>185314128.08829999</v>
      </c>
      <c r="G9" s="139">
        <v>22569919.992800001</v>
      </c>
      <c r="H9" s="139">
        <v>85350283.082199901</v>
      </c>
      <c r="I9" s="139">
        <v>20132846.0473</v>
      </c>
      <c r="J9" s="139">
        <v>130525910.04970001</v>
      </c>
      <c r="K9" s="139">
        <v>10368757.3398</v>
      </c>
      <c r="L9" s="139">
        <v>72526995.313099906</v>
      </c>
      <c r="M9" s="343">
        <v>895704274.55067098</v>
      </c>
    </row>
    <row r="10" spans="1:13" x14ac:dyDescent="0.25">
      <c r="A10" s="213" t="s">
        <v>1052</v>
      </c>
      <c r="B10" s="213"/>
      <c r="C10" s="213"/>
      <c r="D10" s="213"/>
      <c r="E10" s="213"/>
      <c r="F10" s="213"/>
      <c r="G10" s="213"/>
      <c r="H10" s="213"/>
      <c r="I10" s="213"/>
      <c r="J10" s="213"/>
      <c r="K10" s="213"/>
      <c r="L10" s="213"/>
      <c r="M10" s="213"/>
    </row>
    <row r="11" spans="1:13" x14ac:dyDescent="0.25">
      <c r="A11" s="139" t="s">
        <v>1053</v>
      </c>
      <c r="B11" s="139">
        <v>3546.9218797251101</v>
      </c>
      <c r="C11" s="139">
        <v>3403.16440356458</v>
      </c>
      <c r="D11" s="139">
        <v>3855.3426828697102</v>
      </c>
      <c r="E11" s="139">
        <v>3565.6551431162002</v>
      </c>
      <c r="F11" s="139">
        <v>3093.9872997438201</v>
      </c>
      <c r="G11" s="139">
        <v>3455.7702172895501</v>
      </c>
      <c r="H11" s="139">
        <v>3206.2768567553999</v>
      </c>
      <c r="I11" s="139">
        <v>3571.4621431849801</v>
      </c>
      <c r="J11" s="139">
        <v>3483.5352053932702</v>
      </c>
      <c r="K11" s="139">
        <v>3613.4656326937402</v>
      </c>
      <c r="L11" s="139">
        <v>3584.6394458293198</v>
      </c>
      <c r="M11" s="139">
        <v>3362.4715814350002</v>
      </c>
    </row>
    <row r="12" spans="1:13" x14ac:dyDescent="0.25">
      <c r="A12" s="139" t="s">
        <v>1054</v>
      </c>
      <c r="B12" s="139">
        <v>3554.2759172136898</v>
      </c>
      <c r="C12" s="139">
        <v>3450.03864777939</v>
      </c>
      <c r="D12" s="139"/>
      <c r="E12" s="139">
        <v>3710.5431294927498</v>
      </c>
      <c r="F12" s="139"/>
      <c r="G12" s="139"/>
      <c r="H12" s="139"/>
      <c r="I12" s="139"/>
      <c r="J12" s="139">
        <v>3674.84073551034</v>
      </c>
      <c r="K12" s="139"/>
      <c r="L12" s="139">
        <v>3961.2371145606398</v>
      </c>
      <c r="M12" s="139">
        <v>3502.0380628371599</v>
      </c>
    </row>
    <row r="13" spans="1:13" x14ac:dyDescent="0.25">
      <c r="A13" s="139" t="s">
        <v>1055</v>
      </c>
      <c r="B13" s="139"/>
      <c r="C13" s="139"/>
      <c r="D13" s="139"/>
      <c r="E13" s="139">
        <v>3524.8251058617798</v>
      </c>
      <c r="F13" s="139"/>
      <c r="G13" s="139"/>
      <c r="H13" s="139"/>
      <c r="I13" s="139"/>
      <c r="J13" s="139"/>
      <c r="K13" s="139"/>
      <c r="L13" s="139"/>
      <c r="M13" s="139">
        <v>3910.1883125611398</v>
      </c>
    </row>
    <row r="14" spans="1:13" x14ac:dyDescent="0.25">
      <c r="A14" s="139" t="s">
        <v>1056</v>
      </c>
      <c r="B14" s="139"/>
      <c r="C14" s="139"/>
      <c r="D14" s="139"/>
      <c r="E14" s="139">
        <v>3810.5225876999202</v>
      </c>
      <c r="F14" s="139"/>
      <c r="G14" s="139"/>
      <c r="H14" s="139"/>
      <c r="I14" s="139"/>
      <c r="J14" s="139"/>
      <c r="K14" s="139"/>
      <c r="L14" s="139"/>
      <c r="M14" s="139">
        <v>4160.2517011030704</v>
      </c>
    </row>
    <row r="15" spans="1:13" x14ac:dyDescent="0.25">
      <c r="A15" s="214" t="s">
        <v>1057</v>
      </c>
      <c r="B15" s="214"/>
      <c r="C15" s="214"/>
      <c r="D15" s="214"/>
      <c r="E15" s="214">
        <v>5512.3557685444002</v>
      </c>
      <c r="F15" s="214"/>
      <c r="G15" s="214"/>
      <c r="H15" s="214"/>
      <c r="I15" s="214"/>
      <c r="J15" s="214">
        <v>6136.1422695091997</v>
      </c>
      <c r="K15" s="214"/>
      <c r="L15" s="214">
        <v>5596.4050736999297</v>
      </c>
      <c r="M15" s="214">
        <v>5186.3075655459797</v>
      </c>
    </row>
    <row r="16" spans="1:13" x14ac:dyDescent="0.25">
      <c r="A16" s="139" t="s">
        <v>1058</v>
      </c>
      <c r="B16" s="139">
        <v>117.452515298507</v>
      </c>
      <c r="C16" s="139">
        <v>143.415914321629</v>
      </c>
      <c r="D16" s="139">
        <v>114.80682620911701</v>
      </c>
      <c r="E16" s="139">
        <v>125.02726844639101</v>
      </c>
      <c r="F16" s="139">
        <v>102.65489336834899</v>
      </c>
      <c r="G16" s="139">
        <v>106.349427809237</v>
      </c>
      <c r="H16" s="139">
        <v>98.763308072974297</v>
      </c>
      <c r="I16" s="139">
        <v>98.128484848733194</v>
      </c>
      <c r="J16" s="139">
        <v>113.96785934702299</v>
      </c>
      <c r="K16" s="139">
        <v>129.34003665800199</v>
      </c>
      <c r="L16" s="139">
        <v>137.34651425766299</v>
      </c>
      <c r="M16" s="139">
        <v>114.303285124876</v>
      </c>
    </row>
    <row r="17" spans="1:13" x14ac:dyDescent="0.25">
      <c r="A17" s="139" t="s">
        <v>1059</v>
      </c>
      <c r="B17" s="139">
        <v>77.393496075616596</v>
      </c>
      <c r="C17" s="139">
        <v>90.590554574420906</v>
      </c>
      <c r="D17" s="139">
        <v>82.029352188355801</v>
      </c>
      <c r="E17" s="139">
        <v>75.801297625476494</v>
      </c>
      <c r="F17" s="139">
        <v>61.069666586330698</v>
      </c>
      <c r="G17" s="139">
        <v>70.795596312086701</v>
      </c>
      <c r="H17" s="139">
        <v>55.389409749190598</v>
      </c>
      <c r="I17" s="139">
        <v>75.708107469115404</v>
      </c>
      <c r="J17" s="139">
        <v>80.400571666082399</v>
      </c>
      <c r="K17" s="139">
        <v>82.961072918688402</v>
      </c>
      <c r="L17" s="139">
        <v>87.052584854190798</v>
      </c>
      <c r="M17" s="139">
        <v>71.895428987380498</v>
      </c>
    </row>
    <row r="18" spans="1:13" x14ac:dyDescent="0.25">
      <c r="A18" s="213" t="s">
        <v>1060</v>
      </c>
      <c r="B18" s="213"/>
      <c r="C18" s="213"/>
      <c r="D18" s="213"/>
      <c r="E18" s="213"/>
      <c r="F18" s="213"/>
      <c r="G18" s="213"/>
      <c r="H18" s="213"/>
      <c r="I18" s="213"/>
      <c r="J18" s="213"/>
      <c r="K18" s="213"/>
      <c r="L18" s="213"/>
      <c r="M18" s="213"/>
    </row>
    <row r="19" spans="1:13" x14ac:dyDescent="0.25">
      <c r="A19" s="139" t="s">
        <v>1053</v>
      </c>
      <c r="B19" s="139">
        <v>851.78418869066195</v>
      </c>
      <c r="C19" s="139">
        <v>827.76044260251695</v>
      </c>
      <c r="D19" s="139">
        <v>878.82519840209</v>
      </c>
      <c r="E19" s="139">
        <v>794.57997255017801</v>
      </c>
      <c r="F19" s="139">
        <v>98232497.848299995</v>
      </c>
      <c r="G19" s="139"/>
      <c r="H19" s="139">
        <v>828.04607815816496</v>
      </c>
      <c r="I19" s="139">
        <v>870.30440067153995</v>
      </c>
      <c r="J19" s="139">
        <v>838.91156566117604</v>
      </c>
      <c r="K19" s="139">
        <v>830.88672255885001</v>
      </c>
      <c r="L19" s="139">
        <v>848.44222174531899</v>
      </c>
      <c r="M19" s="139">
        <v>828.69059484499098</v>
      </c>
    </row>
    <row r="20" spans="1:13" x14ac:dyDescent="0.25">
      <c r="A20" s="139" t="s">
        <v>1054</v>
      </c>
      <c r="B20" s="139">
        <v>755.47623285370503</v>
      </c>
      <c r="C20" s="139">
        <v>795.57233183520202</v>
      </c>
      <c r="D20" s="139"/>
      <c r="E20" s="139">
        <v>816.49552802582298</v>
      </c>
      <c r="F20" s="139"/>
      <c r="G20" s="139"/>
      <c r="H20" s="139"/>
      <c r="I20" s="139"/>
      <c r="J20" s="139">
        <v>825.49874611440396</v>
      </c>
      <c r="K20" s="139"/>
      <c r="L20" s="139">
        <v>837.25175916168496</v>
      </c>
      <c r="M20" s="139">
        <v>829.06847056205595</v>
      </c>
    </row>
    <row r="21" spans="1:13" x14ac:dyDescent="0.25">
      <c r="A21" s="139" t="s">
        <v>1055</v>
      </c>
      <c r="B21" s="139"/>
      <c r="C21" s="139"/>
      <c r="D21" s="139"/>
      <c r="E21" s="139">
        <v>815.422181864957</v>
      </c>
      <c r="F21" s="139"/>
      <c r="G21" s="139"/>
      <c r="H21" s="139"/>
      <c r="I21" s="139"/>
      <c r="J21" s="139"/>
      <c r="K21" s="139"/>
      <c r="L21" s="139"/>
      <c r="M21" s="139">
        <v>872.22604961345598</v>
      </c>
    </row>
    <row r="22" spans="1:13" x14ac:dyDescent="0.25">
      <c r="A22" s="139" t="s">
        <v>1056</v>
      </c>
      <c r="B22" s="139"/>
      <c r="C22" s="139"/>
      <c r="D22" s="139"/>
      <c r="E22" s="139">
        <v>822.23165945527796</v>
      </c>
      <c r="F22" s="139"/>
      <c r="G22" s="139"/>
      <c r="H22" s="139"/>
      <c r="I22" s="139"/>
      <c r="J22" s="139"/>
      <c r="K22" s="139"/>
      <c r="L22" s="139"/>
      <c r="M22" s="139">
        <v>852.83709532910996</v>
      </c>
    </row>
    <row r="23" spans="1:13" x14ac:dyDescent="0.25">
      <c r="A23" s="214" t="s">
        <v>1057</v>
      </c>
      <c r="B23" s="214"/>
      <c r="C23" s="214"/>
      <c r="D23" s="214"/>
      <c r="E23" s="214">
        <v>1008.09419831603</v>
      </c>
      <c r="F23" s="214"/>
      <c r="G23" s="214"/>
      <c r="H23" s="214"/>
      <c r="I23" s="214"/>
      <c r="J23" s="214">
        <v>988.85777535823195</v>
      </c>
      <c r="K23" s="214"/>
      <c r="L23" s="214">
        <v>1025.76898535074</v>
      </c>
      <c r="M23" s="214">
        <v>972.82437247605003</v>
      </c>
    </row>
    <row r="24" spans="1:13" x14ac:dyDescent="0.25">
      <c r="A24" s="139" t="s">
        <v>1061</v>
      </c>
      <c r="B24" s="139">
        <v>791.44771326982402</v>
      </c>
      <c r="C24" s="139">
        <v>790.35789138805399</v>
      </c>
      <c r="D24" s="139">
        <v>851.96538558947498</v>
      </c>
      <c r="E24" s="139">
        <v>709.74039015851395</v>
      </c>
      <c r="F24" s="139">
        <v>819.02351232264505</v>
      </c>
      <c r="G24" s="139">
        <v>781.20927662831696</v>
      </c>
      <c r="H24" s="139">
        <v>818.83305104148099</v>
      </c>
      <c r="I24" s="139">
        <v>862.75697251963902</v>
      </c>
      <c r="J24" s="139">
        <v>809.50043059126801</v>
      </c>
      <c r="K24" s="139">
        <v>750.69548141418295</v>
      </c>
      <c r="L24" s="139">
        <v>830.60626581775796</v>
      </c>
      <c r="M24" s="139">
        <v>797.99730572756403</v>
      </c>
    </row>
    <row r="25" spans="1:13" x14ac:dyDescent="0.25">
      <c r="A25" s="139" t="s">
        <v>1062</v>
      </c>
      <c r="B25" s="139">
        <v>555.91991455473999</v>
      </c>
      <c r="C25" s="139">
        <v>694.45067385815196</v>
      </c>
      <c r="D25" s="139">
        <v>715.14747936162598</v>
      </c>
      <c r="E25" s="139">
        <v>557.87742564156099</v>
      </c>
      <c r="F25" s="139">
        <v>583.29439014334503</v>
      </c>
      <c r="G25" s="139">
        <v>577.14879321666206</v>
      </c>
      <c r="H25" s="139">
        <v>676.76006957098105</v>
      </c>
      <c r="I25" s="139">
        <v>670.24188962475796</v>
      </c>
      <c r="J25" s="139">
        <v>584.85696803392898</v>
      </c>
      <c r="K25" s="139">
        <v>659.42976999101404</v>
      </c>
      <c r="L25" s="139">
        <v>747.93053821033595</v>
      </c>
      <c r="M25" s="139">
        <v>623.96913014290203</v>
      </c>
    </row>
    <row r="26" spans="1:13" x14ac:dyDescent="0.25">
      <c r="A26" s="213" t="s">
        <v>1063</v>
      </c>
      <c r="B26" s="213">
        <v>22039954.158</v>
      </c>
      <c r="C26" s="213">
        <v>5966967.1894000005</v>
      </c>
      <c r="D26" s="213">
        <v>18792985.2311</v>
      </c>
      <c r="E26" s="213">
        <v>123546676.22974166</v>
      </c>
      <c r="F26" s="213">
        <v>118932178.01199999</v>
      </c>
      <c r="G26" s="213">
        <v>14140661.9153999</v>
      </c>
      <c r="H26" s="213">
        <v>29551219.539999999</v>
      </c>
      <c r="I26" s="213">
        <v>12838991.6403</v>
      </c>
      <c r="J26" s="213">
        <v>90865895.365999907</v>
      </c>
      <c r="K26" s="213">
        <v>4233731.0646000002</v>
      </c>
      <c r="L26" s="213">
        <v>58170691.617199898</v>
      </c>
      <c r="M26" s="342">
        <v>674530666.12100959</v>
      </c>
    </row>
    <row r="27" spans="1:13" x14ac:dyDescent="0.25">
      <c r="A27" s="139" t="s">
        <v>1053</v>
      </c>
      <c r="B27" s="139">
        <v>15792533.074999999</v>
      </c>
      <c r="C27" s="139">
        <v>3620131.1894</v>
      </c>
      <c r="D27" s="139">
        <v>18792985.2311</v>
      </c>
      <c r="E27" s="139">
        <v>59176108.268722199</v>
      </c>
      <c r="F27" s="139">
        <v>118932178.01199999</v>
      </c>
      <c r="G27" s="139">
        <v>14140661.9153999</v>
      </c>
      <c r="H27" s="139">
        <v>29551219.539999999</v>
      </c>
      <c r="I27" s="139">
        <v>12838991.6403</v>
      </c>
      <c r="J27" s="139">
        <v>59166677.828000002</v>
      </c>
      <c r="K27" s="139">
        <v>4233731.0646000002</v>
      </c>
      <c r="L27" s="139">
        <v>44347418.647599898</v>
      </c>
      <c r="M27" s="139">
        <v>447678585.27712202</v>
      </c>
    </row>
    <row r="28" spans="1:13" x14ac:dyDescent="0.25">
      <c r="A28" s="139" t="s">
        <v>1054</v>
      </c>
      <c r="B28" s="139">
        <v>6247421.0829999996</v>
      </c>
      <c r="C28" s="139">
        <v>2346836</v>
      </c>
      <c r="D28" s="139"/>
      <c r="E28" s="139">
        <v>43993598.296300001</v>
      </c>
      <c r="F28" s="139"/>
      <c r="G28" s="139"/>
      <c r="H28" s="139"/>
      <c r="I28" s="139"/>
      <c r="J28" s="139">
        <v>19329932.863099899</v>
      </c>
      <c r="K28" s="139"/>
      <c r="L28" s="139">
        <v>6272357.9228999997</v>
      </c>
      <c r="M28" s="139">
        <v>132320929.0377</v>
      </c>
    </row>
    <row r="29" spans="1:13" x14ac:dyDescent="0.25">
      <c r="A29" s="139" t="s">
        <v>1055</v>
      </c>
      <c r="B29" s="139"/>
      <c r="C29" s="139"/>
      <c r="D29" s="139"/>
      <c r="E29" s="139">
        <v>5141802.5449999999</v>
      </c>
      <c r="F29" s="139"/>
      <c r="G29" s="139"/>
      <c r="H29" s="139"/>
      <c r="I29" s="139"/>
      <c r="J29" s="139"/>
      <c r="K29" s="139"/>
      <c r="L29" s="139"/>
      <c r="M29" s="139">
        <v>13648185.0832</v>
      </c>
    </row>
    <row r="30" spans="1:13" x14ac:dyDescent="0.25">
      <c r="A30" s="139" t="s">
        <v>1056</v>
      </c>
      <c r="B30" s="139"/>
      <c r="C30" s="139"/>
      <c r="D30" s="139"/>
      <c r="E30" s="139">
        <v>7499763.3899999997</v>
      </c>
      <c r="F30" s="139"/>
      <c r="G30" s="139"/>
      <c r="H30" s="139"/>
      <c r="I30" s="139"/>
      <c r="J30" s="139"/>
      <c r="K30" s="139"/>
      <c r="L30" s="139"/>
      <c r="M30" s="139">
        <v>12806266.069399999</v>
      </c>
    </row>
    <row r="31" spans="1:13" x14ac:dyDescent="0.25">
      <c r="A31" s="139" t="s">
        <v>1057</v>
      </c>
      <c r="B31" s="139"/>
      <c r="C31" s="139"/>
      <c r="D31" s="139"/>
      <c r="E31" s="139">
        <v>2171423</v>
      </c>
      <c r="F31" s="139"/>
      <c r="G31" s="139"/>
      <c r="H31" s="139"/>
      <c r="I31" s="139"/>
      <c r="J31" s="139">
        <v>2033478.9598999999</v>
      </c>
      <c r="K31" s="139"/>
      <c r="L31" s="139">
        <v>2695329.3590000002</v>
      </c>
      <c r="M31" s="139">
        <v>12172629.3188999</v>
      </c>
    </row>
    <row r="32" spans="1:13" x14ac:dyDescent="0.25">
      <c r="A32" s="214" t="s">
        <v>1064</v>
      </c>
      <c r="B32" s="214"/>
      <c r="C32" s="214"/>
      <c r="D32" s="214"/>
      <c r="E32" s="214">
        <v>5563980.72971946</v>
      </c>
      <c r="F32" s="214"/>
      <c r="G32" s="214"/>
      <c r="H32" s="214"/>
      <c r="I32" s="214"/>
      <c r="J32" s="214">
        <v>10335805.715</v>
      </c>
      <c r="K32" s="214"/>
      <c r="L32" s="214">
        <v>4855585.6876999997</v>
      </c>
      <c r="M32" s="214">
        <v>55904071.334687799</v>
      </c>
    </row>
    <row r="33" spans="1:13" x14ac:dyDescent="0.25">
      <c r="A33" s="139" t="s">
        <v>1065</v>
      </c>
      <c r="B33" s="139">
        <v>0.70810478084253703</v>
      </c>
      <c r="C33" s="139">
        <v>0.84180680505346295</v>
      </c>
      <c r="D33" s="139">
        <v>0.84022663682563203</v>
      </c>
      <c r="E33" s="139">
        <v>0.77630363335081498</v>
      </c>
      <c r="F33" s="139">
        <v>0.72251060997950001</v>
      </c>
      <c r="G33" s="139">
        <v>0.73303908985701105</v>
      </c>
      <c r="H33" s="139">
        <v>0.82715623147546502</v>
      </c>
      <c r="I33" s="139">
        <v>0.77965636284653805</v>
      </c>
      <c r="J33" s="139">
        <v>0.72154332604252502</v>
      </c>
      <c r="K33" s="139">
        <v>0.87896706298633498</v>
      </c>
      <c r="L33" s="139">
        <v>0.89952309141720299</v>
      </c>
      <c r="M33" s="139">
        <v>0.78149963922749499</v>
      </c>
    </row>
    <row r="35" spans="1:13" x14ac:dyDescent="0.25">
      <c r="A35" s="222" t="s">
        <v>1066</v>
      </c>
      <c r="B35" s="223">
        <f>SUMPRODUCT(B27:B29,B11:B13)/SUM(B27:B29)</f>
        <v>3549.0064470759294</v>
      </c>
      <c r="C35" s="223">
        <f t="shared" ref="C35:M35" si="0">SUMPRODUCT(C27:C29,C11:C13)/SUM(C27:C29)</f>
        <v>3421.6002622352171</v>
      </c>
      <c r="D35" s="223">
        <f t="shared" si="0"/>
        <v>3855.3426828697106</v>
      </c>
      <c r="E35" s="223">
        <f t="shared" si="0"/>
        <v>3622.5669517669403</v>
      </c>
      <c r="F35" s="223">
        <f t="shared" si="0"/>
        <v>3093.9872997438201</v>
      </c>
      <c r="G35" s="223">
        <f t="shared" si="0"/>
        <v>3455.7702172895501</v>
      </c>
      <c r="H35" s="223">
        <f t="shared" si="0"/>
        <v>3206.2768567553999</v>
      </c>
      <c r="I35" s="223">
        <f t="shared" si="0"/>
        <v>3571.4621431849801</v>
      </c>
      <c r="J35" s="223">
        <f t="shared" si="0"/>
        <v>3530.644539426236</v>
      </c>
      <c r="K35" s="223">
        <f t="shared" si="0"/>
        <v>3613.4656326937402</v>
      </c>
      <c r="L35" s="223">
        <f t="shared" si="0"/>
        <v>3631.3041198213655</v>
      </c>
      <c r="M35" s="223">
        <f t="shared" si="0"/>
        <v>3406.1724259384641</v>
      </c>
    </row>
    <row r="36" spans="1:13" x14ac:dyDescent="0.25">
      <c r="A36" s="222" t="s">
        <v>1067</v>
      </c>
      <c r="B36" s="223" t="e">
        <f>SUMPRODUCT(B30:B31,B14:B15)/SUM(B30:B31)</f>
        <v>#DIV/0!</v>
      </c>
      <c r="C36" s="223" t="e">
        <f t="shared" ref="C36:M36" si="1">SUMPRODUCT(C30:C31,C14:C15)/SUM(C30:C31)</f>
        <v>#DIV/0!</v>
      </c>
      <c r="D36" s="223" t="e">
        <f t="shared" si="1"/>
        <v>#DIV/0!</v>
      </c>
      <c r="E36" s="223">
        <f t="shared" si="1"/>
        <v>4192.6266607710277</v>
      </c>
      <c r="F36" s="223" t="e">
        <f t="shared" si="1"/>
        <v>#DIV/0!</v>
      </c>
      <c r="G36" s="223" t="e">
        <f t="shared" si="1"/>
        <v>#DIV/0!</v>
      </c>
      <c r="H36" s="223" t="e">
        <f t="shared" si="1"/>
        <v>#DIV/0!</v>
      </c>
      <c r="I36" s="223" t="e">
        <f t="shared" si="1"/>
        <v>#DIV/0!</v>
      </c>
      <c r="J36" s="223">
        <f t="shared" si="1"/>
        <v>6136.1422695091997</v>
      </c>
      <c r="K36" s="223" t="e">
        <f t="shared" si="1"/>
        <v>#DIV/0!</v>
      </c>
      <c r="L36" s="223">
        <f t="shared" si="1"/>
        <v>5596.4050736999297</v>
      </c>
      <c r="M36" s="223">
        <f t="shared" si="1"/>
        <v>4660.2657130996604</v>
      </c>
    </row>
    <row r="37" spans="1:13" x14ac:dyDescent="0.25">
      <c r="A37" s="222" t="s">
        <v>1068</v>
      </c>
      <c r="B37" s="335">
        <f>B16</f>
        <v>117.452515298507</v>
      </c>
      <c r="C37" s="335">
        <f t="shared" ref="C37:M37" si="2">C16</f>
        <v>143.415914321629</v>
      </c>
      <c r="D37" s="335">
        <f t="shared" si="2"/>
        <v>114.80682620911701</v>
      </c>
      <c r="E37" s="335">
        <f t="shared" si="2"/>
        <v>125.02726844639101</v>
      </c>
      <c r="F37" s="335">
        <f t="shared" si="2"/>
        <v>102.65489336834899</v>
      </c>
      <c r="G37" s="335">
        <f t="shared" si="2"/>
        <v>106.349427809237</v>
      </c>
      <c r="H37" s="335">
        <f t="shared" si="2"/>
        <v>98.763308072974297</v>
      </c>
      <c r="I37" s="335">
        <f t="shared" si="2"/>
        <v>98.128484848733194</v>
      </c>
      <c r="J37" s="335">
        <f t="shared" si="2"/>
        <v>113.96785934702299</v>
      </c>
      <c r="K37" s="335">
        <f t="shared" si="2"/>
        <v>129.34003665800199</v>
      </c>
      <c r="L37" s="335">
        <f t="shared" si="2"/>
        <v>137.34651425766299</v>
      </c>
      <c r="M37" s="335">
        <f t="shared" si="2"/>
        <v>114.303285124876</v>
      </c>
    </row>
    <row r="41" spans="1:13" x14ac:dyDescent="0.25">
      <c r="A41" s="161" t="s">
        <v>1069</v>
      </c>
    </row>
    <row r="42" spans="1:13" x14ac:dyDescent="0.25">
      <c r="A42" s="162"/>
    </row>
    <row r="43" spans="1:13" x14ac:dyDescent="0.25">
      <c r="A43" s="163" t="s">
        <v>1051</v>
      </c>
    </row>
    <row r="44" spans="1:13" x14ac:dyDescent="0.25">
      <c r="A44" s="163" t="s">
        <v>1070</v>
      </c>
    </row>
    <row r="45" spans="1:13" x14ac:dyDescent="0.25">
      <c r="A45" s="163" t="s">
        <v>1052</v>
      </c>
    </row>
    <row r="46" spans="1:13" x14ac:dyDescent="0.25">
      <c r="A46" s="163" t="s">
        <v>1071</v>
      </c>
    </row>
    <row r="47" spans="1:13" x14ac:dyDescent="0.25">
      <c r="A47" s="163" t="s">
        <v>1058</v>
      </c>
    </row>
    <row r="48" spans="1:13" x14ac:dyDescent="0.25">
      <c r="A48" s="163" t="s">
        <v>1072</v>
      </c>
    </row>
    <row r="49" spans="1:1" x14ac:dyDescent="0.25">
      <c r="A49" s="163" t="s">
        <v>1059</v>
      </c>
    </row>
    <row r="50" spans="1:1" x14ac:dyDescent="0.25">
      <c r="A50" s="163" t="s">
        <v>1073</v>
      </c>
    </row>
    <row r="51" spans="1:1" x14ac:dyDescent="0.25">
      <c r="A51" s="163" t="s">
        <v>1060</v>
      </c>
    </row>
    <row r="52" spans="1:1" x14ac:dyDescent="0.25">
      <c r="A52" s="163" t="s">
        <v>1074</v>
      </c>
    </row>
    <row r="53" spans="1:1" x14ac:dyDescent="0.25">
      <c r="A53" s="163" t="s">
        <v>1061</v>
      </c>
    </row>
    <row r="54" spans="1:1" x14ac:dyDescent="0.25">
      <c r="A54" s="163" t="s">
        <v>1074</v>
      </c>
    </row>
    <row r="55" spans="1:1" ht="30" x14ac:dyDescent="0.25">
      <c r="A55" s="163" t="s">
        <v>1062</v>
      </c>
    </row>
    <row r="56" spans="1:1" x14ac:dyDescent="0.25">
      <c r="A56" s="163" t="s">
        <v>1075</v>
      </c>
    </row>
    <row r="57" spans="1:1" x14ac:dyDescent="0.25">
      <c r="A57" s="163" t="s">
        <v>1063</v>
      </c>
    </row>
    <row r="58" spans="1:1" x14ac:dyDescent="0.25">
      <c r="A58" s="163" t="s">
        <v>1076</v>
      </c>
    </row>
    <row r="59" spans="1:1" x14ac:dyDescent="0.25">
      <c r="A59" s="163" t="s">
        <v>1065</v>
      </c>
    </row>
    <row r="60" spans="1:1" x14ac:dyDescent="0.25">
      <c r="A60" s="163" t="s">
        <v>460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AFAE-E015-4C18-8953-A5412F30594E}">
  <sheetPr>
    <tabColor rgb="FFC00000"/>
  </sheetPr>
  <dimension ref="B1:O38"/>
  <sheetViews>
    <sheetView zoomScale="80" zoomScaleNormal="80" workbookViewId="0">
      <selection activeCell="G15" sqref="G15"/>
    </sheetView>
  </sheetViews>
  <sheetFormatPr defaultColWidth="8.7109375" defaultRowHeight="12.75" x14ac:dyDescent="0.2"/>
  <cols>
    <col min="1" max="1" width="8.7109375" style="208"/>
    <col min="2" max="2" width="41.28515625" style="208" bestFit="1" customWidth="1"/>
    <col min="3" max="8" width="8.7109375" style="208"/>
    <col min="9" max="9" width="12.7109375" style="208" bestFit="1" customWidth="1"/>
    <col min="10" max="16384" width="8.7109375" style="208"/>
  </cols>
  <sheetData>
    <row r="1" spans="2:15" x14ac:dyDescent="0.2">
      <c r="B1" s="299" t="s">
        <v>1077</v>
      </c>
    </row>
    <row r="3" spans="2:15" x14ac:dyDescent="0.2">
      <c r="C3" s="208" t="s">
        <v>1078</v>
      </c>
      <c r="D3" s="208" t="s">
        <v>547</v>
      </c>
      <c r="E3" s="208" t="s">
        <v>1079</v>
      </c>
      <c r="F3" s="208" t="s">
        <v>1078</v>
      </c>
      <c r="G3" s="208" t="s">
        <v>547</v>
      </c>
      <c r="H3" s="208" t="s">
        <v>1079</v>
      </c>
      <c r="I3" s="208" t="s">
        <v>1080</v>
      </c>
      <c r="J3" s="208" t="s">
        <v>1081</v>
      </c>
      <c r="K3" s="208" t="s">
        <v>1082</v>
      </c>
      <c r="L3" s="208" t="s">
        <v>1083</v>
      </c>
      <c r="M3" s="208" t="s">
        <v>86</v>
      </c>
    </row>
    <row r="4" spans="2:15" x14ac:dyDescent="0.2">
      <c r="B4" s="208" t="s">
        <v>1084</v>
      </c>
      <c r="C4" s="208">
        <v>348</v>
      </c>
      <c r="D4" s="208">
        <v>73</v>
      </c>
      <c r="E4" s="471">
        <v>2010</v>
      </c>
      <c r="F4" s="471">
        <f>C4*(Legend!$B$71/Legend!$B$60)</f>
        <v>432.44712011391624</v>
      </c>
      <c r="G4" s="471">
        <f>D4*(Legend!$B$71/Legend!$B$60)</f>
        <v>90.714482092861743</v>
      </c>
      <c r="H4" s="471" t="s">
        <v>1085</v>
      </c>
      <c r="I4" s="208" t="s">
        <v>1086</v>
      </c>
      <c r="J4" s="208">
        <v>0.67</v>
      </c>
      <c r="K4" s="208" t="s">
        <v>1087</v>
      </c>
      <c r="L4" s="208" t="s">
        <v>1088</v>
      </c>
      <c r="O4" s="475">
        <f>J4/SUM($J$4:$J$8)</f>
        <v>0.15545243619489563</v>
      </c>
    </row>
    <row r="5" spans="2:15" x14ac:dyDescent="0.2">
      <c r="G5" s="475">
        <f>G4/F4</f>
        <v>0.20977011494252873</v>
      </c>
      <c r="I5" s="208" t="s">
        <v>82</v>
      </c>
      <c r="J5" s="208">
        <v>2.67</v>
      </c>
      <c r="K5" s="208" t="s">
        <v>1089</v>
      </c>
      <c r="L5" s="208" t="s">
        <v>1090</v>
      </c>
      <c r="O5" s="475">
        <f t="shared" ref="O5:O8" si="0">J5/SUM($J$4:$J$8)</f>
        <v>0.61948955916473325</v>
      </c>
    </row>
    <row r="6" spans="2:15" x14ac:dyDescent="0.2">
      <c r="I6" s="208" t="s">
        <v>127</v>
      </c>
      <c r="J6" s="208">
        <v>0.34</v>
      </c>
      <c r="O6" s="475">
        <f t="shared" si="0"/>
        <v>7.88863109048724E-2</v>
      </c>
    </row>
    <row r="7" spans="2:15" x14ac:dyDescent="0.2">
      <c r="I7" s="208" t="s">
        <v>116</v>
      </c>
      <c r="J7" s="208">
        <v>0.22</v>
      </c>
      <c r="O7" s="475">
        <f t="shared" si="0"/>
        <v>5.1044083526682139E-2</v>
      </c>
    </row>
    <row r="8" spans="2:15" x14ac:dyDescent="0.2">
      <c r="I8" s="208" t="s">
        <v>125</v>
      </c>
      <c r="J8" s="208">
        <v>0.41</v>
      </c>
      <c r="O8" s="475">
        <f t="shared" si="0"/>
        <v>9.5127610208816701E-2</v>
      </c>
    </row>
    <row r="9" spans="2:15" x14ac:dyDescent="0.2">
      <c r="B9" s="208" t="s">
        <v>1091</v>
      </c>
      <c r="C9" s="208">
        <v>348</v>
      </c>
      <c r="D9" s="208">
        <v>73</v>
      </c>
      <c r="E9" s="471">
        <v>2010</v>
      </c>
      <c r="F9" s="471">
        <f>C9*(Legend!$B$71/Legend!$B$60)</f>
        <v>432.44712011391624</v>
      </c>
      <c r="G9" s="471">
        <f>D9*(Legend!$B$71/Legend!$B$60)</f>
        <v>90.714482092861743</v>
      </c>
      <c r="H9" s="471" t="s">
        <v>1085</v>
      </c>
      <c r="I9" s="208" t="s">
        <v>1086</v>
      </c>
      <c r="J9" s="208">
        <v>1.04</v>
      </c>
      <c r="K9" s="208" t="s">
        <v>1087</v>
      </c>
      <c r="L9" s="208" t="s">
        <v>1088</v>
      </c>
      <c r="O9" s="475">
        <f>J9/SUM($J$9:$J$13)</f>
        <v>0.16049382716049382</v>
      </c>
    </row>
    <row r="10" spans="2:15" x14ac:dyDescent="0.2">
      <c r="G10" s="475">
        <f>G9/F9</f>
        <v>0.20977011494252873</v>
      </c>
      <c r="I10" s="208" t="s">
        <v>82</v>
      </c>
      <c r="J10" s="208">
        <v>4.16</v>
      </c>
      <c r="K10" s="208" t="s">
        <v>1089</v>
      </c>
      <c r="L10" s="208" t="s">
        <v>1090</v>
      </c>
      <c r="O10" s="475">
        <f t="shared" ref="O10:O13" si="1">J10/SUM($J$9:$J$13)</f>
        <v>0.64197530864197527</v>
      </c>
    </row>
    <row r="11" spans="2:15" x14ac:dyDescent="0.2">
      <c r="I11" s="208" t="s">
        <v>127</v>
      </c>
      <c r="J11" s="208">
        <v>0.52</v>
      </c>
      <c r="O11" s="475">
        <f t="shared" si="1"/>
        <v>8.0246913580246909E-2</v>
      </c>
    </row>
    <row r="12" spans="2:15" x14ac:dyDescent="0.2">
      <c r="I12" s="208" t="s">
        <v>116</v>
      </c>
      <c r="J12" s="208">
        <v>0.35</v>
      </c>
      <c r="O12" s="475">
        <f t="shared" si="1"/>
        <v>5.4012345679012336E-2</v>
      </c>
    </row>
    <row r="13" spans="2:15" x14ac:dyDescent="0.2">
      <c r="I13" s="208" t="s">
        <v>125</v>
      </c>
      <c r="J13" s="208">
        <v>0.41</v>
      </c>
      <c r="O13" s="475">
        <f t="shared" si="1"/>
        <v>6.3271604938271594E-2</v>
      </c>
    </row>
    <row r="14" spans="2:15" x14ac:dyDescent="0.2">
      <c r="B14" s="208" t="s">
        <v>1092</v>
      </c>
      <c r="C14" s="208">
        <v>740</v>
      </c>
      <c r="D14" s="208">
        <v>145</v>
      </c>
      <c r="E14" s="471">
        <v>2010</v>
      </c>
      <c r="F14" s="471">
        <f>C14*(Legend!$B$71/Legend!$B$60)</f>
        <v>919.57146231120123</v>
      </c>
      <c r="G14" s="471">
        <f>D14*(Legend!$B$71/Legend!$B$60)</f>
        <v>180.1863000474651</v>
      </c>
      <c r="H14" s="471" t="s">
        <v>1085</v>
      </c>
      <c r="I14" s="208" t="s">
        <v>1086</v>
      </c>
      <c r="J14" s="208">
        <v>0.67</v>
      </c>
      <c r="K14" s="208" t="s">
        <v>1087</v>
      </c>
      <c r="L14" s="208" t="s">
        <v>1088</v>
      </c>
    </row>
    <row r="15" spans="2:15" x14ac:dyDescent="0.2">
      <c r="G15" s="475">
        <f>G14/F14</f>
        <v>0.19594594594594594</v>
      </c>
      <c r="I15" s="208" t="s">
        <v>82</v>
      </c>
      <c r="J15" s="208">
        <v>2.67</v>
      </c>
      <c r="K15" s="208" t="s">
        <v>1089</v>
      </c>
      <c r="L15" s="208" t="s">
        <v>1090</v>
      </c>
    </row>
    <row r="16" spans="2:15" x14ac:dyDescent="0.2">
      <c r="I16" s="208" t="s">
        <v>127</v>
      </c>
      <c r="J16" s="208">
        <v>0.34</v>
      </c>
      <c r="K16" s="208" t="s">
        <v>1093</v>
      </c>
      <c r="L16" s="208" t="s">
        <v>1094</v>
      </c>
      <c r="M16" s="208" t="s">
        <v>1095</v>
      </c>
    </row>
    <row r="17" spans="2:13" x14ac:dyDescent="0.2">
      <c r="I17" s="208" t="s">
        <v>116</v>
      </c>
      <c r="J17" s="208">
        <v>0.22</v>
      </c>
    </row>
    <row r="18" spans="2:13" x14ac:dyDescent="0.2">
      <c r="I18" s="208" t="s">
        <v>125</v>
      </c>
      <c r="J18" s="208">
        <v>0.41</v>
      </c>
    </row>
    <row r="19" spans="2:13" x14ac:dyDescent="0.2">
      <c r="I19" s="208" t="s">
        <v>1096</v>
      </c>
      <c r="J19" s="208">
        <v>2.66</v>
      </c>
    </row>
    <row r="20" spans="2:13" x14ac:dyDescent="0.2">
      <c r="I20" s="208" t="s">
        <v>1097</v>
      </c>
      <c r="J20" s="208">
        <v>0.51</v>
      </c>
    </row>
    <row r="21" spans="2:13" x14ac:dyDescent="0.2">
      <c r="B21" s="208" t="s">
        <v>1098</v>
      </c>
      <c r="C21" s="208">
        <v>433</v>
      </c>
      <c r="D21" s="208">
        <v>88</v>
      </c>
      <c r="E21" s="471">
        <v>2010</v>
      </c>
      <c r="F21" s="471">
        <f>C21*(Legend!$B$71/Legend!$B$60)</f>
        <v>538.07357186587853</v>
      </c>
      <c r="G21" s="471">
        <f>D21*(Legend!$B$71/Legend!$B$60)</f>
        <v>109.35444416673745</v>
      </c>
      <c r="H21" s="471" t="s">
        <v>1085</v>
      </c>
      <c r="I21" s="208" t="s">
        <v>1086</v>
      </c>
      <c r="J21" s="208">
        <v>0.67</v>
      </c>
      <c r="K21" s="208" t="s">
        <v>1087</v>
      </c>
      <c r="L21" s="208" t="s">
        <v>1088</v>
      </c>
    </row>
    <row r="22" spans="2:13" x14ac:dyDescent="0.2">
      <c r="G22" s="475">
        <f>G21/F21</f>
        <v>0.20323325635103928</v>
      </c>
      <c r="I22" s="208" t="s">
        <v>82</v>
      </c>
      <c r="J22" s="208">
        <v>2.67</v>
      </c>
      <c r="K22" s="208" t="s">
        <v>1089</v>
      </c>
      <c r="L22" s="208" t="s">
        <v>1090</v>
      </c>
    </row>
    <row r="23" spans="2:13" x14ac:dyDescent="0.2">
      <c r="I23" s="208" t="s">
        <v>127</v>
      </c>
      <c r="J23" s="208">
        <v>0.34</v>
      </c>
      <c r="K23" s="208" t="s">
        <v>1093</v>
      </c>
      <c r="L23" s="208" t="s">
        <v>1094</v>
      </c>
    </row>
    <row r="24" spans="2:13" x14ac:dyDescent="0.2">
      <c r="I24" s="208" t="s">
        <v>116</v>
      </c>
      <c r="J24" s="208">
        <v>0.22</v>
      </c>
    </row>
    <row r="25" spans="2:13" x14ac:dyDescent="0.2">
      <c r="I25" s="208" t="s">
        <v>125</v>
      </c>
      <c r="J25" s="208">
        <v>0.82</v>
      </c>
    </row>
    <row r="26" spans="2:13" x14ac:dyDescent="0.2">
      <c r="B26" s="470" t="s">
        <v>1099</v>
      </c>
      <c r="C26" s="208">
        <v>1100</v>
      </c>
      <c r="D26" s="208">
        <v>230</v>
      </c>
      <c r="E26" s="471">
        <v>2010</v>
      </c>
      <c r="F26" s="471">
        <f>C26*(Legend!$B$71/Legend!$B$60)</f>
        <v>1366.9305520842181</v>
      </c>
      <c r="G26" s="471">
        <f>D26*(Legend!$B$71/Legend!$B$60)</f>
        <v>285.81275179942742</v>
      </c>
      <c r="H26" s="471" t="s">
        <v>1085</v>
      </c>
      <c r="I26" s="208" t="s">
        <v>1086</v>
      </c>
      <c r="J26" s="208">
        <v>0.19</v>
      </c>
      <c r="K26" s="208" t="s">
        <v>0</v>
      </c>
      <c r="L26" s="208" t="s">
        <v>1088</v>
      </c>
    </row>
    <row r="27" spans="2:13" x14ac:dyDescent="0.2">
      <c r="G27" s="475">
        <f>G26/F26</f>
        <v>0.20909090909090908</v>
      </c>
      <c r="I27" s="208" t="s">
        <v>82</v>
      </c>
      <c r="J27" s="208">
        <v>0.74</v>
      </c>
      <c r="K27" s="208" t="s">
        <v>1089</v>
      </c>
      <c r="L27" s="208" t="s">
        <v>1100</v>
      </c>
      <c r="M27" s="208" t="s">
        <v>1101</v>
      </c>
    </row>
    <row r="28" spans="2:13" x14ac:dyDescent="0.2">
      <c r="I28" s="208" t="s">
        <v>127</v>
      </c>
      <c r="J28" s="208">
        <v>0.09</v>
      </c>
    </row>
    <row r="29" spans="2:13" x14ac:dyDescent="0.2">
      <c r="I29" s="208" t="s">
        <v>116</v>
      </c>
      <c r="J29" s="208">
        <v>0.06</v>
      </c>
    </row>
    <row r="30" spans="2:13" x14ac:dyDescent="0.2">
      <c r="I30" s="208" t="s">
        <v>125</v>
      </c>
      <c r="J30" s="208">
        <v>0.11</v>
      </c>
    </row>
    <row r="31" spans="2:13" x14ac:dyDescent="0.2">
      <c r="B31" s="208" t="s">
        <v>1102</v>
      </c>
      <c r="C31" s="208">
        <v>361</v>
      </c>
      <c r="D31" s="208">
        <v>76</v>
      </c>
      <c r="E31" s="471">
        <v>2010</v>
      </c>
      <c r="F31" s="471">
        <f>C31*(Legend!$B$71/Legend!$B$60)</f>
        <v>448.60175391127518</v>
      </c>
      <c r="G31" s="471">
        <f>D31*(Legend!$B$71/Legend!$B$60)</f>
        <v>94.442474507636888</v>
      </c>
      <c r="H31" s="471" t="s">
        <v>1085</v>
      </c>
      <c r="I31" s="208" t="s">
        <v>1086</v>
      </c>
      <c r="J31" s="208">
        <v>0.6</v>
      </c>
      <c r="K31" s="208" t="s">
        <v>0</v>
      </c>
      <c r="L31" s="208" t="s">
        <v>1088</v>
      </c>
    </row>
    <row r="32" spans="2:13" x14ac:dyDescent="0.2">
      <c r="I32" s="208" t="s">
        <v>82</v>
      </c>
      <c r="J32" s="208">
        <v>2.4</v>
      </c>
      <c r="K32" s="208" t="s">
        <v>1089</v>
      </c>
      <c r="L32" s="208" t="s">
        <v>1100</v>
      </c>
      <c r="M32" s="208" t="s">
        <v>1101</v>
      </c>
    </row>
    <row r="33" spans="2:13" x14ac:dyDescent="0.2">
      <c r="I33" s="208" t="s">
        <v>127</v>
      </c>
      <c r="J33" s="208">
        <v>0.31</v>
      </c>
    </row>
    <row r="34" spans="2:13" x14ac:dyDescent="0.2">
      <c r="I34" s="208" t="s">
        <v>116</v>
      </c>
      <c r="J34" s="208">
        <v>0.2</v>
      </c>
    </row>
    <row r="35" spans="2:13" x14ac:dyDescent="0.2">
      <c r="I35" s="208" t="s">
        <v>125</v>
      </c>
      <c r="J35" s="208">
        <v>0.43</v>
      </c>
    </row>
    <row r="37" spans="2:13" x14ac:dyDescent="0.2">
      <c r="B37" s="208" t="s">
        <v>1103</v>
      </c>
      <c r="C37" s="208">
        <v>12</v>
      </c>
      <c r="D37" s="208">
        <v>3</v>
      </c>
      <c r="E37" s="471">
        <v>2010</v>
      </c>
      <c r="F37" s="471">
        <f>C37*(Legend!$B$71/Legend!$B$60)</f>
        <v>14.91196965910056</v>
      </c>
      <c r="G37" s="471">
        <f>D37*(Legend!$B$71/Legend!$B$60)</f>
        <v>3.72799241477514</v>
      </c>
      <c r="H37" s="471" t="s">
        <v>1085</v>
      </c>
      <c r="I37" s="208" t="s">
        <v>1087</v>
      </c>
      <c r="J37" s="208" t="s">
        <v>1104</v>
      </c>
      <c r="K37" s="208" t="s">
        <v>0</v>
      </c>
      <c r="L37" s="208" t="s">
        <v>1088</v>
      </c>
    </row>
    <row r="38" spans="2:13" x14ac:dyDescent="0.2">
      <c r="I38" s="208" t="s">
        <v>1105</v>
      </c>
      <c r="J38" s="208" t="s">
        <v>1106</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39D8-EB92-4BF0-A2F0-0AE74430E19C}">
  <sheetPr>
    <tabColor rgb="FFC6E0B4"/>
  </sheetPr>
  <dimension ref="B2:I76"/>
  <sheetViews>
    <sheetView topLeftCell="A33" zoomScaleNormal="100" workbookViewId="0">
      <selection activeCell="D41" sqref="D41"/>
    </sheetView>
  </sheetViews>
  <sheetFormatPr defaultRowHeight="15" x14ac:dyDescent="0.25"/>
  <cols>
    <col min="3" max="3" width="17.42578125" bestFit="1" customWidth="1"/>
    <col min="4" max="4" width="51.7109375" bestFit="1" customWidth="1"/>
    <col min="8" max="8" width="10.7109375" bestFit="1" customWidth="1"/>
  </cols>
  <sheetData>
    <row r="2" spans="2:9" x14ac:dyDescent="0.25">
      <c r="B2" s="42" t="s">
        <v>301</v>
      </c>
    </row>
    <row r="3" spans="2:9" ht="15.75" thickBot="1" x14ac:dyDescent="0.3">
      <c r="B3" s="44" t="s">
        <v>305</v>
      </c>
      <c r="C3" s="44" t="s">
        <v>306</v>
      </c>
      <c r="D3" s="44" t="s">
        <v>307</v>
      </c>
      <c r="E3" s="44" t="s">
        <v>308</v>
      </c>
      <c r="F3" s="44" t="s">
        <v>309</v>
      </c>
      <c r="G3" s="44" t="s">
        <v>310</v>
      </c>
      <c r="H3" s="44" t="s">
        <v>311</v>
      </c>
      <c r="I3" s="44" t="s">
        <v>312</v>
      </c>
    </row>
    <row r="4" spans="2:9" x14ac:dyDescent="0.25">
      <c r="B4" t="s">
        <v>560</v>
      </c>
      <c r="C4" t="s">
        <v>1107</v>
      </c>
      <c r="D4" t="s">
        <v>1108</v>
      </c>
      <c r="E4" t="s">
        <v>454</v>
      </c>
      <c r="F4" t="s">
        <v>574</v>
      </c>
    </row>
    <row r="5" spans="2:9" x14ac:dyDescent="0.25">
      <c r="B5" t="s">
        <v>560</v>
      </c>
      <c r="C5" t="s">
        <v>1109</v>
      </c>
      <c r="D5" t="s">
        <v>1110</v>
      </c>
      <c r="E5" t="s">
        <v>454</v>
      </c>
      <c r="F5" t="s">
        <v>574</v>
      </c>
    </row>
    <row r="6" spans="2:9" x14ac:dyDescent="0.25">
      <c r="B6" t="s">
        <v>560</v>
      </c>
      <c r="C6" t="s">
        <v>1111</v>
      </c>
      <c r="D6" t="s">
        <v>1112</v>
      </c>
      <c r="E6" t="s">
        <v>323</v>
      </c>
      <c r="F6" t="s">
        <v>1113</v>
      </c>
    </row>
    <row r="7" spans="2:9" x14ac:dyDescent="0.25">
      <c r="B7" t="s">
        <v>560</v>
      </c>
      <c r="C7" t="s">
        <v>1114</v>
      </c>
      <c r="D7" t="s">
        <v>1115</v>
      </c>
      <c r="E7" t="s">
        <v>454</v>
      </c>
      <c r="F7" t="s">
        <v>574</v>
      </c>
    </row>
    <row r="8" spans="2:9" x14ac:dyDescent="0.25">
      <c r="B8" t="s">
        <v>560</v>
      </c>
      <c r="C8" t="s">
        <v>1116</v>
      </c>
      <c r="D8" t="s">
        <v>1117</v>
      </c>
      <c r="E8" t="s">
        <v>454</v>
      </c>
      <c r="F8" t="s">
        <v>574</v>
      </c>
    </row>
    <row r="9" spans="2:9" x14ac:dyDescent="0.25">
      <c r="B9" t="s">
        <v>560</v>
      </c>
      <c r="C9" t="s">
        <v>1118</v>
      </c>
      <c r="D9" t="s">
        <v>1119</v>
      </c>
      <c r="E9" t="s">
        <v>454</v>
      </c>
      <c r="F9" t="s">
        <v>574</v>
      </c>
    </row>
    <row r="10" spans="2:9" x14ac:dyDescent="0.25">
      <c r="B10" t="s">
        <v>560</v>
      </c>
      <c r="C10" t="s">
        <v>1120</v>
      </c>
      <c r="D10" t="s">
        <v>1121</v>
      </c>
      <c r="E10" t="s">
        <v>454</v>
      </c>
      <c r="F10" t="s">
        <v>574</v>
      </c>
    </row>
    <row r="11" spans="2:9" x14ac:dyDescent="0.25">
      <c r="B11" t="s">
        <v>560</v>
      </c>
      <c r="C11" t="s">
        <v>1122</v>
      </c>
      <c r="D11" t="s">
        <v>1123</v>
      </c>
      <c r="E11" t="s">
        <v>454</v>
      </c>
      <c r="F11" t="s">
        <v>574</v>
      </c>
    </row>
    <row r="12" spans="2:9" x14ac:dyDescent="0.25">
      <c r="B12" t="s">
        <v>560</v>
      </c>
      <c r="C12" t="s">
        <v>1124</v>
      </c>
      <c r="D12" t="s">
        <v>1125</v>
      </c>
      <c r="E12" t="s">
        <v>454</v>
      </c>
      <c r="F12" t="s">
        <v>574</v>
      </c>
    </row>
    <row r="13" spans="2:9" x14ac:dyDescent="0.25">
      <c r="B13" t="s">
        <v>560</v>
      </c>
      <c r="C13" t="s">
        <v>1126</v>
      </c>
      <c r="D13" t="s">
        <v>1127</v>
      </c>
      <c r="E13" t="s">
        <v>454</v>
      </c>
      <c r="F13" t="s">
        <v>574</v>
      </c>
    </row>
    <row r="14" spans="2:9" x14ac:dyDescent="0.25">
      <c r="B14" t="s">
        <v>560</v>
      </c>
      <c r="C14" t="s">
        <v>1128</v>
      </c>
      <c r="D14" t="s">
        <v>1129</v>
      </c>
      <c r="E14" t="s">
        <v>454</v>
      </c>
      <c r="F14" t="s">
        <v>574</v>
      </c>
    </row>
    <row r="15" spans="2:9" x14ac:dyDescent="0.25">
      <c r="B15" t="s">
        <v>560</v>
      </c>
      <c r="C15" t="s">
        <v>1130</v>
      </c>
      <c r="D15" t="s">
        <v>1131</v>
      </c>
      <c r="E15" t="s">
        <v>454</v>
      </c>
      <c r="F15" t="s">
        <v>574</v>
      </c>
    </row>
    <row r="16" spans="2:9" x14ac:dyDescent="0.25">
      <c r="B16" t="s">
        <v>560</v>
      </c>
      <c r="C16" t="s">
        <v>1132</v>
      </c>
      <c r="D16" t="s">
        <v>1133</v>
      </c>
      <c r="E16" t="s">
        <v>454</v>
      </c>
      <c r="F16" t="s">
        <v>574</v>
      </c>
    </row>
    <row r="17" spans="2:9" x14ac:dyDescent="0.25">
      <c r="B17" t="s">
        <v>571</v>
      </c>
      <c r="C17" t="s">
        <v>1134</v>
      </c>
      <c r="D17" t="s">
        <v>1135</v>
      </c>
      <c r="E17" t="s">
        <v>454</v>
      </c>
      <c r="F17" t="s">
        <v>574</v>
      </c>
    </row>
    <row r="18" spans="2:9" x14ac:dyDescent="0.25">
      <c r="B18" s="215" t="s">
        <v>322</v>
      </c>
      <c r="C18" s="215" t="s">
        <v>1136</v>
      </c>
      <c r="D18" s="215" t="s">
        <v>1137</v>
      </c>
      <c r="E18" s="215" t="s">
        <v>323</v>
      </c>
      <c r="F18" s="215" t="s">
        <v>1113</v>
      </c>
      <c r="G18" s="215"/>
      <c r="H18" s="215"/>
      <c r="I18" s="215"/>
    </row>
    <row r="19" spans="2:9" x14ac:dyDescent="0.25">
      <c r="B19" t="s">
        <v>322</v>
      </c>
      <c r="C19" t="s">
        <v>1138</v>
      </c>
      <c r="D19" t="s">
        <v>1139</v>
      </c>
      <c r="E19" t="s">
        <v>323</v>
      </c>
      <c r="F19" t="s">
        <v>1113</v>
      </c>
    </row>
    <row r="20" spans="2:9" x14ac:dyDescent="0.25">
      <c r="B20" t="s">
        <v>322</v>
      </c>
      <c r="C20" t="s">
        <v>1140</v>
      </c>
      <c r="D20" t="s">
        <v>1141</v>
      </c>
      <c r="E20" t="s">
        <v>323</v>
      </c>
      <c r="F20" t="s">
        <v>1113</v>
      </c>
    </row>
    <row r="21" spans="2:9" x14ac:dyDescent="0.25">
      <c r="B21" t="s">
        <v>322</v>
      </c>
      <c r="C21" t="s">
        <v>1142</v>
      </c>
      <c r="D21" t="s">
        <v>1143</v>
      </c>
      <c r="E21" t="s">
        <v>323</v>
      </c>
      <c r="F21" t="s">
        <v>1113</v>
      </c>
    </row>
    <row r="22" spans="2:9" x14ac:dyDescent="0.25">
      <c r="B22" t="s">
        <v>322</v>
      </c>
      <c r="C22" t="s">
        <v>1144</v>
      </c>
      <c r="D22" t="s">
        <v>1145</v>
      </c>
      <c r="E22" t="s">
        <v>323</v>
      </c>
      <c r="F22" t="s">
        <v>1113</v>
      </c>
    </row>
    <row r="23" spans="2:9" x14ac:dyDescent="0.25">
      <c r="B23" t="s">
        <v>322</v>
      </c>
      <c r="C23" t="s">
        <v>1146</v>
      </c>
      <c r="D23" t="s">
        <v>1147</v>
      </c>
      <c r="E23" t="s">
        <v>323</v>
      </c>
      <c r="F23" t="s">
        <v>1113</v>
      </c>
    </row>
    <row r="24" spans="2:9" x14ac:dyDescent="0.25">
      <c r="B24" t="s">
        <v>322</v>
      </c>
      <c r="C24" t="s">
        <v>1148</v>
      </c>
      <c r="D24" t="s">
        <v>1149</v>
      </c>
      <c r="E24" t="s">
        <v>323</v>
      </c>
      <c r="F24" t="s">
        <v>1113</v>
      </c>
    </row>
    <row r="25" spans="2:9" x14ac:dyDescent="0.25">
      <c r="B25" t="s">
        <v>322</v>
      </c>
      <c r="C25" t="s">
        <v>1150</v>
      </c>
      <c r="D25" t="s">
        <v>1151</v>
      </c>
      <c r="E25" t="s">
        <v>323</v>
      </c>
      <c r="F25" t="s">
        <v>1113</v>
      </c>
    </row>
    <row r="26" spans="2:9" x14ac:dyDescent="0.25">
      <c r="B26" t="s">
        <v>322</v>
      </c>
      <c r="C26" t="s">
        <v>1152</v>
      </c>
      <c r="D26" t="s">
        <v>1153</v>
      </c>
      <c r="E26" t="s">
        <v>323</v>
      </c>
      <c r="F26" t="s">
        <v>1113</v>
      </c>
    </row>
    <row r="27" spans="2:9" x14ac:dyDescent="0.25">
      <c r="B27" t="s">
        <v>322</v>
      </c>
      <c r="C27" t="s">
        <v>1154</v>
      </c>
      <c r="D27" t="s">
        <v>1155</v>
      </c>
      <c r="E27" t="s">
        <v>323</v>
      </c>
      <c r="F27" t="s">
        <v>1113</v>
      </c>
    </row>
    <row r="28" spans="2:9" x14ac:dyDescent="0.25">
      <c r="B28" t="s">
        <v>322</v>
      </c>
      <c r="C28" t="s">
        <v>1156</v>
      </c>
      <c r="D28" t="s">
        <v>1157</v>
      </c>
      <c r="E28" t="s">
        <v>323</v>
      </c>
      <c r="F28" t="s">
        <v>1113</v>
      </c>
    </row>
    <row r="29" spans="2:9" x14ac:dyDescent="0.25">
      <c r="B29" t="s">
        <v>322</v>
      </c>
      <c r="C29" t="s">
        <v>1158</v>
      </c>
      <c r="D29" t="s">
        <v>1159</v>
      </c>
      <c r="E29" t="s">
        <v>323</v>
      </c>
      <c r="F29" t="s">
        <v>1113</v>
      </c>
    </row>
    <row r="30" spans="2:9" x14ac:dyDescent="0.25">
      <c r="B30" t="s">
        <v>322</v>
      </c>
      <c r="C30" t="s">
        <v>1160</v>
      </c>
      <c r="D30" t="s">
        <v>1161</v>
      </c>
      <c r="E30" t="s">
        <v>323</v>
      </c>
      <c r="F30" t="s">
        <v>1113</v>
      </c>
    </row>
    <row r="31" spans="2:9" x14ac:dyDescent="0.25">
      <c r="B31" t="s">
        <v>322</v>
      </c>
      <c r="C31" t="s">
        <v>1162</v>
      </c>
      <c r="D31" t="s">
        <v>1163</v>
      </c>
      <c r="E31" t="s">
        <v>323</v>
      </c>
      <c r="F31" t="s">
        <v>1113</v>
      </c>
    </row>
    <row r="32" spans="2:9" x14ac:dyDescent="0.25">
      <c r="B32" t="s">
        <v>322</v>
      </c>
      <c r="C32" t="s">
        <v>1164</v>
      </c>
      <c r="D32" t="s">
        <v>1165</v>
      </c>
      <c r="E32" t="s">
        <v>323</v>
      </c>
      <c r="F32" t="s">
        <v>1113</v>
      </c>
    </row>
    <row r="33" spans="2:6" x14ac:dyDescent="0.25">
      <c r="B33" t="s">
        <v>322</v>
      </c>
      <c r="C33" t="s">
        <v>1166</v>
      </c>
      <c r="D33" t="s">
        <v>1167</v>
      </c>
      <c r="E33" t="s">
        <v>323</v>
      </c>
      <c r="F33" t="s">
        <v>1113</v>
      </c>
    </row>
    <row r="34" spans="2:6" x14ac:dyDescent="0.25">
      <c r="B34" t="s">
        <v>322</v>
      </c>
      <c r="C34" t="s">
        <v>1168</v>
      </c>
      <c r="D34" t="s">
        <v>1169</v>
      </c>
      <c r="E34" t="s">
        <v>323</v>
      </c>
      <c r="F34" t="s">
        <v>1113</v>
      </c>
    </row>
    <row r="35" spans="2:6" x14ac:dyDescent="0.25">
      <c r="B35" t="s">
        <v>322</v>
      </c>
      <c r="C35" t="s">
        <v>1170</v>
      </c>
      <c r="D35" t="s">
        <v>1171</v>
      </c>
      <c r="E35" t="s">
        <v>323</v>
      </c>
      <c r="F35" t="s">
        <v>1113</v>
      </c>
    </row>
    <row r="36" spans="2:6" x14ac:dyDescent="0.25">
      <c r="B36" t="s">
        <v>322</v>
      </c>
      <c r="C36" t="s">
        <v>1172</v>
      </c>
      <c r="D36" t="s">
        <v>1173</v>
      </c>
      <c r="E36" t="s">
        <v>323</v>
      </c>
      <c r="F36" t="s">
        <v>1113</v>
      </c>
    </row>
    <row r="37" spans="2:6" x14ac:dyDescent="0.25">
      <c r="B37" t="s">
        <v>322</v>
      </c>
      <c r="C37" t="s">
        <v>1174</v>
      </c>
      <c r="D37" t="s">
        <v>1175</v>
      </c>
      <c r="E37" t="s">
        <v>323</v>
      </c>
      <c r="F37" t="s">
        <v>1113</v>
      </c>
    </row>
    <row r="38" spans="2:6" x14ac:dyDescent="0.25">
      <c r="B38" t="s">
        <v>322</v>
      </c>
      <c r="C38" t="s">
        <v>1176</v>
      </c>
      <c r="D38" t="s">
        <v>1177</v>
      </c>
      <c r="E38" t="s">
        <v>323</v>
      </c>
      <c r="F38" t="s">
        <v>1113</v>
      </c>
    </row>
    <row r="39" spans="2:6" x14ac:dyDescent="0.25">
      <c r="B39" t="s">
        <v>322</v>
      </c>
      <c r="C39" t="s">
        <v>1178</v>
      </c>
      <c r="D39" t="s">
        <v>1179</v>
      </c>
      <c r="E39" t="s">
        <v>323</v>
      </c>
      <c r="F39" t="s">
        <v>1113</v>
      </c>
    </row>
    <row r="40" spans="2:6" x14ac:dyDescent="0.25">
      <c r="B40" t="s">
        <v>322</v>
      </c>
      <c r="C40" t="s">
        <v>1703</v>
      </c>
      <c r="D40" t="s">
        <v>1706</v>
      </c>
      <c r="E40" t="s">
        <v>323</v>
      </c>
      <c r="F40" t="s">
        <v>1113</v>
      </c>
    </row>
    <row r="41" spans="2:6" x14ac:dyDescent="0.25">
      <c r="B41" t="s">
        <v>322</v>
      </c>
      <c r="C41" t="s">
        <v>1180</v>
      </c>
      <c r="D41" t="s">
        <v>1181</v>
      </c>
      <c r="E41" t="s">
        <v>323</v>
      </c>
      <c r="F41" t="s">
        <v>1113</v>
      </c>
    </row>
    <row r="42" spans="2:6" x14ac:dyDescent="0.25">
      <c r="B42" t="s">
        <v>322</v>
      </c>
      <c r="C42" t="s">
        <v>1182</v>
      </c>
      <c r="D42" t="s">
        <v>1183</v>
      </c>
      <c r="E42" t="s">
        <v>323</v>
      </c>
      <c r="F42" t="s">
        <v>1113</v>
      </c>
    </row>
    <row r="43" spans="2:6" x14ac:dyDescent="0.25">
      <c r="B43" t="s">
        <v>322</v>
      </c>
      <c r="C43" t="s">
        <v>1184</v>
      </c>
      <c r="D43" t="s">
        <v>1185</v>
      </c>
      <c r="E43" t="s">
        <v>323</v>
      </c>
      <c r="F43" t="s">
        <v>1113</v>
      </c>
    </row>
    <row r="44" spans="2:6" x14ac:dyDescent="0.25">
      <c r="B44" t="s">
        <v>322</v>
      </c>
      <c r="C44" t="s">
        <v>1186</v>
      </c>
      <c r="D44" t="s">
        <v>1187</v>
      </c>
      <c r="E44" t="s">
        <v>323</v>
      </c>
      <c r="F44" t="s">
        <v>1113</v>
      </c>
    </row>
    <row r="45" spans="2:6" x14ac:dyDescent="0.25">
      <c r="B45" t="s">
        <v>322</v>
      </c>
      <c r="C45" t="s">
        <v>1188</v>
      </c>
      <c r="D45" t="s">
        <v>1189</v>
      </c>
      <c r="E45" t="s">
        <v>323</v>
      </c>
      <c r="F45" t="s">
        <v>1113</v>
      </c>
    </row>
    <row r="46" spans="2:6" x14ac:dyDescent="0.25">
      <c r="B46" t="s">
        <v>322</v>
      </c>
      <c r="C46" t="s">
        <v>1190</v>
      </c>
      <c r="D46" t="s">
        <v>1191</v>
      </c>
      <c r="E46" t="s">
        <v>323</v>
      </c>
      <c r="F46" t="s">
        <v>1113</v>
      </c>
    </row>
    <row r="47" spans="2:6" x14ac:dyDescent="0.25">
      <c r="B47" t="s">
        <v>322</v>
      </c>
      <c r="C47" t="s">
        <v>1192</v>
      </c>
      <c r="D47" t="s">
        <v>1193</v>
      </c>
      <c r="E47" t="s">
        <v>323</v>
      </c>
      <c r="F47" t="s">
        <v>1113</v>
      </c>
    </row>
    <row r="48" spans="2:6" x14ac:dyDescent="0.25">
      <c r="B48" t="s">
        <v>322</v>
      </c>
      <c r="C48" t="s">
        <v>1194</v>
      </c>
      <c r="D48" t="s">
        <v>1195</v>
      </c>
      <c r="E48" t="s">
        <v>323</v>
      </c>
      <c r="F48" t="s">
        <v>1113</v>
      </c>
    </row>
    <row r="49" spans="2:6" x14ac:dyDescent="0.25">
      <c r="B49" t="s">
        <v>322</v>
      </c>
      <c r="C49" t="s">
        <v>1196</v>
      </c>
      <c r="D49" t="s">
        <v>1197</v>
      </c>
      <c r="E49" t="s">
        <v>323</v>
      </c>
      <c r="F49" t="s">
        <v>1113</v>
      </c>
    </row>
    <row r="50" spans="2:6" x14ac:dyDescent="0.25">
      <c r="B50" t="s">
        <v>322</v>
      </c>
      <c r="C50" t="s">
        <v>1198</v>
      </c>
      <c r="D50" t="s">
        <v>1199</v>
      </c>
      <c r="E50" t="s">
        <v>323</v>
      </c>
      <c r="F50" t="s">
        <v>1113</v>
      </c>
    </row>
    <row r="51" spans="2:6" x14ac:dyDescent="0.25">
      <c r="B51" t="s">
        <v>322</v>
      </c>
      <c r="C51" t="s">
        <v>1200</v>
      </c>
      <c r="D51" t="s">
        <v>1201</v>
      </c>
      <c r="E51" t="s">
        <v>323</v>
      </c>
      <c r="F51" t="s">
        <v>1113</v>
      </c>
    </row>
    <row r="52" spans="2:6" x14ac:dyDescent="0.25">
      <c r="B52" t="s">
        <v>322</v>
      </c>
      <c r="C52" t="s">
        <v>1202</v>
      </c>
      <c r="D52" t="s">
        <v>1203</v>
      </c>
      <c r="E52" t="s">
        <v>323</v>
      </c>
      <c r="F52" t="s">
        <v>1113</v>
      </c>
    </row>
    <row r="53" spans="2:6" x14ac:dyDescent="0.25">
      <c r="B53" t="s">
        <v>322</v>
      </c>
      <c r="C53" t="s">
        <v>1204</v>
      </c>
      <c r="D53" t="s">
        <v>1205</v>
      </c>
      <c r="E53" t="s">
        <v>323</v>
      </c>
      <c r="F53" t="s">
        <v>1113</v>
      </c>
    </row>
    <row r="54" spans="2:6" x14ac:dyDescent="0.25">
      <c r="B54" t="s">
        <v>322</v>
      </c>
      <c r="C54" t="s">
        <v>1206</v>
      </c>
      <c r="D54" t="s">
        <v>1207</v>
      </c>
      <c r="E54" t="s">
        <v>323</v>
      </c>
      <c r="F54" t="s">
        <v>1113</v>
      </c>
    </row>
    <row r="55" spans="2:6" x14ac:dyDescent="0.25">
      <c r="B55" t="s">
        <v>322</v>
      </c>
      <c r="C55" t="s">
        <v>1208</v>
      </c>
      <c r="D55" t="s">
        <v>1209</v>
      </c>
      <c r="E55" t="s">
        <v>323</v>
      </c>
      <c r="F55" t="s">
        <v>1113</v>
      </c>
    </row>
    <row r="56" spans="2:6" x14ac:dyDescent="0.25">
      <c r="B56" t="s">
        <v>322</v>
      </c>
      <c r="C56" t="s">
        <v>1210</v>
      </c>
      <c r="D56" t="s">
        <v>1211</v>
      </c>
      <c r="E56" t="s">
        <v>323</v>
      </c>
      <c r="F56" t="s">
        <v>1113</v>
      </c>
    </row>
    <row r="57" spans="2:6" x14ac:dyDescent="0.25">
      <c r="B57" t="s">
        <v>322</v>
      </c>
      <c r="C57" t="s">
        <v>1212</v>
      </c>
      <c r="D57" t="s">
        <v>1213</v>
      </c>
      <c r="E57" t="s">
        <v>323</v>
      </c>
      <c r="F57" t="s">
        <v>1113</v>
      </c>
    </row>
    <row r="58" spans="2:6" x14ac:dyDescent="0.25">
      <c r="B58" t="s">
        <v>322</v>
      </c>
      <c r="C58" t="s">
        <v>1214</v>
      </c>
      <c r="D58" t="s">
        <v>1215</v>
      </c>
      <c r="E58" t="s">
        <v>323</v>
      </c>
      <c r="F58" t="s">
        <v>1113</v>
      </c>
    </row>
    <row r="59" spans="2:6" x14ac:dyDescent="0.25">
      <c r="B59" t="s">
        <v>322</v>
      </c>
      <c r="C59" t="s">
        <v>1216</v>
      </c>
      <c r="D59" t="s">
        <v>1217</v>
      </c>
      <c r="E59" t="s">
        <v>323</v>
      </c>
      <c r="F59" t="s">
        <v>1113</v>
      </c>
    </row>
    <row r="60" spans="2:6" x14ac:dyDescent="0.25">
      <c r="B60" t="s">
        <v>322</v>
      </c>
      <c r="C60" t="s">
        <v>1218</v>
      </c>
      <c r="D60" t="s">
        <v>1219</v>
      </c>
      <c r="E60" t="s">
        <v>323</v>
      </c>
      <c r="F60" t="s">
        <v>1113</v>
      </c>
    </row>
    <row r="61" spans="2:6" x14ac:dyDescent="0.25">
      <c r="B61" t="s">
        <v>322</v>
      </c>
      <c r="C61" t="s">
        <v>1220</v>
      </c>
      <c r="D61" t="s">
        <v>1221</v>
      </c>
      <c r="E61" t="s">
        <v>323</v>
      </c>
      <c r="F61" t="s">
        <v>1113</v>
      </c>
    </row>
    <row r="62" spans="2:6" x14ac:dyDescent="0.25">
      <c r="B62" t="s">
        <v>322</v>
      </c>
      <c r="C62" t="s">
        <v>1222</v>
      </c>
      <c r="D62" t="s">
        <v>1223</v>
      </c>
      <c r="E62" t="s">
        <v>323</v>
      </c>
      <c r="F62" t="s">
        <v>1113</v>
      </c>
    </row>
    <row r="63" spans="2:6" x14ac:dyDescent="0.25">
      <c r="B63" t="s">
        <v>322</v>
      </c>
      <c r="C63" t="s">
        <v>1224</v>
      </c>
      <c r="D63" t="s">
        <v>1225</v>
      </c>
      <c r="E63" t="s">
        <v>323</v>
      </c>
      <c r="F63" t="s">
        <v>1113</v>
      </c>
    </row>
    <row r="64" spans="2:6" x14ac:dyDescent="0.25">
      <c r="B64" t="s">
        <v>322</v>
      </c>
      <c r="C64" t="s">
        <v>1226</v>
      </c>
      <c r="D64" t="s">
        <v>1227</v>
      </c>
      <c r="E64" t="s">
        <v>323</v>
      </c>
      <c r="F64" t="s">
        <v>1113</v>
      </c>
    </row>
    <row r="65" spans="2:6" x14ac:dyDescent="0.25">
      <c r="B65" t="s">
        <v>322</v>
      </c>
      <c r="C65" t="s">
        <v>1228</v>
      </c>
      <c r="D65" t="s">
        <v>1229</v>
      </c>
      <c r="E65" t="s">
        <v>323</v>
      </c>
      <c r="F65" t="s">
        <v>1113</v>
      </c>
    </row>
    <row r="66" spans="2:6" x14ac:dyDescent="0.25">
      <c r="B66" t="s">
        <v>322</v>
      </c>
      <c r="C66" t="s">
        <v>1230</v>
      </c>
      <c r="D66" t="s">
        <v>1231</v>
      </c>
      <c r="E66" t="s">
        <v>323</v>
      </c>
      <c r="F66" t="s">
        <v>1113</v>
      </c>
    </row>
    <row r="67" spans="2:6" x14ac:dyDescent="0.25">
      <c r="B67" t="s">
        <v>322</v>
      </c>
      <c r="C67" t="s">
        <v>1232</v>
      </c>
      <c r="D67" t="s">
        <v>1233</v>
      </c>
      <c r="E67" t="s">
        <v>323</v>
      </c>
      <c r="F67" t="s">
        <v>1113</v>
      </c>
    </row>
    <row r="68" spans="2:6" x14ac:dyDescent="0.25">
      <c r="B68" t="s">
        <v>322</v>
      </c>
      <c r="C68" t="s">
        <v>1234</v>
      </c>
      <c r="D68" t="s">
        <v>1235</v>
      </c>
      <c r="E68" t="s">
        <v>323</v>
      </c>
      <c r="F68" t="s">
        <v>1113</v>
      </c>
    </row>
    <row r="69" spans="2:6" x14ac:dyDescent="0.25">
      <c r="B69" t="s">
        <v>322</v>
      </c>
      <c r="C69" t="s">
        <v>1236</v>
      </c>
      <c r="D69" t="s">
        <v>1237</v>
      </c>
      <c r="E69" t="s">
        <v>323</v>
      </c>
      <c r="F69" t="s">
        <v>1113</v>
      </c>
    </row>
    <row r="70" spans="2:6" x14ac:dyDescent="0.25">
      <c r="B70" t="s">
        <v>322</v>
      </c>
      <c r="C70" t="s">
        <v>1238</v>
      </c>
      <c r="D70" t="s">
        <v>1239</v>
      </c>
      <c r="E70" t="s">
        <v>323</v>
      </c>
      <c r="F70" t="s">
        <v>1113</v>
      </c>
    </row>
    <row r="71" spans="2:6" x14ac:dyDescent="0.25">
      <c r="B71" t="s">
        <v>322</v>
      </c>
      <c r="C71" t="s">
        <v>1240</v>
      </c>
      <c r="D71" t="s">
        <v>1241</v>
      </c>
      <c r="E71" t="s">
        <v>323</v>
      </c>
      <c r="F71" t="s">
        <v>1113</v>
      </c>
    </row>
    <row r="72" spans="2:6" x14ac:dyDescent="0.25">
      <c r="B72" t="s">
        <v>322</v>
      </c>
      <c r="C72" t="s">
        <v>1242</v>
      </c>
      <c r="D72" t="s">
        <v>1243</v>
      </c>
      <c r="E72" t="s">
        <v>323</v>
      </c>
      <c r="F72" t="s">
        <v>1113</v>
      </c>
    </row>
    <row r="73" spans="2:6" x14ac:dyDescent="0.25">
      <c r="B73" t="s">
        <v>322</v>
      </c>
      <c r="C73" t="s">
        <v>1244</v>
      </c>
      <c r="D73" t="s">
        <v>1245</v>
      </c>
      <c r="E73" t="s">
        <v>323</v>
      </c>
      <c r="F73" t="s">
        <v>1113</v>
      </c>
    </row>
    <row r="74" spans="2:6" x14ac:dyDescent="0.25">
      <c r="B74" t="s">
        <v>322</v>
      </c>
      <c r="C74" t="s">
        <v>1246</v>
      </c>
      <c r="D74" t="s">
        <v>1247</v>
      </c>
      <c r="E74" t="s">
        <v>323</v>
      </c>
      <c r="F74" t="s">
        <v>1113</v>
      </c>
    </row>
    <row r="75" spans="2:6" x14ac:dyDescent="0.25">
      <c r="B75" t="s">
        <v>322</v>
      </c>
      <c r="C75" t="s">
        <v>1704</v>
      </c>
      <c r="D75" t="s">
        <v>1705</v>
      </c>
      <c r="E75" t="s">
        <v>323</v>
      </c>
      <c r="F75" t="s">
        <v>1113</v>
      </c>
    </row>
    <row r="76" spans="2:6" x14ac:dyDescent="0.25">
      <c r="B76" t="s">
        <v>322</v>
      </c>
      <c r="C76" t="s">
        <v>1248</v>
      </c>
      <c r="D76" t="s">
        <v>1249</v>
      </c>
      <c r="E76" t="s">
        <v>323</v>
      </c>
      <c r="F76" t="s">
        <v>1113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F2E4-3D9E-43E0-9525-8B205770BD26}">
  <sheetPr>
    <tabColor rgb="FFC6E0B4"/>
  </sheetPr>
  <dimension ref="B2:J34"/>
  <sheetViews>
    <sheetView workbookViewId="0">
      <selection activeCell="L14" sqref="L14"/>
    </sheetView>
  </sheetViews>
  <sheetFormatPr defaultRowHeight="15" x14ac:dyDescent="0.25"/>
  <cols>
    <col min="2" max="2" width="10.42578125" bestFit="1" customWidth="1"/>
    <col min="3" max="3" width="14.28515625" bestFit="1" customWidth="1"/>
    <col min="4" max="4" width="39.7109375" bestFit="1" customWidth="1"/>
    <col min="5" max="5" width="7.42578125" bestFit="1" customWidth="1"/>
  </cols>
  <sheetData>
    <row r="2" spans="2:10" x14ac:dyDescent="0.25">
      <c r="B2" s="42" t="s">
        <v>338</v>
      </c>
      <c r="C2" s="42"/>
      <c r="D2" s="43"/>
      <c r="E2" s="43"/>
      <c r="F2" s="43"/>
      <c r="G2" s="43"/>
      <c r="H2" s="43"/>
      <c r="I2" s="43"/>
    </row>
    <row r="3" spans="2:10" ht="15.75" thickBot="1" x14ac:dyDescent="0.3">
      <c r="B3" s="44" t="s">
        <v>339</v>
      </c>
      <c r="C3" s="44" t="s">
        <v>340</v>
      </c>
      <c r="D3" s="44" t="s">
        <v>341</v>
      </c>
      <c r="E3" s="44" t="s">
        <v>342</v>
      </c>
      <c r="F3" s="44" t="s">
        <v>327</v>
      </c>
      <c r="G3" s="44" t="s">
        <v>343</v>
      </c>
      <c r="H3" s="44" t="s">
        <v>344</v>
      </c>
      <c r="I3" s="44" t="s">
        <v>345</v>
      </c>
    </row>
    <row r="4" spans="2:10" ht="38.25" x14ac:dyDescent="0.25">
      <c r="B4" s="45" t="s">
        <v>346</v>
      </c>
      <c r="C4" s="46" t="s">
        <v>347</v>
      </c>
      <c r="D4" s="46" t="s">
        <v>26</v>
      </c>
      <c r="E4" s="45" t="s">
        <v>348</v>
      </c>
      <c r="F4" s="46"/>
      <c r="G4" s="46"/>
      <c r="H4" s="46"/>
      <c r="I4" s="46"/>
    </row>
    <row r="5" spans="2:10" x14ac:dyDescent="0.25">
      <c r="B5" t="s">
        <v>595</v>
      </c>
      <c r="C5" t="s">
        <v>1250</v>
      </c>
      <c r="D5" t="s">
        <v>1</v>
      </c>
      <c r="E5" t="s">
        <v>454</v>
      </c>
    </row>
    <row r="6" spans="2:10" x14ac:dyDescent="0.25">
      <c r="B6" t="s">
        <v>595</v>
      </c>
      <c r="C6" t="s">
        <v>369</v>
      </c>
      <c r="D6" t="s">
        <v>1251</v>
      </c>
      <c r="E6" t="s">
        <v>323</v>
      </c>
    </row>
    <row r="7" spans="2:10" x14ac:dyDescent="0.25">
      <c r="B7" t="s">
        <v>571</v>
      </c>
      <c r="C7" t="s">
        <v>1252</v>
      </c>
      <c r="D7" t="s">
        <v>1253</v>
      </c>
      <c r="E7" t="s">
        <v>454</v>
      </c>
    </row>
    <row r="8" spans="2:10" x14ac:dyDescent="0.25">
      <c r="B8" t="s">
        <v>349</v>
      </c>
      <c r="C8" s="9" t="s">
        <v>1254</v>
      </c>
      <c r="D8" t="s">
        <v>1255</v>
      </c>
      <c r="E8" t="s">
        <v>323</v>
      </c>
    </row>
    <row r="9" spans="2:10" x14ac:dyDescent="0.25">
      <c r="B9" t="s">
        <v>349</v>
      </c>
      <c r="C9" s="9" t="s">
        <v>1256</v>
      </c>
      <c r="D9" t="s">
        <v>1257</v>
      </c>
      <c r="E9" t="s">
        <v>323</v>
      </c>
    </row>
    <row r="10" spans="2:10" x14ac:dyDescent="0.25">
      <c r="B10" t="s">
        <v>349</v>
      </c>
      <c r="C10" t="s">
        <v>1258</v>
      </c>
      <c r="D10" t="s">
        <v>1259</v>
      </c>
      <c r="E10" t="s">
        <v>323</v>
      </c>
    </row>
    <row r="12" spans="2:10" x14ac:dyDescent="0.25">
      <c r="J12" s="483"/>
    </row>
    <row r="13" spans="2:10" x14ac:dyDescent="0.25">
      <c r="J13" s="483"/>
    </row>
    <row r="14" spans="2:10" x14ac:dyDescent="0.25">
      <c r="J14" s="483"/>
    </row>
    <row r="15" spans="2:10" x14ac:dyDescent="0.25">
      <c r="J15" s="483"/>
    </row>
    <row r="16" spans="2:10" x14ac:dyDescent="0.25">
      <c r="J16" s="483"/>
    </row>
    <row r="17" spans="10:10" x14ac:dyDescent="0.25">
      <c r="J17" s="483"/>
    </row>
    <row r="18" spans="10:10" x14ac:dyDescent="0.25">
      <c r="J18" s="483"/>
    </row>
    <row r="19" spans="10:10" x14ac:dyDescent="0.25">
      <c r="J19" s="483"/>
    </row>
    <row r="20" spans="10:10" x14ac:dyDescent="0.25">
      <c r="J20" s="483"/>
    </row>
    <row r="21" spans="10:10" x14ac:dyDescent="0.25">
      <c r="J21" s="483"/>
    </row>
    <row r="22" spans="10:10" x14ac:dyDescent="0.25">
      <c r="J22" s="483"/>
    </row>
    <row r="23" spans="10:10" x14ac:dyDescent="0.25">
      <c r="J23" s="483"/>
    </row>
    <row r="24" spans="10:10" x14ac:dyDescent="0.25">
      <c r="J24" s="483"/>
    </row>
    <row r="25" spans="10:10" x14ac:dyDescent="0.25">
      <c r="J25" s="483"/>
    </row>
    <row r="26" spans="10:10" x14ac:dyDescent="0.25">
      <c r="J26" s="483"/>
    </row>
    <row r="27" spans="10:10" x14ac:dyDescent="0.25">
      <c r="J27" s="483"/>
    </row>
    <row r="28" spans="10:10" x14ac:dyDescent="0.25">
      <c r="J28" s="483"/>
    </row>
    <row r="29" spans="10:10" x14ac:dyDescent="0.25">
      <c r="J29" s="483"/>
    </row>
    <row r="34" ht="12.75" customHeight="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284E0-CE92-4D08-BF77-F5CA74626EED}">
  <sheetPr>
    <tabColor rgb="FFC6E0B4"/>
  </sheetPr>
  <dimension ref="A2:CX243"/>
  <sheetViews>
    <sheetView topLeftCell="A151" zoomScale="70" zoomScaleNormal="70" workbookViewId="0">
      <selection activeCell="A175" sqref="A175"/>
    </sheetView>
  </sheetViews>
  <sheetFormatPr defaultRowHeight="15" x14ac:dyDescent="0.25"/>
  <cols>
    <col min="1" max="1" width="10.28515625" bestFit="1" customWidth="1"/>
    <col min="3" max="3" width="24.42578125" bestFit="1" customWidth="1"/>
    <col min="4" max="4" width="41.7109375" bestFit="1" customWidth="1"/>
    <col min="6" max="6" width="16.42578125" bestFit="1" customWidth="1"/>
    <col min="7" max="7" width="14.42578125" bestFit="1" customWidth="1"/>
    <col min="8" max="8" width="10.5703125" bestFit="1" customWidth="1"/>
    <col min="9" max="9" width="14.7109375" bestFit="1" customWidth="1"/>
    <col min="10" max="10" width="10.5703125" bestFit="1" customWidth="1"/>
    <col min="11" max="12" width="14.7109375" bestFit="1" customWidth="1"/>
    <col min="13" max="13" width="13.7109375" bestFit="1" customWidth="1"/>
    <col min="14" max="14" width="14.7109375" bestFit="1" customWidth="1"/>
    <col min="15" max="15" width="10.5703125" bestFit="1" customWidth="1"/>
    <col min="16" max="16" width="14.7109375" bestFit="1" customWidth="1"/>
    <col min="17" max="27" width="10.5703125" bestFit="1" customWidth="1"/>
    <col min="28" max="29" width="14.7109375" bestFit="1" customWidth="1"/>
    <col min="30" max="31" width="10.5703125" bestFit="1" customWidth="1"/>
    <col min="32" max="32" width="23.140625" bestFit="1" customWidth="1"/>
    <col min="33" max="35" width="10.5703125" bestFit="1" customWidth="1"/>
    <col min="39" max="39" width="18.28515625" bestFit="1" customWidth="1"/>
    <col min="40" max="40" width="10.42578125" bestFit="1" customWidth="1"/>
    <col min="41" max="43" width="9.28515625" bestFit="1" customWidth="1"/>
    <col min="44" max="44" width="9.5703125" bestFit="1" customWidth="1"/>
    <col min="45" max="48" width="9.28515625" bestFit="1" customWidth="1"/>
    <col min="49" max="49" width="9.5703125" bestFit="1" customWidth="1"/>
    <col min="50" max="50" width="9.28515625" bestFit="1" customWidth="1"/>
    <col min="51" max="51" width="10.5703125" bestFit="1" customWidth="1"/>
    <col min="52" max="52" width="9.28515625" bestFit="1" customWidth="1"/>
    <col min="53" max="53" width="9.5703125" bestFit="1" customWidth="1"/>
    <col min="54" max="57" width="9.28515625" bestFit="1" customWidth="1"/>
    <col min="58" max="58" width="9.5703125" bestFit="1" customWidth="1"/>
    <col min="59" max="61" width="9.28515625" bestFit="1" customWidth="1"/>
    <col min="62" max="62" width="9.5703125" bestFit="1" customWidth="1"/>
    <col min="63" max="64" width="9.28515625" bestFit="1" customWidth="1"/>
    <col min="65" max="65" width="9.5703125" bestFit="1" customWidth="1"/>
    <col min="66" max="67" width="9.28515625" bestFit="1" customWidth="1"/>
    <col min="71" max="71" width="14.7109375" customWidth="1"/>
  </cols>
  <sheetData>
    <row r="2" spans="6:102" x14ac:dyDescent="0.25">
      <c r="F2" s="5" t="s">
        <v>1260</v>
      </c>
      <c r="AL2" t="s">
        <v>1261</v>
      </c>
      <c r="BV2" t="s">
        <v>1262</v>
      </c>
    </row>
    <row r="3" spans="6:102" x14ac:dyDescent="0.25">
      <c r="F3" s="554"/>
    </row>
    <row r="4" spans="6:102" ht="15.75" thickBot="1" x14ac:dyDescent="0.3">
      <c r="H4" s="44" t="s">
        <v>162</v>
      </c>
      <c r="I4" s="44" t="s">
        <v>164</v>
      </c>
      <c r="J4" s="44" t="s">
        <v>166</v>
      </c>
      <c r="K4" s="44" t="s">
        <v>168</v>
      </c>
      <c r="L4" s="44" t="s">
        <v>170</v>
      </c>
      <c r="M4" s="44" t="s">
        <v>173</v>
      </c>
      <c r="N4" s="44" t="s">
        <v>175</v>
      </c>
      <c r="O4" s="44" t="s">
        <v>177</v>
      </c>
      <c r="P4" s="44" t="s">
        <v>179</v>
      </c>
      <c r="Q4" s="44" t="s">
        <v>181</v>
      </c>
      <c r="R4" s="44" t="s">
        <v>183</v>
      </c>
      <c r="S4" s="44" t="s">
        <v>185</v>
      </c>
      <c r="T4" s="44" t="s">
        <v>188</v>
      </c>
      <c r="U4" s="44" t="s">
        <v>190</v>
      </c>
      <c r="V4" s="44" t="s">
        <v>192</v>
      </c>
      <c r="W4" s="44" t="s">
        <v>194</v>
      </c>
      <c r="X4" s="44" t="s">
        <v>196</v>
      </c>
      <c r="Y4" s="44" t="s">
        <v>198</v>
      </c>
      <c r="Z4" s="44" t="s">
        <v>9</v>
      </c>
      <c r="AA4" s="44" t="s">
        <v>201</v>
      </c>
      <c r="AB4" s="44" t="s">
        <v>203</v>
      </c>
      <c r="AC4" s="44" t="s">
        <v>205</v>
      </c>
      <c r="AD4" s="44" t="s">
        <v>207</v>
      </c>
      <c r="AE4" s="44" t="s">
        <v>210</v>
      </c>
      <c r="AF4" s="44" t="s">
        <v>212</v>
      </c>
      <c r="AG4" s="44" t="s">
        <v>214</v>
      </c>
      <c r="AH4" s="44" t="s">
        <v>217</v>
      </c>
      <c r="AI4" s="44" t="s">
        <v>219</v>
      </c>
      <c r="AP4" s="44" t="s">
        <v>162</v>
      </c>
      <c r="AQ4" s="44" t="s">
        <v>164</v>
      </c>
      <c r="AR4" s="44" t="s">
        <v>166</v>
      </c>
      <c r="AS4" s="44" t="s">
        <v>168</v>
      </c>
      <c r="AT4" s="44" t="s">
        <v>170</v>
      </c>
      <c r="AU4" s="44" t="s">
        <v>173</v>
      </c>
      <c r="AV4" s="44" t="s">
        <v>175</v>
      </c>
      <c r="AW4" s="44" t="s">
        <v>177</v>
      </c>
      <c r="AX4" s="44" t="s">
        <v>179</v>
      </c>
      <c r="AY4" s="44" t="s">
        <v>181</v>
      </c>
      <c r="AZ4" s="44" t="s">
        <v>183</v>
      </c>
      <c r="BA4" s="44" t="s">
        <v>185</v>
      </c>
      <c r="BB4" s="44" t="s">
        <v>188</v>
      </c>
      <c r="BC4" s="44" t="s">
        <v>190</v>
      </c>
      <c r="BD4" s="44" t="s">
        <v>192</v>
      </c>
      <c r="BE4" s="44" t="s">
        <v>194</v>
      </c>
      <c r="BF4" s="44" t="s">
        <v>196</v>
      </c>
      <c r="BG4" s="44" t="s">
        <v>198</v>
      </c>
      <c r="BH4" s="44" t="s">
        <v>9</v>
      </c>
      <c r="BI4" s="44" t="s">
        <v>201</v>
      </c>
      <c r="BJ4" s="44" t="s">
        <v>203</v>
      </c>
      <c r="BK4" s="44" t="s">
        <v>205</v>
      </c>
      <c r="BL4" s="44" t="s">
        <v>207</v>
      </c>
      <c r="BM4" s="44" t="s">
        <v>210</v>
      </c>
      <c r="BN4" s="44" t="s">
        <v>212</v>
      </c>
      <c r="BO4" s="44" t="s">
        <v>214</v>
      </c>
      <c r="BP4" s="44" t="s">
        <v>217</v>
      </c>
      <c r="BQ4" s="44" t="s">
        <v>219</v>
      </c>
      <c r="BW4" s="44" t="s">
        <v>162</v>
      </c>
      <c r="BX4" s="44" t="s">
        <v>164</v>
      </c>
      <c r="BY4" s="44" t="s">
        <v>166</v>
      </c>
      <c r="BZ4" s="44" t="s">
        <v>168</v>
      </c>
      <c r="CA4" s="44" t="s">
        <v>170</v>
      </c>
      <c r="CB4" s="44" t="s">
        <v>173</v>
      </c>
      <c r="CC4" s="44" t="s">
        <v>175</v>
      </c>
      <c r="CD4" s="44" t="s">
        <v>177</v>
      </c>
      <c r="CE4" s="44" t="s">
        <v>179</v>
      </c>
      <c r="CF4" s="44" t="s">
        <v>181</v>
      </c>
      <c r="CG4" s="44" t="s">
        <v>183</v>
      </c>
      <c r="CH4" s="44" t="s">
        <v>185</v>
      </c>
      <c r="CI4" s="44" t="s">
        <v>188</v>
      </c>
      <c r="CJ4" s="44" t="s">
        <v>190</v>
      </c>
      <c r="CK4" s="44" t="s">
        <v>192</v>
      </c>
      <c r="CL4" s="44" t="s">
        <v>194</v>
      </c>
      <c r="CM4" s="44" t="s">
        <v>196</v>
      </c>
      <c r="CN4" s="44" t="s">
        <v>198</v>
      </c>
      <c r="CO4" s="44" t="s">
        <v>9</v>
      </c>
      <c r="CP4" s="44" t="s">
        <v>201</v>
      </c>
      <c r="CQ4" s="44" t="s">
        <v>203</v>
      </c>
      <c r="CR4" s="44" t="s">
        <v>205</v>
      </c>
      <c r="CS4" s="44" t="s">
        <v>207</v>
      </c>
      <c r="CT4" s="44" t="s">
        <v>210</v>
      </c>
      <c r="CU4" s="44" t="s">
        <v>212</v>
      </c>
      <c r="CV4" s="44" t="s">
        <v>214</v>
      </c>
      <c r="CW4" s="44" t="s">
        <v>217</v>
      </c>
      <c r="CX4" s="44" t="s">
        <v>219</v>
      </c>
    </row>
    <row r="5" spans="6:102" x14ac:dyDescent="0.25">
      <c r="G5" t="s">
        <v>113</v>
      </c>
      <c r="H5" s="94">
        <f>IF(AP$20=0,0,IF(AP5-AN26&gt;=0,(AP5-AN26-AN44)/AP$20,IF(BW40&gt;=0,(AP5-AN26-AN44-BW5)/AP$20,(AP5-AN26-AN44)/AP$20)))</f>
        <v>0</v>
      </c>
      <c r="I5" s="94">
        <f t="shared" ref="I5:AI14" si="0">IF(AQ$20=0,0,IF(AQ5-AO26&gt;=0,(AQ5-AO26-AO44)/AQ$20,IF(BX40&gt;=0,(AQ5-AO26-AO44-BX5)/AQ$20,(AQ5-AO26-AO44)/AQ$20)))</f>
        <v>0</v>
      </c>
      <c r="J5" s="94">
        <f t="shared" si="0"/>
        <v>0</v>
      </c>
      <c r="K5" s="94">
        <f t="shared" si="0"/>
        <v>0</v>
      </c>
      <c r="L5" s="94">
        <f t="shared" si="0"/>
        <v>0</v>
      </c>
      <c r="M5" s="94">
        <f t="shared" si="0"/>
        <v>0</v>
      </c>
      <c r="N5" s="94">
        <f t="shared" si="0"/>
        <v>0</v>
      </c>
      <c r="O5" s="94">
        <f t="shared" si="0"/>
        <v>0</v>
      </c>
      <c r="P5" s="94">
        <f t="shared" si="0"/>
        <v>0</v>
      </c>
      <c r="Q5" s="94">
        <f t="shared" si="0"/>
        <v>0</v>
      </c>
      <c r="R5" s="94">
        <f t="shared" si="0"/>
        <v>0</v>
      </c>
      <c r="S5" s="94">
        <f t="shared" si="0"/>
        <v>0</v>
      </c>
      <c r="T5" s="94">
        <f t="shared" si="0"/>
        <v>0</v>
      </c>
      <c r="U5" s="94">
        <f t="shared" si="0"/>
        <v>0</v>
      </c>
      <c r="V5" s="94">
        <f t="shared" si="0"/>
        <v>0</v>
      </c>
      <c r="W5" s="94">
        <f t="shared" si="0"/>
        <v>0</v>
      </c>
      <c r="X5" s="94">
        <f t="shared" si="0"/>
        <v>0</v>
      </c>
      <c r="Y5" s="94">
        <f t="shared" si="0"/>
        <v>0</v>
      </c>
      <c r="Z5" s="94">
        <f t="shared" si="0"/>
        <v>0</v>
      </c>
      <c r="AA5" s="94">
        <f t="shared" si="0"/>
        <v>0</v>
      </c>
      <c r="AB5" s="94">
        <f t="shared" si="0"/>
        <v>0</v>
      </c>
      <c r="AC5" s="94">
        <f t="shared" si="0"/>
        <v>0</v>
      </c>
      <c r="AD5" s="94">
        <f t="shared" si="0"/>
        <v>0</v>
      </c>
      <c r="AE5" s="94">
        <f t="shared" si="0"/>
        <v>0</v>
      </c>
      <c r="AF5" s="94">
        <f t="shared" si="0"/>
        <v>0</v>
      </c>
      <c r="AG5" s="94">
        <f t="shared" si="0"/>
        <v>0</v>
      </c>
      <c r="AH5" s="94">
        <f t="shared" si="0"/>
        <v>0</v>
      </c>
      <c r="AI5" s="94">
        <f t="shared" si="0"/>
        <v>0</v>
      </c>
      <c r="AL5" t="s">
        <v>369</v>
      </c>
      <c r="AM5" t="s">
        <v>370</v>
      </c>
      <c r="AN5" t="s">
        <v>113</v>
      </c>
      <c r="AO5" t="s">
        <v>323</v>
      </c>
      <c r="AP5" s="547">
        <f>EnergyBalance!E70/1000</f>
        <v>0</v>
      </c>
      <c r="AQ5" s="547">
        <f>EnergyBalance!F70/1000</f>
        <v>0</v>
      </c>
      <c r="AR5" s="547">
        <f>EnergyBalance!G70/1000</f>
        <v>0</v>
      </c>
      <c r="AS5" s="547">
        <f>EnergyBalance!H70/1000</f>
        <v>0</v>
      </c>
      <c r="AT5" s="547">
        <f>EnergyBalance!I70/1000</f>
        <v>0</v>
      </c>
      <c r="AU5" s="547">
        <f>EnergyBalance!J70/1000</f>
        <v>0</v>
      </c>
      <c r="AV5" s="547">
        <f>EnergyBalance!K70/1000</f>
        <v>0</v>
      </c>
      <c r="AW5" s="547">
        <f>EnergyBalance!L70/1000</f>
        <v>0</v>
      </c>
      <c r="AX5" s="547">
        <f>EnergyBalance!M70/1000</f>
        <v>0</v>
      </c>
      <c r="AY5" s="547">
        <f>EnergyBalance!N70/1000</f>
        <v>0</v>
      </c>
      <c r="AZ5" s="547">
        <f>EnergyBalance!O70/1000</f>
        <v>0</v>
      </c>
      <c r="BA5" s="547">
        <f>EnergyBalance!P70/1000</f>
        <v>0</v>
      </c>
      <c r="BB5" s="547">
        <f>EnergyBalance!Q70/1000</f>
        <v>0</v>
      </c>
      <c r="BC5" s="547">
        <f>EnergyBalance!R70/1000</f>
        <v>0</v>
      </c>
      <c r="BD5" s="547">
        <f>EnergyBalance!S70/1000</f>
        <v>0</v>
      </c>
      <c r="BE5" s="547">
        <f>EnergyBalance!T70/1000</f>
        <v>0</v>
      </c>
      <c r="BF5" s="547">
        <f>EnergyBalance!U70/1000</f>
        <v>0</v>
      </c>
      <c r="BG5" s="547">
        <f>EnergyBalance!V70/1000</f>
        <v>0</v>
      </c>
      <c r="BH5" s="547">
        <f>EnergyBalance!W70/1000</f>
        <v>0</v>
      </c>
      <c r="BI5" s="547">
        <f>EnergyBalance!X70/1000</f>
        <v>1.5669999999999999</v>
      </c>
      <c r="BJ5" s="547">
        <f>EnergyBalance!Y70/1000</f>
        <v>0</v>
      </c>
      <c r="BK5" s="547">
        <f>EnergyBalance!Z70/1000</f>
        <v>0</v>
      </c>
      <c r="BL5" s="547">
        <f>EnergyBalance!AA70/1000</f>
        <v>0</v>
      </c>
      <c r="BM5" s="547">
        <f>EnergyBalance!AB70/1000</f>
        <v>0</v>
      </c>
      <c r="BN5" s="547">
        <f>EnergyBalance!AC70/1000</f>
        <v>0</v>
      </c>
      <c r="BO5" s="547">
        <f>EnergyBalance!AD70/1000</f>
        <v>0</v>
      </c>
      <c r="BP5" s="547">
        <f>EnergyBalance!AE70/1000</f>
        <v>0</v>
      </c>
      <c r="BQ5" s="547">
        <f>EnergyBalance!AF70/1000</f>
        <v>0</v>
      </c>
      <c r="BS5">
        <f>SUM(AP5:BQ5)</f>
        <v>1.5669999999999999</v>
      </c>
      <c r="BT5" s="94">
        <f>BS5/$BS$20</f>
        <v>5.8298603437794609E-4</v>
      </c>
      <c r="BU5" t="s">
        <v>113</v>
      </c>
      <c r="BW5" s="102">
        <f>AP5-AN26-AN44</f>
        <v>0</v>
      </c>
      <c r="BX5" s="102">
        <f t="shared" ref="BX5:CX14" si="1">AQ5-AO26-AO44</f>
        <v>0</v>
      </c>
      <c r="BY5" s="102">
        <f t="shared" si="1"/>
        <v>0</v>
      </c>
      <c r="BZ5" s="102">
        <f t="shared" si="1"/>
        <v>0</v>
      </c>
      <c r="CA5" s="102">
        <f t="shared" si="1"/>
        <v>0</v>
      </c>
      <c r="CB5" s="102">
        <f t="shared" si="1"/>
        <v>0</v>
      </c>
      <c r="CC5" s="102">
        <f t="shared" si="1"/>
        <v>0</v>
      </c>
      <c r="CD5" s="102">
        <f t="shared" si="1"/>
        <v>0</v>
      </c>
      <c r="CE5" s="102">
        <f t="shared" si="1"/>
        <v>0</v>
      </c>
      <c r="CF5" s="102">
        <f t="shared" si="1"/>
        <v>0</v>
      </c>
      <c r="CG5" s="102">
        <f t="shared" si="1"/>
        <v>0</v>
      </c>
      <c r="CH5" s="102">
        <f t="shared" si="1"/>
        <v>0</v>
      </c>
      <c r="CI5" s="102">
        <f t="shared" si="1"/>
        <v>0</v>
      </c>
      <c r="CJ5" s="102">
        <f t="shared" si="1"/>
        <v>0</v>
      </c>
      <c r="CK5" s="102">
        <f t="shared" si="1"/>
        <v>0</v>
      </c>
      <c r="CL5" s="102">
        <f t="shared" si="1"/>
        <v>0</v>
      </c>
      <c r="CM5" s="102">
        <f t="shared" si="1"/>
        <v>0</v>
      </c>
      <c r="CN5" s="102">
        <f t="shared" si="1"/>
        <v>0</v>
      </c>
      <c r="CO5" s="102">
        <f t="shared" si="1"/>
        <v>0</v>
      </c>
      <c r="CP5" s="102">
        <f t="shared" si="1"/>
        <v>0</v>
      </c>
      <c r="CQ5" s="102">
        <f t="shared" si="1"/>
        <v>0</v>
      </c>
      <c r="CR5" s="102">
        <f t="shared" si="1"/>
        <v>0</v>
      </c>
      <c r="CS5" s="102">
        <f t="shared" si="1"/>
        <v>0</v>
      </c>
      <c r="CT5" s="102">
        <f t="shared" si="1"/>
        <v>0</v>
      </c>
      <c r="CU5" s="102">
        <f t="shared" si="1"/>
        <v>0</v>
      </c>
      <c r="CV5" s="102">
        <f t="shared" si="1"/>
        <v>0</v>
      </c>
      <c r="CW5" s="102">
        <f t="shared" si="1"/>
        <v>0</v>
      </c>
      <c r="CX5" s="102">
        <f t="shared" si="1"/>
        <v>0</v>
      </c>
    </row>
    <row r="6" spans="6:102" x14ac:dyDescent="0.25">
      <c r="G6" t="s">
        <v>115</v>
      </c>
      <c r="H6" s="94">
        <f t="shared" ref="H6:T19" si="2">IF(AP$20=0,0,IF(AP6-AN27&gt;=0,(AP6-AN27-AN45)/AP$20,IF(BW41&gt;=0,(AP6-AN27-AN45-BW6)/AP$20,(AP6-AN27-AN45)/AP$20)))</f>
        <v>0</v>
      </c>
      <c r="I6" s="94">
        <f t="shared" si="0"/>
        <v>0</v>
      </c>
      <c r="J6" s="94">
        <f t="shared" si="0"/>
        <v>0</v>
      </c>
      <c r="K6" s="94">
        <f t="shared" si="0"/>
        <v>0</v>
      </c>
      <c r="L6" s="94">
        <f t="shared" si="0"/>
        <v>0</v>
      </c>
      <c r="M6" s="94">
        <f t="shared" si="0"/>
        <v>0</v>
      </c>
      <c r="N6" s="94">
        <f t="shared" si="0"/>
        <v>0</v>
      </c>
      <c r="O6" s="94">
        <f t="shared" si="0"/>
        <v>0</v>
      </c>
      <c r="P6" s="94">
        <f t="shared" si="0"/>
        <v>0</v>
      </c>
      <c r="Q6" s="94">
        <f t="shared" si="0"/>
        <v>0</v>
      </c>
      <c r="R6" s="94">
        <f t="shared" si="0"/>
        <v>0</v>
      </c>
      <c r="S6" s="94">
        <f t="shared" si="0"/>
        <v>0</v>
      </c>
      <c r="T6" s="94">
        <f t="shared" si="0"/>
        <v>0</v>
      </c>
      <c r="U6" s="94">
        <f t="shared" si="0"/>
        <v>0</v>
      </c>
      <c r="V6" s="94">
        <f t="shared" si="0"/>
        <v>0</v>
      </c>
      <c r="W6" s="94">
        <f t="shared" si="0"/>
        <v>0</v>
      </c>
      <c r="X6" s="94">
        <f t="shared" si="0"/>
        <v>0</v>
      </c>
      <c r="Y6" s="94">
        <f t="shared" si="0"/>
        <v>0</v>
      </c>
      <c r="Z6" s="94">
        <f t="shared" si="0"/>
        <v>0</v>
      </c>
      <c r="AA6" s="94">
        <f t="shared" si="0"/>
        <v>0</v>
      </c>
      <c r="AB6" s="94">
        <f t="shared" si="0"/>
        <v>0</v>
      </c>
      <c r="AC6" s="94">
        <f t="shared" si="0"/>
        <v>0</v>
      </c>
      <c r="AD6" s="94">
        <f t="shared" si="0"/>
        <v>0</v>
      </c>
      <c r="AE6" s="94">
        <f t="shared" si="0"/>
        <v>0</v>
      </c>
      <c r="AF6" s="94">
        <f t="shared" si="0"/>
        <v>0</v>
      </c>
      <c r="AG6" s="94">
        <f t="shared" si="0"/>
        <v>0</v>
      </c>
      <c r="AH6" s="94">
        <f t="shared" si="0"/>
        <v>0</v>
      </c>
      <c r="AI6" s="94">
        <f t="shared" si="0"/>
        <v>0</v>
      </c>
      <c r="AL6" t="s">
        <v>369</v>
      </c>
      <c r="AM6" t="s">
        <v>370</v>
      </c>
      <c r="AN6" t="s">
        <v>115</v>
      </c>
      <c r="AO6" t="s">
        <v>323</v>
      </c>
      <c r="AP6" s="547">
        <f>EnergyBalance!E71/1000</f>
        <v>0</v>
      </c>
      <c r="AQ6" s="547">
        <f>EnergyBalance!F71/1000</f>
        <v>0</v>
      </c>
      <c r="AR6" s="547">
        <f>EnergyBalance!G71/1000</f>
        <v>0</v>
      </c>
      <c r="AS6" s="547">
        <f>EnergyBalance!H71/1000</f>
        <v>0</v>
      </c>
      <c r="AT6" s="547">
        <f>EnergyBalance!I71/1000</f>
        <v>0</v>
      </c>
      <c r="AU6" s="547">
        <f>EnergyBalance!J71/1000</f>
        <v>0</v>
      </c>
      <c r="AV6" s="547">
        <f>EnergyBalance!K71/1000</f>
        <v>0</v>
      </c>
      <c r="AW6" s="547">
        <f>EnergyBalance!L71/1000</f>
        <v>0</v>
      </c>
      <c r="AX6" s="547">
        <f>EnergyBalance!M71/1000</f>
        <v>0</v>
      </c>
      <c r="AY6" s="547">
        <f>EnergyBalance!N71/1000</f>
        <v>0</v>
      </c>
      <c r="AZ6" s="547">
        <f>EnergyBalance!O71/1000</f>
        <v>0</v>
      </c>
      <c r="BA6" s="547">
        <f>EnergyBalance!P71/1000</f>
        <v>0</v>
      </c>
      <c r="BB6" s="547">
        <f>EnergyBalance!Q71/1000</f>
        <v>0</v>
      </c>
      <c r="BC6" s="547">
        <f>EnergyBalance!R71/1000</f>
        <v>0</v>
      </c>
      <c r="BD6" s="547">
        <f>EnergyBalance!S71/1000</f>
        <v>0</v>
      </c>
      <c r="BE6" s="547">
        <f>EnergyBalance!T71/1000</f>
        <v>0</v>
      </c>
      <c r="BF6" s="547">
        <f>EnergyBalance!U71/1000</f>
        <v>1.2999999999999999E-2</v>
      </c>
      <c r="BG6" s="547">
        <f>EnergyBalance!V71/1000</f>
        <v>0</v>
      </c>
      <c r="BH6" s="547">
        <f>EnergyBalance!W71/1000</f>
        <v>0</v>
      </c>
      <c r="BI6" s="547">
        <f>EnergyBalance!X71/1000</f>
        <v>0</v>
      </c>
      <c r="BJ6" s="547">
        <f>EnergyBalance!Y71/1000</f>
        <v>0</v>
      </c>
      <c r="BK6" s="547">
        <f>EnergyBalance!Z71/1000</f>
        <v>0</v>
      </c>
      <c r="BL6" s="547">
        <f>EnergyBalance!AA71/1000</f>
        <v>0</v>
      </c>
      <c r="BM6" s="547">
        <f>EnergyBalance!AB71/1000</f>
        <v>0</v>
      </c>
      <c r="BN6" s="547">
        <f>EnergyBalance!AC71/1000</f>
        <v>0</v>
      </c>
      <c r="BO6" s="547">
        <f>EnergyBalance!AD71/1000</f>
        <v>0</v>
      </c>
      <c r="BP6" s="547">
        <f>EnergyBalance!AE71/1000</f>
        <v>0</v>
      </c>
      <c r="BQ6" s="547">
        <f>EnergyBalance!AF71/1000</f>
        <v>0</v>
      </c>
      <c r="BS6">
        <f t="shared" ref="BS6:BS19" si="3">SUM(AP6:BQ6)</f>
        <v>1.2999999999999999E-2</v>
      </c>
      <c r="BT6" s="94">
        <f t="shared" ref="BT6:BT19" si="4">BS6/$BS$20</f>
        <v>4.8365146438502229E-6</v>
      </c>
      <c r="BU6" t="s">
        <v>115</v>
      </c>
      <c r="BW6" s="102">
        <f t="shared" ref="BW6:BW19" si="5">AP6-AN27-AN45</f>
        <v>0</v>
      </c>
      <c r="BX6" s="102">
        <f t="shared" si="1"/>
        <v>0</v>
      </c>
      <c r="BY6" s="102">
        <f t="shared" si="1"/>
        <v>0</v>
      </c>
      <c r="BZ6" s="102">
        <f t="shared" si="1"/>
        <v>0</v>
      </c>
      <c r="CA6" s="102">
        <f t="shared" si="1"/>
        <v>0</v>
      </c>
      <c r="CB6" s="102">
        <f t="shared" si="1"/>
        <v>0</v>
      </c>
      <c r="CC6" s="102">
        <f t="shared" si="1"/>
        <v>0</v>
      </c>
      <c r="CD6" s="102">
        <f t="shared" si="1"/>
        <v>0</v>
      </c>
      <c r="CE6" s="102">
        <f t="shared" si="1"/>
        <v>0</v>
      </c>
      <c r="CF6" s="102">
        <f t="shared" si="1"/>
        <v>0</v>
      </c>
      <c r="CG6" s="102">
        <f t="shared" si="1"/>
        <v>0</v>
      </c>
      <c r="CH6" s="102">
        <f t="shared" si="1"/>
        <v>0</v>
      </c>
      <c r="CI6" s="102">
        <f t="shared" si="1"/>
        <v>0</v>
      </c>
      <c r="CJ6" s="102">
        <f t="shared" si="1"/>
        <v>0</v>
      </c>
      <c r="CK6" s="102">
        <f t="shared" si="1"/>
        <v>0</v>
      </c>
      <c r="CL6" s="102">
        <f t="shared" si="1"/>
        <v>0</v>
      </c>
      <c r="CM6" s="102">
        <f t="shared" si="1"/>
        <v>0</v>
      </c>
      <c r="CN6" s="102">
        <f t="shared" si="1"/>
        <v>0</v>
      </c>
      <c r="CO6" s="102">
        <f t="shared" si="1"/>
        <v>0</v>
      </c>
      <c r="CP6" s="102">
        <f t="shared" si="1"/>
        <v>0</v>
      </c>
      <c r="CQ6" s="102">
        <f t="shared" si="1"/>
        <v>0</v>
      </c>
      <c r="CR6" s="102">
        <f t="shared" si="1"/>
        <v>0</v>
      </c>
      <c r="CS6" s="102">
        <f t="shared" si="1"/>
        <v>0</v>
      </c>
      <c r="CT6" s="102">
        <f t="shared" si="1"/>
        <v>0</v>
      </c>
      <c r="CU6" s="102">
        <f t="shared" si="1"/>
        <v>0</v>
      </c>
      <c r="CV6" s="102">
        <f t="shared" si="1"/>
        <v>0</v>
      </c>
      <c r="CW6" s="102">
        <f t="shared" si="1"/>
        <v>0</v>
      </c>
      <c r="CX6" s="102">
        <f t="shared" si="1"/>
        <v>0</v>
      </c>
    </row>
    <row r="7" spans="6:102" x14ac:dyDescent="0.25">
      <c r="G7" t="s">
        <v>117</v>
      </c>
      <c r="H7" s="94">
        <f t="shared" si="2"/>
        <v>0</v>
      </c>
      <c r="I7" s="94">
        <f t="shared" si="0"/>
        <v>0</v>
      </c>
      <c r="J7" s="94">
        <f t="shared" si="0"/>
        <v>0</v>
      </c>
      <c r="K7" s="94">
        <f t="shared" si="0"/>
        <v>0</v>
      </c>
      <c r="L7" s="94">
        <f t="shared" si="0"/>
        <v>0</v>
      </c>
      <c r="M7" s="94">
        <f t="shared" si="0"/>
        <v>0</v>
      </c>
      <c r="N7" s="94">
        <f t="shared" si="0"/>
        <v>0</v>
      </c>
      <c r="O7" s="94">
        <f t="shared" si="0"/>
        <v>0</v>
      </c>
      <c r="P7" s="94">
        <f t="shared" si="0"/>
        <v>0</v>
      </c>
      <c r="Q7" s="94">
        <f t="shared" si="0"/>
        <v>0</v>
      </c>
      <c r="R7" s="94">
        <f t="shared" si="0"/>
        <v>0</v>
      </c>
      <c r="S7" s="94">
        <f t="shared" si="0"/>
        <v>0</v>
      </c>
      <c r="T7" s="94">
        <f t="shared" si="0"/>
        <v>0</v>
      </c>
      <c r="U7" s="94">
        <f t="shared" si="0"/>
        <v>0</v>
      </c>
      <c r="V7" s="94">
        <f t="shared" si="0"/>
        <v>0</v>
      </c>
      <c r="W7" s="94">
        <f t="shared" si="0"/>
        <v>0</v>
      </c>
      <c r="X7" s="94">
        <f t="shared" si="0"/>
        <v>0</v>
      </c>
      <c r="Y7" s="94">
        <f t="shared" si="0"/>
        <v>0</v>
      </c>
      <c r="Z7" s="94">
        <f t="shared" si="0"/>
        <v>0</v>
      </c>
      <c r="AA7" s="94">
        <f t="shared" si="0"/>
        <v>0</v>
      </c>
      <c r="AB7" s="94">
        <f t="shared" si="0"/>
        <v>0</v>
      </c>
      <c r="AC7" s="94">
        <f t="shared" si="0"/>
        <v>0</v>
      </c>
      <c r="AD7" s="94">
        <f t="shared" si="0"/>
        <v>0</v>
      </c>
      <c r="AE7" s="94">
        <f t="shared" si="0"/>
        <v>0</v>
      </c>
      <c r="AF7" s="94">
        <f t="shared" si="0"/>
        <v>0</v>
      </c>
      <c r="AG7" s="94">
        <f t="shared" si="0"/>
        <v>0</v>
      </c>
      <c r="AH7" s="94">
        <f t="shared" si="0"/>
        <v>0</v>
      </c>
      <c r="AI7" s="94">
        <f t="shared" si="0"/>
        <v>0</v>
      </c>
      <c r="AL7" t="s">
        <v>369</v>
      </c>
      <c r="AM7" t="s">
        <v>370</v>
      </c>
      <c r="AN7" t="s">
        <v>117</v>
      </c>
      <c r="AO7" t="s">
        <v>323</v>
      </c>
      <c r="AP7" s="547">
        <f>EnergyBalance!E72/1000</f>
        <v>0</v>
      </c>
      <c r="AQ7" s="547">
        <f>EnergyBalance!F72/1000</f>
        <v>0</v>
      </c>
      <c r="AR7" s="547">
        <f>EnergyBalance!G72/1000</f>
        <v>0</v>
      </c>
      <c r="AS7" s="547">
        <f>EnergyBalance!H72/1000</f>
        <v>0</v>
      </c>
      <c r="AT7" s="547">
        <f>EnergyBalance!I72/1000</f>
        <v>1.87</v>
      </c>
      <c r="AU7" s="547">
        <f>EnergyBalance!J72/1000</f>
        <v>0</v>
      </c>
      <c r="AV7" s="547">
        <f>EnergyBalance!K72/1000</f>
        <v>0</v>
      </c>
      <c r="AW7" s="547">
        <f>EnergyBalance!L72/1000</f>
        <v>0</v>
      </c>
      <c r="AX7" s="547">
        <f>EnergyBalance!M72/1000</f>
        <v>0</v>
      </c>
      <c r="AY7" s="547">
        <f>EnergyBalance!N72/1000</f>
        <v>0</v>
      </c>
      <c r="AZ7" s="547">
        <f>EnergyBalance!O72/1000</f>
        <v>0</v>
      </c>
      <c r="BA7" s="547">
        <f>EnergyBalance!P72/1000</f>
        <v>3.6779999999999999</v>
      </c>
      <c r="BB7" s="547">
        <f>EnergyBalance!Q72/1000</f>
        <v>5.5E-2</v>
      </c>
      <c r="BC7" s="547">
        <f>EnergyBalance!R72/1000</f>
        <v>0</v>
      </c>
      <c r="BD7" s="547">
        <f>EnergyBalance!S72/1000</f>
        <v>6.0000000000000001E-3</v>
      </c>
      <c r="BE7" s="547">
        <f>EnergyBalance!T72/1000</f>
        <v>3.0000000000000001E-3</v>
      </c>
      <c r="BF7" s="547">
        <f>EnergyBalance!U72/1000</f>
        <v>4.2000000000000003E-2</v>
      </c>
      <c r="BG7" s="547">
        <f>EnergyBalance!V72/1000</f>
        <v>0</v>
      </c>
      <c r="BH7" s="547">
        <f>EnergyBalance!W72/1000</f>
        <v>0</v>
      </c>
      <c r="BI7" s="547">
        <f>EnergyBalance!X72/1000</f>
        <v>0</v>
      </c>
      <c r="BJ7" s="547">
        <f>EnergyBalance!Y72/1000</f>
        <v>0</v>
      </c>
      <c r="BK7" s="547">
        <f>EnergyBalance!Z72/1000</f>
        <v>0</v>
      </c>
      <c r="BL7" s="547">
        <f>EnergyBalance!AA72/1000</f>
        <v>0</v>
      </c>
      <c r="BM7" s="547">
        <f>EnergyBalance!AB72/1000</f>
        <v>0</v>
      </c>
      <c r="BN7" s="547">
        <f>EnergyBalance!AC72/1000</f>
        <v>0</v>
      </c>
      <c r="BO7" s="547">
        <f>EnergyBalance!AD72/1000</f>
        <v>0</v>
      </c>
      <c r="BP7" s="547">
        <f>EnergyBalance!AE72/1000</f>
        <v>0</v>
      </c>
      <c r="BQ7" s="547">
        <f>EnergyBalance!AF72/1000</f>
        <v>0</v>
      </c>
      <c r="BS7">
        <f t="shared" si="3"/>
        <v>5.6539999999999999</v>
      </c>
      <c r="BT7" s="94">
        <f t="shared" si="4"/>
        <v>2.1035118304868583E-3</v>
      </c>
      <c r="BU7" t="s">
        <v>117</v>
      </c>
      <c r="BW7" s="102">
        <f t="shared" si="5"/>
        <v>0</v>
      </c>
      <c r="BX7" s="102">
        <f t="shared" si="1"/>
        <v>0</v>
      </c>
      <c r="BY7" s="102">
        <f t="shared" si="1"/>
        <v>0</v>
      </c>
      <c r="BZ7" s="102">
        <f t="shared" si="1"/>
        <v>0</v>
      </c>
      <c r="CA7" s="102">
        <f t="shared" si="1"/>
        <v>0</v>
      </c>
      <c r="CB7" s="102">
        <f t="shared" si="1"/>
        <v>0</v>
      </c>
      <c r="CC7" s="102">
        <f t="shared" si="1"/>
        <v>0</v>
      </c>
      <c r="CD7" s="102">
        <f t="shared" si="1"/>
        <v>0</v>
      </c>
      <c r="CE7" s="102">
        <f t="shared" si="1"/>
        <v>0</v>
      </c>
      <c r="CF7" s="102">
        <f t="shared" si="1"/>
        <v>0</v>
      </c>
      <c r="CG7" s="102">
        <f t="shared" si="1"/>
        <v>0</v>
      </c>
      <c r="CH7" s="102">
        <f t="shared" si="1"/>
        <v>0</v>
      </c>
      <c r="CI7" s="102">
        <f t="shared" si="1"/>
        <v>0</v>
      </c>
      <c r="CJ7" s="102">
        <f t="shared" si="1"/>
        <v>0</v>
      </c>
      <c r="CK7" s="102">
        <f t="shared" si="1"/>
        <v>0</v>
      </c>
      <c r="CL7" s="102">
        <f t="shared" si="1"/>
        <v>0</v>
      </c>
      <c r="CM7" s="102">
        <f t="shared" si="1"/>
        <v>0</v>
      </c>
      <c r="CN7" s="102">
        <f t="shared" si="1"/>
        <v>0</v>
      </c>
      <c r="CO7" s="102">
        <f t="shared" si="1"/>
        <v>0</v>
      </c>
      <c r="CP7" s="102">
        <f t="shared" si="1"/>
        <v>0</v>
      </c>
      <c r="CQ7" s="102">
        <f t="shared" si="1"/>
        <v>0</v>
      </c>
      <c r="CR7" s="102">
        <f t="shared" si="1"/>
        <v>0</v>
      </c>
      <c r="CS7" s="102">
        <f t="shared" si="1"/>
        <v>0</v>
      </c>
      <c r="CT7" s="102">
        <f t="shared" si="1"/>
        <v>0</v>
      </c>
      <c r="CU7" s="102">
        <f t="shared" si="1"/>
        <v>0</v>
      </c>
      <c r="CV7" s="102">
        <f t="shared" si="1"/>
        <v>0</v>
      </c>
      <c r="CW7" s="102">
        <f t="shared" si="1"/>
        <v>0</v>
      </c>
      <c r="CX7" s="102">
        <f t="shared" si="1"/>
        <v>0</v>
      </c>
    </row>
    <row r="8" spans="6:102" x14ac:dyDescent="0.25">
      <c r="G8" t="s">
        <v>119</v>
      </c>
      <c r="H8" s="94">
        <f t="shared" si="2"/>
        <v>0</v>
      </c>
      <c r="I8" s="94">
        <f t="shared" si="0"/>
        <v>0</v>
      </c>
      <c r="J8" s="94">
        <f t="shared" si="0"/>
        <v>0</v>
      </c>
      <c r="K8" s="94">
        <f t="shared" si="0"/>
        <v>0</v>
      </c>
      <c r="L8" s="94">
        <f t="shared" si="0"/>
        <v>0</v>
      </c>
      <c r="M8" s="94">
        <f t="shared" si="0"/>
        <v>0</v>
      </c>
      <c r="N8" s="94">
        <f t="shared" si="0"/>
        <v>0</v>
      </c>
      <c r="O8" s="94">
        <f t="shared" si="0"/>
        <v>0</v>
      </c>
      <c r="P8" s="94">
        <f t="shared" si="0"/>
        <v>0</v>
      </c>
      <c r="Q8" s="94">
        <f t="shared" si="0"/>
        <v>0</v>
      </c>
      <c r="R8" s="94">
        <f t="shared" si="0"/>
        <v>0</v>
      </c>
      <c r="S8" s="94">
        <f t="shared" si="0"/>
        <v>0</v>
      </c>
      <c r="T8" s="94">
        <f t="shared" si="0"/>
        <v>0</v>
      </c>
      <c r="U8" s="94">
        <f t="shared" si="0"/>
        <v>0</v>
      </c>
      <c r="V8" s="94">
        <f t="shared" si="0"/>
        <v>0</v>
      </c>
      <c r="W8" s="94">
        <f t="shared" si="0"/>
        <v>0</v>
      </c>
      <c r="X8" s="94">
        <f t="shared" si="0"/>
        <v>0</v>
      </c>
      <c r="Y8" s="94">
        <f t="shared" si="0"/>
        <v>0</v>
      </c>
      <c r="Z8" s="94">
        <f t="shared" si="0"/>
        <v>0</v>
      </c>
      <c r="AA8" s="94">
        <f t="shared" si="0"/>
        <v>0</v>
      </c>
      <c r="AB8" s="94">
        <f t="shared" si="0"/>
        <v>0</v>
      </c>
      <c r="AC8" s="94">
        <f t="shared" si="0"/>
        <v>0</v>
      </c>
      <c r="AD8" s="94">
        <f t="shared" si="0"/>
        <v>0</v>
      </c>
      <c r="AE8" s="94">
        <f t="shared" si="0"/>
        <v>0</v>
      </c>
      <c r="AF8" s="94">
        <f t="shared" si="0"/>
        <v>0</v>
      </c>
      <c r="AG8" s="94">
        <f t="shared" si="0"/>
        <v>0</v>
      </c>
      <c r="AH8" s="94">
        <f t="shared" si="0"/>
        <v>0</v>
      </c>
      <c r="AI8" s="94">
        <f t="shared" si="0"/>
        <v>0</v>
      </c>
      <c r="AL8" t="s">
        <v>369</v>
      </c>
      <c r="AM8" t="s">
        <v>370</v>
      </c>
      <c r="AN8" t="s">
        <v>119</v>
      </c>
      <c r="AO8" t="s">
        <v>323</v>
      </c>
      <c r="AP8" s="547">
        <f>EnergyBalance!E73/1000</f>
        <v>0</v>
      </c>
      <c r="AQ8" s="547">
        <f>EnergyBalance!F73/1000</f>
        <v>0</v>
      </c>
      <c r="AR8" s="547">
        <f>EnergyBalance!G73/1000</f>
        <v>0</v>
      </c>
      <c r="AS8" s="547">
        <f>EnergyBalance!H73/1000</f>
        <v>0</v>
      </c>
      <c r="AT8" s="547">
        <f>EnergyBalance!I73/1000</f>
        <v>0</v>
      </c>
      <c r="AU8" s="547">
        <f>EnergyBalance!J73/1000</f>
        <v>0</v>
      </c>
      <c r="AV8" s="547">
        <f>EnergyBalance!K73/1000</f>
        <v>0</v>
      </c>
      <c r="AW8" s="547">
        <f>EnergyBalance!L73/1000</f>
        <v>0</v>
      </c>
      <c r="AX8" s="547">
        <f>EnergyBalance!M73/1000</f>
        <v>6.3E-2</v>
      </c>
      <c r="AY8" s="547">
        <f>EnergyBalance!N73/1000</f>
        <v>0</v>
      </c>
      <c r="AZ8" s="547">
        <f>EnergyBalance!O73/1000</f>
        <v>0</v>
      </c>
      <c r="BA8" s="547">
        <f>EnergyBalance!P73/1000</f>
        <v>0</v>
      </c>
      <c r="BB8" s="547">
        <f>EnergyBalance!Q73/1000</f>
        <v>0</v>
      </c>
      <c r="BC8" s="547">
        <f>EnergyBalance!R73/1000</f>
        <v>0</v>
      </c>
      <c r="BD8" s="547">
        <f>EnergyBalance!S73/1000</f>
        <v>0</v>
      </c>
      <c r="BE8" s="547">
        <f>EnergyBalance!T73/1000</f>
        <v>5.0000000000000001E-3</v>
      </c>
      <c r="BF8" s="547">
        <f>EnergyBalance!U73/1000</f>
        <v>1.0999999999999999E-2</v>
      </c>
      <c r="BG8" s="547">
        <f>EnergyBalance!V73/1000</f>
        <v>0</v>
      </c>
      <c r="BH8" s="547">
        <f>EnergyBalance!W73/1000</f>
        <v>0</v>
      </c>
      <c r="BI8" s="547">
        <f>EnergyBalance!X73/1000</f>
        <v>0</v>
      </c>
      <c r="BJ8" s="547">
        <f>EnergyBalance!Y73/1000</f>
        <v>0</v>
      </c>
      <c r="BK8" s="547">
        <f>EnergyBalance!Z73/1000</f>
        <v>0</v>
      </c>
      <c r="BL8" s="547">
        <f>EnergyBalance!AA73/1000</f>
        <v>0</v>
      </c>
      <c r="BM8" s="547">
        <f>EnergyBalance!AB73/1000</f>
        <v>0</v>
      </c>
      <c r="BN8" s="547">
        <f>EnergyBalance!AC73/1000</f>
        <v>0</v>
      </c>
      <c r="BO8" s="547">
        <f>EnergyBalance!AD73/1000</f>
        <v>0</v>
      </c>
      <c r="BP8" s="547">
        <f>EnergyBalance!AE73/1000</f>
        <v>0</v>
      </c>
      <c r="BQ8" s="547">
        <f>EnergyBalance!AF73/1000</f>
        <v>3.6999999999999998E-2</v>
      </c>
      <c r="BS8">
        <f t="shared" si="3"/>
        <v>0.11599999999999999</v>
      </c>
      <c r="BT8" s="94">
        <f t="shared" si="4"/>
        <v>4.3156592206663521E-5</v>
      </c>
      <c r="BU8" t="s">
        <v>119</v>
      </c>
      <c r="BW8" s="102">
        <f t="shared" si="5"/>
        <v>0</v>
      </c>
      <c r="BX8" s="102">
        <f t="shared" si="1"/>
        <v>0</v>
      </c>
      <c r="BY8" s="102">
        <f t="shared" si="1"/>
        <v>0</v>
      </c>
      <c r="BZ8" s="102">
        <f t="shared" si="1"/>
        <v>0</v>
      </c>
      <c r="CA8" s="102">
        <f t="shared" si="1"/>
        <v>0</v>
      </c>
      <c r="CB8" s="102">
        <f t="shared" si="1"/>
        <v>0</v>
      </c>
      <c r="CC8" s="102">
        <f t="shared" si="1"/>
        <v>0</v>
      </c>
      <c r="CD8" s="102">
        <f t="shared" si="1"/>
        <v>0</v>
      </c>
      <c r="CE8" s="102">
        <f t="shared" si="1"/>
        <v>0</v>
      </c>
      <c r="CF8" s="102">
        <f t="shared" si="1"/>
        <v>0</v>
      </c>
      <c r="CG8" s="102">
        <f t="shared" si="1"/>
        <v>0</v>
      </c>
      <c r="CH8" s="102">
        <f t="shared" si="1"/>
        <v>0</v>
      </c>
      <c r="CI8" s="102">
        <f t="shared" si="1"/>
        <v>0</v>
      </c>
      <c r="CJ8" s="102">
        <f t="shared" si="1"/>
        <v>0</v>
      </c>
      <c r="CK8" s="102">
        <f t="shared" si="1"/>
        <v>0</v>
      </c>
      <c r="CL8" s="102">
        <f t="shared" si="1"/>
        <v>0</v>
      </c>
      <c r="CM8" s="102">
        <f t="shared" si="1"/>
        <v>0</v>
      </c>
      <c r="CN8" s="102">
        <f t="shared" si="1"/>
        <v>0</v>
      </c>
      <c r="CO8" s="102">
        <f t="shared" si="1"/>
        <v>0</v>
      </c>
      <c r="CP8" s="102">
        <f t="shared" si="1"/>
        <v>0</v>
      </c>
      <c r="CQ8" s="102">
        <f t="shared" si="1"/>
        <v>0</v>
      </c>
      <c r="CR8" s="102">
        <f t="shared" si="1"/>
        <v>0</v>
      </c>
      <c r="CS8" s="102">
        <f t="shared" si="1"/>
        <v>0</v>
      </c>
      <c r="CT8" s="102">
        <f t="shared" si="1"/>
        <v>0</v>
      </c>
      <c r="CU8" s="102">
        <f t="shared" si="1"/>
        <v>0</v>
      </c>
      <c r="CV8" s="102">
        <f t="shared" si="1"/>
        <v>0</v>
      </c>
      <c r="CW8" s="102">
        <f t="shared" si="1"/>
        <v>0</v>
      </c>
      <c r="CX8" s="102">
        <f t="shared" si="1"/>
        <v>0</v>
      </c>
    </row>
    <row r="9" spans="6:102" x14ac:dyDescent="0.25">
      <c r="G9" t="s">
        <v>120</v>
      </c>
      <c r="H9" s="94">
        <f t="shared" si="2"/>
        <v>0</v>
      </c>
      <c r="I9" s="94">
        <f t="shared" si="0"/>
        <v>0</v>
      </c>
      <c r="J9" s="94">
        <f t="shared" si="0"/>
        <v>0</v>
      </c>
      <c r="K9" s="94">
        <f t="shared" si="0"/>
        <v>-1.287196445993718E-17</v>
      </c>
      <c r="L9" s="94">
        <f t="shared" si="0"/>
        <v>2.2615857067471099E-17</v>
      </c>
      <c r="M9" s="94">
        <f t="shared" si="0"/>
        <v>-9.808233116292008E-17</v>
      </c>
      <c r="N9" s="94">
        <f t="shared" si="0"/>
        <v>0</v>
      </c>
      <c r="O9" s="94">
        <f t="shared" si="0"/>
        <v>0</v>
      </c>
      <c r="P9" s="94">
        <f t="shared" si="0"/>
        <v>0</v>
      </c>
      <c r="Q9" s="94">
        <f t="shared" si="0"/>
        <v>0</v>
      </c>
      <c r="R9" s="94">
        <f t="shared" si="0"/>
        <v>0</v>
      </c>
      <c r="S9" s="94">
        <f t="shared" si="0"/>
        <v>0</v>
      </c>
      <c r="T9" s="94">
        <f t="shared" si="0"/>
        <v>0</v>
      </c>
      <c r="U9" s="94">
        <f t="shared" si="0"/>
        <v>0</v>
      </c>
      <c r="V9" s="94">
        <f t="shared" si="0"/>
        <v>0</v>
      </c>
      <c r="W9" s="94">
        <f t="shared" si="0"/>
        <v>0</v>
      </c>
      <c r="X9" s="94">
        <f t="shared" si="0"/>
        <v>0</v>
      </c>
      <c r="Y9" s="94">
        <f t="shared" si="0"/>
        <v>0</v>
      </c>
      <c r="Z9" s="94">
        <f t="shared" si="0"/>
        <v>0</v>
      </c>
      <c r="AA9" s="94">
        <f t="shared" si="0"/>
        <v>-2.7261461623699366E-18</v>
      </c>
      <c r="AB9" s="94">
        <f t="shared" si="0"/>
        <v>0</v>
      </c>
      <c r="AC9" s="94">
        <f t="shared" si="0"/>
        <v>0</v>
      </c>
      <c r="AD9" s="94">
        <f t="shared" si="0"/>
        <v>0</v>
      </c>
      <c r="AE9" s="94">
        <f t="shared" si="0"/>
        <v>0</v>
      </c>
      <c r="AF9" s="94">
        <f t="shared" si="0"/>
        <v>0</v>
      </c>
      <c r="AG9" s="94">
        <f t="shared" si="0"/>
        <v>0</v>
      </c>
      <c r="AH9" s="94">
        <f t="shared" si="0"/>
        <v>0</v>
      </c>
      <c r="AI9" s="94">
        <f t="shared" si="0"/>
        <v>0</v>
      </c>
      <c r="AL9" t="s">
        <v>369</v>
      </c>
      <c r="AM9" t="s">
        <v>370</v>
      </c>
      <c r="AN9" t="s">
        <v>120</v>
      </c>
      <c r="AO9" t="s">
        <v>323</v>
      </c>
      <c r="AP9" s="547">
        <f>EnergyBalance!E74/1000</f>
        <v>0</v>
      </c>
      <c r="AQ9" s="547">
        <f>EnergyBalance!F74/1000</f>
        <v>8.7999999999999995E-2</v>
      </c>
      <c r="AR9" s="547">
        <f>EnergyBalance!G74/1000</f>
        <v>0</v>
      </c>
      <c r="AS9" s="547">
        <f>EnergyBalance!H74/1000</f>
        <v>28.74</v>
      </c>
      <c r="AT9" s="547">
        <f>EnergyBalance!I74/1000</f>
        <v>46.710999999999999</v>
      </c>
      <c r="AU9" s="547">
        <f>EnergyBalance!J74/1000</f>
        <v>67.134</v>
      </c>
      <c r="AV9" s="547">
        <f>EnergyBalance!K74/1000</f>
        <v>0.87</v>
      </c>
      <c r="AW9" s="547">
        <f>EnergyBalance!L74/1000</f>
        <v>0</v>
      </c>
      <c r="AX9" s="547">
        <f>EnergyBalance!M74/1000</f>
        <v>28.460999999999999</v>
      </c>
      <c r="AY9" s="547">
        <f>EnergyBalance!N74/1000</f>
        <v>8.1790000000000003</v>
      </c>
      <c r="AZ9" s="547">
        <f>EnergyBalance!O74/1000</f>
        <v>0</v>
      </c>
      <c r="BA9" s="547">
        <f>EnergyBalance!P74/1000</f>
        <v>0</v>
      </c>
      <c r="BB9" s="547">
        <f>EnergyBalance!Q74/1000</f>
        <v>7.157</v>
      </c>
      <c r="BC9" s="547">
        <f>EnergyBalance!R74/1000</f>
        <v>0.72699999999999998</v>
      </c>
      <c r="BD9" s="547">
        <f>EnergyBalance!S74/1000</f>
        <v>2.1429999999999998</v>
      </c>
      <c r="BE9" s="547">
        <f>EnergyBalance!T74/1000</f>
        <v>6.4260000000000002</v>
      </c>
      <c r="BF9" s="547">
        <f>EnergyBalance!U74/1000</f>
        <v>2.145</v>
      </c>
      <c r="BG9" s="547">
        <f>EnergyBalance!V74/1000</f>
        <v>0</v>
      </c>
      <c r="BH9" s="547">
        <f>EnergyBalance!W74/1000</f>
        <v>0</v>
      </c>
      <c r="BI9" s="547">
        <f>EnergyBalance!X74/1000</f>
        <v>1.3420000000000001</v>
      </c>
      <c r="BJ9" s="547">
        <f>EnergyBalance!Y74/1000</f>
        <v>0.33100000000000002</v>
      </c>
      <c r="BK9" s="547">
        <f>EnergyBalance!Z74/1000</f>
        <v>5.157</v>
      </c>
      <c r="BL9" s="547">
        <f>EnergyBalance!AA74/1000</f>
        <v>0</v>
      </c>
      <c r="BM9" s="547">
        <f>EnergyBalance!AB74/1000</f>
        <v>0</v>
      </c>
      <c r="BN9" s="547">
        <f>EnergyBalance!AC74/1000</f>
        <v>0</v>
      </c>
      <c r="BO9" s="547">
        <f>EnergyBalance!AD74/1000</f>
        <v>0</v>
      </c>
      <c r="BP9" s="547">
        <f>EnergyBalance!AE74/1000</f>
        <v>0</v>
      </c>
      <c r="BQ9" s="547">
        <f>EnergyBalance!AF74/1000</f>
        <v>0</v>
      </c>
      <c r="BS9">
        <f t="shared" si="3"/>
        <v>205.61100000000005</v>
      </c>
      <c r="BT9" s="94">
        <f t="shared" si="4"/>
        <v>7.6495431725899107E-2</v>
      </c>
      <c r="BU9" t="s">
        <v>120</v>
      </c>
      <c r="BW9" s="102">
        <f t="shared" si="5"/>
        <v>0</v>
      </c>
      <c r="BX9" s="102">
        <f t="shared" si="1"/>
        <v>0</v>
      </c>
      <c r="BY9" s="102">
        <f t="shared" si="1"/>
        <v>-1.3786607299245879</v>
      </c>
      <c r="BZ9" s="102">
        <f t="shared" si="1"/>
        <v>0</v>
      </c>
      <c r="CA9" s="102">
        <f t="shared" si="1"/>
        <v>0</v>
      </c>
      <c r="CB9" s="102">
        <f t="shared" si="1"/>
        <v>0</v>
      </c>
      <c r="CC9" s="102">
        <f t="shared" si="1"/>
        <v>-9.1949946519322072</v>
      </c>
      <c r="CD9" s="102">
        <f t="shared" si="1"/>
        <v>0</v>
      </c>
      <c r="CE9" s="102">
        <f t="shared" si="1"/>
        <v>0</v>
      </c>
      <c r="CF9" s="102">
        <f t="shared" si="1"/>
        <v>0</v>
      </c>
      <c r="CG9" s="102">
        <f t="shared" si="1"/>
        <v>0</v>
      </c>
      <c r="CH9" s="102">
        <f t="shared" si="1"/>
        <v>-594.71283341535172</v>
      </c>
      <c r="CI9" s="102">
        <f t="shared" si="1"/>
        <v>0</v>
      </c>
      <c r="CJ9" s="102">
        <f t="shared" si="1"/>
        <v>0</v>
      </c>
      <c r="CK9" s="102">
        <f t="shared" si="1"/>
        <v>0</v>
      </c>
      <c r="CL9" s="102">
        <f t="shared" si="1"/>
        <v>0</v>
      </c>
      <c r="CM9" s="102">
        <f t="shared" si="1"/>
        <v>0</v>
      </c>
      <c r="CN9" s="102">
        <f t="shared" si="1"/>
        <v>-3.1784193637680649</v>
      </c>
      <c r="CO9" s="102">
        <f t="shared" si="1"/>
        <v>-48.20602701714899</v>
      </c>
      <c r="CP9" s="102">
        <f t="shared" si="1"/>
        <v>0</v>
      </c>
      <c r="CQ9" s="102">
        <f t="shared" si="1"/>
        <v>-2.0857757197444062</v>
      </c>
      <c r="CR9" s="102">
        <f t="shared" si="1"/>
        <v>0</v>
      </c>
      <c r="CS9" s="102">
        <f t="shared" si="1"/>
        <v>0</v>
      </c>
      <c r="CT9" s="102">
        <f t="shared" si="1"/>
        <v>0</v>
      </c>
      <c r="CU9" s="102">
        <f t="shared" si="1"/>
        <v>0</v>
      </c>
      <c r="CV9" s="102">
        <f t="shared" si="1"/>
        <v>0</v>
      </c>
      <c r="CW9" s="102">
        <f t="shared" si="1"/>
        <v>0</v>
      </c>
      <c r="CX9" s="102">
        <f t="shared" si="1"/>
        <v>0</v>
      </c>
    </row>
    <row r="10" spans="6:102" x14ac:dyDescent="0.25">
      <c r="G10" t="s">
        <v>122</v>
      </c>
      <c r="H10" s="94">
        <f t="shared" si="2"/>
        <v>0</v>
      </c>
      <c r="I10" s="94">
        <f t="shared" si="0"/>
        <v>0</v>
      </c>
      <c r="J10" s="94">
        <f t="shared" si="0"/>
        <v>0</v>
      </c>
      <c r="K10" s="94">
        <f t="shared" si="0"/>
        <v>0</v>
      </c>
      <c r="L10" s="94">
        <f t="shared" si="0"/>
        <v>0</v>
      </c>
      <c r="M10" s="94">
        <f t="shared" si="0"/>
        <v>0</v>
      </c>
      <c r="N10" s="94">
        <f t="shared" si="0"/>
        <v>0</v>
      </c>
      <c r="O10" s="94">
        <f t="shared" si="0"/>
        <v>0</v>
      </c>
      <c r="P10" s="94">
        <f t="shared" si="0"/>
        <v>0</v>
      </c>
      <c r="Q10" s="94">
        <f t="shared" si="0"/>
        <v>0</v>
      </c>
      <c r="R10" s="94">
        <f t="shared" si="0"/>
        <v>0</v>
      </c>
      <c r="S10" s="94">
        <f t="shared" si="0"/>
        <v>0</v>
      </c>
      <c r="T10" s="94">
        <f t="shared" si="0"/>
        <v>0</v>
      </c>
      <c r="U10" s="94">
        <f t="shared" si="0"/>
        <v>0</v>
      </c>
      <c r="V10" s="94">
        <f t="shared" si="0"/>
        <v>0</v>
      </c>
      <c r="W10" s="94">
        <f t="shared" si="0"/>
        <v>0</v>
      </c>
      <c r="X10" s="94">
        <f t="shared" si="0"/>
        <v>0</v>
      </c>
      <c r="Y10" s="94">
        <f t="shared" si="0"/>
        <v>0</v>
      </c>
      <c r="Z10" s="94">
        <f t="shared" si="0"/>
        <v>0</v>
      </c>
      <c r="AA10" s="94">
        <f t="shared" si="0"/>
        <v>0</v>
      </c>
      <c r="AB10" s="94">
        <f t="shared" si="0"/>
        <v>0</v>
      </c>
      <c r="AC10" s="94">
        <f t="shared" si="0"/>
        <v>0</v>
      </c>
      <c r="AD10" s="94">
        <f t="shared" si="0"/>
        <v>0</v>
      </c>
      <c r="AE10" s="94">
        <f t="shared" si="0"/>
        <v>0</v>
      </c>
      <c r="AF10" s="94">
        <f t="shared" si="0"/>
        <v>0</v>
      </c>
      <c r="AG10" s="94">
        <f t="shared" si="0"/>
        <v>0</v>
      </c>
      <c r="AH10" s="94">
        <f t="shared" si="0"/>
        <v>0</v>
      </c>
      <c r="AI10" s="94">
        <f t="shared" si="0"/>
        <v>0</v>
      </c>
      <c r="AL10" t="s">
        <v>369</v>
      </c>
      <c r="AM10" t="s">
        <v>370</v>
      </c>
      <c r="AN10" t="s">
        <v>122</v>
      </c>
      <c r="AO10" t="s">
        <v>323</v>
      </c>
      <c r="AP10" s="547">
        <f>EnergyBalance!E75/1000</f>
        <v>0</v>
      </c>
      <c r="AQ10" s="547">
        <f>EnergyBalance!F75/1000</f>
        <v>0</v>
      </c>
      <c r="AR10" s="547">
        <f>EnergyBalance!G75/1000</f>
        <v>0</v>
      </c>
      <c r="AS10" s="547">
        <f>EnergyBalance!H75/1000</f>
        <v>0</v>
      </c>
      <c r="AT10" s="547">
        <f>EnergyBalance!I75/1000</f>
        <v>0</v>
      </c>
      <c r="AU10" s="547">
        <f>EnergyBalance!J75/1000</f>
        <v>0</v>
      </c>
      <c r="AV10" s="547">
        <f>EnergyBalance!K75/1000</f>
        <v>0</v>
      </c>
      <c r="AW10" s="547">
        <f>EnergyBalance!L75/1000</f>
        <v>0</v>
      </c>
      <c r="AX10" s="547">
        <f>EnergyBalance!M75/1000</f>
        <v>0</v>
      </c>
      <c r="AY10" s="547">
        <f>EnergyBalance!N75/1000</f>
        <v>0</v>
      </c>
      <c r="AZ10" s="547">
        <f>EnergyBalance!O75/1000</f>
        <v>0</v>
      </c>
      <c r="BA10" s="547">
        <f>EnergyBalance!P75/1000</f>
        <v>0</v>
      </c>
      <c r="BB10" s="547">
        <f>EnergyBalance!Q75/1000</f>
        <v>0</v>
      </c>
      <c r="BC10" s="547">
        <f>EnergyBalance!R75/1000</f>
        <v>0</v>
      </c>
      <c r="BD10" s="547">
        <f>EnergyBalance!S75/1000</f>
        <v>7.9000000000000001E-2</v>
      </c>
      <c r="BE10" s="547">
        <f>EnergyBalance!T75/1000</f>
        <v>0</v>
      </c>
      <c r="BF10" s="547">
        <f>EnergyBalance!U75/1000</f>
        <v>0</v>
      </c>
      <c r="BG10" s="547">
        <f>EnergyBalance!V75/1000</f>
        <v>0</v>
      </c>
      <c r="BH10" s="547">
        <f>EnergyBalance!W75/1000</f>
        <v>0</v>
      </c>
      <c r="BI10" s="547">
        <f>EnergyBalance!X75/1000</f>
        <v>0</v>
      </c>
      <c r="BJ10" s="547">
        <f>EnergyBalance!Y75/1000</f>
        <v>0</v>
      </c>
      <c r="BK10" s="547">
        <f>EnergyBalance!Z75/1000</f>
        <v>0</v>
      </c>
      <c r="BL10" s="547">
        <f>EnergyBalance!AA75/1000</f>
        <v>0</v>
      </c>
      <c r="BM10" s="547">
        <f>EnergyBalance!AB75/1000</f>
        <v>0</v>
      </c>
      <c r="BN10" s="547">
        <f>EnergyBalance!AC75/1000</f>
        <v>0</v>
      </c>
      <c r="BO10" s="547">
        <f>EnergyBalance!AD75/1000</f>
        <v>0</v>
      </c>
      <c r="BP10" s="547">
        <f>EnergyBalance!AE75/1000</f>
        <v>0</v>
      </c>
      <c r="BQ10" s="547">
        <f>EnergyBalance!AF75/1000</f>
        <v>0</v>
      </c>
      <c r="BS10">
        <f t="shared" si="3"/>
        <v>7.9000000000000001E-2</v>
      </c>
      <c r="BT10" s="94">
        <f t="shared" si="4"/>
        <v>2.9391127451089816E-5</v>
      </c>
      <c r="BU10" t="s">
        <v>122</v>
      </c>
      <c r="BW10" s="102">
        <f t="shared" si="5"/>
        <v>0</v>
      </c>
      <c r="BX10" s="102">
        <f t="shared" si="1"/>
        <v>0</v>
      </c>
      <c r="BY10" s="102">
        <f t="shared" si="1"/>
        <v>0</v>
      </c>
      <c r="BZ10" s="102">
        <f t="shared" si="1"/>
        <v>0</v>
      </c>
      <c r="CA10" s="102">
        <f t="shared" si="1"/>
        <v>0</v>
      </c>
      <c r="CB10" s="102">
        <f t="shared" si="1"/>
        <v>0</v>
      </c>
      <c r="CC10" s="102">
        <f t="shared" si="1"/>
        <v>0</v>
      </c>
      <c r="CD10" s="102">
        <f t="shared" si="1"/>
        <v>0</v>
      </c>
      <c r="CE10" s="102">
        <f t="shared" si="1"/>
        <v>0</v>
      </c>
      <c r="CF10" s="102">
        <f t="shared" si="1"/>
        <v>0</v>
      </c>
      <c r="CG10" s="102">
        <f t="shared" si="1"/>
        <v>0</v>
      </c>
      <c r="CH10" s="102">
        <f t="shared" si="1"/>
        <v>0</v>
      </c>
      <c r="CI10" s="102">
        <f t="shared" si="1"/>
        <v>0</v>
      </c>
      <c r="CJ10" s="102">
        <f t="shared" si="1"/>
        <v>0</v>
      </c>
      <c r="CK10" s="102">
        <f t="shared" si="1"/>
        <v>0</v>
      </c>
      <c r="CL10" s="102">
        <f t="shared" si="1"/>
        <v>0</v>
      </c>
      <c r="CM10" s="102">
        <f t="shared" si="1"/>
        <v>0</v>
      </c>
      <c r="CN10" s="102">
        <f t="shared" si="1"/>
        <v>0</v>
      </c>
      <c r="CO10" s="102">
        <f t="shared" si="1"/>
        <v>0</v>
      </c>
      <c r="CP10" s="102">
        <f t="shared" si="1"/>
        <v>0</v>
      </c>
      <c r="CQ10" s="102">
        <f t="shared" si="1"/>
        <v>0</v>
      </c>
      <c r="CR10" s="102">
        <f t="shared" si="1"/>
        <v>0</v>
      </c>
      <c r="CS10" s="102">
        <f t="shared" si="1"/>
        <v>0</v>
      </c>
      <c r="CT10" s="102">
        <f t="shared" si="1"/>
        <v>0</v>
      </c>
      <c r="CU10" s="102">
        <f t="shared" si="1"/>
        <v>0</v>
      </c>
      <c r="CV10" s="102">
        <f t="shared" si="1"/>
        <v>0</v>
      </c>
      <c r="CW10" s="102">
        <f t="shared" si="1"/>
        <v>0</v>
      </c>
      <c r="CX10" s="102">
        <f t="shared" si="1"/>
        <v>0</v>
      </c>
    </row>
    <row r="11" spans="6:102" x14ac:dyDescent="0.25">
      <c r="G11" t="s">
        <v>124</v>
      </c>
      <c r="H11" s="94">
        <f t="shared" si="2"/>
        <v>0</v>
      </c>
      <c r="I11" s="94">
        <f t="shared" si="0"/>
        <v>0</v>
      </c>
      <c r="J11" s="94">
        <f t="shared" si="0"/>
        <v>0</v>
      </c>
      <c r="K11" s="94">
        <f t="shared" si="0"/>
        <v>0</v>
      </c>
      <c r="L11" s="94">
        <f t="shared" si="0"/>
        <v>0</v>
      </c>
      <c r="M11" s="94">
        <f t="shared" si="0"/>
        <v>0</v>
      </c>
      <c r="N11" s="94">
        <f t="shared" si="0"/>
        <v>0</v>
      </c>
      <c r="O11" s="94">
        <f t="shared" si="0"/>
        <v>0</v>
      </c>
      <c r="P11" s="94">
        <f t="shared" si="0"/>
        <v>0</v>
      </c>
      <c r="Q11" s="94">
        <f t="shared" si="0"/>
        <v>0</v>
      </c>
      <c r="R11" s="94">
        <f t="shared" si="0"/>
        <v>0</v>
      </c>
      <c r="S11" s="94">
        <f t="shared" si="0"/>
        <v>0</v>
      </c>
      <c r="T11" s="94">
        <f t="shared" si="0"/>
        <v>0</v>
      </c>
      <c r="U11" s="94">
        <f t="shared" si="0"/>
        <v>0</v>
      </c>
      <c r="V11" s="94">
        <f t="shared" si="0"/>
        <v>0</v>
      </c>
      <c r="W11" s="94">
        <f t="shared" si="0"/>
        <v>0</v>
      </c>
      <c r="X11" s="94">
        <f t="shared" si="0"/>
        <v>0</v>
      </c>
      <c r="Y11" s="94">
        <f t="shared" si="0"/>
        <v>0</v>
      </c>
      <c r="Z11" s="94">
        <f t="shared" si="0"/>
        <v>0</v>
      </c>
      <c r="AA11" s="94">
        <f t="shared" si="0"/>
        <v>0</v>
      </c>
      <c r="AB11" s="94">
        <f t="shared" si="0"/>
        <v>0</v>
      </c>
      <c r="AC11" s="94">
        <f t="shared" si="0"/>
        <v>0</v>
      </c>
      <c r="AD11" s="94">
        <f t="shared" si="0"/>
        <v>0</v>
      </c>
      <c r="AE11" s="94">
        <f t="shared" si="0"/>
        <v>0</v>
      </c>
      <c r="AF11" s="94">
        <f t="shared" si="0"/>
        <v>0</v>
      </c>
      <c r="AG11" s="94">
        <f t="shared" si="0"/>
        <v>0</v>
      </c>
      <c r="AH11" s="94">
        <f t="shared" si="0"/>
        <v>0</v>
      </c>
      <c r="AI11" s="94">
        <f t="shared" si="0"/>
        <v>0</v>
      </c>
      <c r="AL11" t="s">
        <v>369</v>
      </c>
      <c r="AM11" t="s">
        <v>370</v>
      </c>
      <c r="AN11" t="s">
        <v>124</v>
      </c>
      <c r="AO11" t="s">
        <v>323</v>
      </c>
      <c r="AP11" s="547">
        <f>EnergyBalance!E76/1000</f>
        <v>0</v>
      </c>
      <c r="AQ11" s="547">
        <f>EnergyBalance!F76/1000</f>
        <v>0</v>
      </c>
      <c r="AR11" s="547">
        <f>EnergyBalance!G76/1000</f>
        <v>0</v>
      </c>
      <c r="AS11" s="547">
        <f>EnergyBalance!H76/1000</f>
        <v>0</v>
      </c>
      <c r="AT11" s="547">
        <f>EnergyBalance!I76/1000</f>
        <v>3.8660000000000001</v>
      </c>
      <c r="AU11" s="547">
        <f>EnergyBalance!J76/1000</f>
        <v>3.0390000000000001</v>
      </c>
      <c r="AV11" s="547">
        <f>EnergyBalance!K76/1000</f>
        <v>0</v>
      </c>
      <c r="AW11" s="547">
        <f>EnergyBalance!L76/1000</f>
        <v>0</v>
      </c>
      <c r="AX11" s="547">
        <f>EnergyBalance!M76/1000</f>
        <v>10.949</v>
      </c>
      <c r="AY11" s="547">
        <f>EnergyBalance!N76/1000</f>
        <v>0.34300000000000003</v>
      </c>
      <c r="AZ11" s="547">
        <f>EnergyBalance!O76/1000</f>
        <v>0</v>
      </c>
      <c r="BA11" s="547">
        <f>EnergyBalance!P76/1000</f>
        <v>0</v>
      </c>
      <c r="BB11" s="547">
        <f>EnergyBalance!Q76/1000</f>
        <v>0</v>
      </c>
      <c r="BC11" s="547">
        <f>EnergyBalance!R76/1000</f>
        <v>0</v>
      </c>
      <c r="BD11" s="547">
        <f>EnergyBalance!S76/1000</f>
        <v>0.98799999999999999</v>
      </c>
      <c r="BE11" s="547">
        <f>EnergyBalance!T76/1000</f>
        <v>0.113</v>
      </c>
      <c r="BF11" s="547">
        <f>EnergyBalance!U76/1000</f>
        <v>0.67700000000000005</v>
      </c>
      <c r="BG11" s="547">
        <f>EnergyBalance!V76/1000</f>
        <v>0</v>
      </c>
      <c r="BH11" s="547">
        <f>EnergyBalance!W76/1000</f>
        <v>0</v>
      </c>
      <c r="BI11" s="547">
        <f>EnergyBalance!X76/1000</f>
        <v>5.5030000000000001</v>
      </c>
      <c r="BJ11" s="547">
        <f>EnergyBalance!Y76/1000</f>
        <v>1E-3</v>
      </c>
      <c r="BK11" s="547">
        <f>EnergyBalance!Z76/1000</f>
        <v>0.13500000000000001</v>
      </c>
      <c r="BL11" s="547">
        <f>EnergyBalance!AA76/1000</f>
        <v>0</v>
      </c>
      <c r="BM11" s="547">
        <f>EnergyBalance!AB76/1000</f>
        <v>0</v>
      </c>
      <c r="BN11" s="547">
        <f>EnergyBalance!AC76/1000</f>
        <v>0</v>
      </c>
      <c r="BO11" s="547">
        <f>EnergyBalance!AD76/1000</f>
        <v>0</v>
      </c>
      <c r="BP11" s="547">
        <f>EnergyBalance!AE76/1000</f>
        <v>0</v>
      </c>
      <c r="BQ11" s="547">
        <f>EnergyBalance!AF76/1000</f>
        <v>0</v>
      </c>
      <c r="BS11">
        <f t="shared" si="3"/>
        <v>25.614000000000001</v>
      </c>
      <c r="BT11" s="94">
        <f t="shared" si="4"/>
        <v>9.5294220067368932E-3</v>
      </c>
      <c r="BU11" t="s">
        <v>124</v>
      </c>
      <c r="BW11" s="102">
        <f t="shared" si="5"/>
        <v>0</v>
      </c>
      <c r="BX11" s="102">
        <f t="shared" si="1"/>
        <v>0</v>
      </c>
      <c r="BY11" s="102">
        <f t="shared" si="1"/>
        <v>0</v>
      </c>
      <c r="BZ11" s="102">
        <f t="shared" si="1"/>
        <v>0</v>
      </c>
      <c r="CA11" s="102">
        <f t="shared" si="1"/>
        <v>0</v>
      </c>
      <c r="CB11" s="102">
        <f t="shared" si="1"/>
        <v>0</v>
      </c>
      <c r="CC11" s="102">
        <f t="shared" si="1"/>
        <v>0</v>
      </c>
      <c r="CD11" s="102">
        <f t="shared" si="1"/>
        <v>0</v>
      </c>
      <c r="CE11" s="102">
        <f t="shared" si="1"/>
        <v>0</v>
      </c>
      <c r="CF11" s="102">
        <f t="shared" si="1"/>
        <v>0</v>
      </c>
      <c r="CG11" s="102">
        <f t="shared" si="1"/>
        <v>0</v>
      </c>
      <c r="CH11" s="102">
        <f t="shared" si="1"/>
        <v>0</v>
      </c>
      <c r="CI11" s="102">
        <f t="shared" si="1"/>
        <v>0</v>
      </c>
      <c r="CJ11" s="102">
        <f t="shared" si="1"/>
        <v>0</v>
      </c>
      <c r="CK11" s="102">
        <f t="shared" si="1"/>
        <v>0</v>
      </c>
      <c r="CL11" s="102">
        <f t="shared" si="1"/>
        <v>0</v>
      </c>
      <c r="CM11" s="102">
        <f t="shared" si="1"/>
        <v>0</v>
      </c>
      <c r="CN11" s="102">
        <f t="shared" si="1"/>
        <v>0</v>
      </c>
      <c r="CO11" s="102">
        <f t="shared" si="1"/>
        <v>0</v>
      </c>
      <c r="CP11" s="102">
        <f t="shared" si="1"/>
        <v>0</v>
      </c>
      <c r="CQ11" s="102">
        <f t="shared" si="1"/>
        <v>0</v>
      </c>
      <c r="CR11" s="102">
        <f t="shared" si="1"/>
        <v>0</v>
      </c>
      <c r="CS11" s="102">
        <f t="shared" si="1"/>
        <v>0</v>
      </c>
      <c r="CT11" s="102">
        <f t="shared" si="1"/>
        <v>0</v>
      </c>
      <c r="CU11" s="102">
        <f t="shared" si="1"/>
        <v>0</v>
      </c>
      <c r="CV11" s="102">
        <f t="shared" si="1"/>
        <v>0</v>
      </c>
      <c r="CW11" s="102">
        <f t="shared" si="1"/>
        <v>0</v>
      </c>
      <c r="CX11" s="102">
        <f t="shared" si="1"/>
        <v>0</v>
      </c>
    </row>
    <row r="12" spans="6:102" x14ac:dyDescent="0.25">
      <c r="G12" t="s">
        <v>126</v>
      </c>
      <c r="H12" s="94">
        <f t="shared" si="2"/>
        <v>0</v>
      </c>
      <c r="I12" s="94">
        <f t="shared" si="0"/>
        <v>0</v>
      </c>
      <c r="J12" s="94">
        <f t="shared" si="0"/>
        <v>0</v>
      </c>
      <c r="K12" s="94">
        <f t="shared" si="0"/>
        <v>0</v>
      </c>
      <c r="L12" s="94">
        <f t="shared" si="0"/>
        <v>1.1307928533735549E-17</v>
      </c>
      <c r="M12" s="94">
        <f t="shared" si="0"/>
        <v>4.904116558146004E-17</v>
      </c>
      <c r="N12" s="94">
        <f t="shared" si="0"/>
        <v>0</v>
      </c>
      <c r="O12" s="94">
        <f t="shared" si="0"/>
        <v>0</v>
      </c>
      <c r="P12" s="94">
        <f t="shared" si="0"/>
        <v>-3.6644992277427946E-17</v>
      </c>
      <c r="Q12" s="94">
        <f t="shared" si="0"/>
        <v>-5.2010975138719332E-17</v>
      </c>
      <c r="R12" s="94">
        <f t="shared" si="0"/>
        <v>0</v>
      </c>
      <c r="S12" s="94">
        <f t="shared" si="0"/>
        <v>0</v>
      </c>
      <c r="T12" s="94">
        <f t="shared" si="0"/>
        <v>2.0405698196483145E-17</v>
      </c>
      <c r="U12" s="94">
        <f t="shared" si="0"/>
        <v>-4.4896326732091538E-17</v>
      </c>
      <c r="V12" s="94">
        <f t="shared" si="0"/>
        <v>1.2188198755353569E-17</v>
      </c>
      <c r="W12" s="94">
        <f t="shared" si="0"/>
        <v>0</v>
      </c>
      <c r="X12" s="94">
        <f t="shared" si="0"/>
        <v>-4.1305100815594441E-17</v>
      </c>
      <c r="Y12" s="94">
        <f t="shared" si="0"/>
        <v>0</v>
      </c>
      <c r="Z12" s="94">
        <f t="shared" si="0"/>
        <v>0</v>
      </c>
      <c r="AA12" s="94">
        <f t="shared" si="0"/>
        <v>0</v>
      </c>
      <c r="AB12" s="94">
        <f t="shared" si="0"/>
        <v>0</v>
      </c>
      <c r="AC12" s="94">
        <f t="shared" si="0"/>
        <v>-5.7318474376439946E-17</v>
      </c>
      <c r="AD12" s="94">
        <f t="shared" si="0"/>
        <v>0</v>
      </c>
      <c r="AE12" s="94">
        <f t="shared" si="0"/>
        <v>0</v>
      </c>
      <c r="AF12" s="94">
        <f t="shared" si="0"/>
        <v>0</v>
      </c>
      <c r="AG12" s="94">
        <f t="shared" si="0"/>
        <v>0</v>
      </c>
      <c r="AH12" s="94">
        <f t="shared" si="0"/>
        <v>0</v>
      </c>
      <c r="AI12" s="94">
        <f t="shared" si="0"/>
        <v>0</v>
      </c>
      <c r="AL12" t="s">
        <v>369</v>
      </c>
      <c r="AM12" t="s">
        <v>370</v>
      </c>
      <c r="AN12" t="s">
        <v>126</v>
      </c>
      <c r="AO12" t="s">
        <v>323</v>
      </c>
      <c r="AP12" s="547">
        <f>EnergyBalance!E77/1000</f>
        <v>0</v>
      </c>
      <c r="AQ12" s="547">
        <f>EnergyBalance!F77/1000</f>
        <v>5.2939999999999996</v>
      </c>
      <c r="AR12" s="547">
        <f>EnergyBalance!G77/1000</f>
        <v>5.6929999999999996</v>
      </c>
      <c r="AS12" s="547">
        <f>EnergyBalance!H77/1000</f>
        <v>106.45399999999999</v>
      </c>
      <c r="AT12" s="547">
        <f>EnergyBalance!I77/1000</f>
        <v>135.095</v>
      </c>
      <c r="AU12" s="547">
        <f>EnergyBalance!J77/1000</f>
        <v>64.944000000000003</v>
      </c>
      <c r="AV12" s="547">
        <f>EnergyBalance!K77/1000</f>
        <v>8.9160000000000004</v>
      </c>
      <c r="AW12" s="547">
        <f>EnergyBalance!L77/1000</f>
        <v>0</v>
      </c>
      <c r="AX12" s="547">
        <f>EnergyBalance!M77/1000</f>
        <v>89.15</v>
      </c>
      <c r="AY12" s="547">
        <f>EnergyBalance!N77/1000</f>
        <v>220.91</v>
      </c>
      <c r="AZ12" s="547">
        <f>EnergyBalance!O77/1000</f>
        <v>0</v>
      </c>
      <c r="BA12" s="547">
        <f>EnergyBalance!P77/1000</f>
        <v>0</v>
      </c>
      <c r="BB12" s="547">
        <f>EnergyBalance!Q77/1000</f>
        <v>13.571999999999999</v>
      </c>
      <c r="BC12" s="547">
        <f>EnergyBalance!R77/1000</f>
        <v>142.50899999999999</v>
      </c>
      <c r="BD12" s="547">
        <f>EnergyBalance!S77/1000</f>
        <v>41.677999999999997</v>
      </c>
      <c r="BE12" s="547">
        <f>EnergyBalance!T77/1000</f>
        <v>79.382999999999996</v>
      </c>
      <c r="BF12" s="547">
        <f>EnergyBalance!U77/1000</f>
        <v>95.143000000000001</v>
      </c>
      <c r="BG12" s="547">
        <f>EnergyBalance!V77/1000</f>
        <v>0</v>
      </c>
      <c r="BH12" s="547">
        <f>EnergyBalance!W77/1000</f>
        <v>0</v>
      </c>
      <c r="BI12" s="547">
        <f>EnergyBalance!X77/1000</f>
        <v>40.845999999999997</v>
      </c>
      <c r="BJ12" s="547">
        <f>EnergyBalance!Y77/1000</f>
        <v>22.138000000000002</v>
      </c>
      <c r="BK12" s="547">
        <f>EnergyBalance!Z77/1000</f>
        <v>13.707000000000001</v>
      </c>
      <c r="BL12" s="547">
        <f>EnergyBalance!AA77/1000</f>
        <v>47.819000000000003</v>
      </c>
      <c r="BM12" s="547">
        <f>EnergyBalance!AB77/1000</f>
        <v>2.7759999999999998</v>
      </c>
      <c r="BN12" s="547">
        <f>EnergyBalance!AC77/1000</f>
        <v>0</v>
      </c>
      <c r="BO12" s="547">
        <f>EnergyBalance!AD77/1000</f>
        <v>335.21600000000001</v>
      </c>
      <c r="BP12" s="547">
        <f>EnergyBalance!AE77/1000</f>
        <v>31.347000000000001</v>
      </c>
      <c r="BQ12" s="547">
        <f>EnergyBalance!AF77/1000</f>
        <v>146.941</v>
      </c>
      <c r="BS12">
        <f t="shared" si="3"/>
        <v>1649.5309999999999</v>
      </c>
      <c r="BT12" s="94">
        <f t="shared" si="4"/>
        <v>0.61369083361422316</v>
      </c>
      <c r="BU12" t="s">
        <v>126</v>
      </c>
      <c r="BW12" s="102">
        <f t="shared" si="5"/>
        <v>0</v>
      </c>
      <c r="BX12" s="102">
        <f t="shared" si="1"/>
        <v>-12.171627972300801</v>
      </c>
      <c r="BY12" s="102">
        <f t="shared" si="1"/>
        <v>-0.37273390721990385</v>
      </c>
      <c r="BZ12" s="102">
        <f t="shared" si="1"/>
        <v>0</v>
      </c>
      <c r="CA12" s="102">
        <f t="shared" si="1"/>
        <v>0</v>
      </c>
      <c r="CB12" s="102">
        <f t="shared" si="1"/>
        <v>0</v>
      </c>
      <c r="CC12" s="102">
        <f t="shared" si="1"/>
        <v>-34.654772472377871</v>
      </c>
      <c r="CD12" s="102">
        <f t="shared" si="1"/>
        <v>0</v>
      </c>
      <c r="CE12" s="102">
        <f t="shared" si="1"/>
        <v>0</v>
      </c>
      <c r="CF12" s="102">
        <f t="shared" si="1"/>
        <v>0</v>
      </c>
      <c r="CG12" s="102">
        <f t="shared" si="1"/>
        <v>0</v>
      </c>
      <c r="CH12" s="102">
        <f t="shared" si="1"/>
        <v>-1793.6419831276194</v>
      </c>
      <c r="CI12" s="102">
        <f t="shared" si="1"/>
        <v>0</v>
      </c>
      <c r="CJ12" s="102">
        <f t="shared" si="1"/>
        <v>0</v>
      </c>
      <c r="CK12" s="102">
        <f t="shared" si="1"/>
        <v>0</v>
      </c>
      <c r="CL12" s="102">
        <f t="shared" si="1"/>
        <v>0</v>
      </c>
      <c r="CM12" s="102">
        <f t="shared" si="1"/>
        <v>0</v>
      </c>
      <c r="CN12" s="102">
        <f t="shared" si="1"/>
        <v>-13.734791432813315</v>
      </c>
      <c r="CO12" s="102">
        <f t="shared" si="1"/>
        <v>-208.68156611379561</v>
      </c>
      <c r="CP12" s="102">
        <f t="shared" si="1"/>
        <v>0</v>
      </c>
      <c r="CQ12" s="102">
        <f t="shared" si="1"/>
        <v>-2.9224345862560313</v>
      </c>
      <c r="CR12" s="102">
        <f t="shared" si="1"/>
        <v>0</v>
      </c>
      <c r="CS12" s="102">
        <f t="shared" si="1"/>
        <v>-309.07215620502814</v>
      </c>
      <c r="CT12" s="102">
        <f t="shared" si="1"/>
        <v>0</v>
      </c>
      <c r="CU12" s="102">
        <f t="shared" si="1"/>
        <v>0</v>
      </c>
      <c r="CV12" s="102">
        <f t="shared" si="1"/>
        <v>0</v>
      </c>
      <c r="CW12" s="102">
        <f t="shared" si="1"/>
        <v>0</v>
      </c>
      <c r="CX12" s="102">
        <f t="shared" si="1"/>
        <v>0</v>
      </c>
    </row>
    <row r="13" spans="6:102" x14ac:dyDescent="0.25">
      <c r="G13" t="s">
        <v>128</v>
      </c>
      <c r="H13" s="94">
        <f t="shared" si="2"/>
        <v>0</v>
      </c>
      <c r="I13" s="94">
        <f t="shared" si="0"/>
        <v>0</v>
      </c>
      <c r="J13" s="94">
        <f t="shared" si="0"/>
        <v>0</v>
      </c>
      <c r="K13" s="94">
        <f t="shared" si="0"/>
        <v>0</v>
      </c>
      <c r="L13" s="94">
        <f t="shared" si="0"/>
        <v>0</v>
      </c>
      <c r="M13" s="94">
        <f t="shared" si="0"/>
        <v>0</v>
      </c>
      <c r="N13" s="94">
        <f t="shared" si="0"/>
        <v>0</v>
      </c>
      <c r="O13" s="94">
        <f t="shared" si="0"/>
        <v>0</v>
      </c>
      <c r="P13" s="94">
        <f t="shared" si="0"/>
        <v>0</v>
      </c>
      <c r="Q13" s="94">
        <f t="shared" si="0"/>
        <v>-6.5013718923399165E-18</v>
      </c>
      <c r="R13" s="94">
        <f t="shared" si="0"/>
        <v>0</v>
      </c>
      <c r="S13" s="94">
        <f t="shared" si="0"/>
        <v>0</v>
      </c>
      <c r="T13" s="94">
        <f t="shared" si="0"/>
        <v>0</v>
      </c>
      <c r="U13" s="94">
        <f t="shared" si="0"/>
        <v>0</v>
      </c>
      <c r="V13" s="94">
        <f t="shared" si="0"/>
        <v>-1.2188198755353569E-17</v>
      </c>
      <c r="W13" s="94">
        <f t="shared" si="0"/>
        <v>2.3748403580265118E-17</v>
      </c>
      <c r="X13" s="94">
        <f t="shared" si="0"/>
        <v>4.1305100815594441E-17</v>
      </c>
      <c r="Y13" s="94">
        <f t="shared" si="0"/>
        <v>0</v>
      </c>
      <c r="Z13" s="94">
        <f t="shared" si="0"/>
        <v>0</v>
      </c>
      <c r="AA13" s="94">
        <f t="shared" si="0"/>
        <v>0</v>
      </c>
      <c r="AB13" s="94">
        <f t="shared" si="0"/>
        <v>0</v>
      </c>
      <c r="AC13" s="94">
        <f t="shared" si="0"/>
        <v>0</v>
      </c>
      <c r="AD13" s="94">
        <f t="shared" si="0"/>
        <v>0</v>
      </c>
      <c r="AE13" s="94">
        <f t="shared" si="0"/>
        <v>0</v>
      </c>
      <c r="AF13" s="94">
        <f t="shared" si="0"/>
        <v>0</v>
      </c>
      <c r="AG13" s="94">
        <f t="shared" si="0"/>
        <v>0</v>
      </c>
      <c r="AH13" s="94">
        <f t="shared" si="0"/>
        <v>-4.1268396045912324E-17</v>
      </c>
      <c r="AI13" s="94">
        <f t="shared" si="0"/>
        <v>0</v>
      </c>
      <c r="AL13" t="s">
        <v>369</v>
      </c>
      <c r="AM13" t="s">
        <v>370</v>
      </c>
      <c r="AN13" t="s">
        <v>128</v>
      </c>
      <c r="AO13" t="s">
        <v>323</v>
      </c>
      <c r="AP13" s="547">
        <f>EnergyBalance!E78/1000</f>
        <v>0</v>
      </c>
      <c r="AQ13" s="547">
        <f>EnergyBalance!F78/1000</f>
        <v>0</v>
      </c>
      <c r="AR13" s="547">
        <f>EnergyBalance!G78/1000</f>
        <v>0</v>
      </c>
      <c r="AS13" s="547">
        <f>EnergyBalance!H78/1000</f>
        <v>1.5580000000000001</v>
      </c>
      <c r="AT13" s="547">
        <f>EnergyBalance!I78/1000</f>
        <v>114.863</v>
      </c>
      <c r="AU13" s="547">
        <f>EnergyBalance!J78/1000</f>
        <v>4.2869999999999999</v>
      </c>
      <c r="AV13" s="547">
        <f>EnergyBalance!K78/1000</f>
        <v>7.8E-2</v>
      </c>
      <c r="AW13" s="547">
        <f>EnergyBalance!L78/1000</f>
        <v>0</v>
      </c>
      <c r="AX13" s="547">
        <f>EnergyBalance!M78/1000</f>
        <v>16.190000000000001</v>
      </c>
      <c r="AY13" s="547">
        <f>EnergyBalance!N78/1000</f>
        <v>41.064999999999998</v>
      </c>
      <c r="AZ13" s="547">
        <f>EnergyBalance!O78/1000</f>
        <v>0</v>
      </c>
      <c r="BA13" s="547">
        <f>EnergyBalance!P78/1000</f>
        <v>0</v>
      </c>
      <c r="BB13" s="547">
        <f>EnergyBalance!Q78/1000</f>
        <v>8.766</v>
      </c>
      <c r="BC13" s="547">
        <f>EnergyBalance!R78/1000</f>
        <v>13.647</v>
      </c>
      <c r="BD13" s="547">
        <f>EnergyBalance!S78/1000</f>
        <v>24.658999999999999</v>
      </c>
      <c r="BE13" s="547">
        <f>EnergyBalance!T78/1000</f>
        <v>52.786000000000001</v>
      </c>
      <c r="BF13" s="547">
        <f>EnergyBalance!U78/1000</f>
        <v>65.602000000000004</v>
      </c>
      <c r="BG13" s="547">
        <f>EnergyBalance!V78/1000</f>
        <v>0</v>
      </c>
      <c r="BH13" s="547">
        <f>EnergyBalance!W78/1000</f>
        <v>0</v>
      </c>
      <c r="BI13" s="547">
        <f>EnergyBalance!X78/1000</f>
        <v>15.478</v>
      </c>
      <c r="BJ13" s="547">
        <f>EnergyBalance!Y78/1000</f>
        <v>3.198</v>
      </c>
      <c r="BK13" s="547">
        <f>EnergyBalance!Z78/1000</f>
        <v>11.272</v>
      </c>
      <c r="BL13" s="547">
        <f>EnergyBalance!AA78/1000</f>
        <v>0</v>
      </c>
      <c r="BM13" s="547">
        <f>EnergyBalance!AB78/1000</f>
        <v>0</v>
      </c>
      <c r="BN13" s="547">
        <f>EnergyBalance!AC78/1000</f>
        <v>0</v>
      </c>
      <c r="BO13" s="547">
        <f>EnergyBalance!AD78/1000</f>
        <v>0</v>
      </c>
      <c r="BP13" s="547">
        <f>EnergyBalance!AE78/1000</f>
        <v>10.282</v>
      </c>
      <c r="BQ13" s="547">
        <f>EnergyBalance!AF78/1000</f>
        <v>140.43199999999999</v>
      </c>
      <c r="BS13">
        <f t="shared" si="3"/>
        <v>524.1629999999999</v>
      </c>
      <c r="BT13" s="94">
        <f t="shared" si="4"/>
        <v>0.19500938655880493</v>
      </c>
      <c r="BU13" t="s">
        <v>128</v>
      </c>
      <c r="BW13" s="102">
        <f t="shared" si="5"/>
        <v>0</v>
      </c>
      <c r="BX13" s="102">
        <f t="shared" si="1"/>
        <v>-5.8908540211963318</v>
      </c>
      <c r="BY13" s="102">
        <f t="shared" si="1"/>
        <v>-0.88406761551737723</v>
      </c>
      <c r="BZ13" s="102">
        <f t="shared" si="1"/>
        <v>-8.3791800672511894</v>
      </c>
      <c r="CA13" s="102">
        <f t="shared" si="1"/>
        <v>0</v>
      </c>
      <c r="CB13" s="102">
        <f t="shared" si="1"/>
        <v>0</v>
      </c>
      <c r="CC13" s="102">
        <f t="shared" si="1"/>
        <v>-0.74181295190191754</v>
      </c>
      <c r="CD13" s="102">
        <f t="shared" si="1"/>
        <v>0</v>
      </c>
      <c r="CE13" s="102">
        <f t="shared" si="1"/>
        <v>0</v>
      </c>
      <c r="CF13" s="102">
        <f t="shared" si="1"/>
        <v>0</v>
      </c>
      <c r="CG13" s="102">
        <f t="shared" si="1"/>
        <v>0</v>
      </c>
      <c r="CH13" s="102">
        <f t="shared" si="1"/>
        <v>-111.17997764439849</v>
      </c>
      <c r="CI13" s="102">
        <f t="shared" si="1"/>
        <v>0</v>
      </c>
      <c r="CJ13" s="102">
        <f t="shared" si="1"/>
        <v>-28.965953353194806</v>
      </c>
      <c r="CK13" s="102">
        <f t="shared" si="1"/>
        <v>0</v>
      </c>
      <c r="CL13" s="102">
        <f t="shared" si="1"/>
        <v>0</v>
      </c>
      <c r="CM13" s="102">
        <f t="shared" si="1"/>
        <v>0</v>
      </c>
      <c r="CN13" s="102">
        <f t="shared" si="1"/>
        <v>-0.11307764853819553</v>
      </c>
      <c r="CO13" s="102">
        <f t="shared" si="1"/>
        <v>-3.9294482867022942</v>
      </c>
      <c r="CP13" s="102">
        <f t="shared" si="1"/>
        <v>0</v>
      </c>
      <c r="CQ13" s="102">
        <f t="shared" si="1"/>
        <v>0</v>
      </c>
      <c r="CR13" s="102">
        <f t="shared" si="1"/>
        <v>0</v>
      </c>
      <c r="CS13" s="102">
        <f t="shared" si="1"/>
        <v>-119.44567068203165</v>
      </c>
      <c r="CT13" s="102">
        <f t="shared" si="1"/>
        <v>-2.8269412134548883E-2</v>
      </c>
      <c r="CU13" s="102">
        <f t="shared" si="1"/>
        <v>0</v>
      </c>
      <c r="CV13" s="102">
        <f t="shared" si="1"/>
        <v>-32.221412513234128</v>
      </c>
      <c r="CW13" s="102">
        <f t="shared" si="1"/>
        <v>0</v>
      </c>
      <c r="CX13" s="102">
        <f t="shared" si="1"/>
        <v>0</v>
      </c>
    </row>
    <row r="14" spans="6:102" x14ac:dyDescent="0.25">
      <c r="G14" t="s">
        <v>130</v>
      </c>
      <c r="H14" s="94">
        <f t="shared" si="2"/>
        <v>0</v>
      </c>
      <c r="I14" s="94">
        <f t="shared" si="0"/>
        <v>0</v>
      </c>
      <c r="J14" s="94">
        <f t="shared" si="0"/>
        <v>0</v>
      </c>
      <c r="K14" s="94">
        <f t="shared" si="0"/>
        <v>0</v>
      </c>
      <c r="L14" s="94">
        <f t="shared" si="0"/>
        <v>0</v>
      </c>
      <c r="M14" s="94">
        <f t="shared" si="0"/>
        <v>0</v>
      </c>
      <c r="N14" s="94">
        <f t="shared" si="0"/>
        <v>0</v>
      </c>
      <c r="O14" s="94">
        <f t="shared" si="0"/>
        <v>0</v>
      </c>
      <c r="P14" s="94">
        <f t="shared" si="0"/>
        <v>0</v>
      </c>
      <c r="Q14" s="94">
        <f t="shared" si="0"/>
        <v>0</v>
      </c>
      <c r="R14" s="94">
        <f t="shared" si="0"/>
        <v>0</v>
      </c>
      <c r="S14" s="94">
        <f t="shared" si="0"/>
        <v>0</v>
      </c>
      <c r="T14" s="94">
        <f t="shared" si="0"/>
        <v>0</v>
      </c>
      <c r="U14" s="94">
        <f t="shared" ref="U14:AI19" si="6">IF(BC$20=0,0,IF(BC14-BA35&gt;=0,(BC14-BA35-BA53)/BC$20,IF(CJ49&gt;=0,(BC14-BA35-BA53-CJ14)/BC$20,(BC14-BA35-BA53)/BC$20)))</f>
        <v>0</v>
      </c>
      <c r="V14" s="94">
        <f t="shared" si="6"/>
        <v>0</v>
      </c>
      <c r="W14" s="94">
        <f t="shared" si="6"/>
        <v>0</v>
      </c>
      <c r="X14" s="94">
        <f t="shared" si="6"/>
        <v>0</v>
      </c>
      <c r="Y14" s="94">
        <f t="shared" si="6"/>
        <v>0</v>
      </c>
      <c r="Z14" s="94">
        <f t="shared" si="6"/>
        <v>0</v>
      </c>
      <c r="AA14" s="94">
        <f t="shared" si="6"/>
        <v>0</v>
      </c>
      <c r="AB14" s="94">
        <f t="shared" si="6"/>
        <v>0</v>
      </c>
      <c r="AC14" s="94">
        <f t="shared" si="6"/>
        <v>0</v>
      </c>
      <c r="AD14" s="94">
        <f t="shared" si="6"/>
        <v>0</v>
      </c>
      <c r="AE14" s="94">
        <f t="shared" si="6"/>
        <v>0</v>
      </c>
      <c r="AF14" s="94">
        <f t="shared" si="6"/>
        <v>0</v>
      </c>
      <c r="AG14" s="94">
        <f t="shared" si="6"/>
        <v>0</v>
      </c>
      <c r="AH14" s="94">
        <f t="shared" si="6"/>
        <v>0</v>
      </c>
      <c r="AI14" s="94">
        <f t="shared" si="6"/>
        <v>0</v>
      </c>
      <c r="AL14" t="s">
        <v>369</v>
      </c>
      <c r="AM14" t="s">
        <v>370</v>
      </c>
      <c r="AN14" t="s">
        <v>130</v>
      </c>
      <c r="AO14" t="s">
        <v>323</v>
      </c>
      <c r="AP14" s="547">
        <f>EnergyBalance!E79/1000</f>
        <v>0</v>
      </c>
      <c r="AQ14" s="547">
        <f>EnergyBalance!F79/1000</f>
        <v>0</v>
      </c>
      <c r="AR14" s="547">
        <f>EnergyBalance!G79/1000</f>
        <v>0</v>
      </c>
      <c r="AS14" s="547">
        <f>EnergyBalance!H79/1000</f>
        <v>0</v>
      </c>
      <c r="AT14" s="547">
        <f>EnergyBalance!I79/1000</f>
        <v>0</v>
      </c>
      <c r="AU14" s="547">
        <f>EnergyBalance!J79/1000</f>
        <v>0.61799999999999999</v>
      </c>
      <c r="AV14" s="547">
        <f>EnergyBalance!K79/1000</f>
        <v>0</v>
      </c>
      <c r="AW14" s="547">
        <f>EnergyBalance!L79/1000</f>
        <v>0</v>
      </c>
      <c r="AX14" s="547">
        <f>EnergyBalance!M79/1000</f>
        <v>0</v>
      </c>
      <c r="AY14" s="547">
        <f>EnergyBalance!N79/1000</f>
        <v>0</v>
      </c>
      <c r="AZ14" s="547">
        <f>EnergyBalance!O79/1000</f>
        <v>0</v>
      </c>
      <c r="BA14" s="547">
        <f>EnergyBalance!P79/1000</f>
        <v>0</v>
      </c>
      <c r="BB14" s="547">
        <f>EnergyBalance!Q79/1000</f>
        <v>12.266999999999999</v>
      </c>
      <c r="BC14" s="547">
        <f>EnergyBalance!R79/1000</f>
        <v>3.5999999999999997E-2</v>
      </c>
      <c r="BD14" s="547">
        <f>EnergyBalance!S79/1000</f>
        <v>1.9370000000000001</v>
      </c>
      <c r="BE14" s="547">
        <f>EnergyBalance!T79/1000</f>
        <v>0.82699999999999996</v>
      </c>
      <c r="BF14" s="547">
        <f>EnergyBalance!U79/1000</f>
        <v>3.1779999999999999</v>
      </c>
      <c r="BG14" s="547">
        <f>EnergyBalance!V79/1000</f>
        <v>0</v>
      </c>
      <c r="BH14" s="547">
        <f>EnergyBalance!W79/1000</f>
        <v>0</v>
      </c>
      <c r="BI14" s="547">
        <f>EnergyBalance!X79/1000</f>
        <v>0</v>
      </c>
      <c r="BJ14" s="547">
        <f>EnergyBalance!Y79/1000</f>
        <v>0</v>
      </c>
      <c r="BK14" s="547">
        <f>EnergyBalance!Z79/1000</f>
        <v>0</v>
      </c>
      <c r="BL14" s="547">
        <f>EnergyBalance!AA79/1000</f>
        <v>0</v>
      </c>
      <c r="BM14" s="547">
        <f>EnergyBalance!AB79/1000</f>
        <v>0</v>
      </c>
      <c r="BN14" s="547">
        <f>EnergyBalance!AC79/1000</f>
        <v>0</v>
      </c>
      <c r="BO14" s="547">
        <f>EnergyBalance!AD79/1000</f>
        <v>0</v>
      </c>
      <c r="BP14" s="547">
        <f>EnergyBalance!AE79/1000</f>
        <v>2E-3</v>
      </c>
      <c r="BQ14" s="547">
        <f>EnergyBalance!AF79/1000</f>
        <v>3.9129999999999998</v>
      </c>
      <c r="BS14">
        <f t="shared" si="3"/>
        <v>22.777999999999999</v>
      </c>
      <c r="BT14" s="94">
        <f t="shared" si="4"/>
        <v>8.4743177352015666E-3</v>
      </c>
      <c r="BU14" t="s">
        <v>130</v>
      </c>
      <c r="BW14" s="102">
        <f t="shared" si="5"/>
        <v>0</v>
      </c>
      <c r="BX14" s="102">
        <f t="shared" si="1"/>
        <v>0</v>
      </c>
      <c r="BY14" s="102">
        <f t="shared" si="1"/>
        <v>0</v>
      </c>
      <c r="BZ14" s="102">
        <f t="shared" si="1"/>
        <v>0</v>
      </c>
      <c r="CA14" s="102">
        <f t="shared" si="1"/>
        <v>0</v>
      </c>
      <c r="CB14" s="102">
        <f t="shared" si="1"/>
        <v>0</v>
      </c>
      <c r="CC14" s="102">
        <f t="shared" si="1"/>
        <v>0</v>
      </c>
      <c r="CD14" s="102">
        <f t="shared" si="1"/>
        <v>0</v>
      </c>
      <c r="CE14" s="102">
        <f t="shared" si="1"/>
        <v>0</v>
      </c>
      <c r="CF14" s="102">
        <f t="shared" si="1"/>
        <v>0</v>
      </c>
      <c r="CG14" s="102">
        <f t="shared" si="1"/>
        <v>0</v>
      </c>
      <c r="CH14" s="102">
        <f t="shared" si="1"/>
        <v>0</v>
      </c>
      <c r="CI14" s="102">
        <f t="shared" si="1"/>
        <v>0</v>
      </c>
      <c r="CJ14" s="102">
        <f t="shared" ref="CJ14:CJ19" si="7">BC14-BA35-BA53</f>
        <v>0</v>
      </c>
      <c r="CK14" s="102">
        <f t="shared" ref="CK14:CK19" si="8">BD14-BB35-BB53</f>
        <v>0</v>
      </c>
      <c r="CL14" s="102">
        <f t="shared" ref="CL14:CL19" si="9">BE14-BC35-BC53</f>
        <v>0</v>
      </c>
      <c r="CM14" s="102">
        <f t="shared" ref="CM14:CM19" si="10">BF14-BD35-BD53</f>
        <v>0</v>
      </c>
      <c r="CN14" s="102">
        <f t="shared" ref="CN14:CN19" si="11">BG14-BE35-BE53</f>
        <v>0</v>
      </c>
      <c r="CO14" s="102">
        <f t="shared" ref="CO14:CO19" si="12">BH14-BF35-BF53</f>
        <v>0</v>
      </c>
      <c r="CP14" s="102">
        <f t="shared" ref="CP14:CP19" si="13">BI14-BG35-BG53</f>
        <v>0</v>
      </c>
      <c r="CQ14" s="102">
        <f t="shared" ref="CQ14:CQ19" si="14">BJ14-BH35-BH53</f>
        <v>0</v>
      </c>
      <c r="CR14" s="102">
        <f t="shared" ref="CR14:CR19" si="15">BK14-BI35-BI53</f>
        <v>0</v>
      </c>
      <c r="CS14" s="102">
        <f t="shared" ref="CS14:CS19" si="16">BL14-BJ35-BJ53</f>
        <v>0</v>
      </c>
      <c r="CT14" s="102">
        <f t="shared" ref="CT14:CT19" si="17">BM14-BK35-BK53</f>
        <v>0</v>
      </c>
      <c r="CU14" s="102">
        <f t="shared" ref="CU14:CU19" si="18">BN14-BL35-BL53</f>
        <v>0</v>
      </c>
      <c r="CV14" s="102">
        <f t="shared" ref="CV14:CV19" si="19">BO14-BM35-BM53</f>
        <v>0</v>
      </c>
      <c r="CW14" s="102">
        <f t="shared" ref="CW14:CW19" si="20">BP14-BN35-BN53</f>
        <v>0</v>
      </c>
      <c r="CX14" s="102">
        <f t="shared" ref="CX14:CX19" si="21">BQ14-BO35-BO53</f>
        <v>0</v>
      </c>
    </row>
    <row r="15" spans="6:102" x14ac:dyDescent="0.25">
      <c r="G15" t="s">
        <v>132</v>
      </c>
      <c r="H15" s="94">
        <f t="shared" si="2"/>
        <v>0</v>
      </c>
      <c r="I15" s="94">
        <f t="shared" si="2"/>
        <v>0</v>
      </c>
      <c r="J15" s="94">
        <f t="shared" si="2"/>
        <v>0</v>
      </c>
      <c r="K15" s="94">
        <f t="shared" si="2"/>
        <v>0</v>
      </c>
      <c r="L15" s="94">
        <f t="shared" si="2"/>
        <v>0</v>
      </c>
      <c r="M15" s="94">
        <f t="shared" si="2"/>
        <v>0</v>
      </c>
      <c r="N15" s="94">
        <f t="shared" si="2"/>
        <v>0</v>
      </c>
      <c r="O15" s="94">
        <f t="shared" si="2"/>
        <v>0</v>
      </c>
      <c r="P15" s="94">
        <f t="shared" si="2"/>
        <v>0</v>
      </c>
      <c r="Q15" s="94">
        <f t="shared" si="2"/>
        <v>0</v>
      </c>
      <c r="R15" s="94">
        <f t="shared" si="2"/>
        <v>0</v>
      </c>
      <c r="S15" s="94">
        <f t="shared" si="2"/>
        <v>0</v>
      </c>
      <c r="T15" s="94">
        <f t="shared" si="2"/>
        <v>0</v>
      </c>
      <c r="U15" s="94">
        <f t="shared" si="6"/>
        <v>0</v>
      </c>
      <c r="V15" s="94">
        <f t="shared" si="6"/>
        <v>0</v>
      </c>
      <c r="W15" s="94">
        <f t="shared" si="6"/>
        <v>0</v>
      </c>
      <c r="X15" s="94">
        <f t="shared" si="6"/>
        <v>0</v>
      </c>
      <c r="Y15" s="94">
        <f t="shared" si="6"/>
        <v>0</v>
      </c>
      <c r="Z15" s="94">
        <f t="shared" si="6"/>
        <v>0</v>
      </c>
      <c r="AA15" s="94">
        <f t="shared" si="6"/>
        <v>0</v>
      </c>
      <c r="AB15" s="94">
        <f t="shared" si="6"/>
        <v>0</v>
      </c>
      <c r="AC15" s="94">
        <f t="shared" si="6"/>
        <v>0</v>
      </c>
      <c r="AD15" s="94">
        <f t="shared" si="6"/>
        <v>0</v>
      </c>
      <c r="AE15" s="94">
        <f t="shared" si="6"/>
        <v>0</v>
      </c>
      <c r="AF15" s="94">
        <f t="shared" si="6"/>
        <v>0</v>
      </c>
      <c r="AG15" s="94">
        <f t="shared" si="6"/>
        <v>0</v>
      </c>
      <c r="AH15" s="94">
        <f t="shared" si="6"/>
        <v>0</v>
      </c>
      <c r="AI15" s="94">
        <f t="shared" si="6"/>
        <v>0</v>
      </c>
      <c r="AL15" t="s">
        <v>369</v>
      </c>
      <c r="AM15" t="s">
        <v>370</v>
      </c>
      <c r="AN15" t="s">
        <v>132</v>
      </c>
      <c r="AO15" t="s">
        <v>323</v>
      </c>
      <c r="AP15" s="547">
        <f>EnergyBalance!E80/1000</f>
        <v>0</v>
      </c>
      <c r="AQ15" s="547">
        <f>EnergyBalance!F80/1000</f>
        <v>1.657</v>
      </c>
      <c r="AR15" s="547">
        <f>EnergyBalance!G80/1000</f>
        <v>0</v>
      </c>
      <c r="AS15" s="547">
        <f>EnergyBalance!H80/1000</f>
        <v>0</v>
      </c>
      <c r="AT15" s="547">
        <f>EnergyBalance!I80/1000</f>
        <v>0.65900000000000003</v>
      </c>
      <c r="AU15" s="547">
        <f>EnergyBalance!J80/1000</f>
        <v>0</v>
      </c>
      <c r="AV15" s="547">
        <f>EnergyBalance!K80/1000</f>
        <v>0.7</v>
      </c>
      <c r="AW15" s="547">
        <f>EnergyBalance!L80/1000</f>
        <v>0</v>
      </c>
      <c r="AX15" s="547">
        <f>EnergyBalance!M80/1000</f>
        <v>1.484</v>
      </c>
      <c r="AY15" s="547">
        <f>EnergyBalance!N80/1000</f>
        <v>0</v>
      </c>
      <c r="AZ15" s="547">
        <f>EnergyBalance!O80/1000</f>
        <v>0</v>
      </c>
      <c r="BA15" s="547">
        <f>EnergyBalance!P80/1000</f>
        <v>1.571</v>
      </c>
      <c r="BB15" s="547">
        <f>EnergyBalance!Q80/1000</f>
        <v>0.19500000000000001</v>
      </c>
      <c r="BC15" s="547">
        <f>EnergyBalance!R80/1000</f>
        <v>0.745</v>
      </c>
      <c r="BD15" s="547">
        <f>EnergyBalance!S80/1000</f>
        <v>0.247</v>
      </c>
      <c r="BE15" s="547">
        <f>EnergyBalance!T80/1000</f>
        <v>2.274</v>
      </c>
      <c r="BF15" s="547">
        <f>EnergyBalance!U80/1000</f>
        <v>1.4910000000000001</v>
      </c>
      <c r="BG15" s="547">
        <f>EnergyBalance!V80/1000</f>
        <v>0</v>
      </c>
      <c r="BH15" s="547">
        <f>EnergyBalance!W80/1000</f>
        <v>0</v>
      </c>
      <c r="BI15" s="547">
        <f>EnergyBalance!X80/1000</f>
        <v>2.5219999999999998</v>
      </c>
      <c r="BJ15" s="547">
        <f>EnergyBalance!Y80/1000</f>
        <v>3.5999999999999997E-2</v>
      </c>
      <c r="BK15" s="547">
        <f>EnergyBalance!Z80/1000</f>
        <v>0</v>
      </c>
      <c r="BL15" s="547">
        <f>EnergyBalance!AA80/1000</f>
        <v>0</v>
      </c>
      <c r="BM15" s="547">
        <f>EnergyBalance!AB80/1000</f>
        <v>0</v>
      </c>
      <c r="BN15" s="547">
        <f>EnergyBalance!AC80/1000</f>
        <v>0</v>
      </c>
      <c r="BO15" s="547">
        <f>EnergyBalance!AD80/1000</f>
        <v>0</v>
      </c>
      <c r="BP15" s="547">
        <f>EnergyBalance!AE80/1000</f>
        <v>0.47799999999999998</v>
      </c>
      <c r="BQ15" s="547">
        <f>EnergyBalance!AF80/1000</f>
        <v>4.9000000000000002E-2</v>
      </c>
      <c r="BS15">
        <f t="shared" si="3"/>
        <v>14.107999999999999</v>
      </c>
      <c r="BT15" s="94">
        <f t="shared" si="4"/>
        <v>5.2487345073414567E-3</v>
      </c>
      <c r="BU15" t="s">
        <v>132</v>
      </c>
      <c r="BW15" s="102">
        <f t="shared" si="5"/>
        <v>0</v>
      </c>
      <c r="BX15" s="102">
        <f t="shared" ref="BX15:BX19" si="22">AQ15-AO36-AO54</f>
        <v>0</v>
      </c>
      <c r="BY15" s="102">
        <f t="shared" ref="BY15:BY19" si="23">AR15-AP36-AP54</f>
        <v>0</v>
      </c>
      <c r="BZ15" s="102">
        <f t="shared" ref="BZ15:BZ19" si="24">AS15-AQ36-AQ54</f>
        <v>0</v>
      </c>
      <c r="CA15" s="102">
        <f t="shared" ref="CA15:CA19" si="25">AT15-AR36-AR54</f>
        <v>0</v>
      </c>
      <c r="CB15" s="102">
        <f t="shared" ref="CB15:CB19" si="26">AU15-AS36-AS54</f>
        <v>0</v>
      </c>
      <c r="CC15" s="102">
        <f t="shared" ref="CC15:CC19" si="27">AV15-AT36-AT54</f>
        <v>0</v>
      </c>
      <c r="CD15" s="102">
        <f t="shared" ref="CD15:CD19" si="28">AW15-AU36-AU54</f>
        <v>0</v>
      </c>
      <c r="CE15" s="102">
        <f t="shared" ref="CE15:CE19" si="29">AX15-AV36-AV54</f>
        <v>0</v>
      </c>
      <c r="CF15" s="102">
        <f t="shared" ref="CF15:CF19" si="30">AY15-AW36-AW54</f>
        <v>0</v>
      </c>
      <c r="CG15" s="102">
        <f t="shared" ref="CG15:CG19" si="31">AZ15-AX36-AX54</f>
        <v>0</v>
      </c>
      <c r="CH15" s="102">
        <f t="shared" ref="CH15:CH19" si="32">BA15-AY36-AY54</f>
        <v>0</v>
      </c>
      <c r="CI15" s="102">
        <f t="shared" ref="CI15:CI19" si="33">BB15-AZ36-AZ54</f>
        <v>0</v>
      </c>
      <c r="CJ15" s="102">
        <f t="shared" si="7"/>
        <v>0</v>
      </c>
      <c r="CK15" s="102">
        <f t="shared" si="8"/>
        <v>0</v>
      </c>
      <c r="CL15" s="102">
        <f t="shared" si="9"/>
        <v>0</v>
      </c>
      <c r="CM15" s="102">
        <f t="shared" si="10"/>
        <v>0</v>
      </c>
      <c r="CN15" s="102">
        <f t="shared" si="11"/>
        <v>0</v>
      </c>
      <c r="CO15" s="102">
        <f t="shared" si="12"/>
        <v>0</v>
      </c>
      <c r="CP15" s="102">
        <f t="shared" si="13"/>
        <v>0</v>
      </c>
      <c r="CQ15" s="102">
        <f t="shared" si="14"/>
        <v>0</v>
      </c>
      <c r="CR15" s="102">
        <f t="shared" si="15"/>
        <v>0</v>
      </c>
      <c r="CS15" s="102">
        <f t="shared" si="16"/>
        <v>0</v>
      </c>
      <c r="CT15" s="102">
        <f t="shared" si="17"/>
        <v>0</v>
      </c>
      <c r="CU15" s="102">
        <f t="shared" si="18"/>
        <v>0</v>
      </c>
      <c r="CV15" s="102">
        <f t="shared" si="19"/>
        <v>0</v>
      </c>
      <c r="CW15" s="102">
        <f t="shared" si="20"/>
        <v>0</v>
      </c>
      <c r="CX15" s="102">
        <f t="shared" si="21"/>
        <v>0</v>
      </c>
    </row>
    <row r="16" spans="6:102" x14ac:dyDescent="0.25">
      <c r="G16" t="s">
        <v>134</v>
      </c>
      <c r="H16" s="94">
        <f t="shared" si="2"/>
        <v>0</v>
      </c>
      <c r="I16" s="94">
        <f t="shared" si="2"/>
        <v>-2.6611290139625038E-17</v>
      </c>
      <c r="J16" s="94">
        <f t="shared" si="2"/>
        <v>0</v>
      </c>
      <c r="K16" s="94">
        <f t="shared" si="2"/>
        <v>0</v>
      </c>
      <c r="L16" s="94">
        <f t="shared" si="2"/>
        <v>0</v>
      </c>
      <c r="M16" s="94">
        <f t="shared" si="2"/>
        <v>-6.130145697682505E-18</v>
      </c>
      <c r="N16" s="94">
        <f t="shared" si="2"/>
        <v>0</v>
      </c>
      <c r="O16" s="94">
        <f t="shared" si="2"/>
        <v>0</v>
      </c>
      <c r="P16" s="94">
        <f t="shared" si="2"/>
        <v>0</v>
      </c>
      <c r="Q16" s="94">
        <f t="shared" si="2"/>
        <v>0</v>
      </c>
      <c r="R16" s="94">
        <f t="shared" si="2"/>
        <v>0</v>
      </c>
      <c r="S16" s="94">
        <f t="shared" si="2"/>
        <v>0</v>
      </c>
      <c r="T16" s="94">
        <f t="shared" si="2"/>
        <v>0</v>
      </c>
      <c r="U16" s="94">
        <f t="shared" si="6"/>
        <v>0</v>
      </c>
      <c r="V16" s="94">
        <f t="shared" si="6"/>
        <v>0</v>
      </c>
      <c r="W16" s="94">
        <f t="shared" si="6"/>
        <v>0</v>
      </c>
      <c r="X16" s="94">
        <f t="shared" si="6"/>
        <v>-2.5815688009746525E-18</v>
      </c>
      <c r="Y16" s="94">
        <f t="shared" si="6"/>
        <v>0</v>
      </c>
      <c r="Z16" s="94">
        <f t="shared" si="6"/>
        <v>0</v>
      </c>
      <c r="AA16" s="94">
        <f t="shared" si="6"/>
        <v>0</v>
      </c>
      <c r="AB16" s="94">
        <f t="shared" si="6"/>
        <v>0</v>
      </c>
      <c r="AC16" s="94">
        <f t="shared" si="6"/>
        <v>0</v>
      </c>
      <c r="AD16" s="94">
        <f t="shared" si="6"/>
        <v>0</v>
      </c>
      <c r="AE16" s="94">
        <f t="shared" si="6"/>
        <v>0</v>
      </c>
      <c r="AF16" s="94">
        <f t="shared" si="6"/>
        <v>0</v>
      </c>
      <c r="AG16" s="94">
        <f t="shared" si="6"/>
        <v>0</v>
      </c>
      <c r="AH16" s="94">
        <f t="shared" si="6"/>
        <v>-2.5792747528695203E-18</v>
      </c>
      <c r="AI16" s="94">
        <f t="shared" si="6"/>
        <v>0</v>
      </c>
      <c r="AL16" t="s">
        <v>369</v>
      </c>
      <c r="AM16" t="s">
        <v>370</v>
      </c>
      <c r="AN16" t="s">
        <v>134</v>
      </c>
      <c r="AO16" t="s">
        <v>323</v>
      </c>
      <c r="AP16" s="547">
        <f>EnergyBalance!E81/1000</f>
        <v>0</v>
      </c>
      <c r="AQ16" s="547">
        <f>EnergyBalance!F81/1000</f>
        <v>1.3049999999999999</v>
      </c>
      <c r="AR16" s="547">
        <f>EnergyBalance!G81/1000</f>
        <v>0.47199999999999998</v>
      </c>
      <c r="AS16" s="547">
        <f>EnergyBalance!H81/1000</f>
        <v>1.25</v>
      </c>
      <c r="AT16" s="547">
        <f>EnergyBalance!I81/1000</f>
        <v>11.115</v>
      </c>
      <c r="AU16" s="547">
        <f>EnergyBalance!J81/1000</f>
        <v>4.8650000000000002</v>
      </c>
      <c r="AV16" s="547">
        <f>EnergyBalance!K81/1000</f>
        <v>2.3149999999999999</v>
      </c>
      <c r="AW16" s="547">
        <f>EnergyBalance!L81/1000</f>
        <v>0</v>
      </c>
      <c r="AX16" s="547">
        <f>EnergyBalance!M81/1000</f>
        <v>47.601999999999997</v>
      </c>
      <c r="AY16" s="547">
        <f>EnergyBalance!N81/1000</f>
        <v>2.7309999999999999</v>
      </c>
      <c r="AZ16" s="547">
        <f>EnergyBalance!O81/1000</f>
        <v>0</v>
      </c>
      <c r="BA16" s="547">
        <f>EnergyBalance!P81/1000</f>
        <v>113.18899999999999</v>
      </c>
      <c r="BB16" s="547">
        <f>EnergyBalance!Q81/1000</f>
        <v>1.514</v>
      </c>
      <c r="BC16" s="547">
        <f>EnergyBalance!R81/1000</f>
        <v>0.59899999999999998</v>
      </c>
      <c r="BD16" s="547">
        <f>EnergyBalance!S81/1000</f>
        <v>1.135</v>
      </c>
      <c r="BE16" s="547">
        <f>EnergyBalance!T81/1000</f>
        <v>7.7709999999999999</v>
      </c>
      <c r="BF16" s="547">
        <f>EnergyBalance!U81/1000</f>
        <v>3.456</v>
      </c>
      <c r="BG16" s="547">
        <f>EnergyBalance!V81/1000</f>
        <v>0</v>
      </c>
      <c r="BH16" s="547">
        <f>EnergyBalance!W81/1000</f>
        <v>14.47</v>
      </c>
      <c r="BI16" s="547">
        <f>EnergyBalance!X81/1000</f>
        <v>12.853999999999999</v>
      </c>
      <c r="BJ16" s="547">
        <f>EnergyBalance!Y81/1000</f>
        <v>4.2999999999999997E-2</v>
      </c>
      <c r="BK16" s="547">
        <f>EnergyBalance!Z81/1000</f>
        <v>0.25900000000000001</v>
      </c>
      <c r="BL16" s="547">
        <f>EnergyBalance!AA81/1000</f>
        <v>0</v>
      </c>
      <c r="BM16" s="547">
        <f>EnergyBalance!AB81/1000</f>
        <v>0</v>
      </c>
      <c r="BN16" s="547">
        <f>EnergyBalance!AC81/1000</f>
        <v>0</v>
      </c>
      <c r="BO16" s="547">
        <f>EnergyBalance!AD81/1000</f>
        <v>0</v>
      </c>
      <c r="BP16" s="547">
        <f>EnergyBalance!AE81/1000</f>
        <v>0.93500000000000005</v>
      </c>
      <c r="BQ16" s="547">
        <f>EnergyBalance!AF81/1000</f>
        <v>8.6969999999999992</v>
      </c>
      <c r="BS16">
        <f t="shared" si="3"/>
        <v>236.57699999999997</v>
      </c>
      <c r="BT16" s="94">
        <f t="shared" si="4"/>
        <v>8.8016009607550308E-2</v>
      </c>
      <c r="BU16" t="s">
        <v>134</v>
      </c>
      <c r="BW16" s="102">
        <f t="shared" si="5"/>
        <v>0</v>
      </c>
      <c r="BX16" s="102">
        <f t="shared" si="22"/>
        <v>0</v>
      </c>
      <c r="BY16" s="102">
        <f t="shared" si="23"/>
        <v>0</v>
      </c>
      <c r="BZ16" s="102">
        <f t="shared" si="24"/>
        <v>-0.82156106150454544</v>
      </c>
      <c r="CA16" s="102">
        <f t="shared" si="25"/>
        <v>0</v>
      </c>
      <c r="CB16" s="102">
        <f t="shared" si="26"/>
        <v>0</v>
      </c>
      <c r="CC16" s="102">
        <f t="shared" si="27"/>
        <v>-1.4832255391069507</v>
      </c>
      <c r="CD16" s="102">
        <f t="shared" si="28"/>
        <v>0</v>
      </c>
      <c r="CE16" s="102">
        <f t="shared" si="29"/>
        <v>0</v>
      </c>
      <c r="CF16" s="102">
        <f t="shared" si="30"/>
        <v>0</v>
      </c>
      <c r="CG16" s="102">
        <f t="shared" si="31"/>
        <v>0</v>
      </c>
      <c r="CH16" s="102">
        <f t="shared" si="32"/>
        <v>0</v>
      </c>
      <c r="CI16" s="102">
        <f t="shared" si="33"/>
        <v>0</v>
      </c>
      <c r="CJ16" s="102">
        <f t="shared" si="7"/>
        <v>0</v>
      </c>
      <c r="CK16" s="102">
        <f t="shared" si="8"/>
        <v>0</v>
      </c>
      <c r="CL16" s="102">
        <f t="shared" si="9"/>
        <v>0</v>
      </c>
      <c r="CM16" s="102">
        <f t="shared" si="10"/>
        <v>0</v>
      </c>
      <c r="CN16" s="102">
        <f t="shared" si="11"/>
        <v>-1.1994396439285107</v>
      </c>
      <c r="CO16" s="102">
        <f t="shared" si="12"/>
        <v>-3.7215012662490796</v>
      </c>
      <c r="CP16" s="102">
        <f t="shared" si="13"/>
        <v>0</v>
      </c>
      <c r="CQ16" s="102">
        <f t="shared" si="14"/>
        <v>-3.9411341627653007</v>
      </c>
      <c r="CR16" s="102">
        <f t="shared" si="15"/>
        <v>-0.14081321464283686</v>
      </c>
      <c r="CS16" s="102">
        <f t="shared" si="16"/>
        <v>0</v>
      </c>
      <c r="CT16" s="102">
        <f t="shared" si="17"/>
        <v>0</v>
      </c>
      <c r="CU16" s="102">
        <f t="shared" si="18"/>
        <v>0</v>
      </c>
      <c r="CV16" s="102">
        <f t="shared" si="19"/>
        <v>0</v>
      </c>
      <c r="CW16" s="102">
        <f t="shared" si="20"/>
        <v>0</v>
      </c>
      <c r="CX16" s="102">
        <f t="shared" si="21"/>
        <v>0</v>
      </c>
    </row>
    <row r="17" spans="6:102" x14ac:dyDescent="0.25">
      <c r="G17" t="s">
        <v>1701</v>
      </c>
      <c r="H17" s="94">
        <f t="shared" si="2"/>
        <v>0</v>
      </c>
      <c r="I17" s="94">
        <f t="shared" si="2"/>
        <v>0</v>
      </c>
      <c r="J17" s="94">
        <f t="shared" si="2"/>
        <v>0</v>
      </c>
      <c r="K17" s="94">
        <f t="shared" si="2"/>
        <v>0</v>
      </c>
      <c r="L17" s="94">
        <f t="shared" si="2"/>
        <v>0</v>
      </c>
      <c r="M17" s="94">
        <f t="shared" si="2"/>
        <v>0</v>
      </c>
      <c r="N17" s="94">
        <f t="shared" si="2"/>
        <v>0</v>
      </c>
      <c r="O17" s="94">
        <f t="shared" si="2"/>
        <v>0</v>
      </c>
      <c r="P17" s="94">
        <f t="shared" si="2"/>
        <v>0</v>
      </c>
      <c r="Q17" s="94">
        <f t="shared" si="2"/>
        <v>0</v>
      </c>
      <c r="R17" s="94">
        <f t="shared" si="2"/>
        <v>0</v>
      </c>
      <c r="S17" s="94">
        <f t="shared" si="2"/>
        <v>0</v>
      </c>
      <c r="T17" s="94">
        <f t="shared" si="2"/>
        <v>0</v>
      </c>
      <c r="U17" s="94">
        <f t="shared" si="6"/>
        <v>0</v>
      </c>
      <c r="V17" s="94">
        <f t="shared" si="6"/>
        <v>0</v>
      </c>
      <c r="W17" s="94">
        <f t="shared" si="6"/>
        <v>0</v>
      </c>
      <c r="X17" s="94">
        <f t="shared" si="6"/>
        <v>0</v>
      </c>
      <c r="Y17" s="94">
        <f t="shared" si="6"/>
        <v>0</v>
      </c>
      <c r="Z17" s="94">
        <f t="shared" si="6"/>
        <v>0</v>
      </c>
      <c r="AA17" s="94">
        <f t="shared" si="6"/>
        <v>0</v>
      </c>
      <c r="AB17" s="94">
        <f t="shared" si="6"/>
        <v>0</v>
      </c>
      <c r="AC17" s="94">
        <f t="shared" si="6"/>
        <v>0</v>
      </c>
      <c r="AD17" s="94">
        <f t="shared" si="6"/>
        <v>0</v>
      </c>
      <c r="AE17" s="94">
        <f t="shared" si="6"/>
        <v>0</v>
      </c>
      <c r="AF17" s="94">
        <f t="shared" si="6"/>
        <v>0</v>
      </c>
      <c r="AG17" s="94">
        <f t="shared" si="6"/>
        <v>0</v>
      </c>
      <c r="AH17" s="94">
        <f t="shared" si="6"/>
        <v>0</v>
      </c>
      <c r="AI17" s="94">
        <f t="shared" si="6"/>
        <v>0</v>
      </c>
      <c r="AL17" t="s">
        <v>369</v>
      </c>
      <c r="AM17" t="s">
        <v>370</v>
      </c>
      <c r="AN17" t="s">
        <v>1701</v>
      </c>
      <c r="AO17" t="s">
        <v>323</v>
      </c>
      <c r="AP17" s="547">
        <f>EnergyBalance!E82/1000</f>
        <v>0</v>
      </c>
      <c r="AQ17" s="547">
        <f>EnergyBalance!F82/1000</f>
        <v>0</v>
      </c>
      <c r="AR17" s="547">
        <f>EnergyBalance!G82/1000</f>
        <v>0</v>
      </c>
      <c r="AS17" s="547">
        <f>EnergyBalance!H82/1000</f>
        <v>0</v>
      </c>
      <c r="AT17" s="547">
        <f>EnergyBalance!I82/1000</f>
        <v>0</v>
      </c>
      <c r="AU17" s="547">
        <f>EnergyBalance!J82/1000</f>
        <v>0</v>
      </c>
      <c r="AV17" s="547">
        <f>EnergyBalance!K82/1000</f>
        <v>0</v>
      </c>
      <c r="AW17" s="547">
        <f>EnergyBalance!L82/1000</f>
        <v>0</v>
      </c>
      <c r="AX17" s="547">
        <f>EnergyBalance!M82/1000</f>
        <v>0</v>
      </c>
      <c r="AY17" s="547">
        <f>EnergyBalance!N82/1000</f>
        <v>0</v>
      </c>
      <c r="AZ17" s="547">
        <f>EnergyBalance!O82/1000</f>
        <v>0</v>
      </c>
      <c r="BA17" s="547">
        <f>EnergyBalance!P82/1000</f>
        <v>0</v>
      </c>
      <c r="BB17" s="547">
        <f>EnergyBalance!Q82/1000</f>
        <v>0</v>
      </c>
      <c r="BC17" s="547">
        <f>EnergyBalance!R82/1000</f>
        <v>0</v>
      </c>
      <c r="BD17" s="547">
        <f>EnergyBalance!S82/1000</f>
        <v>0</v>
      </c>
      <c r="BE17" s="547">
        <f>EnergyBalance!T82/1000</f>
        <v>0</v>
      </c>
      <c r="BF17" s="547">
        <f>EnergyBalance!U82/1000</f>
        <v>0</v>
      </c>
      <c r="BG17" s="547">
        <f>EnergyBalance!V82/1000</f>
        <v>0</v>
      </c>
      <c r="BH17" s="547">
        <f>EnergyBalance!W82/1000</f>
        <v>0</v>
      </c>
      <c r="BI17" s="547">
        <f>EnergyBalance!X82/1000</f>
        <v>0</v>
      </c>
      <c r="BJ17" s="547">
        <f>EnergyBalance!Y82/1000</f>
        <v>0</v>
      </c>
      <c r="BK17" s="547">
        <f>EnergyBalance!Z82/1000</f>
        <v>0</v>
      </c>
      <c r="BL17" s="547">
        <f>EnergyBalance!AA82/1000</f>
        <v>0</v>
      </c>
      <c r="BM17" s="547">
        <f>EnergyBalance!AB82/1000</f>
        <v>0</v>
      </c>
      <c r="BN17" s="547">
        <f>EnergyBalance!AC82/1000</f>
        <v>0</v>
      </c>
      <c r="BO17" s="547">
        <f>EnergyBalance!AD82/1000</f>
        <v>0</v>
      </c>
      <c r="BP17" s="547">
        <f>EnergyBalance!AE82/1000</f>
        <v>0</v>
      </c>
      <c r="BQ17" s="547">
        <f>EnergyBalance!AF82/1000</f>
        <v>0</v>
      </c>
      <c r="BS17">
        <f t="shared" si="3"/>
        <v>0</v>
      </c>
      <c r="BT17" s="94">
        <f t="shared" si="4"/>
        <v>0</v>
      </c>
      <c r="BU17" t="s">
        <v>1701</v>
      </c>
      <c r="BW17" s="102">
        <f t="shared" si="5"/>
        <v>0</v>
      </c>
      <c r="BX17" s="102">
        <f t="shared" si="22"/>
        <v>0</v>
      </c>
      <c r="BY17" s="102">
        <f t="shared" si="23"/>
        <v>0</v>
      </c>
      <c r="BZ17" s="102">
        <f t="shared" si="24"/>
        <v>0</v>
      </c>
      <c r="CA17" s="102">
        <f t="shared" si="25"/>
        <v>0</v>
      </c>
      <c r="CB17" s="102">
        <f t="shared" si="26"/>
        <v>0</v>
      </c>
      <c r="CC17" s="102">
        <f t="shared" si="27"/>
        <v>0</v>
      </c>
      <c r="CD17" s="102">
        <f t="shared" si="28"/>
        <v>0</v>
      </c>
      <c r="CE17" s="102">
        <f t="shared" si="29"/>
        <v>0</v>
      </c>
      <c r="CF17" s="102">
        <f t="shared" si="30"/>
        <v>0</v>
      </c>
      <c r="CG17" s="102">
        <f t="shared" si="31"/>
        <v>0</v>
      </c>
      <c r="CH17" s="102">
        <f t="shared" si="32"/>
        <v>0</v>
      </c>
      <c r="CI17" s="102">
        <f t="shared" si="33"/>
        <v>0</v>
      </c>
      <c r="CJ17" s="102">
        <f t="shared" si="7"/>
        <v>0</v>
      </c>
      <c r="CK17" s="102">
        <f t="shared" si="8"/>
        <v>0</v>
      </c>
      <c r="CL17" s="102">
        <f t="shared" si="9"/>
        <v>0</v>
      </c>
      <c r="CM17" s="102">
        <f t="shared" si="10"/>
        <v>0</v>
      </c>
      <c r="CN17" s="102">
        <f t="shared" si="11"/>
        <v>0</v>
      </c>
      <c r="CO17" s="102">
        <f t="shared" si="12"/>
        <v>0</v>
      </c>
      <c r="CP17" s="102">
        <f t="shared" si="13"/>
        <v>0</v>
      </c>
      <c r="CQ17" s="102">
        <f t="shared" si="14"/>
        <v>0</v>
      </c>
      <c r="CR17" s="102">
        <f t="shared" si="15"/>
        <v>0</v>
      </c>
      <c r="CS17" s="102">
        <f t="shared" si="16"/>
        <v>0</v>
      </c>
      <c r="CT17" s="102">
        <f t="shared" si="17"/>
        <v>0</v>
      </c>
      <c r="CU17" s="102">
        <f t="shared" si="18"/>
        <v>0</v>
      </c>
      <c r="CV17" s="102">
        <f t="shared" si="19"/>
        <v>0</v>
      </c>
      <c r="CW17" s="102">
        <f t="shared" si="20"/>
        <v>0</v>
      </c>
      <c r="CX17" s="102">
        <f t="shared" si="21"/>
        <v>0</v>
      </c>
    </row>
    <row r="18" spans="6:102" x14ac:dyDescent="0.25">
      <c r="G18" t="s">
        <v>137</v>
      </c>
      <c r="H18" s="94">
        <f t="shared" si="2"/>
        <v>0</v>
      </c>
      <c r="I18" s="94">
        <f t="shared" si="2"/>
        <v>0</v>
      </c>
      <c r="J18" s="94">
        <f t="shared" si="2"/>
        <v>0</v>
      </c>
      <c r="K18" s="94">
        <f t="shared" si="2"/>
        <v>0</v>
      </c>
      <c r="L18" s="94">
        <f t="shared" si="2"/>
        <v>0</v>
      </c>
      <c r="M18" s="94">
        <f t="shared" si="2"/>
        <v>0</v>
      </c>
      <c r="N18" s="94">
        <f t="shared" si="2"/>
        <v>0</v>
      </c>
      <c r="O18" s="94">
        <f t="shared" si="2"/>
        <v>0</v>
      </c>
      <c r="P18" s="94">
        <f t="shared" si="2"/>
        <v>0</v>
      </c>
      <c r="Q18" s="94">
        <f t="shared" si="2"/>
        <v>0</v>
      </c>
      <c r="R18" s="94">
        <f t="shared" si="2"/>
        <v>0</v>
      </c>
      <c r="S18" s="94">
        <f t="shared" si="2"/>
        <v>0</v>
      </c>
      <c r="T18" s="94">
        <f t="shared" si="2"/>
        <v>0</v>
      </c>
      <c r="U18" s="94">
        <f t="shared" si="6"/>
        <v>0</v>
      </c>
      <c r="V18" s="94">
        <f t="shared" si="6"/>
        <v>0</v>
      </c>
      <c r="W18" s="94">
        <f t="shared" si="6"/>
        <v>0</v>
      </c>
      <c r="X18" s="94">
        <f t="shared" si="6"/>
        <v>0</v>
      </c>
      <c r="Y18" s="94">
        <f t="shared" si="6"/>
        <v>0</v>
      </c>
      <c r="Z18" s="94">
        <f t="shared" si="6"/>
        <v>0</v>
      </c>
      <c r="AA18" s="94">
        <f t="shared" si="6"/>
        <v>0</v>
      </c>
      <c r="AB18" s="94">
        <f t="shared" si="6"/>
        <v>0</v>
      </c>
      <c r="AC18" s="94">
        <f t="shared" si="6"/>
        <v>0</v>
      </c>
      <c r="AD18" s="94">
        <f t="shared" si="6"/>
        <v>0</v>
      </c>
      <c r="AE18" s="94">
        <f t="shared" si="6"/>
        <v>0</v>
      </c>
      <c r="AF18" s="94">
        <f t="shared" si="6"/>
        <v>0</v>
      </c>
      <c r="AG18" s="94">
        <f t="shared" si="6"/>
        <v>0</v>
      </c>
      <c r="AH18" s="94">
        <f t="shared" si="6"/>
        <v>0</v>
      </c>
      <c r="AI18" s="94">
        <f t="shared" si="6"/>
        <v>0</v>
      </c>
      <c r="AL18" t="s">
        <v>369</v>
      </c>
      <c r="AM18" t="s">
        <v>370</v>
      </c>
      <c r="AN18" t="s">
        <v>137</v>
      </c>
      <c r="AO18" t="s">
        <v>323</v>
      </c>
      <c r="AP18" s="547">
        <f>EnergyBalance!E83/1000</f>
        <v>0</v>
      </c>
      <c r="AQ18" s="547">
        <f>EnergyBalance!F83/1000</f>
        <v>0</v>
      </c>
      <c r="AR18" s="547">
        <f>EnergyBalance!G83/1000</f>
        <v>0</v>
      </c>
      <c r="AS18" s="547">
        <f>EnergyBalance!H83/1000</f>
        <v>0</v>
      </c>
      <c r="AT18" s="547">
        <f>EnergyBalance!I83/1000</f>
        <v>0</v>
      </c>
      <c r="AU18" s="547">
        <f>EnergyBalance!J83/1000</f>
        <v>0</v>
      </c>
      <c r="AV18" s="547">
        <f>EnergyBalance!K83/1000</f>
        <v>0</v>
      </c>
      <c r="AW18" s="547">
        <f>EnergyBalance!L83/1000</f>
        <v>0</v>
      </c>
      <c r="AX18" s="547">
        <f>EnergyBalance!M83/1000</f>
        <v>0</v>
      </c>
      <c r="AY18" s="547">
        <f>EnergyBalance!N83/1000</f>
        <v>0</v>
      </c>
      <c r="AZ18" s="547">
        <f>EnergyBalance!O83/1000</f>
        <v>0</v>
      </c>
      <c r="BA18" s="547">
        <f>EnergyBalance!P83/1000</f>
        <v>0</v>
      </c>
      <c r="BB18" s="547">
        <f>EnergyBalance!Q83/1000</f>
        <v>0</v>
      </c>
      <c r="BC18" s="547">
        <f>EnergyBalance!R83/1000</f>
        <v>0</v>
      </c>
      <c r="BD18" s="547">
        <f>EnergyBalance!S83/1000</f>
        <v>0</v>
      </c>
      <c r="BE18" s="547">
        <f>EnergyBalance!T83/1000</f>
        <v>0.01</v>
      </c>
      <c r="BF18" s="547">
        <f>EnergyBalance!U83/1000</f>
        <v>0</v>
      </c>
      <c r="BG18" s="547">
        <f>EnergyBalance!V83/1000</f>
        <v>0</v>
      </c>
      <c r="BH18" s="547">
        <f>EnergyBalance!W83/1000</f>
        <v>0</v>
      </c>
      <c r="BI18" s="547">
        <f>EnergyBalance!X83/1000</f>
        <v>0</v>
      </c>
      <c r="BJ18" s="547">
        <f>EnergyBalance!Y83/1000</f>
        <v>0</v>
      </c>
      <c r="BK18" s="547">
        <f>EnergyBalance!Z83/1000</f>
        <v>0</v>
      </c>
      <c r="BL18" s="547">
        <f>EnergyBalance!AA83/1000</f>
        <v>0</v>
      </c>
      <c r="BM18" s="547">
        <f>EnergyBalance!AB83/1000</f>
        <v>0</v>
      </c>
      <c r="BN18" s="547">
        <f>EnergyBalance!AC83/1000</f>
        <v>0</v>
      </c>
      <c r="BO18" s="547">
        <f>EnergyBalance!AD83/1000</f>
        <v>0</v>
      </c>
      <c r="BP18" s="547">
        <f>EnergyBalance!AE83/1000</f>
        <v>0</v>
      </c>
      <c r="BQ18" s="547">
        <f>EnergyBalance!AF83/1000</f>
        <v>0</v>
      </c>
      <c r="BS18">
        <f t="shared" si="3"/>
        <v>0.01</v>
      </c>
      <c r="BT18" s="94">
        <f t="shared" si="4"/>
        <v>3.7203958798847869E-6</v>
      </c>
      <c r="BU18" t="s">
        <v>137</v>
      </c>
      <c r="BW18" s="102">
        <f t="shared" si="5"/>
        <v>0</v>
      </c>
      <c r="BX18" s="102">
        <f t="shared" si="22"/>
        <v>0</v>
      </c>
      <c r="BY18" s="102">
        <f t="shared" si="23"/>
        <v>0</v>
      </c>
      <c r="BZ18" s="102">
        <f t="shared" si="24"/>
        <v>0</v>
      </c>
      <c r="CA18" s="102">
        <f t="shared" si="25"/>
        <v>0</v>
      </c>
      <c r="CB18" s="102">
        <f t="shared" si="26"/>
        <v>0</v>
      </c>
      <c r="CC18" s="102">
        <f t="shared" si="27"/>
        <v>0</v>
      </c>
      <c r="CD18" s="102">
        <f t="shared" si="28"/>
        <v>0</v>
      </c>
      <c r="CE18" s="102">
        <f t="shared" si="29"/>
        <v>0</v>
      </c>
      <c r="CF18" s="102">
        <f t="shared" si="30"/>
        <v>0</v>
      </c>
      <c r="CG18" s="102">
        <f t="shared" si="31"/>
        <v>0</v>
      </c>
      <c r="CH18" s="102">
        <f t="shared" si="32"/>
        <v>0</v>
      </c>
      <c r="CI18" s="102">
        <f t="shared" si="33"/>
        <v>0</v>
      </c>
      <c r="CJ18" s="102">
        <f t="shared" si="7"/>
        <v>0</v>
      </c>
      <c r="CK18" s="102">
        <f t="shared" si="8"/>
        <v>0</v>
      </c>
      <c r="CL18" s="102">
        <f t="shared" si="9"/>
        <v>0</v>
      </c>
      <c r="CM18" s="102">
        <f t="shared" si="10"/>
        <v>0</v>
      </c>
      <c r="CN18" s="102">
        <f t="shared" si="11"/>
        <v>0</v>
      </c>
      <c r="CO18" s="102">
        <f t="shared" si="12"/>
        <v>0</v>
      </c>
      <c r="CP18" s="102">
        <f t="shared" si="13"/>
        <v>0</v>
      </c>
      <c r="CQ18" s="102">
        <f t="shared" si="14"/>
        <v>0</v>
      </c>
      <c r="CR18" s="102">
        <f t="shared" si="15"/>
        <v>0</v>
      </c>
      <c r="CS18" s="102">
        <f t="shared" si="16"/>
        <v>0</v>
      </c>
      <c r="CT18" s="102">
        <f t="shared" si="17"/>
        <v>0</v>
      </c>
      <c r="CU18" s="102">
        <f t="shared" si="18"/>
        <v>0</v>
      </c>
      <c r="CV18" s="102">
        <f t="shared" si="19"/>
        <v>0</v>
      </c>
      <c r="CW18" s="102">
        <f t="shared" si="20"/>
        <v>0</v>
      </c>
      <c r="CX18" s="102">
        <f t="shared" si="21"/>
        <v>0</v>
      </c>
    </row>
    <row r="19" spans="6:102" x14ac:dyDescent="0.25">
      <c r="G19" t="s">
        <v>139</v>
      </c>
      <c r="H19" s="94">
        <f t="shared" si="2"/>
        <v>0</v>
      </c>
      <c r="I19" s="94">
        <f t="shared" si="2"/>
        <v>0</v>
      </c>
      <c r="J19" s="94">
        <f t="shared" si="2"/>
        <v>0</v>
      </c>
      <c r="K19" s="94">
        <f t="shared" si="2"/>
        <v>0</v>
      </c>
      <c r="L19" s="94">
        <f t="shared" si="2"/>
        <v>0</v>
      </c>
      <c r="M19" s="94">
        <f t="shared" si="2"/>
        <v>0</v>
      </c>
      <c r="N19" s="94">
        <f t="shared" si="2"/>
        <v>0</v>
      </c>
      <c r="O19" s="94">
        <f t="shared" si="2"/>
        <v>0</v>
      </c>
      <c r="P19" s="94">
        <f t="shared" si="2"/>
        <v>0</v>
      </c>
      <c r="Q19" s="94">
        <f t="shared" si="2"/>
        <v>0</v>
      </c>
      <c r="R19" s="94">
        <f t="shared" si="2"/>
        <v>0</v>
      </c>
      <c r="S19" s="94">
        <f t="shared" si="2"/>
        <v>0</v>
      </c>
      <c r="T19" s="94">
        <f t="shared" si="2"/>
        <v>0</v>
      </c>
      <c r="U19" s="94">
        <f t="shared" si="6"/>
        <v>0</v>
      </c>
      <c r="V19" s="94">
        <f t="shared" si="6"/>
        <v>0</v>
      </c>
      <c r="W19" s="94">
        <f t="shared" si="6"/>
        <v>0</v>
      </c>
      <c r="X19" s="94">
        <f t="shared" si="6"/>
        <v>0</v>
      </c>
      <c r="Y19" s="94">
        <f t="shared" si="6"/>
        <v>0</v>
      </c>
      <c r="Z19" s="94">
        <f t="shared" si="6"/>
        <v>0</v>
      </c>
      <c r="AA19" s="94">
        <f t="shared" si="6"/>
        <v>0</v>
      </c>
      <c r="AB19" s="94">
        <f t="shared" si="6"/>
        <v>0</v>
      </c>
      <c r="AC19" s="94">
        <f t="shared" si="6"/>
        <v>0</v>
      </c>
      <c r="AD19" s="94">
        <f t="shared" si="6"/>
        <v>0</v>
      </c>
      <c r="AE19" s="94">
        <f t="shared" si="6"/>
        <v>0</v>
      </c>
      <c r="AF19" s="94">
        <f t="shared" si="6"/>
        <v>0</v>
      </c>
      <c r="AG19" s="94">
        <f t="shared" si="6"/>
        <v>0</v>
      </c>
      <c r="AH19" s="94">
        <f t="shared" si="6"/>
        <v>0</v>
      </c>
      <c r="AI19" s="94">
        <f t="shared" si="6"/>
        <v>0</v>
      </c>
      <c r="AL19" t="s">
        <v>369</v>
      </c>
      <c r="AM19" t="s">
        <v>370</v>
      </c>
      <c r="AN19" t="s">
        <v>139</v>
      </c>
      <c r="AO19" t="s">
        <v>323</v>
      </c>
      <c r="AP19" s="547">
        <f>EnergyBalance!E84/1000</f>
        <v>0</v>
      </c>
      <c r="AQ19" s="547">
        <f>EnergyBalance!F84/1000</f>
        <v>0</v>
      </c>
      <c r="AR19" s="547">
        <f>EnergyBalance!G84/1000</f>
        <v>0</v>
      </c>
      <c r="AS19" s="547">
        <f>EnergyBalance!H84/1000</f>
        <v>0</v>
      </c>
      <c r="AT19" s="547">
        <f>EnergyBalance!I84/1000</f>
        <v>0</v>
      </c>
      <c r="AU19" s="547">
        <f>EnergyBalance!J84/1000</f>
        <v>0</v>
      </c>
      <c r="AV19" s="547">
        <f>EnergyBalance!K84/1000</f>
        <v>0</v>
      </c>
      <c r="AW19" s="547">
        <f>EnergyBalance!L84/1000</f>
        <v>0</v>
      </c>
      <c r="AX19" s="547">
        <f>EnergyBalance!M84/1000</f>
        <v>0</v>
      </c>
      <c r="AY19" s="547">
        <f>EnergyBalance!N84/1000</f>
        <v>0</v>
      </c>
      <c r="AZ19" s="547">
        <f>EnergyBalance!O84/1000</f>
        <v>0</v>
      </c>
      <c r="BA19" s="547">
        <f>EnergyBalance!P84/1000</f>
        <v>0</v>
      </c>
      <c r="BB19" s="547">
        <f>EnergyBalance!Q84/1000</f>
        <v>0</v>
      </c>
      <c r="BC19" s="547">
        <f>EnergyBalance!R84/1000</f>
        <v>0</v>
      </c>
      <c r="BD19" s="547">
        <f>EnergyBalance!S84/1000</f>
        <v>0</v>
      </c>
      <c r="BE19" s="547">
        <f>EnergyBalance!T84/1000</f>
        <v>0</v>
      </c>
      <c r="BF19" s="547">
        <f>EnergyBalance!U84/1000</f>
        <v>0.26500000000000001</v>
      </c>
      <c r="BG19" s="547">
        <f>EnergyBalance!V84/1000</f>
        <v>0</v>
      </c>
      <c r="BH19" s="547">
        <f>EnergyBalance!W84/1000</f>
        <v>0</v>
      </c>
      <c r="BI19" s="547">
        <f>EnergyBalance!X84/1000</f>
        <v>1.3380000000000001</v>
      </c>
      <c r="BJ19" s="547">
        <f>EnergyBalance!Y84/1000</f>
        <v>1E-3</v>
      </c>
      <c r="BK19" s="547">
        <f>EnergyBalance!Z84/1000</f>
        <v>0.46100000000000002</v>
      </c>
      <c r="BL19" s="547">
        <f>EnergyBalance!AA84/1000</f>
        <v>0</v>
      </c>
      <c r="BM19" s="547">
        <f>EnergyBalance!AB84/1000</f>
        <v>0</v>
      </c>
      <c r="BN19" s="547">
        <f>EnergyBalance!AC84/1000</f>
        <v>0</v>
      </c>
      <c r="BO19" s="547">
        <f>EnergyBalance!AD84/1000</f>
        <v>0</v>
      </c>
      <c r="BP19" s="547">
        <f>EnergyBalance!AE84/1000</f>
        <v>0</v>
      </c>
      <c r="BQ19" s="547">
        <f>EnergyBalance!AF84/1000</f>
        <v>0</v>
      </c>
      <c r="BS19">
        <f t="shared" si="3"/>
        <v>2.0649999999999999</v>
      </c>
      <c r="BT19" s="94">
        <f t="shared" si="4"/>
        <v>7.6826174919620844E-4</v>
      </c>
      <c r="BU19" t="s">
        <v>139</v>
      </c>
      <c r="BW19" s="102">
        <f t="shared" si="5"/>
        <v>0</v>
      </c>
      <c r="BX19" s="102">
        <f t="shared" si="22"/>
        <v>0</v>
      </c>
      <c r="BY19" s="102">
        <f t="shared" si="23"/>
        <v>0</v>
      </c>
      <c r="BZ19" s="102">
        <f t="shared" si="24"/>
        <v>0</v>
      </c>
      <c r="CA19" s="102">
        <f t="shared" si="25"/>
        <v>0</v>
      </c>
      <c r="CB19" s="102">
        <f t="shared" si="26"/>
        <v>0</v>
      </c>
      <c r="CC19" s="102">
        <f t="shared" si="27"/>
        <v>0</v>
      </c>
      <c r="CD19" s="102">
        <f t="shared" si="28"/>
        <v>0</v>
      </c>
      <c r="CE19" s="102">
        <f t="shared" si="29"/>
        <v>0</v>
      </c>
      <c r="CF19" s="102">
        <f t="shared" si="30"/>
        <v>0</v>
      </c>
      <c r="CG19" s="102">
        <f t="shared" si="31"/>
        <v>0</v>
      </c>
      <c r="CH19" s="102">
        <f t="shared" si="32"/>
        <v>0</v>
      </c>
      <c r="CI19" s="102">
        <f t="shared" si="33"/>
        <v>0</v>
      </c>
      <c r="CJ19" s="102">
        <f t="shared" si="7"/>
        <v>0</v>
      </c>
      <c r="CK19" s="102">
        <f t="shared" si="8"/>
        <v>0</v>
      </c>
      <c r="CL19" s="102">
        <f t="shared" si="9"/>
        <v>0</v>
      </c>
      <c r="CM19" s="102">
        <f t="shared" si="10"/>
        <v>0</v>
      </c>
      <c r="CN19" s="102">
        <f t="shared" si="11"/>
        <v>0</v>
      </c>
      <c r="CO19" s="102">
        <f t="shared" si="12"/>
        <v>0</v>
      </c>
      <c r="CP19" s="102">
        <f t="shared" si="13"/>
        <v>0</v>
      </c>
      <c r="CQ19" s="102">
        <f t="shared" si="14"/>
        <v>0</v>
      </c>
      <c r="CR19" s="102">
        <f t="shared" si="15"/>
        <v>0</v>
      </c>
      <c r="CS19" s="102">
        <f t="shared" si="16"/>
        <v>0</v>
      </c>
      <c r="CT19" s="102">
        <f t="shared" si="17"/>
        <v>0</v>
      </c>
      <c r="CU19" s="102">
        <f t="shared" si="18"/>
        <v>0</v>
      </c>
      <c r="CV19" s="102">
        <f t="shared" si="19"/>
        <v>0</v>
      </c>
      <c r="CW19" s="102">
        <f t="shared" si="20"/>
        <v>0</v>
      </c>
      <c r="CX19" s="102">
        <f t="shared" si="21"/>
        <v>0</v>
      </c>
    </row>
    <row r="20" spans="6:102" x14ac:dyDescent="0.25">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N20" t="s">
        <v>466</v>
      </c>
      <c r="AP20">
        <f>SUM(AP5:AP19)</f>
        <v>0</v>
      </c>
      <c r="AQ20">
        <f t="shared" ref="AQ20:BQ20" si="34">SUM(AQ5:AQ19)</f>
        <v>8.3439999999999994</v>
      </c>
      <c r="AR20">
        <f t="shared" si="34"/>
        <v>6.1649999999999991</v>
      </c>
      <c r="AS20">
        <f t="shared" si="34"/>
        <v>138.00199999999998</v>
      </c>
      <c r="AT20">
        <f t="shared" si="34"/>
        <v>314.17899999999997</v>
      </c>
      <c r="AU20">
        <f t="shared" si="34"/>
        <v>144.88700000000003</v>
      </c>
      <c r="AV20">
        <f t="shared" si="34"/>
        <v>12.878999999999998</v>
      </c>
      <c r="AW20">
        <f t="shared" si="34"/>
        <v>0</v>
      </c>
      <c r="AX20">
        <f t="shared" si="34"/>
        <v>193.899</v>
      </c>
      <c r="AY20">
        <f t="shared" si="34"/>
        <v>273.22799999999995</v>
      </c>
      <c r="AZ20">
        <f t="shared" si="34"/>
        <v>0</v>
      </c>
      <c r="BA20">
        <f t="shared" si="34"/>
        <v>118.43799999999999</v>
      </c>
      <c r="BB20">
        <f t="shared" si="34"/>
        <v>43.525999999999996</v>
      </c>
      <c r="BC20">
        <f t="shared" si="34"/>
        <v>158.26299999999998</v>
      </c>
      <c r="BD20">
        <f t="shared" si="34"/>
        <v>72.872</v>
      </c>
      <c r="BE20">
        <f t="shared" si="34"/>
        <v>149.59799999999998</v>
      </c>
      <c r="BF20">
        <f t="shared" si="34"/>
        <v>172.023</v>
      </c>
      <c r="BG20">
        <f t="shared" si="34"/>
        <v>0</v>
      </c>
      <c r="BH20">
        <f t="shared" si="34"/>
        <v>14.47</v>
      </c>
      <c r="BI20">
        <f t="shared" si="34"/>
        <v>81.449999999999989</v>
      </c>
      <c r="BJ20">
        <f t="shared" si="34"/>
        <v>25.748000000000005</v>
      </c>
      <c r="BK20">
        <f t="shared" si="34"/>
        <v>30.991</v>
      </c>
      <c r="BL20">
        <f t="shared" si="34"/>
        <v>47.819000000000003</v>
      </c>
      <c r="BM20">
        <f t="shared" si="34"/>
        <v>2.7759999999999998</v>
      </c>
      <c r="BN20">
        <f t="shared" si="34"/>
        <v>0</v>
      </c>
      <c r="BO20">
        <f t="shared" si="34"/>
        <v>335.21600000000001</v>
      </c>
      <c r="BP20">
        <f t="shared" si="34"/>
        <v>43.044000000000011</v>
      </c>
      <c r="BQ20">
        <f t="shared" si="34"/>
        <v>300.06899999999996</v>
      </c>
      <c r="BS20">
        <f>SUM(BS5:BS19)</f>
        <v>2687.886</v>
      </c>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row>
    <row r="21" spans="6:102" x14ac:dyDescent="0.25">
      <c r="I21" s="484"/>
      <c r="BW21" s="102">
        <f t="shared" ref="BW21:CU21" si="35">SUMIF(BW5:BW19,"&lt;0",BW5:BW19)</f>
        <v>0</v>
      </c>
      <c r="BX21" s="102">
        <f t="shared" si="35"/>
        <v>-18.062481993497133</v>
      </c>
      <c r="BY21" s="102">
        <f t="shared" si="35"/>
        <v>-2.6354622526618687</v>
      </c>
      <c r="BZ21" s="102">
        <f t="shared" si="35"/>
        <v>-9.2007411287557339</v>
      </c>
      <c r="CA21" s="102">
        <f t="shared" si="35"/>
        <v>0</v>
      </c>
      <c r="CB21" s="102">
        <f t="shared" si="35"/>
        <v>0</v>
      </c>
      <c r="CC21" s="102">
        <f t="shared" si="35"/>
        <v>-46.074805615318951</v>
      </c>
      <c r="CD21" s="102">
        <f t="shared" si="35"/>
        <v>0</v>
      </c>
      <c r="CE21" s="102">
        <f t="shared" si="35"/>
        <v>0</v>
      </c>
      <c r="CF21" s="102">
        <f t="shared" si="35"/>
        <v>0</v>
      </c>
      <c r="CG21" s="102">
        <f t="shared" si="35"/>
        <v>0</v>
      </c>
      <c r="CH21" s="102">
        <f t="shared" si="35"/>
        <v>-2499.5347941873697</v>
      </c>
      <c r="CI21" s="102">
        <f t="shared" si="35"/>
        <v>0</v>
      </c>
      <c r="CJ21" s="102">
        <f t="shared" si="35"/>
        <v>-28.965953353194806</v>
      </c>
      <c r="CK21" s="102">
        <f t="shared" si="35"/>
        <v>0</v>
      </c>
      <c r="CL21" s="102">
        <f t="shared" si="35"/>
        <v>0</v>
      </c>
      <c r="CM21" s="102">
        <f t="shared" si="35"/>
        <v>0</v>
      </c>
      <c r="CN21" s="102">
        <f t="shared" si="35"/>
        <v>-18.225728089048086</v>
      </c>
      <c r="CO21" s="102">
        <f t="shared" si="35"/>
        <v>-264.53854268389597</v>
      </c>
      <c r="CP21" s="102">
        <f t="shared" si="35"/>
        <v>0</v>
      </c>
      <c r="CQ21" s="102">
        <f t="shared" si="35"/>
        <v>-8.9493444687657373</v>
      </c>
      <c r="CR21" s="102">
        <f t="shared" si="35"/>
        <v>-0.14081321464283686</v>
      </c>
      <c r="CS21" s="102">
        <f t="shared" si="35"/>
        <v>-428.51782688705975</v>
      </c>
      <c r="CT21" s="102">
        <f t="shared" si="35"/>
        <v>-2.8269412134548883E-2</v>
      </c>
      <c r="CU21" s="102">
        <f t="shared" si="35"/>
        <v>0</v>
      </c>
      <c r="CV21" s="102">
        <f>SUMIF(CV5:CV19,"&lt;0",CV5:CV19)</f>
        <v>-32.221412513234128</v>
      </c>
      <c r="CW21" s="102">
        <f t="shared" ref="CW21:CX21" si="36">SUMIF(CW5:CW19,"&lt;0",CW5:CW19)</f>
        <v>0</v>
      </c>
      <c r="CX21" s="102">
        <f t="shared" si="36"/>
        <v>0</v>
      </c>
    </row>
    <row r="22" spans="6:102" x14ac:dyDescent="0.25">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row>
    <row r="23" spans="6:102" ht="15.75" thickBot="1" x14ac:dyDescent="0.3">
      <c r="F23" s="44" t="s">
        <v>416</v>
      </c>
      <c r="G23" s="44" t="s">
        <v>1263</v>
      </c>
      <c r="H23" s="44" t="s">
        <v>162</v>
      </c>
      <c r="I23" s="44" t="s">
        <v>164</v>
      </c>
      <c r="J23" s="44" t="s">
        <v>166</v>
      </c>
      <c r="K23" s="44" t="s">
        <v>168</v>
      </c>
      <c r="L23" s="44" t="s">
        <v>170</v>
      </c>
      <c r="M23" s="44" t="s">
        <v>173</v>
      </c>
      <c r="N23" s="44" t="s">
        <v>175</v>
      </c>
      <c r="O23" s="44" t="s">
        <v>177</v>
      </c>
      <c r="P23" s="44" t="s">
        <v>179</v>
      </c>
      <c r="Q23" s="44" t="s">
        <v>181</v>
      </c>
      <c r="R23" s="44" t="s">
        <v>183</v>
      </c>
      <c r="S23" s="44" t="s">
        <v>185</v>
      </c>
      <c r="T23" s="44" t="s">
        <v>188</v>
      </c>
      <c r="U23" s="44" t="s">
        <v>190</v>
      </c>
      <c r="V23" s="44" t="s">
        <v>192</v>
      </c>
      <c r="W23" s="44" t="s">
        <v>194</v>
      </c>
      <c r="X23" s="44" t="s">
        <v>196</v>
      </c>
      <c r="Y23" s="44" t="s">
        <v>198</v>
      </c>
      <c r="Z23" s="44" t="s">
        <v>9</v>
      </c>
      <c r="AA23" s="44" t="s">
        <v>201</v>
      </c>
      <c r="AB23" s="44" t="s">
        <v>203</v>
      </c>
      <c r="AC23" s="44" t="s">
        <v>205</v>
      </c>
      <c r="AD23" s="44" t="s">
        <v>207</v>
      </c>
      <c r="AE23" s="44" t="s">
        <v>210</v>
      </c>
      <c r="AF23" s="44" t="s">
        <v>212</v>
      </c>
      <c r="AG23" s="44" t="s">
        <v>214</v>
      </c>
      <c r="AH23" s="44" t="s">
        <v>217</v>
      </c>
      <c r="AI23" s="44" t="s">
        <v>219</v>
      </c>
      <c r="AM23" t="s">
        <v>1264</v>
      </c>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row>
    <row r="24" spans="6:102" x14ac:dyDescent="0.25">
      <c r="F24" t="s">
        <v>113</v>
      </c>
      <c r="G24" t="s">
        <v>1</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BS24" t="s">
        <v>1265</v>
      </c>
      <c r="BU24" t="s">
        <v>113</v>
      </c>
      <c r="BW24" s="102">
        <v>0</v>
      </c>
      <c r="BX24" s="102">
        <v>0</v>
      </c>
      <c r="BY24" s="102">
        <v>0</v>
      </c>
      <c r="BZ24" s="102">
        <v>0</v>
      </c>
      <c r="CA24" s="102">
        <v>0</v>
      </c>
      <c r="CB24" s="102">
        <v>0</v>
      </c>
      <c r="CC24" s="102">
        <v>0</v>
      </c>
      <c r="CD24" s="102">
        <v>0</v>
      </c>
      <c r="CE24" s="102">
        <v>0</v>
      </c>
      <c r="CF24" s="102">
        <v>0</v>
      </c>
      <c r="CG24" s="102">
        <v>0</v>
      </c>
      <c r="CH24" s="102">
        <v>16.225000000000001</v>
      </c>
      <c r="CI24" s="102">
        <v>0</v>
      </c>
      <c r="CJ24" s="102">
        <v>0</v>
      </c>
      <c r="CK24" s="102">
        <v>0</v>
      </c>
      <c r="CL24" s="102">
        <v>0</v>
      </c>
      <c r="CM24" s="102">
        <v>0</v>
      </c>
      <c r="CN24" s="102">
        <v>0</v>
      </c>
      <c r="CO24" s="102">
        <v>0</v>
      </c>
      <c r="CP24" s="102">
        <v>0</v>
      </c>
      <c r="CQ24" s="102">
        <v>0</v>
      </c>
      <c r="CR24" s="102">
        <v>0</v>
      </c>
      <c r="CS24" s="102">
        <v>0</v>
      </c>
      <c r="CT24" s="102">
        <v>0</v>
      </c>
      <c r="CU24" s="102">
        <v>0</v>
      </c>
      <c r="CV24" s="102">
        <v>0</v>
      </c>
      <c r="CW24" s="102">
        <v>0</v>
      </c>
      <c r="CX24" s="102">
        <v>0</v>
      </c>
    </row>
    <row r="25" spans="6:102" x14ac:dyDescent="0.25">
      <c r="F25" t="s">
        <v>115</v>
      </c>
      <c r="G25" t="s">
        <v>1</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N25" t="s">
        <v>162</v>
      </c>
      <c r="AO25" s="485" t="s">
        <v>164</v>
      </c>
      <c r="AP25" t="s">
        <v>166</v>
      </c>
      <c r="AQ25" t="s">
        <v>168</v>
      </c>
      <c r="AR25" t="s">
        <v>170</v>
      </c>
      <c r="AS25" t="s">
        <v>173</v>
      </c>
      <c r="AT25" t="s">
        <v>175</v>
      </c>
      <c r="AU25" t="s">
        <v>177</v>
      </c>
      <c r="AV25" t="s">
        <v>179</v>
      </c>
      <c r="AW25" t="s">
        <v>181</v>
      </c>
      <c r="AX25" t="s">
        <v>183</v>
      </c>
      <c r="AY25" t="s">
        <v>185</v>
      </c>
      <c r="AZ25" t="s">
        <v>188</v>
      </c>
      <c r="BA25" t="s">
        <v>190</v>
      </c>
      <c r="BB25" t="s">
        <v>192</v>
      </c>
      <c r="BC25" t="s">
        <v>194</v>
      </c>
      <c r="BD25" t="s">
        <v>196</v>
      </c>
      <c r="BE25" t="s">
        <v>198</v>
      </c>
      <c r="BF25" t="s">
        <v>9</v>
      </c>
      <c r="BG25" t="s">
        <v>201</v>
      </c>
      <c r="BH25" t="s">
        <v>203</v>
      </c>
      <c r="BI25" t="s">
        <v>205</v>
      </c>
      <c r="BJ25" t="s">
        <v>207</v>
      </c>
      <c r="BK25" t="s">
        <v>210</v>
      </c>
      <c r="BL25" t="s">
        <v>212</v>
      </c>
      <c r="BM25" t="s">
        <v>214</v>
      </c>
      <c r="BN25" t="s">
        <v>217</v>
      </c>
      <c r="BO25" t="s">
        <v>219</v>
      </c>
      <c r="BU25" t="s">
        <v>115</v>
      </c>
      <c r="BW25" s="102">
        <v>0</v>
      </c>
      <c r="BX25" s="102">
        <v>0</v>
      </c>
      <c r="BY25" s="102">
        <v>0</v>
      </c>
      <c r="BZ25" s="102">
        <v>0</v>
      </c>
      <c r="CA25" s="102">
        <v>2.9000000000000001E-2</v>
      </c>
      <c r="CB25" s="102">
        <v>0</v>
      </c>
      <c r="CC25" s="102">
        <v>0</v>
      </c>
      <c r="CD25" s="102">
        <v>0</v>
      </c>
      <c r="CE25" s="102">
        <v>0</v>
      </c>
      <c r="CF25" s="102">
        <v>0</v>
      </c>
      <c r="CG25" s="102">
        <v>2.7E-2</v>
      </c>
      <c r="CH25" s="102">
        <v>0</v>
      </c>
      <c r="CI25" s="102">
        <v>0</v>
      </c>
      <c r="CJ25" s="102">
        <v>4.9450000000000003</v>
      </c>
      <c r="CK25" s="102">
        <v>3.5999999999999997E-2</v>
      </c>
      <c r="CL25" s="102">
        <v>2.9000000000000001E-2</v>
      </c>
      <c r="CM25" s="102">
        <v>0.32300000000000001</v>
      </c>
      <c r="CN25" s="102">
        <v>0</v>
      </c>
      <c r="CO25" s="102">
        <v>0</v>
      </c>
      <c r="CP25" s="102">
        <v>0</v>
      </c>
      <c r="CQ25" s="102">
        <v>0</v>
      </c>
      <c r="CR25" s="102">
        <v>0</v>
      </c>
      <c r="CS25" s="102">
        <v>0</v>
      </c>
      <c r="CT25" s="102">
        <v>0</v>
      </c>
      <c r="CU25" s="102">
        <v>0</v>
      </c>
      <c r="CV25" s="102">
        <v>0</v>
      </c>
      <c r="CW25" s="102">
        <v>0.125</v>
      </c>
      <c r="CX25" s="102">
        <v>0.121</v>
      </c>
    </row>
    <row r="26" spans="6:102" x14ac:dyDescent="0.25">
      <c r="F26" t="s">
        <v>117</v>
      </c>
      <c r="G26" t="s">
        <v>1</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M26" t="s">
        <v>113</v>
      </c>
      <c r="AN26" s="102">
        <f t="shared" ref="AN26:BC40" si="37">SUMIF($AM$133:$AM$144,$AM26,AN$133:AN$144)</f>
        <v>0</v>
      </c>
      <c r="AO26" s="102">
        <f t="shared" si="37"/>
        <v>0</v>
      </c>
      <c r="AP26" s="102">
        <f t="shared" si="37"/>
        <v>0</v>
      </c>
      <c r="AQ26" s="102">
        <f t="shared" si="37"/>
        <v>0</v>
      </c>
      <c r="AR26" s="102">
        <f t="shared" si="37"/>
        <v>0</v>
      </c>
      <c r="AS26" s="102">
        <f t="shared" si="37"/>
        <v>0</v>
      </c>
      <c r="AT26" s="102">
        <f t="shared" si="37"/>
        <v>0</v>
      </c>
      <c r="AU26" s="102">
        <f t="shared" si="37"/>
        <v>0</v>
      </c>
      <c r="AV26" s="102">
        <f t="shared" si="37"/>
        <v>0</v>
      </c>
      <c r="AW26" s="102">
        <f t="shared" si="37"/>
        <v>0</v>
      </c>
      <c r="AX26" s="102">
        <f t="shared" si="37"/>
        <v>0</v>
      </c>
      <c r="AY26" s="102">
        <f t="shared" si="37"/>
        <v>0</v>
      </c>
      <c r="AZ26" s="102">
        <f t="shared" si="37"/>
        <v>0</v>
      </c>
      <c r="BA26" s="102">
        <f t="shared" si="37"/>
        <v>0</v>
      </c>
      <c r="BB26" s="102">
        <f t="shared" si="37"/>
        <v>0</v>
      </c>
      <c r="BC26" s="102">
        <f t="shared" si="37"/>
        <v>0</v>
      </c>
      <c r="BD26" s="102">
        <f t="shared" ref="BD26:BO40" si="38">SUMIF($AM$133:$AM$144,$AM26,BD$133:BD$144)</f>
        <v>0</v>
      </c>
      <c r="BE26" s="102">
        <f t="shared" si="38"/>
        <v>0</v>
      </c>
      <c r="BF26" s="102">
        <f t="shared" si="38"/>
        <v>0</v>
      </c>
      <c r="BG26" s="102">
        <f t="shared" si="38"/>
        <v>0</v>
      </c>
      <c r="BH26" s="102">
        <f t="shared" si="38"/>
        <v>0</v>
      </c>
      <c r="BI26" s="102">
        <f t="shared" si="38"/>
        <v>0</v>
      </c>
      <c r="BJ26" s="102">
        <f t="shared" si="38"/>
        <v>0</v>
      </c>
      <c r="BK26" s="102">
        <f t="shared" si="38"/>
        <v>0</v>
      </c>
      <c r="BL26" s="102">
        <f t="shared" si="38"/>
        <v>0</v>
      </c>
      <c r="BM26" s="102">
        <f t="shared" si="38"/>
        <v>0</v>
      </c>
      <c r="BN26" s="102">
        <f t="shared" si="38"/>
        <v>0</v>
      </c>
      <c r="BO26" s="102">
        <f t="shared" si="38"/>
        <v>0</v>
      </c>
      <c r="BU26" t="s">
        <v>117</v>
      </c>
      <c r="BW26" s="102">
        <v>227.41800000000001</v>
      </c>
      <c r="BX26" s="102">
        <v>18.597000000000001</v>
      </c>
      <c r="BY26" s="102">
        <v>50.570999999999998</v>
      </c>
      <c r="BZ26" s="102">
        <v>100.657</v>
      </c>
      <c r="CA26" s="102">
        <v>21.262</v>
      </c>
      <c r="CB26" s="102">
        <v>2E-3</v>
      </c>
      <c r="CC26" s="102">
        <v>105.658</v>
      </c>
      <c r="CD26" s="102">
        <v>218.98699999999999</v>
      </c>
      <c r="CE26" s="102">
        <v>0</v>
      </c>
      <c r="CF26" s="102">
        <v>50.658999999999999</v>
      </c>
      <c r="CG26" s="102">
        <v>83.15</v>
      </c>
      <c r="CH26" s="102">
        <v>11.823</v>
      </c>
      <c r="CI26" s="102">
        <v>3.077</v>
      </c>
      <c r="CJ26" s="102">
        <v>20.704999999999998</v>
      </c>
      <c r="CK26" s="102">
        <v>11.715999999999999</v>
      </c>
      <c r="CL26" s="102">
        <v>12.347</v>
      </c>
      <c r="CM26" s="102">
        <v>294.524</v>
      </c>
      <c r="CN26" s="102">
        <v>967.279</v>
      </c>
      <c r="CO26" s="102">
        <v>1930.183</v>
      </c>
      <c r="CP26" s="102">
        <v>5.6000000000000001E-2</v>
      </c>
      <c r="CQ26" s="102">
        <v>166.209</v>
      </c>
      <c r="CR26" s="102">
        <v>0.40200000000000002</v>
      </c>
      <c r="CS26" s="102">
        <v>0</v>
      </c>
      <c r="CT26" s="102">
        <v>6.0030000000000001</v>
      </c>
      <c r="CU26" s="102">
        <v>174.34700000000001</v>
      </c>
      <c r="CV26" s="102">
        <v>0.29199999999999998</v>
      </c>
      <c r="CW26" s="102">
        <v>7.5490000000000004</v>
      </c>
      <c r="CX26" s="102">
        <v>20.65</v>
      </c>
    </row>
    <row r="27" spans="6:102" x14ac:dyDescent="0.25">
      <c r="F27" t="s">
        <v>119</v>
      </c>
      <c r="G27" t="s">
        <v>1</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M27" t="s">
        <v>115</v>
      </c>
      <c r="AN27" s="102">
        <f t="shared" si="37"/>
        <v>0</v>
      </c>
      <c r="AO27" s="102">
        <f t="shared" si="37"/>
        <v>0</v>
      </c>
      <c r="AP27" s="102">
        <f t="shared" si="37"/>
        <v>0</v>
      </c>
      <c r="AQ27" s="102">
        <f t="shared" si="37"/>
        <v>0</v>
      </c>
      <c r="AR27" s="102">
        <f t="shared" si="37"/>
        <v>0</v>
      </c>
      <c r="AS27" s="102">
        <f t="shared" si="37"/>
        <v>0</v>
      </c>
      <c r="AT27" s="102">
        <f t="shared" si="37"/>
        <v>0</v>
      </c>
      <c r="AU27" s="102">
        <f t="shared" si="37"/>
        <v>0</v>
      </c>
      <c r="AV27" s="102">
        <f t="shared" si="37"/>
        <v>0</v>
      </c>
      <c r="AW27" s="102">
        <f t="shared" si="37"/>
        <v>0</v>
      </c>
      <c r="AX27" s="102">
        <f t="shared" si="37"/>
        <v>0</v>
      </c>
      <c r="AY27" s="102">
        <f t="shared" si="37"/>
        <v>0</v>
      </c>
      <c r="AZ27" s="102">
        <f t="shared" si="37"/>
        <v>0</v>
      </c>
      <c r="BA27" s="102">
        <f t="shared" si="37"/>
        <v>0</v>
      </c>
      <c r="BB27" s="102">
        <f t="shared" si="37"/>
        <v>0</v>
      </c>
      <c r="BC27" s="102">
        <f t="shared" si="37"/>
        <v>0</v>
      </c>
      <c r="BD27" s="102">
        <f t="shared" si="38"/>
        <v>0</v>
      </c>
      <c r="BE27" s="102">
        <f t="shared" si="38"/>
        <v>0</v>
      </c>
      <c r="BF27" s="102">
        <f t="shared" si="38"/>
        <v>0</v>
      </c>
      <c r="BG27" s="102">
        <f t="shared" si="38"/>
        <v>0</v>
      </c>
      <c r="BH27" s="102">
        <f t="shared" si="38"/>
        <v>0</v>
      </c>
      <c r="BI27" s="102">
        <f t="shared" si="38"/>
        <v>0</v>
      </c>
      <c r="BJ27" s="102">
        <f t="shared" si="38"/>
        <v>0</v>
      </c>
      <c r="BK27" s="102">
        <f t="shared" si="38"/>
        <v>0</v>
      </c>
      <c r="BL27" s="102">
        <f t="shared" si="38"/>
        <v>0</v>
      </c>
      <c r="BM27" s="102">
        <f t="shared" si="38"/>
        <v>0</v>
      </c>
      <c r="BN27" s="102">
        <f t="shared" si="38"/>
        <v>0</v>
      </c>
      <c r="BO27" s="102">
        <f t="shared" si="38"/>
        <v>0</v>
      </c>
      <c r="BU27" t="s">
        <v>119</v>
      </c>
      <c r="BW27" s="102">
        <v>0</v>
      </c>
      <c r="BX27" s="102">
        <v>0</v>
      </c>
      <c r="BY27" s="102">
        <v>0</v>
      </c>
      <c r="BZ27" s="102">
        <v>0</v>
      </c>
      <c r="CA27" s="102">
        <v>0</v>
      </c>
      <c r="CB27" s="102">
        <v>0</v>
      </c>
      <c r="CC27" s="102">
        <v>0</v>
      </c>
      <c r="CD27" s="102">
        <v>0</v>
      </c>
      <c r="CE27" s="102">
        <v>0.35299999999999998</v>
      </c>
      <c r="CF27" s="102">
        <v>0</v>
      </c>
      <c r="CG27" s="102">
        <v>0</v>
      </c>
      <c r="CH27" s="102">
        <v>0</v>
      </c>
      <c r="CI27" s="102">
        <v>0</v>
      </c>
      <c r="CJ27" s="102">
        <v>2.7E-2</v>
      </c>
      <c r="CK27" s="102">
        <v>0</v>
      </c>
      <c r="CL27" s="102">
        <v>1.6E-2</v>
      </c>
      <c r="CM27" s="102">
        <v>0.23799999999999999</v>
      </c>
      <c r="CN27" s="102">
        <v>9.4030000000000005</v>
      </c>
      <c r="CO27" s="102">
        <v>0</v>
      </c>
      <c r="CP27" s="102">
        <v>0</v>
      </c>
      <c r="CQ27" s="102">
        <v>0.35699999999999998</v>
      </c>
      <c r="CR27" s="102">
        <v>0</v>
      </c>
      <c r="CS27" s="102">
        <v>0</v>
      </c>
      <c r="CT27" s="102">
        <v>0</v>
      </c>
      <c r="CU27" s="102">
        <v>0</v>
      </c>
      <c r="CV27" s="102">
        <v>0</v>
      </c>
      <c r="CW27" s="102">
        <v>0</v>
      </c>
      <c r="CX27" s="102">
        <v>0.30299999999999999</v>
      </c>
    </row>
    <row r="28" spans="6:102" x14ac:dyDescent="0.25">
      <c r="F28" t="s">
        <v>120</v>
      </c>
      <c r="G28" t="s">
        <v>1</v>
      </c>
      <c r="H28" s="486">
        <f t="shared" ref="H28:AI28" si="39">IF(AP9=0,0,IF((AN30/AP9)&gt;1,1,AN30/AP9))</f>
        <v>0</v>
      </c>
      <c r="I28" s="486">
        <f t="shared" si="39"/>
        <v>0</v>
      </c>
      <c r="J28" s="486">
        <f t="shared" si="39"/>
        <v>0</v>
      </c>
      <c r="K28" s="486">
        <f t="shared" si="39"/>
        <v>0.54908634548766089</v>
      </c>
      <c r="L28" s="486">
        <f t="shared" si="39"/>
        <v>0.25038152220782667</v>
      </c>
      <c r="M28" s="486">
        <f t="shared" si="39"/>
        <v>8.0880027205843696E-2</v>
      </c>
      <c r="N28" s="486">
        <f t="shared" si="39"/>
        <v>1</v>
      </c>
      <c r="O28" s="486">
        <f t="shared" si="39"/>
        <v>0</v>
      </c>
      <c r="P28" s="486">
        <f t="shared" si="39"/>
        <v>0.1268850027752326</v>
      </c>
      <c r="Q28" s="486">
        <f t="shared" si="39"/>
        <v>0</v>
      </c>
      <c r="R28" s="486">
        <f t="shared" si="39"/>
        <v>0</v>
      </c>
      <c r="S28" s="486">
        <f>IF(BA9=0,0,IF((AY30/BA9)&gt;1,1,AY30/BA9))</f>
        <v>0</v>
      </c>
      <c r="T28" s="486">
        <f t="shared" si="39"/>
        <v>0</v>
      </c>
      <c r="U28" s="486">
        <f t="shared" si="39"/>
        <v>0</v>
      </c>
      <c r="V28" s="486">
        <f t="shared" si="39"/>
        <v>0</v>
      </c>
      <c r="W28" s="486">
        <f t="shared" si="39"/>
        <v>0</v>
      </c>
      <c r="X28" s="486">
        <f t="shared" si="39"/>
        <v>0</v>
      </c>
      <c r="Y28" s="486">
        <f t="shared" si="39"/>
        <v>0</v>
      </c>
      <c r="Z28" s="486">
        <f t="shared" si="39"/>
        <v>0</v>
      </c>
      <c r="AA28" s="486">
        <f t="shared" si="39"/>
        <v>0</v>
      </c>
      <c r="AB28" s="486">
        <f t="shared" si="39"/>
        <v>1</v>
      </c>
      <c r="AC28" s="486">
        <f t="shared" si="39"/>
        <v>0.20544369231258905</v>
      </c>
      <c r="AD28" s="486">
        <f t="shared" si="39"/>
        <v>0</v>
      </c>
      <c r="AE28" s="486">
        <f t="shared" si="39"/>
        <v>0</v>
      </c>
      <c r="AF28" s="486">
        <f t="shared" si="39"/>
        <v>0</v>
      </c>
      <c r="AG28" s="486">
        <f t="shared" si="39"/>
        <v>0</v>
      </c>
      <c r="AH28" s="486">
        <f t="shared" si="39"/>
        <v>0</v>
      </c>
      <c r="AI28" s="486">
        <f t="shared" si="39"/>
        <v>0</v>
      </c>
      <c r="AM28" t="s">
        <v>117</v>
      </c>
      <c r="AN28" s="102">
        <f t="shared" si="37"/>
        <v>0</v>
      </c>
      <c r="AO28" s="102">
        <f t="shared" si="37"/>
        <v>0</v>
      </c>
      <c r="AP28" s="102">
        <f t="shared" si="37"/>
        <v>0</v>
      </c>
      <c r="AQ28" s="102">
        <f t="shared" si="37"/>
        <v>0</v>
      </c>
      <c r="AR28" s="102">
        <f t="shared" si="37"/>
        <v>0</v>
      </c>
      <c r="AS28" s="102">
        <f t="shared" si="37"/>
        <v>0</v>
      </c>
      <c r="AT28" s="102">
        <f t="shared" si="37"/>
        <v>0</v>
      </c>
      <c r="AU28" s="102">
        <f t="shared" si="37"/>
        <v>0</v>
      </c>
      <c r="AV28" s="102">
        <f t="shared" si="37"/>
        <v>0</v>
      </c>
      <c r="AW28" s="102">
        <f t="shared" si="37"/>
        <v>0</v>
      </c>
      <c r="AX28" s="102">
        <f t="shared" si="37"/>
        <v>0</v>
      </c>
      <c r="AY28" s="102">
        <f t="shared" si="37"/>
        <v>0</v>
      </c>
      <c r="AZ28" s="102">
        <f t="shared" si="37"/>
        <v>0</v>
      </c>
      <c r="BA28" s="102">
        <f t="shared" si="37"/>
        <v>0</v>
      </c>
      <c r="BB28" s="102">
        <f t="shared" si="37"/>
        <v>0</v>
      </c>
      <c r="BC28" s="102">
        <f t="shared" si="37"/>
        <v>0</v>
      </c>
      <c r="BD28" s="102">
        <f t="shared" si="38"/>
        <v>0</v>
      </c>
      <c r="BE28" s="102">
        <f t="shared" si="38"/>
        <v>0</v>
      </c>
      <c r="BF28" s="102">
        <f t="shared" si="38"/>
        <v>0</v>
      </c>
      <c r="BG28" s="102">
        <f t="shared" si="38"/>
        <v>0</v>
      </c>
      <c r="BH28" s="102">
        <f t="shared" si="38"/>
        <v>0</v>
      </c>
      <c r="BI28" s="102">
        <f t="shared" si="38"/>
        <v>0</v>
      </c>
      <c r="BJ28" s="102">
        <f t="shared" si="38"/>
        <v>0</v>
      </c>
      <c r="BK28" s="102">
        <f t="shared" si="38"/>
        <v>0</v>
      </c>
      <c r="BL28" s="102">
        <f t="shared" si="38"/>
        <v>0</v>
      </c>
      <c r="BM28" s="102">
        <f t="shared" si="38"/>
        <v>0</v>
      </c>
      <c r="BN28" s="102">
        <f t="shared" si="38"/>
        <v>0</v>
      </c>
      <c r="BO28" s="102">
        <f t="shared" si="38"/>
        <v>0</v>
      </c>
      <c r="BU28" t="s">
        <v>120</v>
      </c>
      <c r="BW28" s="102">
        <v>19.414000000000001</v>
      </c>
      <c r="BX28" s="102">
        <v>0</v>
      </c>
      <c r="BY28" s="102">
        <v>1.548</v>
      </c>
      <c r="BZ28" s="102">
        <v>136.209</v>
      </c>
      <c r="CA28" s="102">
        <v>2.613</v>
      </c>
      <c r="CB28" s="102">
        <v>19.001999999999999</v>
      </c>
      <c r="CC28" s="102">
        <v>371.47500000000002</v>
      </c>
      <c r="CD28" s="102">
        <v>443.83300000000003</v>
      </c>
      <c r="CE28" s="102">
        <v>3.1520000000000001</v>
      </c>
      <c r="CF28" s="102">
        <v>7.694</v>
      </c>
      <c r="CG28" s="102">
        <v>2.06</v>
      </c>
      <c r="CH28" s="102">
        <v>7058.93</v>
      </c>
      <c r="CI28" s="102">
        <v>6.9000000000000006E-2</v>
      </c>
      <c r="CJ28" s="102">
        <v>12.898999999999999</v>
      </c>
      <c r="CK28" s="102">
        <v>2.0419999999999998</v>
      </c>
      <c r="CL28" s="102">
        <v>2E-3</v>
      </c>
      <c r="CM28" s="102">
        <v>2.5649999999999999</v>
      </c>
      <c r="CN28" s="102">
        <v>1566.0070000000001</v>
      </c>
      <c r="CO28" s="102">
        <v>4254.3810000000003</v>
      </c>
      <c r="CP28" s="102">
        <v>0.29699999999999999</v>
      </c>
      <c r="CQ28" s="102">
        <v>17.579999999999998</v>
      </c>
      <c r="CR28" s="102">
        <v>8.6950000000000003</v>
      </c>
      <c r="CS28" s="102">
        <v>61.654000000000003</v>
      </c>
      <c r="CT28" s="102">
        <v>67.054000000000002</v>
      </c>
      <c r="CU28" s="102">
        <v>0</v>
      </c>
      <c r="CV28" s="102">
        <v>0.13900000000000001</v>
      </c>
      <c r="CW28" s="102">
        <v>8.6609999999999996</v>
      </c>
      <c r="CX28" s="102">
        <v>28.385000000000002</v>
      </c>
    </row>
    <row r="29" spans="6:102" x14ac:dyDescent="0.25">
      <c r="F29" t="s">
        <v>122</v>
      </c>
      <c r="G29" t="s">
        <v>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M29" t="s">
        <v>119</v>
      </c>
      <c r="AN29" s="102">
        <f t="shared" si="37"/>
        <v>0</v>
      </c>
      <c r="AO29" s="102">
        <f t="shared" si="37"/>
        <v>0</v>
      </c>
      <c r="AP29" s="102">
        <f t="shared" si="37"/>
        <v>0</v>
      </c>
      <c r="AQ29" s="102">
        <f t="shared" si="37"/>
        <v>0</v>
      </c>
      <c r="AR29" s="102">
        <f t="shared" si="37"/>
        <v>0</v>
      </c>
      <c r="AS29" s="102">
        <f t="shared" si="37"/>
        <v>0</v>
      </c>
      <c r="AT29" s="102">
        <f t="shared" si="37"/>
        <v>0</v>
      </c>
      <c r="AU29" s="102">
        <f t="shared" si="37"/>
        <v>0</v>
      </c>
      <c r="AV29" s="102">
        <f t="shared" si="37"/>
        <v>0</v>
      </c>
      <c r="AW29" s="102">
        <f t="shared" si="37"/>
        <v>0</v>
      </c>
      <c r="AX29" s="102">
        <f t="shared" si="37"/>
        <v>0</v>
      </c>
      <c r="AY29" s="102">
        <f t="shared" si="37"/>
        <v>0</v>
      </c>
      <c r="AZ29" s="102">
        <f t="shared" si="37"/>
        <v>0</v>
      </c>
      <c r="BA29" s="102">
        <f t="shared" si="37"/>
        <v>0</v>
      </c>
      <c r="BB29" s="102">
        <f t="shared" si="37"/>
        <v>0</v>
      </c>
      <c r="BC29" s="102">
        <f t="shared" si="37"/>
        <v>0</v>
      </c>
      <c r="BD29" s="102">
        <f t="shared" si="38"/>
        <v>0</v>
      </c>
      <c r="BE29" s="102">
        <f t="shared" si="38"/>
        <v>0</v>
      </c>
      <c r="BF29" s="102">
        <f t="shared" si="38"/>
        <v>0</v>
      </c>
      <c r="BG29" s="102">
        <f t="shared" si="38"/>
        <v>0</v>
      </c>
      <c r="BH29" s="102">
        <f t="shared" si="38"/>
        <v>0</v>
      </c>
      <c r="BI29" s="102">
        <f t="shared" si="38"/>
        <v>0</v>
      </c>
      <c r="BJ29" s="102">
        <f t="shared" si="38"/>
        <v>0</v>
      </c>
      <c r="BK29" s="102">
        <f t="shared" si="38"/>
        <v>0</v>
      </c>
      <c r="BL29" s="102">
        <f t="shared" si="38"/>
        <v>0</v>
      </c>
      <c r="BM29" s="102">
        <f t="shared" si="38"/>
        <v>0</v>
      </c>
      <c r="BN29" s="102">
        <f t="shared" si="38"/>
        <v>0</v>
      </c>
      <c r="BO29" s="102">
        <f t="shared" si="38"/>
        <v>0</v>
      </c>
      <c r="BU29" t="s">
        <v>122</v>
      </c>
      <c r="BW29" s="102">
        <v>0</v>
      </c>
      <c r="BX29" s="102">
        <v>0</v>
      </c>
      <c r="BY29" s="102">
        <v>0</v>
      </c>
      <c r="BZ29" s="102">
        <v>0</v>
      </c>
      <c r="CA29" s="102">
        <v>0</v>
      </c>
      <c r="CB29" s="102">
        <v>0</v>
      </c>
      <c r="CC29" s="102">
        <v>0</v>
      </c>
      <c r="CD29" s="102">
        <v>0</v>
      </c>
      <c r="CE29" s="102">
        <v>0</v>
      </c>
      <c r="CF29" s="102">
        <v>0</v>
      </c>
      <c r="CG29" s="102">
        <v>0</v>
      </c>
      <c r="CH29" s="102">
        <v>60.15</v>
      </c>
      <c r="CI29" s="102">
        <v>0</v>
      </c>
      <c r="CJ29" s="102">
        <v>0</v>
      </c>
      <c r="CK29" s="102">
        <v>0</v>
      </c>
      <c r="CL29" s="102">
        <v>0</v>
      </c>
      <c r="CM29" s="102">
        <v>4.5999999999999999E-2</v>
      </c>
      <c r="CN29" s="102">
        <v>0</v>
      </c>
      <c r="CO29" s="102">
        <v>0</v>
      </c>
      <c r="CP29" s="102">
        <v>0</v>
      </c>
      <c r="CQ29" s="102">
        <v>0</v>
      </c>
      <c r="CR29" s="102">
        <v>0</v>
      </c>
      <c r="CS29" s="102">
        <v>0</v>
      </c>
      <c r="CT29" s="102">
        <v>0</v>
      </c>
      <c r="CU29" s="102">
        <v>0</v>
      </c>
      <c r="CV29" s="102">
        <v>0</v>
      </c>
      <c r="CW29" s="102">
        <v>0</v>
      </c>
      <c r="CX29" s="102">
        <v>29.806000000000001</v>
      </c>
    </row>
    <row r="30" spans="6:102" x14ac:dyDescent="0.25">
      <c r="F30" t="s">
        <v>124</v>
      </c>
      <c r="G30" t="s">
        <v>1</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M30" t="s">
        <v>120</v>
      </c>
      <c r="AN30" s="102">
        <f t="shared" si="37"/>
        <v>0</v>
      </c>
      <c r="AO30" s="102">
        <f t="shared" si="37"/>
        <v>0</v>
      </c>
      <c r="AP30" s="102">
        <f t="shared" si="37"/>
        <v>1.3786607299245879</v>
      </c>
      <c r="AQ30" s="102">
        <f t="shared" si="37"/>
        <v>15.780741569315373</v>
      </c>
      <c r="AR30" s="102">
        <f t="shared" si="37"/>
        <v>11.695571283849791</v>
      </c>
      <c r="AS30" s="102">
        <f t="shared" si="37"/>
        <v>5.4297997464371104</v>
      </c>
      <c r="AT30" s="102">
        <f t="shared" si="37"/>
        <v>10.064994651932206</v>
      </c>
      <c r="AU30" s="102">
        <f t="shared" si="37"/>
        <v>0</v>
      </c>
      <c r="AV30" s="102">
        <f t="shared" si="37"/>
        <v>3.6112740639858947</v>
      </c>
      <c r="AW30" s="102">
        <f t="shared" si="37"/>
        <v>0</v>
      </c>
      <c r="AX30" s="102">
        <f t="shared" si="37"/>
        <v>0</v>
      </c>
      <c r="AY30" s="102">
        <f t="shared" si="37"/>
        <v>594.71283341535172</v>
      </c>
      <c r="AZ30" s="102">
        <f t="shared" si="37"/>
        <v>0</v>
      </c>
      <c r="BA30" s="102">
        <f t="shared" si="37"/>
        <v>0</v>
      </c>
      <c r="BB30" s="102">
        <f t="shared" si="37"/>
        <v>0</v>
      </c>
      <c r="BC30" s="102">
        <f t="shared" si="37"/>
        <v>0</v>
      </c>
      <c r="BD30" s="102">
        <f t="shared" si="38"/>
        <v>0</v>
      </c>
      <c r="BE30" s="102">
        <f t="shared" si="38"/>
        <v>3.1784193637680649</v>
      </c>
      <c r="BF30" s="102">
        <f t="shared" si="38"/>
        <v>48.20602701714899</v>
      </c>
      <c r="BG30" s="102">
        <f t="shared" si="38"/>
        <v>0</v>
      </c>
      <c r="BH30" s="102">
        <f t="shared" si="38"/>
        <v>2.4167757197444062</v>
      </c>
      <c r="BI30" s="102">
        <f t="shared" si="38"/>
        <v>1.0594731212560218</v>
      </c>
      <c r="BJ30" s="102">
        <f t="shared" si="38"/>
        <v>0</v>
      </c>
      <c r="BK30" s="102">
        <f t="shared" si="38"/>
        <v>0</v>
      </c>
      <c r="BL30" s="102">
        <f t="shared" si="38"/>
        <v>0</v>
      </c>
      <c r="BM30" s="102">
        <f t="shared" si="38"/>
        <v>0</v>
      </c>
      <c r="BN30" s="102">
        <f t="shared" si="38"/>
        <v>0</v>
      </c>
      <c r="BO30" s="102">
        <f t="shared" si="38"/>
        <v>0</v>
      </c>
      <c r="BU30" t="s">
        <v>124</v>
      </c>
      <c r="BW30" s="102">
        <v>0</v>
      </c>
      <c r="BX30" s="102">
        <v>0</v>
      </c>
      <c r="BY30" s="102">
        <v>0</v>
      </c>
      <c r="BZ30" s="102">
        <v>2.2090000000000001</v>
      </c>
      <c r="CA30" s="102">
        <v>0</v>
      </c>
      <c r="CB30" s="102">
        <v>0</v>
      </c>
      <c r="CC30" s="102">
        <v>0</v>
      </c>
      <c r="CD30" s="102">
        <v>0</v>
      </c>
      <c r="CE30" s="102">
        <v>0</v>
      </c>
      <c r="CF30" s="102">
        <v>0</v>
      </c>
      <c r="CG30" s="102">
        <v>2.8000000000000001E-2</v>
      </c>
      <c r="CH30" s="102">
        <v>867.76800000000003</v>
      </c>
      <c r="CI30" s="102">
        <v>0</v>
      </c>
      <c r="CJ30" s="102">
        <v>0</v>
      </c>
      <c r="CK30" s="102">
        <v>3.0000000000000001E-3</v>
      </c>
      <c r="CL30" s="102">
        <v>3.0000000000000001E-3</v>
      </c>
      <c r="CM30" s="102">
        <v>0</v>
      </c>
      <c r="CN30" s="102">
        <v>5.0019999999999998</v>
      </c>
      <c r="CO30" s="102">
        <v>0</v>
      </c>
      <c r="CP30" s="102">
        <v>0</v>
      </c>
      <c r="CQ30" s="102">
        <v>1E-3</v>
      </c>
      <c r="CR30" s="102">
        <v>0</v>
      </c>
      <c r="CS30" s="102">
        <v>4.3070000000000004</v>
      </c>
      <c r="CT30" s="102">
        <v>0</v>
      </c>
      <c r="CU30" s="102">
        <v>0</v>
      </c>
      <c r="CV30" s="102">
        <v>3.5000000000000003E-2</v>
      </c>
      <c r="CW30" s="102">
        <v>8.8829999999999991</v>
      </c>
      <c r="CX30" s="102">
        <v>0</v>
      </c>
    </row>
    <row r="31" spans="6:102" x14ac:dyDescent="0.25">
      <c r="F31" t="s">
        <v>126</v>
      </c>
      <c r="G31" t="s">
        <v>1</v>
      </c>
      <c r="H31" s="486">
        <f t="shared" ref="H31:W32" si="40">IF(AP12=0,0,IF((AN33/AP12)&gt;1,1,AN33/AP12))</f>
        <v>0</v>
      </c>
      <c r="I31" s="486">
        <f t="shared" si="40"/>
        <v>1</v>
      </c>
      <c r="J31" s="486">
        <f t="shared" si="40"/>
        <v>1</v>
      </c>
      <c r="K31" s="486">
        <f t="shared" si="40"/>
        <v>0.65192942027081624</v>
      </c>
      <c r="L31" s="486">
        <f t="shared" si="40"/>
        <v>0.77756917447277341</v>
      </c>
      <c r="M31" s="486">
        <f t="shared" si="40"/>
        <v>0.36086485179807654</v>
      </c>
      <c r="N31" s="486">
        <f>IF(AV12=0,0,IF((AT33/AV12)&gt;1,1,AT33/AV12))</f>
        <v>1</v>
      </c>
      <c r="O31" s="486">
        <f t="shared" si="40"/>
        <v>0</v>
      </c>
      <c r="P31" s="486">
        <f t="shared" si="40"/>
        <v>0.42418753916110474</v>
      </c>
      <c r="Q31" s="486">
        <f t="shared" si="40"/>
        <v>0.77615471311707052</v>
      </c>
      <c r="R31" s="486">
        <f t="shared" si="40"/>
        <v>0</v>
      </c>
      <c r="S31" s="486">
        <f t="shared" si="40"/>
        <v>0</v>
      </c>
      <c r="T31" s="486">
        <f t="shared" si="40"/>
        <v>0.50688956439066979</v>
      </c>
      <c r="U31" s="486">
        <f t="shared" si="40"/>
        <v>0.90511665813395936</v>
      </c>
      <c r="V31" s="486">
        <f t="shared" si="40"/>
        <v>0.83212761187273887</v>
      </c>
      <c r="W31" s="486">
        <f t="shared" si="40"/>
        <v>0.61996007043145929</v>
      </c>
      <c r="X31" s="486">
        <f t="shared" ref="X31:AI32" si="41">IF(BF12=0,0,IF((BD33/BF12)&gt;1,1,BD33/BF12))</f>
        <v>0.49239193895965255</v>
      </c>
      <c r="Y31" s="486">
        <f t="shared" si="41"/>
        <v>0</v>
      </c>
      <c r="Z31" s="486">
        <f t="shared" si="41"/>
        <v>0</v>
      </c>
      <c r="AA31" s="486">
        <f t="shared" si="41"/>
        <v>1.5287607066531544E-2</v>
      </c>
      <c r="AB31" s="486">
        <f t="shared" si="41"/>
        <v>1</v>
      </c>
      <c r="AC31" s="486">
        <f t="shared" si="41"/>
        <v>0.3552917046745403</v>
      </c>
      <c r="AD31" s="486">
        <f t="shared" si="41"/>
        <v>1</v>
      </c>
      <c r="AE31" s="486">
        <f t="shared" si="41"/>
        <v>1.7041022570068861E-3</v>
      </c>
      <c r="AF31" s="486">
        <f t="shared" si="41"/>
        <v>0</v>
      </c>
      <c r="AG31" s="486">
        <f t="shared" si="41"/>
        <v>0.64919724733043549</v>
      </c>
      <c r="AH31" s="486">
        <f t="shared" si="41"/>
        <v>3.0182077171347278E-2</v>
      </c>
      <c r="AI31" s="486">
        <f t="shared" si="41"/>
        <v>0.4667212474480158</v>
      </c>
      <c r="AM31" t="s">
        <v>122</v>
      </c>
      <c r="AN31" s="102">
        <f t="shared" si="37"/>
        <v>0</v>
      </c>
      <c r="AO31" s="102">
        <f t="shared" si="37"/>
        <v>0</v>
      </c>
      <c r="AP31" s="102">
        <f t="shared" si="37"/>
        <v>0</v>
      </c>
      <c r="AQ31" s="102">
        <f t="shared" si="37"/>
        <v>0</v>
      </c>
      <c r="AR31" s="102">
        <f t="shared" si="37"/>
        <v>0</v>
      </c>
      <c r="AS31" s="102">
        <f t="shared" si="37"/>
        <v>0</v>
      </c>
      <c r="AT31" s="102">
        <f t="shared" si="37"/>
        <v>0</v>
      </c>
      <c r="AU31" s="102">
        <f t="shared" si="37"/>
        <v>0</v>
      </c>
      <c r="AV31" s="102">
        <f t="shared" si="37"/>
        <v>0</v>
      </c>
      <c r="AW31" s="102">
        <f t="shared" si="37"/>
        <v>0</v>
      </c>
      <c r="AX31" s="102">
        <f t="shared" si="37"/>
        <v>0</v>
      </c>
      <c r="AY31" s="102">
        <f t="shared" si="37"/>
        <v>0</v>
      </c>
      <c r="AZ31" s="102">
        <f t="shared" si="37"/>
        <v>0</v>
      </c>
      <c r="BA31" s="102">
        <f t="shared" si="37"/>
        <v>0</v>
      </c>
      <c r="BB31" s="102">
        <f t="shared" si="37"/>
        <v>0</v>
      </c>
      <c r="BC31" s="102">
        <f t="shared" si="37"/>
        <v>0</v>
      </c>
      <c r="BD31" s="102">
        <f t="shared" si="38"/>
        <v>0</v>
      </c>
      <c r="BE31" s="102">
        <f t="shared" si="38"/>
        <v>0</v>
      </c>
      <c r="BF31" s="102">
        <f t="shared" si="38"/>
        <v>0</v>
      </c>
      <c r="BG31" s="102">
        <f t="shared" si="38"/>
        <v>0</v>
      </c>
      <c r="BH31" s="102">
        <f t="shared" si="38"/>
        <v>0</v>
      </c>
      <c r="BI31" s="102">
        <f t="shared" si="38"/>
        <v>0</v>
      </c>
      <c r="BJ31" s="102">
        <f t="shared" si="38"/>
        <v>0</v>
      </c>
      <c r="BK31" s="102">
        <f t="shared" si="38"/>
        <v>0</v>
      </c>
      <c r="BL31" s="102">
        <f t="shared" si="38"/>
        <v>0</v>
      </c>
      <c r="BM31" s="102">
        <f t="shared" si="38"/>
        <v>0</v>
      </c>
      <c r="BN31" s="102">
        <f t="shared" si="38"/>
        <v>0</v>
      </c>
      <c r="BO31" s="102">
        <f t="shared" si="38"/>
        <v>0</v>
      </c>
      <c r="BU31" t="s">
        <v>126</v>
      </c>
      <c r="BW31" s="102">
        <v>51.694000000000003</v>
      </c>
      <c r="BX31" s="102">
        <v>209.13399999999999</v>
      </c>
      <c r="BY31" s="102">
        <v>35.378999999999998</v>
      </c>
      <c r="BZ31" s="102">
        <v>134.95599999999999</v>
      </c>
      <c r="CA31" s="102">
        <v>2.4889999999999999</v>
      </c>
      <c r="CB31" s="102">
        <v>40.581000000000003</v>
      </c>
      <c r="CC31" s="102">
        <v>458.73899999999998</v>
      </c>
      <c r="CD31" s="102">
        <v>266.72800000000001</v>
      </c>
      <c r="CE31" s="102">
        <v>188.04499999999999</v>
      </c>
      <c r="CF31" s="102">
        <v>29.323</v>
      </c>
      <c r="CG31" s="102">
        <v>37.134</v>
      </c>
      <c r="CH31" s="102">
        <v>9912.2360000000008</v>
      </c>
      <c r="CI31" s="102">
        <v>18.797999999999998</v>
      </c>
      <c r="CJ31" s="102">
        <v>93.308999999999997</v>
      </c>
      <c r="CK31" s="102">
        <v>60.634</v>
      </c>
      <c r="CL31" s="102">
        <v>122.48699999999999</v>
      </c>
      <c r="CM31" s="102">
        <v>110.20099999999999</v>
      </c>
      <c r="CN31" s="102">
        <v>697.60900000000004</v>
      </c>
      <c r="CO31" s="102">
        <v>1984.903</v>
      </c>
      <c r="CP31" s="102">
        <v>93.388999999999996</v>
      </c>
      <c r="CQ31" s="102">
        <v>403.24900000000002</v>
      </c>
      <c r="CR31" s="102">
        <v>141.84299999999999</v>
      </c>
      <c r="CS31" s="102">
        <v>606.33199999999999</v>
      </c>
      <c r="CT31" s="102">
        <v>404.48</v>
      </c>
      <c r="CU31" s="102">
        <v>14.135999999999999</v>
      </c>
      <c r="CV31" s="102">
        <v>26.751000000000001</v>
      </c>
      <c r="CW31" s="102">
        <v>18.349</v>
      </c>
      <c r="CX31" s="102">
        <v>360.59800000000001</v>
      </c>
    </row>
    <row r="32" spans="6:102" x14ac:dyDescent="0.25">
      <c r="F32" t="s">
        <v>128</v>
      </c>
      <c r="G32" t="s">
        <v>1</v>
      </c>
      <c r="H32" s="486">
        <f t="shared" si="40"/>
        <v>0</v>
      </c>
      <c r="I32" s="486">
        <f t="shared" si="40"/>
        <v>0</v>
      </c>
      <c r="J32" s="486">
        <f t="shared" si="40"/>
        <v>0</v>
      </c>
      <c r="K32" s="486">
        <f t="shared" si="40"/>
        <v>1</v>
      </c>
      <c r="L32" s="486">
        <f t="shared" si="40"/>
        <v>0.2596999362455199</v>
      </c>
      <c r="M32" s="486">
        <f t="shared" si="40"/>
        <v>6.5942178993582653E-3</v>
      </c>
      <c r="N32" s="486">
        <f t="shared" si="40"/>
        <v>1</v>
      </c>
      <c r="O32" s="486">
        <f t="shared" si="40"/>
        <v>0</v>
      </c>
      <c r="P32" s="486">
        <f t="shared" si="40"/>
        <v>0.31817591975639042</v>
      </c>
      <c r="Q32" s="486">
        <f t="shared" si="40"/>
        <v>0.79775589253827861</v>
      </c>
      <c r="R32" s="486">
        <f t="shared" si="40"/>
        <v>0</v>
      </c>
      <c r="S32" s="486">
        <f t="shared" si="40"/>
        <v>0</v>
      </c>
      <c r="T32" s="486">
        <f t="shared" si="40"/>
        <v>0.38474564105504577</v>
      </c>
      <c r="U32" s="486">
        <f t="shared" si="40"/>
        <v>1</v>
      </c>
      <c r="V32" s="486">
        <f t="shared" si="40"/>
        <v>0.68612214445508568</v>
      </c>
      <c r="W32" s="486">
        <f t="shared" si="40"/>
        <v>0.49549806223422016</v>
      </c>
      <c r="X32" s="486">
        <f t="shared" si="41"/>
        <v>0.3272675419837538</v>
      </c>
      <c r="Y32" s="486">
        <f t="shared" si="41"/>
        <v>0</v>
      </c>
      <c r="Z32" s="486">
        <f t="shared" si="41"/>
        <v>0</v>
      </c>
      <c r="AA32" s="486">
        <f t="shared" si="41"/>
        <v>0.24108815103763101</v>
      </c>
      <c r="AB32" s="486">
        <f t="shared" si="41"/>
        <v>0.61566506747407235</v>
      </c>
      <c r="AC32" s="486">
        <f t="shared" si="41"/>
        <v>0.15799973070232251</v>
      </c>
      <c r="AD32" s="486">
        <f t="shared" si="41"/>
        <v>0</v>
      </c>
      <c r="AE32" s="486">
        <f t="shared" si="41"/>
        <v>0</v>
      </c>
      <c r="AF32" s="486">
        <f t="shared" si="41"/>
        <v>0</v>
      </c>
      <c r="AG32" s="486">
        <f t="shared" si="41"/>
        <v>0</v>
      </c>
      <c r="AH32" s="486">
        <f t="shared" si="41"/>
        <v>0.54988158207642246</v>
      </c>
      <c r="AI32" s="486">
        <f>IF(BQ13=0,0,IF((BO34/BQ13)&gt;1,1,BO34/BQ13))</f>
        <v>0.15802945073583244</v>
      </c>
      <c r="AM32" t="s">
        <v>124</v>
      </c>
      <c r="AN32" s="102">
        <f t="shared" si="37"/>
        <v>0</v>
      </c>
      <c r="AO32" s="102">
        <f t="shared" si="37"/>
        <v>0</v>
      </c>
      <c r="AP32" s="102">
        <f t="shared" si="37"/>
        <v>0</v>
      </c>
      <c r="AQ32" s="102">
        <f t="shared" si="37"/>
        <v>0</v>
      </c>
      <c r="AR32" s="102">
        <f t="shared" si="37"/>
        <v>0</v>
      </c>
      <c r="AS32" s="102">
        <f t="shared" si="37"/>
        <v>0</v>
      </c>
      <c r="AT32" s="102">
        <f t="shared" si="37"/>
        <v>0</v>
      </c>
      <c r="AU32" s="102">
        <f t="shared" si="37"/>
        <v>0</v>
      </c>
      <c r="AV32" s="102">
        <f t="shared" si="37"/>
        <v>0</v>
      </c>
      <c r="AW32" s="102">
        <f t="shared" si="37"/>
        <v>0</v>
      </c>
      <c r="AX32" s="102">
        <f t="shared" si="37"/>
        <v>0</v>
      </c>
      <c r="AY32" s="102">
        <f t="shared" si="37"/>
        <v>0</v>
      </c>
      <c r="AZ32" s="102">
        <f t="shared" si="37"/>
        <v>0</v>
      </c>
      <c r="BA32" s="102">
        <f t="shared" si="37"/>
        <v>0</v>
      </c>
      <c r="BB32" s="102">
        <f t="shared" si="37"/>
        <v>0</v>
      </c>
      <c r="BC32" s="102">
        <f t="shared" si="37"/>
        <v>0</v>
      </c>
      <c r="BD32" s="102">
        <f t="shared" si="38"/>
        <v>0</v>
      </c>
      <c r="BE32" s="102">
        <f t="shared" si="38"/>
        <v>0</v>
      </c>
      <c r="BF32" s="102">
        <f t="shared" si="38"/>
        <v>0</v>
      </c>
      <c r="BG32" s="102">
        <f t="shared" si="38"/>
        <v>0</v>
      </c>
      <c r="BH32" s="102">
        <f t="shared" si="38"/>
        <v>0</v>
      </c>
      <c r="BI32" s="102">
        <f t="shared" si="38"/>
        <v>0</v>
      </c>
      <c r="BJ32" s="102">
        <f t="shared" si="38"/>
        <v>0</v>
      </c>
      <c r="BK32" s="102">
        <f t="shared" si="38"/>
        <v>0</v>
      </c>
      <c r="BL32" s="102">
        <f t="shared" si="38"/>
        <v>0</v>
      </c>
      <c r="BM32" s="102">
        <f t="shared" si="38"/>
        <v>0</v>
      </c>
      <c r="BN32" s="102">
        <f t="shared" si="38"/>
        <v>0</v>
      </c>
      <c r="BO32" s="102">
        <f t="shared" si="38"/>
        <v>0</v>
      </c>
      <c r="BU32" t="s">
        <v>128</v>
      </c>
      <c r="BW32" s="102">
        <v>4.7</v>
      </c>
      <c r="BX32" s="102">
        <v>213.3</v>
      </c>
      <c r="BY32" s="102">
        <v>54.585999999999999</v>
      </c>
      <c r="BZ32" s="102">
        <v>17.651</v>
      </c>
      <c r="CA32" s="102">
        <v>0.28000000000000003</v>
      </c>
      <c r="CB32" s="102">
        <v>35.21</v>
      </c>
      <c r="CC32" s="102">
        <v>414.56700000000001</v>
      </c>
      <c r="CD32" s="102">
        <v>425.45</v>
      </c>
      <c r="CE32" s="102">
        <v>45.850999999999999</v>
      </c>
      <c r="CF32" s="102">
        <v>115.16500000000001</v>
      </c>
      <c r="CG32" s="102">
        <v>15.901999999999999</v>
      </c>
      <c r="CH32" s="102">
        <v>2425.3110000000001</v>
      </c>
      <c r="CI32" s="102">
        <v>1.36</v>
      </c>
      <c r="CJ32" s="102">
        <v>29.567</v>
      </c>
      <c r="CK32" s="102">
        <v>21.605</v>
      </c>
      <c r="CL32" s="102">
        <v>24.707999999999998</v>
      </c>
      <c r="CM32" s="102">
        <v>46.683999999999997</v>
      </c>
      <c r="CN32" s="102">
        <v>308.48099999999999</v>
      </c>
      <c r="CO32" s="102">
        <v>260.97300000000001</v>
      </c>
      <c r="CP32" s="102">
        <v>24.681999999999999</v>
      </c>
      <c r="CQ32" s="102">
        <v>398.07299999999998</v>
      </c>
      <c r="CR32" s="102">
        <v>126.658</v>
      </c>
      <c r="CS32" s="102">
        <v>3335.154</v>
      </c>
      <c r="CT32" s="102">
        <v>84.334000000000003</v>
      </c>
      <c r="CU32" s="102">
        <v>73.820999999999998</v>
      </c>
      <c r="CV32" s="102">
        <v>32.354999999999997</v>
      </c>
      <c r="CW32" s="102">
        <v>65.284000000000006</v>
      </c>
      <c r="CX32" s="102">
        <v>593.30799999999999</v>
      </c>
    </row>
    <row r="33" spans="6:102" x14ac:dyDescent="0.25">
      <c r="F33" t="s">
        <v>130</v>
      </c>
      <c r="G33" t="s">
        <v>1</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M33" t="s">
        <v>126</v>
      </c>
      <c r="AN33" s="102">
        <f t="shared" si="37"/>
        <v>0</v>
      </c>
      <c r="AO33" s="102">
        <f t="shared" si="37"/>
        <v>17.465627972300801</v>
      </c>
      <c r="AP33" s="102">
        <f t="shared" si="37"/>
        <v>6.0657339072199035</v>
      </c>
      <c r="AQ33" s="102">
        <f t="shared" si="37"/>
        <v>69.400494505509471</v>
      </c>
      <c r="AR33" s="102">
        <f t="shared" si="37"/>
        <v>105.04570762539932</v>
      </c>
      <c r="AS33" s="102">
        <f t="shared" si="37"/>
        <v>23.436006935174284</v>
      </c>
      <c r="AT33" s="102">
        <f t="shared" si="37"/>
        <v>43.570772472377868</v>
      </c>
      <c r="AU33" s="102">
        <f t="shared" si="37"/>
        <v>0</v>
      </c>
      <c r="AV33" s="102">
        <f t="shared" si="37"/>
        <v>37.81631911621249</v>
      </c>
      <c r="AW33" s="102">
        <f t="shared" si="37"/>
        <v>171.46033767469206</v>
      </c>
      <c r="AX33" s="102">
        <f t="shared" si="37"/>
        <v>0</v>
      </c>
      <c r="AY33" s="102">
        <f t="shared" si="37"/>
        <v>1793.6419831276194</v>
      </c>
      <c r="AZ33" s="102">
        <f t="shared" si="37"/>
        <v>6.8795051679101693</v>
      </c>
      <c r="BA33" s="102">
        <f t="shared" si="37"/>
        <v>128.98726983401241</v>
      </c>
      <c r="BB33" s="102">
        <f t="shared" si="37"/>
        <v>34.681414607632007</v>
      </c>
      <c r="BC33" s="102">
        <f t="shared" si="37"/>
        <v>49.214290271060527</v>
      </c>
      <c r="BD33" s="102">
        <f t="shared" si="38"/>
        <v>46.847646248438224</v>
      </c>
      <c r="BE33" s="102">
        <f t="shared" si="38"/>
        <v>13.734791432813315</v>
      </c>
      <c r="BF33" s="102">
        <f t="shared" si="38"/>
        <v>208.68156611379561</v>
      </c>
      <c r="BG33" s="102">
        <f t="shared" si="38"/>
        <v>0.62443759823954736</v>
      </c>
      <c r="BH33" s="102">
        <f t="shared" si="38"/>
        <v>25.060434586256033</v>
      </c>
      <c r="BI33" s="102">
        <f t="shared" si="38"/>
        <v>4.8699833959739243</v>
      </c>
      <c r="BJ33" s="102">
        <f t="shared" si="38"/>
        <v>356.89115620502815</v>
      </c>
      <c r="BK33" s="102">
        <f t="shared" si="38"/>
        <v>4.7305878654511158E-3</v>
      </c>
      <c r="BL33" s="102">
        <f t="shared" si="38"/>
        <v>0</v>
      </c>
      <c r="BM33" s="102">
        <f t="shared" si="38"/>
        <v>217.62130446111928</v>
      </c>
      <c r="BN33" s="102">
        <f t="shared" si="38"/>
        <v>0.94611757309022315</v>
      </c>
      <c r="BO33" s="102">
        <f t="shared" si="38"/>
        <v>68.580486821258887</v>
      </c>
      <c r="BU33" t="s">
        <v>130</v>
      </c>
      <c r="BW33" s="102">
        <v>0</v>
      </c>
      <c r="BX33" s="102">
        <v>0</v>
      </c>
      <c r="BY33" s="102">
        <v>0</v>
      </c>
      <c r="BZ33" s="102">
        <v>0</v>
      </c>
      <c r="CA33" s="102">
        <v>0</v>
      </c>
      <c r="CB33" s="102">
        <v>31.129000000000001</v>
      </c>
      <c r="CC33" s="102">
        <v>0</v>
      </c>
      <c r="CD33" s="102">
        <v>0</v>
      </c>
      <c r="CE33" s="102">
        <v>0</v>
      </c>
      <c r="CF33" s="102">
        <v>6.3209999999999997</v>
      </c>
      <c r="CG33" s="102">
        <v>0</v>
      </c>
      <c r="CH33" s="102">
        <v>1436.239</v>
      </c>
      <c r="CI33" s="102">
        <v>4.96</v>
      </c>
      <c r="CJ33" s="102">
        <v>20.72</v>
      </c>
      <c r="CK33" s="102">
        <v>5.0259999999999998</v>
      </c>
      <c r="CL33" s="102">
        <v>18.940999999999999</v>
      </c>
      <c r="CM33" s="102">
        <v>33.543999999999997</v>
      </c>
      <c r="CN33" s="102">
        <v>0</v>
      </c>
      <c r="CO33" s="102">
        <v>0</v>
      </c>
      <c r="CP33" s="102">
        <v>0</v>
      </c>
      <c r="CQ33" s="102">
        <v>0</v>
      </c>
      <c r="CR33" s="102">
        <v>42.99</v>
      </c>
      <c r="CS33" s="102">
        <v>0</v>
      </c>
      <c r="CT33" s="102">
        <v>0</v>
      </c>
      <c r="CU33" s="102">
        <v>0</v>
      </c>
      <c r="CV33" s="102">
        <v>0</v>
      </c>
      <c r="CW33" s="102">
        <v>10.529</v>
      </c>
      <c r="CX33" s="102">
        <v>0.93500000000000005</v>
      </c>
    </row>
    <row r="34" spans="6:102" x14ac:dyDescent="0.25">
      <c r="F34" t="s">
        <v>132</v>
      </c>
      <c r="G34" t="s">
        <v>1</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M34" t="s">
        <v>128</v>
      </c>
      <c r="AN34" s="102">
        <f t="shared" si="37"/>
        <v>0</v>
      </c>
      <c r="AO34" s="102">
        <f t="shared" si="37"/>
        <v>5.8908540211963318</v>
      </c>
      <c r="AP34" s="102">
        <f t="shared" si="37"/>
        <v>0.88406761551737723</v>
      </c>
      <c r="AQ34" s="102">
        <f t="shared" si="37"/>
        <v>9.9371800672511892</v>
      </c>
      <c r="AR34" s="102">
        <f t="shared" si="37"/>
        <v>29.829913776969153</v>
      </c>
      <c r="AS34" s="102">
        <f t="shared" si="37"/>
        <v>2.8269412134548883E-2</v>
      </c>
      <c r="AT34" s="102">
        <f t="shared" si="37"/>
        <v>0.8198129519019175</v>
      </c>
      <c r="AU34" s="102">
        <f t="shared" si="37"/>
        <v>0</v>
      </c>
      <c r="AV34" s="102">
        <f t="shared" si="37"/>
        <v>5.1512681408559615</v>
      </c>
      <c r="AW34" s="102">
        <f t="shared" si="37"/>
        <v>32.759845727084411</v>
      </c>
      <c r="AX34" s="102">
        <f t="shared" si="37"/>
        <v>0</v>
      </c>
      <c r="AY34" s="102">
        <f t="shared" si="37"/>
        <v>111.17997764439849</v>
      </c>
      <c r="AZ34" s="102">
        <f t="shared" si="37"/>
        <v>3.3726802894885313</v>
      </c>
      <c r="BA34" s="102">
        <f t="shared" si="37"/>
        <v>42.612953353194804</v>
      </c>
      <c r="BB34" s="102">
        <f t="shared" si="37"/>
        <v>16.919085960117958</v>
      </c>
      <c r="BC34" s="102">
        <f t="shared" si="37"/>
        <v>26.155360713095547</v>
      </c>
      <c r="BD34" s="102">
        <f t="shared" si="38"/>
        <v>21.469405289218219</v>
      </c>
      <c r="BE34" s="102">
        <f t="shared" si="38"/>
        <v>0.11307764853819553</v>
      </c>
      <c r="BF34" s="102">
        <f t="shared" si="38"/>
        <v>3.9294482867022942</v>
      </c>
      <c r="BG34" s="102">
        <f t="shared" si="38"/>
        <v>3.7315624017604527</v>
      </c>
      <c r="BH34" s="102">
        <f t="shared" si="38"/>
        <v>1.9688968857820832</v>
      </c>
      <c r="BI34" s="102">
        <f t="shared" si="38"/>
        <v>1.7809729644765795</v>
      </c>
      <c r="BJ34" s="102">
        <f t="shared" si="38"/>
        <v>119.44567068203165</v>
      </c>
      <c r="BK34" s="102">
        <f t="shared" si="38"/>
        <v>2.8269412134548883E-2</v>
      </c>
      <c r="BL34" s="102">
        <f t="shared" si="38"/>
        <v>0</v>
      </c>
      <c r="BM34" s="102">
        <f t="shared" si="38"/>
        <v>32.221412513234128</v>
      </c>
      <c r="BN34" s="102">
        <f t="shared" si="38"/>
        <v>5.6538824269097763</v>
      </c>
      <c r="BO34" s="102">
        <f t="shared" si="38"/>
        <v>22.192391825734418</v>
      </c>
      <c r="BU34" t="s">
        <v>132</v>
      </c>
      <c r="BW34" s="102">
        <v>2.6150000000000002</v>
      </c>
      <c r="BX34" s="102">
        <v>5.2370000000000001</v>
      </c>
      <c r="BY34" s="102">
        <v>3.87</v>
      </c>
      <c r="BZ34" s="102">
        <v>0.20200000000000001</v>
      </c>
      <c r="CA34" s="102">
        <v>3.5259999999999998</v>
      </c>
      <c r="CB34" s="102">
        <v>0.112</v>
      </c>
      <c r="CC34" s="102">
        <v>16.943000000000001</v>
      </c>
      <c r="CD34" s="102">
        <v>3.5179999999999998</v>
      </c>
      <c r="CE34" s="102">
        <v>7.38</v>
      </c>
      <c r="CF34" s="102">
        <v>0</v>
      </c>
      <c r="CG34" s="102">
        <v>7.03</v>
      </c>
      <c r="CH34" s="102">
        <v>6.149</v>
      </c>
      <c r="CI34" s="102">
        <v>0.36</v>
      </c>
      <c r="CJ34" s="102">
        <v>7.4260000000000002</v>
      </c>
      <c r="CK34" s="102">
        <v>0.92700000000000005</v>
      </c>
      <c r="CL34" s="102">
        <v>2.46</v>
      </c>
      <c r="CM34" s="102">
        <v>4.9320000000000004</v>
      </c>
      <c r="CN34" s="102">
        <v>23.388000000000002</v>
      </c>
      <c r="CO34" s="102">
        <v>192.119</v>
      </c>
      <c r="CP34" s="102">
        <v>2.4060000000000001</v>
      </c>
      <c r="CQ34" s="102">
        <v>55.768999999999998</v>
      </c>
      <c r="CR34" s="102">
        <v>13.446</v>
      </c>
      <c r="CS34" s="102">
        <v>8.0000000000000002E-3</v>
      </c>
      <c r="CT34" s="102">
        <v>20.434000000000001</v>
      </c>
      <c r="CU34" s="102">
        <v>0.13400000000000001</v>
      </c>
      <c r="CV34" s="102">
        <v>7.6999999999999999E-2</v>
      </c>
      <c r="CW34" s="102">
        <v>33.234000000000002</v>
      </c>
      <c r="CX34" s="102">
        <v>1.863</v>
      </c>
    </row>
    <row r="35" spans="6:102" x14ac:dyDescent="0.25">
      <c r="F35" t="s">
        <v>134</v>
      </c>
      <c r="G35" t="s">
        <v>1</v>
      </c>
      <c r="H35" s="486">
        <f t="shared" ref="H35:AI35" si="42">IF(AP16=0,0,IF((AN37/AP16)&gt;1,1,AN37/AP16))</f>
        <v>0</v>
      </c>
      <c r="I35" s="486">
        <f t="shared" si="42"/>
        <v>0</v>
      </c>
      <c r="J35" s="486">
        <f t="shared" si="42"/>
        <v>0.38342968958808588</v>
      </c>
      <c r="K35" s="486">
        <f t="shared" si="42"/>
        <v>1</v>
      </c>
      <c r="L35" s="486">
        <f t="shared" si="42"/>
        <v>0</v>
      </c>
      <c r="M35" s="486">
        <f t="shared" si="42"/>
        <v>0.42118041624759278</v>
      </c>
      <c r="N35" s="486">
        <f t="shared" si="42"/>
        <v>1</v>
      </c>
      <c r="O35" s="486">
        <f t="shared" si="42"/>
        <v>0</v>
      </c>
      <c r="P35" s="486">
        <f t="shared" si="42"/>
        <v>0.12506415531644549</v>
      </c>
      <c r="Q35" s="486">
        <f t="shared" si="42"/>
        <v>0</v>
      </c>
      <c r="R35" s="486">
        <f t="shared" si="42"/>
        <v>0</v>
      </c>
      <c r="S35" s="486">
        <f t="shared" si="42"/>
        <v>0.46932767120587421</v>
      </c>
      <c r="T35" s="486">
        <f t="shared" si="42"/>
        <v>0</v>
      </c>
      <c r="U35" s="486">
        <f t="shared" si="42"/>
        <v>0</v>
      </c>
      <c r="V35" s="486">
        <f t="shared" si="42"/>
        <v>0</v>
      </c>
      <c r="W35" s="486">
        <f t="shared" si="42"/>
        <v>0</v>
      </c>
      <c r="X35" s="486">
        <f t="shared" si="42"/>
        <v>0</v>
      </c>
      <c r="Y35" s="486">
        <f t="shared" si="42"/>
        <v>0</v>
      </c>
      <c r="Z35" s="486">
        <f t="shared" si="42"/>
        <v>1</v>
      </c>
      <c r="AA35" s="486">
        <f t="shared" si="42"/>
        <v>0</v>
      </c>
      <c r="AB35" s="486">
        <f t="shared" si="42"/>
        <v>1</v>
      </c>
      <c r="AC35" s="486">
        <f t="shared" si="42"/>
        <v>1</v>
      </c>
      <c r="AD35" s="486">
        <f t="shared" si="42"/>
        <v>0</v>
      </c>
      <c r="AE35" s="486">
        <f t="shared" si="42"/>
        <v>0</v>
      </c>
      <c r="AF35" s="486">
        <f t="shared" si="42"/>
        <v>0</v>
      </c>
      <c r="AG35" s="486">
        <f t="shared" si="42"/>
        <v>0</v>
      </c>
      <c r="AH35" s="486">
        <f t="shared" si="42"/>
        <v>0</v>
      </c>
      <c r="AI35" s="486">
        <f t="shared" si="42"/>
        <v>0</v>
      </c>
      <c r="AM35" t="s">
        <v>130</v>
      </c>
      <c r="AN35" s="102">
        <f t="shared" si="37"/>
        <v>0</v>
      </c>
      <c r="AO35" s="102">
        <f t="shared" si="37"/>
        <v>0</v>
      </c>
      <c r="AP35" s="102">
        <f t="shared" si="37"/>
        <v>0</v>
      </c>
      <c r="AQ35" s="102">
        <f t="shared" si="37"/>
        <v>0</v>
      </c>
      <c r="AR35" s="102">
        <f t="shared" si="37"/>
        <v>0</v>
      </c>
      <c r="AS35" s="102">
        <f t="shared" si="37"/>
        <v>0</v>
      </c>
      <c r="AT35" s="102">
        <f t="shared" si="37"/>
        <v>0</v>
      </c>
      <c r="AU35" s="102">
        <f t="shared" si="37"/>
        <v>0</v>
      </c>
      <c r="AV35" s="102">
        <f t="shared" si="37"/>
        <v>0</v>
      </c>
      <c r="AW35" s="102">
        <f t="shared" si="37"/>
        <v>0</v>
      </c>
      <c r="AX35" s="102">
        <f t="shared" si="37"/>
        <v>0</v>
      </c>
      <c r="AY35" s="102">
        <f t="shared" si="37"/>
        <v>0</v>
      </c>
      <c r="AZ35" s="102">
        <f t="shared" si="37"/>
        <v>0</v>
      </c>
      <c r="BA35" s="102">
        <f t="shared" si="37"/>
        <v>0</v>
      </c>
      <c r="BB35" s="102">
        <f t="shared" si="37"/>
        <v>0</v>
      </c>
      <c r="BC35" s="102">
        <f t="shared" si="37"/>
        <v>0</v>
      </c>
      <c r="BD35" s="102">
        <f t="shared" si="38"/>
        <v>0</v>
      </c>
      <c r="BE35" s="102">
        <f t="shared" si="38"/>
        <v>0</v>
      </c>
      <c r="BF35" s="102">
        <f t="shared" si="38"/>
        <v>0</v>
      </c>
      <c r="BG35" s="102">
        <f t="shared" si="38"/>
        <v>0</v>
      </c>
      <c r="BH35" s="102">
        <f t="shared" si="38"/>
        <v>0</v>
      </c>
      <c r="BI35" s="102">
        <f t="shared" si="38"/>
        <v>0</v>
      </c>
      <c r="BJ35" s="102">
        <f t="shared" si="38"/>
        <v>0</v>
      </c>
      <c r="BK35" s="102">
        <f t="shared" si="38"/>
        <v>0</v>
      </c>
      <c r="BL35" s="102">
        <f t="shared" si="38"/>
        <v>0</v>
      </c>
      <c r="BM35" s="102">
        <f t="shared" si="38"/>
        <v>0</v>
      </c>
      <c r="BN35" s="102">
        <f t="shared" si="38"/>
        <v>0</v>
      </c>
      <c r="BO35" s="102">
        <f t="shared" si="38"/>
        <v>0</v>
      </c>
      <c r="BU35" t="s">
        <v>134</v>
      </c>
      <c r="BW35" s="102">
        <v>78.036000000000001</v>
      </c>
      <c r="BX35" s="102">
        <v>206.4</v>
      </c>
      <c r="BY35" s="102">
        <v>69.33</v>
      </c>
      <c r="BZ35" s="102">
        <v>18.126000000000001</v>
      </c>
      <c r="CA35" s="102">
        <v>7.859</v>
      </c>
      <c r="CB35" s="102">
        <v>0.47799999999999998</v>
      </c>
      <c r="CC35" s="102">
        <v>233.566</v>
      </c>
      <c r="CD35" s="102">
        <v>56.962000000000003</v>
      </c>
      <c r="CE35" s="102">
        <v>29.986999999999998</v>
      </c>
      <c r="CF35" s="102">
        <v>76.617999999999995</v>
      </c>
      <c r="CG35" s="102">
        <v>31.452999999999999</v>
      </c>
      <c r="CH35" s="102">
        <v>90.807000000000002</v>
      </c>
      <c r="CI35" s="102">
        <v>4.3360000000000003</v>
      </c>
      <c r="CJ35" s="102">
        <v>45.225000000000001</v>
      </c>
      <c r="CK35" s="102">
        <v>1.0840000000000001</v>
      </c>
      <c r="CL35" s="102">
        <v>3.9740000000000002</v>
      </c>
      <c r="CM35" s="102">
        <v>16.808</v>
      </c>
      <c r="CN35" s="102">
        <v>435.63299999999998</v>
      </c>
      <c r="CO35" s="102">
        <v>150.37200000000001</v>
      </c>
      <c r="CP35" s="102">
        <v>9.7609999999999992</v>
      </c>
      <c r="CQ35" s="102">
        <v>268.03899999999999</v>
      </c>
      <c r="CR35" s="102">
        <v>54.918999999999997</v>
      </c>
      <c r="CS35" s="102">
        <v>999.22199999999998</v>
      </c>
      <c r="CT35" s="102">
        <v>24.908000000000001</v>
      </c>
      <c r="CU35" s="102">
        <v>19.058</v>
      </c>
      <c r="CV35" s="102">
        <v>73.084000000000003</v>
      </c>
      <c r="CW35" s="102">
        <v>14.968999999999999</v>
      </c>
      <c r="CX35" s="102">
        <v>46.634</v>
      </c>
    </row>
    <row r="36" spans="6:102" x14ac:dyDescent="0.25">
      <c r="F36" t="s">
        <v>1701</v>
      </c>
      <c r="G36" t="s">
        <v>1</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M36" t="s">
        <v>132</v>
      </c>
      <c r="AN36" s="102">
        <f t="shared" si="37"/>
        <v>0</v>
      </c>
      <c r="AO36" s="102">
        <f t="shared" si="37"/>
        <v>0</v>
      </c>
      <c r="AP36" s="102">
        <f t="shared" si="37"/>
        <v>0</v>
      </c>
      <c r="AQ36" s="102">
        <f t="shared" si="37"/>
        <v>0</v>
      </c>
      <c r="AR36" s="102">
        <f t="shared" si="37"/>
        <v>0</v>
      </c>
      <c r="AS36" s="102">
        <f t="shared" si="37"/>
        <v>0</v>
      </c>
      <c r="AT36" s="102">
        <f t="shared" si="37"/>
        <v>0</v>
      </c>
      <c r="AU36" s="102">
        <f t="shared" si="37"/>
        <v>0</v>
      </c>
      <c r="AV36" s="102">
        <f t="shared" si="37"/>
        <v>0</v>
      </c>
      <c r="AW36" s="102">
        <f t="shared" si="37"/>
        <v>0</v>
      </c>
      <c r="AX36" s="102">
        <f t="shared" si="37"/>
        <v>0</v>
      </c>
      <c r="AY36" s="102">
        <f t="shared" si="37"/>
        <v>0</v>
      </c>
      <c r="AZ36" s="102">
        <f t="shared" si="37"/>
        <v>0</v>
      </c>
      <c r="BA36" s="102">
        <f t="shared" si="37"/>
        <v>0</v>
      </c>
      <c r="BB36" s="102">
        <f t="shared" si="37"/>
        <v>0</v>
      </c>
      <c r="BC36" s="102">
        <f t="shared" si="37"/>
        <v>0</v>
      </c>
      <c r="BD36" s="102">
        <f t="shared" si="38"/>
        <v>0</v>
      </c>
      <c r="BE36" s="102">
        <f t="shared" si="38"/>
        <v>0</v>
      </c>
      <c r="BF36" s="102">
        <f t="shared" si="38"/>
        <v>0</v>
      </c>
      <c r="BG36" s="102">
        <f t="shared" si="38"/>
        <v>0</v>
      </c>
      <c r="BH36" s="102">
        <f t="shared" si="38"/>
        <v>0</v>
      </c>
      <c r="BI36" s="102">
        <f t="shared" si="38"/>
        <v>0</v>
      </c>
      <c r="BJ36" s="102">
        <f t="shared" si="38"/>
        <v>0</v>
      </c>
      <c r="BK36" s="102">
        <f t="shared" si="38"/>
        <v>0</v>
      </c>
      <c r="BL36" s="102">
        <f t="shared" si="38"/>
        <v>0</v>
      </c>
      <c r="BM36" s="102">
        <f t="shared" si="38"/>
        <v>0</v>
      </c>
      <c r="BN36" s="102">
        <f t="shared" si="38"/>
        <v>0</v>
      </c>
      <c r="BO36" s="102">
        <f t="shared" si="38"/>
        <v>0</v>
      </c>
      <c r="BU36" t="s">
        <v>1701</v>
      </c>
      <c r="BW36" s="102">
        <v>0</v>
      </c>
      <c r="BX36" s="102">
        <v>0</v>
      </c>
      <c r="BY36" s="102">
        <v>0</v>
      </c>
      <c r="BZ36" s="102">
        <v>0</v>
      </c>
      <c r="CA36" s="102">
        <v>4.9080000000000004</v>
      </c>
      <c r="CB36" s="102">
        <v>0</v>
      </c>
      <c r="CC36" s="102">
        <v>0</v>
      </c>
      <c r="CD36" s="102">
        <v>0</v>
      </c>
      <c r="CE36" s="102">
        <v>0</v>
      </c>
      <c r="CF36" s="102">
        <v>0</v>
      </c>
      <c r="CG36" s="102">
        <v>0</v>
      </c>
      <c r="CH36" s="102">
        <v>0</v>
      </c>
      <c r="CI36" s="102">
        <v>0</v>
      </c>
      <c r="CJ36" s="102">
        <v>0.48299999999999998</v>
      </c>
      <c r="CK36" s="102">
        <v>1.4E-2</v>
      </c>
      <c r="CL36" s="102">
        <v>6.7000000000000004E-2</v>
      </c>
      <c r="CM36" s="102">
        <v>0</v>
      </c>
      <c r="CN36" s="102">
        <v>0</v>
      </c>
      <c r="CO36" s="102">
        <v>0</v>
      </c>
      <c r="CP36" s="102">
        <v>2.3E-2</v>
      </c>
      <c r="CQ36" s="102">
        <v>0</v>
      </c>
      <c r="CR36" s="102">
        <v>0</v>
      </c>
      <c r="CS36" s="102">
        <v>0</v>
      </c>
      <c r="CT36" s="102">
        <v>0</v>
      </c>
      <c r="CU36" s="102">
        <v>0</v>
      </c>
      <c r="CV36" s="102">
        <v>0</v>
      </c>
      <c r="CW36" s="102">
        <v>0.189</v>
      </c>
      <c r="CX36" s="102">
        <v>0</v>
      </c>
    </row>
    <row r="37" spans="6:102" x14ac:dyDescent="0.25">
      <c r="F37" t="s">
        <v>137</v>
      </c>
      <c r="G37" t="s">
        <v>1</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M37" t="s">
        <v>134</v>
      </c>
      <c r="AN37" s="102">
        <f t="shared" si="37"/>
        <v>0</v>
      </c>
      <c r="AO37" s="102">
        <f t="shared" si="37"/>
        <v>0</v>
      </c>
      <c r="AP37" s="102">
        <f t="shared" si="37"/>
        <v>0.18097881348557651</v>
      </c>
      <c r="AQ37" s="102">
        <f t="shared" si="37"/>
        <v>2.0715610615045454</v>
      </c>
      <c r="AR37" s="102">
        <f t="shared" si="37"/>
        <v>0</v>
      </c>
      <c r="AS37" s="102">
        <f t="shared" si="37"/>
        <v>2.0490427250445391</v>
      </c>
      <c r="AT37" s="102">
        <f t="shared" si="37"/>
        <v>3.7982255391069506</v>
      </c>
      <c r="AU37" s="102">
        <f t="shared" si="37"/>
        <v>0</v>
      </c>
      <c r="AV37" s="102">
        <f t="shared" si="37"/>
        <v>5.953303921373438</v>
      </c>
      <c r="AW37" s="102">
        <f t="shared" si="37"/>
        <v>0</v>
      </c>
      <c r="AX37" s="102">
        <f t="shared" si="37"/>
        <v>0</v>
      </c>
      <c r="AY37" s="102">
        <f t="shared" si="37"/>
        <v>53.122729776121695</v>
      </c>
      <c r="AZ37" s="102">
        <f t="shared" si="37"/>
        <v>0</v>
      </c>
      <c r="BA37" s="102">
        <f t="shared" si="37"/>
        <v>0</v>
      </c>
      <c r="BB37" s="102">
        <f t="shared" si="37"/>
        <v>0</v>
      </c>
      <c r="BC37" s="102">
        <f t="shared" si="37"/>
        <v>0</v>
      </c>
      <c r="BD37" s="102">
        <f t="shared" si="38"/>
        <v>0</v>
      </c>
      <c r="BE37" s="102">
        <f t="shared" si="38"/>
        <v>1.1994396439285107</v>
      </c>
      <c r="BF37" s="102">
        <f t="shared" si="38"/>
        <v>18.19150126624908</v>
      </c>
      <c r="BG37" s="102">
        <f t="shared" si="38"/>
        <v>0</v>
      </c>
      <c r="BH37" s="102">
        <f t="shared" si="38"/>
        <v>3.9841341627653009</v>
      </c>
      <c r="BI37" s="102">
        <f t="shared" si="38"/>
        <v>0.39981321464283687</v>
      </c>
      <c r="BJ37" s="102">
        <f t="shared" si="38"/>
        <v>0</v>
      </c>
      <c r="BK37" s="102">
        <f t="shared" si="38"/>
        <v>0</v>
      </c>
      <c r="BL37" s="102">
        <f t="shared" si="38"/>
        <v>0</v>
      </c>
      <c r="BM37" s="102">
        <f t="shared" si="38"/>
        <v>0</v>
      </c>
      <c r="BN37" s="102">
        <f t="shared" si="38"/>
        <v>0</v>
      </c>
      <c r="BO37" s="102">
        <f t="shared" si="38"/>
        <v>0</v>
      </c>
      <c r="BU37" t="s">
        <v>137</v>
      </c>
      <c r="BW37" s="102">
        <v>0</v>
      </c>
      <c r="BX37" s="102">
        <v>0</v>
      </c>
      <c r="BY37" s="102">
        <v>0</v>
      </c>
      <c r="BZ37" s="102">
        <v>0</v>
      </c>
      <c r="CA37" s="102">
        <v>0</v>
      </c>
      <c r="CB37" s="102">
        <v>0</v>
      </c>
      <c r="CC37" s="102">
        <v>0</v>
      </c>
      <c r="CD37" s="102">
        <v>0</v>
      </c>
      <c r="CE37" s="102">
        <v>0</v>
      </c>
      <c r="CF37" s="102">
        <v>0</v>
      </c>
      <c r="CG37" s="102">
        <v>0</v>
      </c>
      <c r="CH37" s="102">
        <v>0</v>
      </c>
      <c r="CI37" s="102">
        <v>0</v>
      </c>
      <c r="CJ37" s="102">
        <v>8.1000000000000003E-2</v>
      </c>
      <c r="CK37" s="102">
        <v>0</v>
      </c>
      <c r="CL37" s="102">
        <v>0.61599999999999999</v>
      </c>
      <c r="CM37" s="102">
        <v>4.0000000000000001E-3</v>
      </c>
      <c r="CN37" s="102">
        <v>0</v>
      </c>
      <c r="CO37" s="102">
        <v>0</v>
      </c>
      <c r="CP37" s="102">
        <v>0</v>
      </c>
      <c r="CQ37" s="102">
        <v>2E-3</v>
      </c>
      <c r="CR37" s="102">
        <v>12.15</v>
      </c>
      <c r="CS37" s="102">
        <v>0</v>
      </c>
      <c r="CT37" s="102">
        <v>0.73599999999999999</v>
      </c>
      <c r="CU37" s="102">
        <v>0</v>
      </c>
      <c r="CV37" s="102">
        <v>0</v>
      </c>
      <c r="CW37" s="102">
        <v>7.4999999999999997E-2</v>
      </c>
      <c r="CX37" s="102">
        <v>0</v>
      </c>
    </row>
    <row r="38" spans="6:102" x14ac:dyDescent="0.25">
      <c r="F38" t="s">
        <v>139</v>
      </c>
      <c r="G38" t="s">
        <v>1</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M38" t="s">
        <v>1701</v>
      </c>
      <c r="AN38" s="102">
        <f t="shared" si="37"/>
        <v>0</v>
      </c>
      <c r="AO38" s="102">
        <f t="shared" si="37"/>
        <v>0</v>
      </c>
      <c r="AP38" s="102">
        <f t="shared" si="37"/>
        <v>0</v>
      </c>
      <c r="AQ38" s="102">
        <f t="shared" si="37"/>
        <v>0</v>
      </c>
      <c r="AR38" s="102">
        <f t="shared" si="37"/>
        <v>0</v>
      </c>
      <c r="AS38" s="102">
        <f t="shared" si="37"/>
        <v>0</v>
      </c>
      <c r="AT38" s="102">
        <f t="shared" si="37"/>
        <v>0</v>
      </c>
      <c r="AU38" s="102">
        <f t="shared" si="37"/>
        <v>0</v>
      </c>
      <c r="AV38" s="102">
        <f t="shared" si="37"/>
        <v>0</v>
      </c>
      <c r="AW38" s="102">
        <f t="shared" si="37"/>
        <v>0</v>
      </c>
      <c r="AX38" s="102">
        <f t="shared" si="37"/>
        <v>0</v>
      </c>
      <c r="AY38" s="102">
        <f t="shared" si="37"/>
        <v>0</v>
      </c>
      <c r="AZ38" s="102">
        <f t="shared" si="37"/>
        <v>0</v>
      </c>
      <c r="BA38" s="102">
        <f t="shared" si="37"/>
        <v>0</v>
      </c>
      <c r="BB38" s="102">
        <f t="shared" si="37"/>
        <v>0</v>
      </c>
      <c r="BC38" s="102">
        <f t="shared" si="37"/>
        <v>0</v>
      </c>
      <c r="BD38" s="102">
        <f t="shared" si="38"/>
        <v>0</v>
      </c>
      <c r="BE38" s="102">
        <f t="shared" si="38"/>
        <v>0</v>
      </c>
      <c r="BF38" s="102">
        <f t="shared" si="38"/>
        <v>0</v>
      </c>
      <c r="BG38" s="102">
        <f t="shared" si="38"/>
        <v>0</v>
      </c>
      <c r="BH38" s="102">
        <f t="shared" si="38"/>
        <v>0</v>
      </c>
      <c r="BI38" s="102">
        <f t="shared" si="38"/>
        <v>0</v>
      </c>
      <c r="BJ38" s="102">
        <f t="shared" si="38"/>
        <v>0</v>
      </c>
      <c r="BK38" s="102">
        <f t="shared" si="38"/>
        <v>0</v>
      </c>
      <c r="BL38" s="102">
        <f t="shared" si="38"/>
        <v>0</v>
      </c>
      <c r="BM38" s="102">
        <f t="shared" si="38"/>
        <v>0</v>
      </c>
      <c r="BN38" s="102">
        <f t="shared" si="38"/>
        <v>0</v>
      </c>
      <c r="BO38" s="102">
        <f t="shared" si="38"/>
        <v>0</v>
      </c>
      <c r="BU38" t="s">
        <v>139</v>
      </c>
      <c r="BW38" s="102">
        <v>0</v>
      </c>
      <c r="BX38" s="102">
        <v>0</v>
      </c>
      <c r="BY38" s="102">
        <v>2.8000000000000001E-2</v>
      </c>
      <c r="BZ38" s="102">
        <v>0</v>
      </c>
      <c r="CA38" s="102">
        <v>0</v>
      </c>
      <c r="CB38" s="102">
        <v>0</v>
      </c>
      <c r="CC38" s="102">
        <v>2.536</v>
      </c>
      <c r="CD38" s="102">
        <v>0</v>
      </c>
      <c r="CE38" s="102">
        <v>0</v>
      </c>
      <c r="CF38" s="102">
        <v>0</v>
      </c>
      <c r="CG38" s="102">
        <v>0</v>
      </c>
      <c r="CH38" s="102">
        <v>0</v>
      </c>
      <c r="CI38" s="102">
        <v>0</v>
      </c>
      <c r="CJ38" s="102">
        <v>0.50600000000000001</v>
      </c>
      <c r="CK38" s="102">
        <v>1.2999999999999999E-2</v>
      </c>
      <c r="CL38" s="102">
        <v>1.198</v>
      </c>
      <c r="CM38" s="102">
        <v>0.13500000000000001</v>
      </c>
      <c r="CN38" s="102">
        <v>0</v>
      </c>
      <c r="CO38" s="102">
        <v>0</v>
      </c>
      <c r="CP38" s="102">
        <v>0</v>
      </c>
      <c r="CQ38" s="102">
        <v>0.24099999999999999</v>
      </c>
      <c r="CR38" s="102">
        <v>5.6619999999999999</v>
      </c>
      <c r="CS38" s="102">
        <v>0</v>
      </c>
      <c r="CT38" s="102">
        <v>0</v>
      </c>
      <c r="CU38" s="102">
        <v>0</v>
      </c>
      <c r="CV38" s="102">
        <v>0.14599999999999999</v>
      </c>
      <c r="CW38" s="102">
        <v>5.0119999999999996</v>
      </c>
      <c r="CX38" s="102">
        <v>2.524</v>
      </c>
    </row>
    <row r="39" spans="6:102" x14ac:dyDescent="0.25">
      <c r="AM39" t="s">
        <v>137</v>
      </c>
      <c r="AN39" s="102">
        <f t="shared" si="37"/>
        <v>0</v>
      </c>
      <c r="AO39" s="102">
        <f t="shared" si="37"/>
        <v>0</v>
      </c>
      <c r="AP39" s="102">
        <f t="shared" si="37"/>
        <v>0</v>
      </c>
      <c r="AQ39" s="102">
        <f t="shared" si="37"/>
        <v>0</v>
      </c>
      <c r="AR39" s="102">
        <f t="shared" si="37"/>
        <v>0</v>
      </c>
      <c r="AS39" s="102">
        <f t="shared" si="37"/>
        <v>0</v>
      </c>
      <c r="AT39" s="102">
        <f t="shared" si="37"/>
        <v>0</v>
      </c>
      <c r="AU39" s="102">
        <f t="shared" si="37"/>
        <v>0</v>
      </c>
      <c r="AV39" s="102">
        <f t="shared" si="37"/>
        <v>0</v>
      </c>
      <c r="AW39" s="102">
        <f t="shared" si="37"/>
        <v>0</v>
      </c>
      <c r="AX39" s="102">
        <f t="shared" si="37"/>
        <v>0</v>
      </c>
      <c r="AY39" s="102">
        <f t="shared" si="37"/>
        <v>0</v>
      </c>
      <c r="AZ39" s="102">
        <f t="shared" si="37"/>
        <v>0</v>
      </c>
      <c r="BA39" s="102">
        <f t="shared" si="37"/>
        <v>0</v>
      </c>
      <c r="BB39" s="102">
        <f t="shared" si="37"/>
        <v>0</v>
      </c>
      <c r="BC39" s="102">
        <f t="shared" si="37"/>
        <v>0</v>
      </c>
      <c r="BD39" s="102">
        <f t="shared" si="38"/>
        <v>0</v>
      </c>
      <c r="BE39" s="102">
        <f t="shared" si="38"/>
        <v>0</v>
      </c>
      <c r="BF39" s="102">
        <f t="shared" si="38"/>
        <v>0</v>
      </c>
      <c r="BG39" s="102">
        <f t="shared" si="38"/>
        <v>0</v>
      </c>
      <c r="BH39" s="102">
        <f t="shared" si="38"/>
        <v>0</v>
      </c>
      <c r="BI39" s="102">
        <f t="shared" si="38"/>
        <v>0</v>
      </c>
      <c r="BJ39" s="102">
        <f t="shared" si="38"/>
        <v>0</v>
      </c>
      <c r="BK39" s="102">
        <f t="shared" si="38"/>
        <v>0</v>
      </c>
      <c r="BL39" s="102">
        <f t="shared" si="38"/>
        <v>0</v>
      </c>
      <c r="BM39" s="102">
        <f t="shared" si="38"/>
        <v>0</v>
      </c>
      <c r="BN39" s="102">
        <f t="shared" si="38"/>
        <v>0</v>
      </c>
      <c r="BO39" s="102">
        <f t="shared" si="38"/>
        <v>0</v>
      </c>
    </row>
    <row r="40" spans="6:102" x14ac:dyDescent="0.25">
      <c r="F40" t="s">
        <v>113</v>
      </c>
      <c r="G40" t="s">
        <v>1266</v>
      </c>
      <c r="H40" s="193">
        <f t="shared" ref="H40:AI49" si="43">1-H24</f>
        <v>1</v>
      </c>
      <c r="I40" s="193">
        <f t="shared" si="43"/>
        <v>1</v>
      </c>
      <c r="J40" s="193">
        <f t="shared" si="43"/>
        <v>1</v>
      </c>
      <c r="K40" s="193">
        <f t="shared" si="43"/>
        <v>1</v>
      </c>
      <c r="L40" s="193">
        <f t="shared" si="43"/>
        <v>1</v>
      </c>
      <c r="M40" s="193">
        <f t="shared" si="43"/>
        <v>1</v>
      </c>
      <c r="N40" s="193">
        <f t="shared" si="43"/>
        <v>1</v>
      </c>
      <c r="O40" s="193">
        <f t="shared" si="43"/>
        <v>1</v>
      </c>
      <c r="P40" s="193">
        <f t="shared" si="43"/>
        <v>1</v>
      </c>
      <c r="Q40" s="193">
        <f t="shared" si="43"/>
        <v>1</v>
      </c>
      <c r="R40" s="193">
        <f t="shared" si="43"/>
        <v>1</v>
      </c>
      <c r="S40" s="193">
        <f t="shared" si="43"/>
        <v>1</v>
      </c>
      <c r="T40" s="193">
        <f t="shared" si="43"/>
        <v>1</v>
      </c>
      <c r="U40" s="193">
        <f t="shared" si="43"/>
        <v>1</v>
      </c>
      <c r="V40" s="193">
        <f t="shared" si="43"/>
        <v>1</v>
      </c>
      <c r="W40" s="193">
        <f t="shared" si="43"/>
        <v>1</v>
      </c>
      <c r="X40" s="193">
        <f t="shared" si="43"/>
        <v>1</v>
      </c>
      <c r="Y40" s="193">
        <f t="shared" si="43"/>
        <v>1</v>
      </c>
      <c r="Z40" s="193">
        <f t="shared" si="43"/>
        <v>1</v>
      </c>
      <c r="AA40" s="193">
        <f t="shared" si="43"/>
        <v>1</v>
      </c>
      <c r="AB40" s="193">
        <f t="shared" si="43"/>
        <v>1</v>
      </c>
      <c r="AC40" s="193">
        <f t="shared" si="43"/>
        <v>1</v>
      </c>
      <c r="AD40" s="193">
        <f t="shared" si="43"/>
        <v>1</v>
      </c>
      <c r="AE40" s="193">
        <f t="shared" si="43"/>
        <v>1</v>
      </c>
      <c r="AF40" s="193">
        <f t="shared" si="43"/>
        <v>1</v>
      </c>
      <c r="AG40" s="193">
        <f t="shared" si="43"/>
        <v>1</v>
      </c>
      <c r="AH40" s="193">
        <f t="shared" si="43"/>
        <v>1</v>
      </c>
      <c r="AI40" s="193">
        <f t="shared" si="43"/>
        <v>1</v>
      </c>
      <c r="AM40" t="s">
        <v>139</v>
      </c>
      <c r="AN40" s="102">
        <f t="shared" si="37"/>
        <v>0</v>
      </c>
      <c r="AO40" s="102">
        <f t="shared" si="37"/>
        <v>0</v>
      </c>
      <c r="AP40" s="102">
        <f t="shared" si="37"/>
        <v>0</v>
      </c>
      <c r="AQ40" s="102">
        <f t="shared" si="37"/>
        <v>0</v>
      </c>
      <c r="AR40" s="102">
        <f t="shared" si="37"/>
        <v>0</v>
      </c>
      <c r="AS40" s="102">
        <f t="shared" si="37"/>
        <v>0</v>
      </c>
      <c r="AT40" s="102">
        <f t="shared" si="37"/>
        <v>0</v>
      </c>
      <c r="AU40" s="102">
        <f t="shared" si="37"/>
        <v>0</v>
      </c>
      <c r="AV40" s="102">
        <f t="shared" si="37"/>
        <v>0</v>
      </c>
      <c r="AW40" s="102">
        <f t="shared" si="37"/>
        <v>0</v>
      </c>
      <c r="AX40" s="102">
        <f t="shared" si="37"/>
        <v>0</v>
      </c>
      <c r="AY40" s="102">
        <f t="shared" si="37"/>
        <v>0</v>
      </c>
      <c r="AZ40" s="102">
        <f t="shared" si="37"/>
        <v>0</v>
      </c>
      <c r="BA40" s="102">
        <f t="shared" si="37"/>
        <v>0</v>
      </c>
      <c r="BB40" s="102">
        <f t="shared" si="37"/>
        <v>0</v>
      </c>
      <c r="BC40" s="102">
        <f t="shared" si="37"/>
        <v>0</v>
      </c>
      <c r="BD40" s="102">
        <f t="shared" si="38"/>
        <v>0</v>
      </c>
      <c r="BE40" s="102">
        <f t="shared" si="38"/>
        <v>0</v>
      </c>
      <c r="BF40" s="102">
        <f t="shared" si="38"/>
        <v>0</v>
      </c>
      <c r="BG40" s="102">
        <f t="shared" si="38"/>
        <v>0</v>
      </c>
      <c r="BH40" s="102">
        <f t="shared" si="38"/>
        <v>0</v>
      </c>
      <c r="BI40" s="102">
        <f t="shared" si="38"/>
        <v>0</v>
      </c>
      <c r="BJ40" s="102">
        <f t="shared" si="38"/>
        <v>0</v>
      </c>
      <c r="BK40" s="102">
        <f t="shared" si="38"/>
        <v>0</v>
      </c>
      <c r="BL40" s="102">
        <f t="shared" si="38"/>
        <v>0</v>
      </c>
      <c r="BM40" s="102">
        <f t="shared" si="38"/>
        <v>0</v>
      </c>
      <c r="BN40" s="102">
        <f t="shared" si="38"/>
        <v>0</v>
      </c>
      <c r="BO40" s="102">
        <f t="shared" si="38"/>
        <v>0</v>
      </c>
      <c r="BS40" t="s">
        <v>1267</v>
      </c>
      <c r="BU40" t="s">
        <v>113</v>
      </c>
      <c r="BW40" s="102">
        <f>IF(BW5&lt;0,BW24+BW5,0)</f>
        <v>0</v>
      </c>
      <c r="BX40" s="102">
        <f>IF(BX5&lt;0,BX24+BX5,0)</f>
        <v>0</v>
      </c>
      <c r="BY40" s="102">
        <f t="shared" ref="BY40:CX49" si="44">IF(BY5&lt;0,BY24+BY5,0)</f>
        <v>0</v>
      </c>
      <c r="BZ40" s="102">
        <f t="shared" si="44"/>
        <v>0</v>
      </c>
      <c r="CA40" s="102">
        <f t="shared" si="44"/>
        <v>0</v>
      </c>
      <c r="CB40" s="102">
        <f t="shared" si="44"/>
        <v>0</v>
      </c>
      <c r="CC40" s="102">
        <f t="shared" si="44"/>
        <v>0</v>
      </c>
      <c r="CD40" s="102">
        <f t="shared" si="44"/>
        <v>0</v>
      </c>
      <c r="CE40" s="102">
        <f t="shared" si="44"/>
        <v>0</v>
      </c>
      <c r="CF40" s="102">
        <f t="shared" si="44"/>
        <v>0</v>
      </c>
      <c r="CG40" s="102">
        <f t="shared" si="44"/>
        <v>0</v>
      </c>
      <c r="CH40" s="102">
        <f t="shared" si="44"/>
        <v>0</v>
      </c>
      <c r="CI40" s="102">
        <f t="shared" si="44"/>
        <v>0</v>
      </c>
      <c r="CJ40" s="102">
        <f t="shared" si="44"/>
        <v>0</v>
      </c>
      <c r="CK40" s="102">
        <f t="shared" si="44"/>
        <v>0</v>
      </c>
      <c r="CL40" s="102">
        <f t="shared" si="44"/>
        <v>0</v>
      </c>
      <c r="CM40" s="102">
        <f t="shared" si="44"/>
        <v>0</v>
      </c>
      <c r="CN40" s="102">
        <f t="shared" si="44"/>
        <v>0</v>
      </c>
      <c r="CO40" s="102">
        <f t="shared" si="44"/>
        <v>0</v>
      </c>
      <c r="CP40" s="102">
        <f t="shared" si="44"/>
        <v>0</v>
      </c>
      <c r="CQ40" s="102">
        <f t="shared" si="44"/>
        <v>0</v>
      </c>
      <c r="CR40" s="102">
        <f t="shared" si="44"/>
        <v>0</v>
      </c>
      <c r="CS40" s="102">
        <f t="shared" si="44"/>
        <v>0</v>
      </c>
      <c r="CT40" s="102">
        <f t="shared" si="44"/>
        <v>0</v>
      </c>
      <c r="CU40" s="102">
        <f t="shared" si="44"/>
        <v>0</v>
      </c>
      <c r="CV40" s="102">
        <f t="shared" si="44"/>
        <v>0</v>
      </c>
      <c r="CW40" s="102">
        <f t="shared" si="44"/>
        <v>0</v>
      </c>
      <c r="CX40" s="102">
        <f t="shared" si="44"/>
        <v>0</v>
      </c>
    </row>
    <row r="41" spans="6:102" x14ac:dyDescent="0.25">
      <c r="F41" t="s">
        <v>115</v>
      </c>
      <c r="G41" t="s">
        <v>1266</v>
      </c>
      <c r="H41" s="193">
        <f t="shared" si="43"/>
        <v>1</v>
      </c>
      <c r="I41" s="193">
        <f t="shared" si="43"/>
        <v>1</v>
      </c>
      <c r="J41" s="193">
        <f t="shared" si="43"/>
        <v>1</v>
      </c>
      <c r="K41" s="193">
        <f t="shared" si="43"/>
        <v>1</v>
      </c>
      <c r="L41" s="193">
        <f t="shared" si="43"/>
        <v>1</v>
      </c>
      <c r="M41" s="193">
        <f t="shared" si="43"/>
        <v>1</v>
      </c>
      <c r="N41" s="193">
        <f t="shared" si="43"/>
        <v>1</v>
      </c>
      <c r="O41" s="193">
        <f t="shared" si="43"/>
        <v>1</v>
      </c>
      <c r="P41" s="193">
        <f t="shared" si="43"/>
        <v>1</v>
      </c>
      <c r="Q41" s="193">
        <f t="shared" si="43"/>
        <v>1</v>
      </c>
      <c r="R41" s="193">
        <f t="shared" si="43"/>
        <v>1</v>
      </c>
      <c r="S41" s="193">
        <f t="shared" si="43"/>
        <v>1</v>
      </c>
      <c r="T41" s="193">
        <f t="shared" si="43"/>
        <v>1</v>
      </c>
      <c r="U41" s="193">
        <f t="shared" si="43"/>
        <v>1</v>
      </c>
      <c r="V41" s="193">
        <f t="shared" si="43"/>
        <v>1</v>
      </c>
      <c r="W41" s="193">
        <f t="shared" si="43"/>
        <v>1</v>
      </c>
      <c r="X41" s="193">
        <f t="shared" si="43"/>
        <v>1</v>
      </c>
      <c r="Y41" s="193">
        <f t="shared" si="43"/>
        <v>1</v>
      </c>
      <c r="Z41" s="193">
        <f t="shared" si="43"/>
        <v>1</v>
      </c>
      <c r="AA41" s="193">
        <f t="shared" si="43"/>
        <v>1</v>
      </c>
      <c r="AB41" s="193">
        <f t="shared" si="43"/>
        <v>1</v>
      </c>
      <c r="AC41" s="193">
        <f t="shared" si="43"/>
        <v>1</v>
      </c>
      <c r="AD41" s="193">
        <f t="shared" si="43"/>
        <v>1</v>
      </c>
      <c r="AE41" s="193">
        <f t="shared" si="43"/>
        <v>1</v>
      </c>
      <c r="AF41" s="193">
        <f t="shared" si="43"/>
        <v>1</v>
      </c>
      <c r="AG41" s="193">
        <f t="shared" si="43"/>
        <v>1</v>
      </c>
      <c r="AH41" s="193">
        <f t="shared" si="43"/>
        <v>1</v>
      </c>
      <c r="AI41" s="193">
        <f t="shared" si="43"/>
        <v>1</v>
      </c>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U41" t="s">
        <v>115</v>
      </c>
      <c r="BW41" s="102">
        <f t="shared" ref="BW41:CL54" si="45">IF(BW6&lt;0,BW25+BW6,0)</f>
        <v>0</v>
      </c>
      <c r="BX41" s="102">
        <f t="shared" si="45"/>
        <v>0</v>
      </c>
      <c r="BY41" s="102">
        <f t="shared" si="44"/>
        <v>0</v>
      </c>
      <c r="BZ41" s="102">
        <f t="shared" si="44"/>
        <v>0</v>
      </c>
      <c r="CA41" s="102">
        <f t="shared" si="44"/>
        <v>0</v>
      </c>
      <c r="CB41" s="102">
        <f t="shared" si="44"/>
        <v>0</v>
      </c>
      <c r="CC41" s="102">
        <f t="shared" si="44"/>
        <v>0</v>
      </c>
      <c r="CD41" s="102">
        <f t="shared" si="44"/>
        <v>0</v>
      </c>
      <c r="CE41" s="102">
        <f t="shared" si="44"/>
        <v>0</v>
      </c>
      <c r="CF41" s="102">
        <f t="shared" si="44"/>
        <v>0</v>
      </c>
      <c r="CG41" s="102">
        <f t="shared" si="44"/>
        <v>0</v>
      </c>
      <c r="CH41" s="102">
        <f t="shared" si="44"/>
        <v>0</v>
      </c>
      <c r="CI41" s="102">
        <f t="shared" si="44"/>
        <v>0</v>
      </c>
      <c r="CJ41" s="102">
        <f t="shared" si="44"/>
        <v>0</v>
      </c>
      <c r="CK41" s="102">
        <f t="shared" si="44"/>
        <v>0</v>
      </c>
      <c r="CL41" s="102">
        <f t="shared" si="44"/>
        <v>0</v>
      </c>
      <c r="CM41" s="102">
        <f t="shared" si="44"/>
        <v>0</v>
      </c>
      <c r="CN41" s="102">
        <f t="shared" si="44"/>
        <v>0</v>
      </c>
      <c r="CO41" s="102">
        <f t="shared" si="44"/>
        <v>0</v>
      </c>
      <c r="CP41" s="102">
        <f t="shared" si="44"/>
        <v>0</v>
      </c>
      <c r="CQ41" s="102">
        <f t="shared" si="44"/>
        <v>0</v>
      </c>
      <c r="CR41" s="102">
        <f t="shared" si="44"/>
        <v>0</v>
      </c>
      <c r="CS41" s="102">
        <f t="shared" si="44"/>
        <v>0</v>
      </c>
      <c r="CT41" s="102">
        <f t="shared" si="44"/>
        <v>0</v>
      </c>
      <c r="CU41" s="102">
        <f t="shared" si="44"/>
        <v>0</v>
      </c>
      <c r="CV41" s="102">
        <f t="shared" si="44"/>
        <v>0</v>
      </c>
      <c r="CW41" s="102">
        <f t="shared" si="44"/>
        <v>0</v>
      </c>
      <c r="CX41" s="102">
        <f t="shared" si="44"/>
        <v>0</v>
      </c>
    </row>
    <row r="42" spans="6:102" x14ac:dyDescent="0.25">
      <c r="F42" t="s">
        <v>117</v>
      </c>
      <c r="G42" t="s">
        <v>1266</v>
      </c>
      <c r="H42" s="193">
        <f t="shared" si="43"/>
        <v>1</v>
      </c>
      <c r="I42" s="193">
        <f t="shared" si="43"/>
        <v>1</v>
      </c>
      <c r="J42" s="193">
        <f t="shared" si="43"/>
        <v>1</v>
      </c>
      <c r="K42" s="193">
        <f t="shared" si="43"/>
        <v>1</v>
      </c>
      <c r="L42" s="193">
        <f t="shared" si="43"/>
        <v>1</v>
      </c>
      <c r="M42" s="193">
        <f t="shared" si="43"/>
        <v>1</v>
      </c>
      <c r="N42" s="193">
        <f t="shared" si="43"/>
        <v>1</v>
      </c>
      <c r="O42" s="193">
        <f t="shared" si="43"/>
        <v>1</v>
      </c>
      <c r="P42" s="193">
        <f t="shared" si="43"/>
        <v>1</v>
      </c>
      <c r="Q42" s="193">
        <f t="shared" si="43"/>
        <v>1</v>
      </c>
      <c r="R42" s="193">
        <f t="shared" si="43"/>
        <v>1</v>
      </c>
      <c r="S42" s="193">
        <f t="shared" si="43"/>
        <v>1</v>
      </c>
      <c r="T42" s="193">
        <f t="shared" si="43"/>
        <v>1</v>
      </c>
      <c r="U42" s="193">
        <f t="shared" si="43"/>
        <v>1</v>
      </c>
      <c r="V42" s="193">
        <f t="shared" si="43"/>
        <v>1</v>
      </c>
      <c r="W42" s="193">
        <f t="shared" si="43"/>
        <v>1</v>
      </c>
      <c r="X42" s="193">
        <f t="shared" si="43"/>
        <v>1</v>
      </c>
      <c r="Y42" s="193">
        <f t="shared" si="43"/>
        <v>1</v>
      </c>
      <c r="Z42" s="193">
        <f t="shared" si="43"/>
        <v>1</v>
      </c>
      <c r="AA42" s="193">
        <f t="shared" si="43"/>
        <v>1</v>
      </c>
      <c r="AB42" s="193">
        <f t="shared" si="43"/>
        <v>1</v>
      </c>
      <c r="AC42" s="193">
        <f t="shared" si="43"/>
        <v>1</v>
      </c>
      <c r="AD42" s="193">
        <f t="shared" si="43"/>
        <v>1</v>
      </c>
      <c r="AE42" s="193">
        <f t="shared" si="43"/>
        <v>1</v>
      </c>
      <c r="AF42" s="193">
        <f t="shared" si="43"/>
        <v>1</v>
      </c>
      <c r="AG42" s="193">
        <f t="shared" si="43"/>
        <v>1</v>
      </c>
      <c r="AH42" s="193">
        <f t="shared" si="43"/>
        <v>1</v>
      </c>
      <c r="AI42" s="193">
        <f t="shared" si="43"/>
        <v>1</v>
      </c>
      <c r="AM42" t="s">
        <v>1268</v>
      </c>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U42" t="s">
        <v>117</v>
      </c>
      <c r="BW42" s="102">
        <f t="shared" si="45"/>
        <v>0</v>
      </c>
      <c r="BX42" s="102">
        <f t="shared" si="45"/>
        <v>0</v>
      </c>
      <c r="BY42" s="102">
        <f t="shared" si="44"/>
        <v>0</v>
      </c>
      <c r="BZ42" s="102">
        <f t="shared" si="44"/>
        <v>0</v>
      </c>
      <c r="CA42" s="102">
        <f t="shared" si="44"/>
        <v>0</v>
      </c>
      <c r="CB42" s="102">
        <f t="shared" si="44"/>
        <v>0</v>
      </c>
      <c r="CC42" s="102">
        <f t="shared" si="44"/>
        <v>0</v>
      </c>
      <c r="CD42" s="102">
        <f t="shared" si="44"/>
        <v>0</v>
      </c>
      <c r="CE42" s="102">
        <f t="shared" si="44"/>
        <v>0</v>
      </c>
      <c r="CF42" s="102">
        <f t="shared" si="44"/>
        <v>0</v>
      </c>
      <c r="CG42" s="102">
        <f t="shared" si="44"/>
        <v>0</v>
      </c>
      <c r="CH42" s="102">
        <f t="shared" si="44"/>
        <v>0</v>
      </c>
      <c r="CI42" s="102">
        <f t="shared" si="44"/>
        <v>0</v>
      </c>
      <c r="CJ42" s="102">
        <f t="shared" si="44"/>
        <v>0</v>
      </c>
      <c r="CK42" s="102">
        <f t="shared" si="44"/>
        <v>0</v>
      </c>
      <c r="CL42" s="102">
        <f t="shared" si="44"/>
        <v>0</v>
      </c>
      <c r="CM42" s="102">
        <f t="shared" si="44"/>
        <v>0</v>
      </c>
      <c r="CN42" s="102">
        <f t="shared" si="44"/>
        <v>0</v>
      </c>
      <c r="CO42" s="102">
        <f t="shared" si="44"/>
        <v>0</v>
      </c>
      <c r="CP42" s="102">
        <f t="shared" si="44"/>
        <v>0</v>
      </c>
      <c r="CQ42" s="102">
        <f t="shared" si="44"/>
        <v>0</v>
      </c>
      <c r="CR42" s="102">
        <f t="shared" si="44"/>
        <v>0</v>
      </c>
      <c r="CS42" s="102">
        <f t="shared" si="44"/>
        <v>0</v>
      </c>
      <c r="CT42" s="102">
        <f t="shared" si="44"/>
        <v>0</v>
      </c>
      <c r="CU42" s="102">
        <f t="shared" si="44"/>
        <v>0</v>
      </c>
      <c r="CV42" s="102">
        <f t="shared" si="44"/>
        <v>0</v>
      </c>
      <c r="CW42" s="102">
        <f t="shared" si="44"/>
        <v>0</v>
      </c>
      <c r="CX42" s="102">
        <f t="shared" si="44"/>
        <v>0</v>
      </c>
    </row>
    <row r="43" spans="6:102" x14ac:dyDescent="0.25">
      <c r="F43" t="s">
        <v>119</v>
      </c>
      <c r="G43" t="s">
        <v>1266</v>
      </c>
      <c r="H43" s="193">
        <f t="shared" si="43"/>
        <v>1</v>
      </c>
      <c r="I43" s="193">
        <f t="shared" si="43"/>
        <v>1</v>
      </c>
      <c r="J43" s="193">
        <f t="shared" si="43"/>
        <v>1</v>
      </c>
      <c r="K43" s="193">
        <f t="shared" si="43"/>
        <v>1</v>
      </c>
      <c r="L43" s="193">
        <f t="shared" si="43"/>
        <v>1</v>
      </c>
      <c r="M43" s="193">
        <f t="shared" si="43"/>
        <v>1</v>
      </c>
      <c r="N43" s="193">
        <f t="shared" si="43"/>
        <v>1</v>
      </c>
      <c r="O43" s="193">
        <f t="shared" si="43"/>
        <v>1</v>
      </c>
      <c r="P43" s="193">
        <f t="shared" si="43"/>
        <v>1</v>
      </c>
      <c r="Q43" s="193">
        <f t="shared" si="43"/>
        <v>1</v>
      </c>
      <c r="R43" s="193">
        <f t="shared" si="43"/>
        <v>1</v>
      </c>
      <c r="S43" s="193">
        <f>1-S27</f>
        <v>1</v>
      </c>
      <c r="T43" s="193">
        <f t="shared" si="43"/>
        <v>1</v>
      </c>
      <c r="U43" s="193">
        <f t="shared" si="43"/>
        <v>1</v>
      </c>
      <c r="V43" s="193">
        <f t="shared" si="43"/>
        <v>1</v>
      </c>
      <c r="W43" s="193">
        <f t="shared" si="43"/>
        <v>1</v>
      </c>
      <c r="X43" s="193">
        <f t="shared" si="43"/>
        <v>1</v>
      </c>
      <c r="Y43" s="193">
        <f t="shared" si="43"/>
        <v>1</v>
      </c>
      <c r="Z43" s="193">
        <f t="shared" si="43"/>
        <v>1</v>
      </c>
      <c r="AA43" s="193">
        <f t="shared" si="43"/>
        <v>1</v>
      </c>
      <c r="AB43" s="193">
        <f t="shared" si="43"/>
        <v>1</v>
      </c>
      <c r="AC43" s="193">
        <f t="shared" si="43"/>
        <v>1</v>
      </c>
      <c r="AD43" s="193">
        <f t="shared" si="43"/>
        <v>1</v>
      </c>
      <c r="AE43" s="193">
        <f t="shared" si="43"/>
        <v>1</v>
      </c>
      <c r="AF43" s="193">
        <f t="shared" si="43"/>
        <v>1</v>
      </c>
      <c r="AG43" s="193">
        <f t="shared" si="43"/>
        <v>1</v>
      </c>
      <c r="AH43" s="193">
        <f t="shared" si="43"/>
        <v>1</v>
      </c>
      <c r="AI43" s="193">
        <f t="shared" si="43"/>
        <v>1</v>
      </c>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U43" t="s">
        <v>119</v>
      </c>
      <c r="BW43" s="102">
        <f t="shared" si="45"/>
        <v>0</v>
      </c>
      <c r="BX43" s="102">
        <f t="shared" si="45"/>
        <v>0</v>
      </c>
      <c r="BY43" s="102">
        <f t="shared" si="44"/>
        <v>0</v>
      </c>
      <c r="BZ43" s="102">
        <f t="shared" si="44"/>
        <v>0</v>
      </c>
      <c r="CA43" s="102">
        <f t="shared" si="44"/>
        <v>0</v>
      </c>
      <c r="CB43" s="102">
        <f t="shared" si="44"/>
        <v>0</v>
      </c>
      <c r="CC43" s="102">
        <f t="shared" si="44"/>
        <v>0</v>
      </c>
      <c r="CD43" s="102">
        <f t="shared" si="44"/>
        <v>0</v>
      </c>
      <c r="CE43" s="102">
        <f t="shared" si="44"/>
        <v>0</v>
      </c>
      <c r="CF43" s="102">
        <f t="shared" si="44"/>
        <v>0</v>
      </c>
      <c r="CG43" s="102">
        <f t="shared" si="44"/>
        <v>0</v>
      </c>
      <c r="CH43" s="102">
        <f t="shared" si="44"/>
        <v>0</v>
      </c>
      <c r="CI43" s="102">
        <f t="shared" si="44"/>
        <v>0</v>
      </c>
      <c r="CJ43" s="102">
        <f t="shared" si="44"/>
        <v>0</v>
      </c>
      <c r="CK43" s="102">
        <f t="shared" si="44"/>
        <v>0</v>
      </c>
      <c r="CL43" s="102">
        <f t="shared" si="44"/>
        <v>0</v>
      </c>
      <c r="CM43" s="102">
        <f t="shared" si="44"/>
        <v>0</v>
      </c>
      <c r="CN43" s="102">
        <f t="shared" si="44"/>
        <v>0</v>
      </c>
      <c r="CO43" s="102">
        <f t="shared" si="44"/>
        <v>0</v>
      </c>
      <c r="CP43" s="102">
        <f t="shared" si="44"/>
        <v>0</v>
      </c>
      <c r="CQ43" s="102">
        <f t="shared" si="44"/>
        <v>0</v>
      </c>
      <c r="CR43" s="102">
        <f t="shared" si="44"/>
        <v>0</v>
      </c>
      <c r="CS43" s="102">
        <f t="shared" si="44"/>
        <v>0</v>
      </c>
      <c r="CT43" s="102">
        <f t="shared" si="44"/>
        <v>0</v>
      </c>
      <c r="CU43" s="102">
        <f t="shared" si="44"/>
        <v>0</v>
      </c>
      <c r="CV43" s="102">
        <f t="shared" si="44"/>
        <v>0</v>
      </c>
      <c r="CW43" s="102">
        <f t="shared" si="44"/>
        <v>0</v>
      </c>
      <c r="CX43" s="102">
        <f t="shared" si="44"/>
        <v>0</v>
      </c>
    </row>
    <row r="44" spans="6:102" x14ac:dyDescent="0.25">
      <c r="F44" t="s">
        <v>120</v>
      </c>
      <c r="G44" t="s">
        <v>1266</v>
      </c>
      <c r="H44" s="193">
        <f t="shared" si="43"/>
        <v>1</v>
      </c>
      <c r="I44" s="193">
        <f t="shared" si="43"/>
        <v>1</v>
      </c>
      <c r="J44" s="193">
        <f t="shared" si="43"/>
        <v>1</v>
      </c>
      <c r="K44" s="193">
        <f t="shared" si="43"/>
        <v>0.45091365451233911</v>
      </c>
      <c r="L44" s="193">
        <f t="shared" si="43"/>
        <v>0.74961847779217328</v>
      </c>
      <c r="M44" s="193">
        <f t="shared" si="43"/>
        <v>0.91911997279415636</v>
      </c>
      <c r="N44" s="193">
        <f t="shared" si="43"/>
        <v>0</v>
      </c>
      <c r="O44" s="193">
        <f t="shared" si="43"/>
        <v>1</v>
      </c>
      <c r="P44" s="193">
        <f t="shared" si="43"/>
        <v>0.87311499722476738</v>
      </c>
      <c r="Q44" s="193">
        <f t="shared" si="43"/>
        <v>1</v>
      </c>
      <c r="R44" s="193">
        <f t="shared" si="43"/>
        <v>1</v>
      </c>
      <c r="S44" s="193">
        <f>1-S28</f>
        <v>1</v>
      </c>
      <c r="T44" s="193">
        <f t="shared" si="43"/>
        <v>1</v>
      </c>
      <c r="U44" s="193">
        <f t="shared" si="43"/>
        <v>1</v>
      </c>
      <c r="V44" s="193">
        <f t="shared" si="43"/>
        <v>1</v>
      </c>
      <c r="W44" s="193">
        <f t="shared" si="43"/>
        <v>1</v>
      </c>
      <c r="X44" s="193">
        <f t="shared" si="43"/>
        <v>1</v>
      </c>
      <c r="Y44" s="193">
        <f t="shared" si="43"/>
        <v>1</v>
      </c>
      <c r="Z44" s="193">
        <f t="shared" si="43"/>
        <v>1</v>
      </c>
      <c r="AA44" s="193">
        <f t="shared" si="43"/>
        <v>1</v>
      </c>
      <c r="AB44" s="193">
        <f t="shared" si="43"/>
        <v>0</v>
      </c>
      <c r="AC44" s="193">
        <f t="shared" si="43"/>
        <v>0.79455630768741092</v>
      </c>
      <c r="AD44" s="193">
        <f t="shared" si="43"/>
        <v>1</v>
      </c>
      <c r="AE44" s="193">
        <f t="shared" si="43"/>
        <v>1</v>
      </c>
      <c r="AF44" s="193">
        <f t="shared" si="43"/>
        <v>1</v>
      </c>
      <c r="AG44" s="193">
        <f t="shared" si="43"/>
        <v>1</v>
      </c>
      <c r="AH44" s="193">
        <f t="shared" si="43"/>
        <v>1</v>
      </c>
      <c r="AI44" s="193">
        <f t="shared" si="43"/>
        <v>1</v>
      </c>
      <c r="AM44" t="s">
        <v>113</v>
      </c>
      <c r="AN44" s="102">
        <f t="shared" ref="AN44:BC58" si="46">SUMIF($BQ$163:$BQ$241,$AM44,BS$163:BS$241)</f>
        <v>0</v>
      </c>
      <c r="AO44" s="102">
        <f t="shared" si="46"/>
        <v>0</v>
      </c>
      <c r="AP44" s="102">
        <f t="shared" si="46"/>
        <v>0</v>
      </c>
      <c r="AQ44" s="102">
        <f t="shared" si="46"/>
        <v>0</v>
      </c>
      <c r="AR44" s="102">
        <f t="shared" si="46"/>
        <v>0</v>
      </c>
      <c r="AS44" s="102">
        <f t="shared" si="46"/>
        <v>0</v>
      </c>
      <c r="AT44" s="102">
        <f t="shared" si="46"/>
        <v>0</v>
      </c>
      <c r="AU44" s="102">
        <f t="shared" si="46"/>
        <v>0</v>
      </c>
      <c r="AV44" s="102">
        <f t="shared" si="46"/>
        <v>0</v>
      </c>
      <c r="AW44" s="102">
        <f t="shared" si="46"/>
        <v>0</v>
      </c>
      <c r="AX44" s="102">
        <f t="shared" si="46"/>
        <v>0</v>
      </c>
      <c r="AY44" s="102">
        <f t="shared" si="46"/>
        <v>0</v>
      </c>
      <c r="AZ44" s="102">
        <f t="shared" si="46"/>
        <v>0</v>
      </c>
      <c r="BA44" s="102">
        <f t="shared" si="46"/>
        <v>0</v>
      </c>
      <c r="BB44" s="102">
        <f t="shared" si="46"/>
        <v>0</v>
      </c>
      <c r="BC44" s="102">
        <f t="shared" si="46"/>
        <v>0</v>
      </c>
      <c r="BD44" s="102">
        <f t="shared" ref="BD44:BO58" si="47">SUMIF($BQ$163:$BQ$241,$AM44,CI$163:CI$241)</f>
        <v>0</v>
      </c>
      <c r="BE44" s="102">
        <f t="shared" si="47"/>
        <v>0</v>
      </c>
      <c r="BF44" s="102">
        <f t="shared" si="47"/>
        <v>0</v>
      </c>
      <c r="BG44" s="102">
        <f t="shared" si="47"/>
        <v>1.5669999999999999</v>
      </c>
      <c r="BH44" s="102">
        <f t="shared" si="47"/>
        <v>0</v>
      </c>
      <c r="BI44" s="102">
        <f t="shared" si="47"/>
        <v>0</v>
      </c>
      <c r="BJ44" s="102">
        <f t="shared" si="47"/>
        <v>0</v>
      </c>
      <c r="BK44" s="102">
        <f t="shared" si="47"/>
        <v>0</v>
      </c>
      <c r="BL44" s="102">
        <f t="shared" si="47"/>
        <v>0</v>
      </c>
      <c r="BM44" s="102">
        <f t="shared" si="47"/>
        <v>0</v>
      </c>
      <c r="BN44" s="102">
        <f t="shared" si="47"/>
        <v>0</v>
      </c>
      <c r="BO44" s="102">
        <f t="shared" si="47"/>
        <v>0</v>
      </c>
      <c r="BU44" t="s">
        <v>120</v>
      </c>
      <c r="BW44" s="102">
        <f t="shared" si="45"/>
        <v>0</v>
      </c>
      <c r="BX44" s="102">
        <f t="shared" si="45"/>
        <v>0</v>
      </c>
      <c r="BY44" s="102">
        <f t="shared" si="44"/>
        <v>0.16933927007541216</v>
      </c>
      <c r="BZ44" s="102">
        <f t="shared" si="44"/>
        <v>0</v>
      </c>
      <c r="CA44" s="102">
        <f t="shared" si="44"/>
        <v>0</v>
      </c>
      <c r="CB44" s="102">
        <f t="shared" si="44"/>
        <v>0</v>
      </c>
      <c r="CC44" s="102">
        <f t="shared" si="44"/>
        <v>362.28000534806779</v>
      </c>
      <c r="CD44" s="102">
        <f t="shared" si="44"/>
        <v>0</v>
      </c>
      <c r="CE44" s="102">
        <f t="shared" si="44"/>
        <v>0</v>
      </c>
      <c r="CF44" s="102">
        <f t="shared" si="44"/>
        <v>0</v>
      </c>
      <c r="CG44" s="102">
        <f t="shared" si="44"/>
        <v>0</v>
      </c>
      <c r="CH44" s="102">
        <f t="shared" si="44"/>
        <v>6464.217166584649</v>
      </c>
      <c r="CI44" s="102">
        <f t="shared" si="44"/>
        <v>0</v>
      </c>
      <c r="CJ44" s="102">
        <f t="shared" si="44"/>
        <v>0</v>
      </c>
      <c r="CK44" s="102">
        <f t="shared" si="44"/>
        <v>0</v>
      </c>
      <c r="CL44" s="102">
        <f t="shared" si="44"/>
        <v>0</v>
      </c>
      <c r="CM44" s="102">
        <f t="shared" si="44"/>
        <v>0</v>
      </c>
      <c r="CN44" s="102">
        <f t="shared" si="44"/>
        <v>1562.8285806362319</v>
      </c>
      <c r="CO44" s="102">
        <f t="shared" si="44"/>
        <v>4206.1749729828516</v>
      </c>
      <c r="CP44" s="102">
        <f t="shared" si="44"/>
        <v>0</v>
      </c>
      <c r="CQ44" s="102">
        <f t="shared" si="44"/>
        <v>15.494224280255592</v>
      </c>
      <c r="CR44" s="102">
        <f t="shared" si="44"/>
        <v>0</v>
      </c>
      <c r="CS44" s="102">
        <f t="shared" si="44"/>
        <v>0</v>
      </c>
      <c r="CT44" s="102">
        <f t="shared" si="44"/>
        <v>0</v>
      </c>
      <c r="CU44" s="102">
        <f t="shared" si="44"/>
        <v>0</v>
      </c>
      <c r="CV44" s="102">
        <f t="shared" si="44"/>
        <v>0</v>
      </c>
      <c r="CW44" s="102">
        <f t="shared" si="44"/>
        <v>0</v>
      </c>
      <c r="CX44" s="102">
        <f t="shared" si="44"/>
        <v>0</v>
      </c>
    </row>
    <row r="45" spans="6:102" x14ac:dyDescent="0.25">
      <c r="F45" t="s">
        <v>122</v>
      </c>
      <c r="G45" t="s">
        <v>1266</v>
      </c>
      <c r="H45" s="193">
        <f t="shared" si="43"/>
        <v>1</v>
      </c>
      <c r="I45" s="193">
        <f t="shared" si="43"/>
        <v>1</v>
      </c>
      <c r="J45" s="193">
        <f t="shared" si="43"/>
        <v>1</v>
      </c>
      <c r="K45" s="193">
        <f t="shared" si="43"/>
        <v>1</v>
      </c>
      <c r="L45" s="193">
        <f t="shared" si="43"/>
        <v>1</v>
      </c>
      <c r="M45" s="193">
        <f t="shared" si="43"/>
        <v>1</v>
      </c>
      <c r="N45" s="193">
        <f t="shared" si="43"/>
        <v>1</v>
      </c>
      <c r="O45" s="193">
        <f t="shared" si="43"/>
        <v>1</v>
      </c>
      <c r="P45" s="193">
        <f t="shared" si="43"/>
        <v>1</v>
      </c>
      <c r="Q45" s="193">
        <f t="shared" si="43"/>
        <v>1</v>
      </c>
      <c r="R45" s="193">
        <f t="shared" si="43"/>
        <v>1</v>
      </c>
      <c r="S45" s="193">
        <f t="shared" si="43"/>
        <v>1</v>
      </c>
      <c r="T45" s="193">
        <f t="shared" si="43"/>
        <v>1</v>
      </c>
      <c r="U45" s="193">
        <f t="shared" si="43"/>
        <v>1</v>
      </c>
      <c r="V45" s="193">
        <f t="shared" si="43"/>
        <v>1</v>
      </c>
      <c r="W45" s="193">
        <f t="shared" si="43"/>
        <v>1</v>
      </c>
      <c r="X45" s="193">
        <f t="shared" si="43"/>
        <v>1</v>
      </c>
      <c r="Y45" s="193">
        <f t="shared" si="43"/>
        <v>1</v>
      </c>
      <c r="Z45" s="193">
        <f t="shared" si="43"/>
        <v>1</v>
      </c>
      <c r="AA45" s="193">
        <f t="shared" si="43"/>
        <v>1</v>
      </c>
      <c r="AB45" s="193">
        <f t="shared" si="43"/>
        <v>1</v>
      </c>
      <c r="AC45" s="193">
        <f t="shared" si="43"/>
        <v>1</v>
      </c>
      <c r="AD45" s="193">
        <f t="shared" si="43"/>
        <v>1</v>
      </c>
      <c r="AE45" s="193">
        <f t="shared" si="43"/>
        <v>1</v>
      </c>
      <c r="AF45" s="193">
        <f t="shared" si="43"/>
        <v>1</v>
      </c>
      <c r="AG45" s="193">
        <f t="shared" si="43"/>
        <v>1</v>
      </c>
      <c r="AH45" s="193">
        <f t="shared" si="43"/>
        <v>1</v>
      </c>
      <c r="AI45" s="193">
        <f t="shared" si="43"/>
        <v>1</v>
      </c>
      <c r="AM45" t="s">
        <v>115</v>
      </c>
      <c r="AN45" s="102">
        <f t="shared" si="46"/>
        <v>0</v>
      </c>
      <c r="AO45" s="102">
        <f t="shared" si="46"/>
        <v>0</v>
      </c>
      <c r="AP45" s="102">
        <f t="shared" si="46"/>
        <v>0</v>
      </c>
      <c r="AQ45" s="102">
        <f t="shared" si="46"/>
        <v>0</v>
      </c>
      <c r="AR45" s="102">
        <f t="shared" si="46"/>
        <v>0</v>
      </c>
      <c r="AS45" s="102">
        <f t="shared" si="46"/>
        <v>0</v>
      </c>
      <c r="AT45" s="102">
        <f t="shared" si="46"/>
        <v>0</v>
      </c>
      <c r="AU45" s="102">
        <f t="shared" si="46"/>
        <v>0</v>
      </c>
      <c r="AV45" s="102">
        <f t="shared" si="46"/>
        <v>0</v>
      </c>
      <c r="AW45" s="102">
        <f t="shared" si="46"/>
        <v>0</v>
      </c>
      <c r="AX45" s="102">
        <f t="shared" si="46"/>
        <v>0</v>
      </c>
      <c r="AY45" s="102">
        <f t="shared" si="46"/>
        <v>0</v>
      </c>
      <c r="AZ45" s="102">
        <f t="shared" si="46"/>
        <v>0</v>
      </c>
      <c r="BA45" s="102">
        <f t="shared" si="46"/>
        <v>0</v>
      </c>
      <c r="BB45" s="102">
        <f t="shared" si="46"/>
        <v>0</v>
      </c>
      <c r="BC45" s="102">
        <f t="shared" si="46"/>
        <v>0</v>
      </c>
      <c r="BD45" s="102">
        <f t="shared" si="47"/>
        <v>1.2999999999999999E-2</v>
      </c>
      <c r="BE45" s="102">
        <f t="shared" si="47"/>
        <v>0</v>
      </c>
      <c r="BF45" s="102">
        <f t="shared" si="47"/>
        <v>0</v>
      </c>
      <c r="BG45" s="102">
        <f t="shared" si="47"/>
        <v>0</v>
      </c>
      <c r="BH45" s="102">
        <f t="shared" si="47"/>
        <v>0</v>
      </c>
      <c r="BI45" s="102">
        <f t="shared" si="47"/>
        <v>0</v>
      </c>
      <c r="BJ45" s="102">
        <f t="shared" si="47"/>
        <v>0</v>
      </c>
      <c r="BK45" s="102">
        <f t="shared" si="47"/>
        <v>0</v>
      </c>
      <c r="BL45" s="102">
        <f t="shared" si="47"/>
        <v>0</v>
      </c>
      <c r="BM45" s="102">
        <f t="shared" si="47"/>
        <v>0</v>
      </c>
      <c r="BN45" s="102">
        <f t="shared" si="47"/>
        <v>0</v>
      </c>
      <c r="BO45" s="102">
        <f t="shared" si="47"/>
        <v>0</v>
      </c>
      <c r="BU45" t="s">
        <v>122</v>
      </c>
      <c r="BW45" s="102">
        <f t="shared" si="45"/>
        <v>0</v>
      </c>
      <c r="BX45" s="102">
        <f t="shared" si="45"/>
        <v>0</v>
      </c>
      <c r="BY45" s="102">
        <f t="shared" si="44"/>
        <v>0</v>
      </c>
      <c r="BZ45" s="102">
        <f t="shared" si="44"/>
        <v>0</v>
      </c>
      <c r="CA45" s="102">
        <f t="shared" si="44"/>
        <v>0</v>
      </c>
      <c r="CB45" s="102">
        <f t="shared" si="44"/>
        <v>0</v>
      </c>
      <c r="CC45" s="102">
        <f t="shared" si="44"/>
        <v>0</v>
      </c>
      <c r="CD45" s="102">
        <f t="shared" si="44"/>
        <v>0</v>
      </c>
      <c r="CE45" s="102">
        <f t="shared" si="44"/>
        <v>0</v>
      </c>
      <c r="CF45" s="102">
        <f t="shared" si="44"/>
        <v>0</v>
      </c>
      <c r="CG45" s="102">
        <f t="shared" si="44"/>
        <v>0</v>
      </c>
      <c r="CH45" s="102">
        <f t="shared" si="44"/>
        <v>0</v>
      </c>
      <c r="CI45" s="102">
        <f t="shared" si="44"/>
        <v>0</v>
      </c>
      <c r="CJ45" s="102">
        <f t="shared" si="44"/>
        <v>0</v>
      </c>
      <c r="CK45" s="102">
        <f t="shared" si="44"/>
        <v>0</v>
      </c>
      <c r="CL45" s="102">
        <f t="shared" si="44"/>
        <v>0</v>
      </c>
      <c r="CM45" s="102">
        <f t="shared" si="44"/>
        <v>0</v>
      </c>
      <c r="CN45" s="102">
        <f t="shared" si="44"/>
        <v>0</v>
      </c>
      <c r="CO45" s="102">
        <f t="shared" si="44"/>
        <v>0</v>
      </c>
      <c r="CP45" s="102">
        <f t="shared" si="44"/>
        <v>0</v>
      </c>
      <c r="CQ45" s="102">
        <f t="shared" si="44"/>
        <v>0</v>
      </c>
      <c r="CR45" s="102">
        <f t="shared" si="44"/>
        <v>0</v>
      </c>
      <c r="CS45" s="102">
        <f t="shared" si="44"/>
        <v>0</v>
      </c>
      <c r="CT45" s="102">
        <f t="shared" si="44"/>
        <v>0</v>
      </c>
      <c r="CU45" s="102">
        <f t="shared" si="44"/>
        <v>0</v>
      </c>
      <c r="CV45" s="102">
        <f t="shared" si="44"/>
        <v>0</v>
      </c>
      <c r="CW45" s="102">
        <f t="shared" si="44"/>
        <v>0</v>
      </c>
      <c r="CX45" s="102">
        <f t="shared" si="44"/>
        <v>0</v>
      </c>
    </row>
    <row r="46" spans="6:102" x14ac:dyDescent="0.25">
      <c r="F46" t="s">
        <v>124</v>
      </c>
      <c r="G46" t="s">
        <v>1266</v>
      </c>
      <c r="H46" s="193">
        <f t="shared" si="43"/>
        <v>1</v>
      </c>
      <c r="I46" s="193">
        <f t="shared" si="43"/>
        <v>1</v>
      </c>
      <c r="J46" s="193">
        <f t="shared" si="43"/>
        <v>1</v>
      </c>
      <c r="K46" s="193">
        <f t="shared" si="43"/>
        <v>1</v>
      </c>
      <c r="L46" s="193">
        <f t="shared" si="43"/>
        <v>1</v>
      </c>
      <c r="M46" s="193">
        <f t="shared" si="43"/>
        <v>1</v>
      </c>
      <c r="N46" s="193">
        <f t="shared" si="43"/>
        <v>1</v>
      </c>
      <c r="O46" s="193">
        <f t="shared" si="43"/>
        <v>1</v>
      </c>
      <c r="P46" s="193">
        <f t="shared" si="43"/>
        <v>1</v>
      </c>
      <c r="Q46" s="193">
        <f t="shared" si="43"/>
        <v>1</v>
      </c>
      <c r="R46" s="193">
        <f t="shared" si="43"/>
        <v>1</v>
      </c>
      <c r="S46" s="193">
        <f t="shared" si="43"/>
        <v>1</v>
      </c>
      <c r="T46" s="193">
        <f t="shared" si="43"/>
        <v>1</v>
      </c>
      <c r="U46" s="193">
        <f t="shared" si="43"/>
        <v>1</v>
      </c>
      <c r="V46" s="193">
        <f t="shared" si="43"/>
        <v>1</v>
      </c>
      <c r="W46" s="193">
        <f t="shared" si="43"/>
        <v>1</v>
      </c>
      <c r="X46" s="193">
        <f t="shared" si="43"/>
        <v>1</v>
      </c>
      <c r="Y46" s="193">
        <f t="shared" si="43"/>
        <v>1</v>
      </c>
      <c r="Z46" s="193">
        <f t="shared" si="43"/>
        <v>1</v>
      </c>
      <c r="AA46" s="193">
        <f t="shared" si="43"/>
        <v>1</v>
      </c>
      <c r="AB46" s="193">
        <f t="shared" si="43"/>
        <v>1</v>
      </c>
      <c r="AC46" s="193">
        <f t="shared" si="43"/>
        <v>1</v>
      </c>
      <c r="AD46" s="193">
        <f t="shared" si="43"/>
        <v>1</v>
      </c>
      <c r="AE46" s="193">
        <f t="shared" si="43"/>
        <v>1</v>
      </c>
      <c r="AF46" s="193">
        <f t="shared" si="43"/>
        <v>1</v>
      </c>
      <c r="AG46" s="193">
        <f t="shared" si="43"/>
        <v>1</v>
      </c>
      <c r="AH46" s="193">
        <f t="shared" si="43"/>
        <v>1</v>
      </c>
      <c r="AI46" s="193">
        <f t="shared" si="43"/>
        <v>1</v>
      </c>
      <c r="AM46" t="s">
        <v>117</v>
      </c>
      <c r="AN46" s="102">
        <f t="shared" si="46"/>
        <v>0</v>
      </c>
      <c r="AO46" s="102">
        <f t="shared" si="46"/>
        <v>0</v>
      </c>
      <c r="AP46" s="102">
        <f t="shared" si="46"/>
        <v>0</v>
      </c>
      <c r="AQ46" s="102">
        <f t="shared" si="46"/>
        <v>0</v>
      </c>
      <c r="AR46" s="102">
        <f t="shared" si="46"/>
        <v>1.87</v>
      </c>
      <c r="AS46" s="102">
        <f t="shared" si="46"/>
        <v>0</v>
      </c>
      <c r="AT46" s="102">
        <f t="shared" si="46"/>
        <v>0</v>
      </c>
      <c r="AU46" s="102">
        <f t="shared" si="46"/>
        <v>0</v>
      </c>
      <c r="AV46" s="102">
        <f t="shared" si="46"/>
        <v>0</v>
      </c>
      <c r="AW46" s="102">
        <f t="shared" si="46"/>
        <v>0</v>
      </c>
      <c r="AX46" s="102">
        <f t="shared" si="46"/>
        <v>0</v>
      </c>
      <c r="AY46" s="102">
        <f t="shared" si="46"/>
        <v>3.6779999999999999</v>
      </c>
      <c r="AZ46" s="102">
        <f t="shared" si="46"/>
        <v>5.5E-2</v>
      </c>
      <c r="BA46" s="102">
        <f t="shared" si="46"/>
        <v>0</v>
      </c>
      <c r="BB46" s="102">
        <f t="shared" si="46"/>
        <v>6.0000000000000001E-3</v>
      </c>
      <c r="BC46" s="102">
        <f t="shared" si="46"/>
        <v>3.0000000000000001E-3</v>
      </c>
      <c r="BD46" s="102">
        <f t="shared" si="47"/>
        <v>4.2000000000000003E-2</v>
      </c>
      <c r="BE46" s="102">
        <f t="shared" si="47"/>
        <v>0</v>
      </c>
      <c r="BF46" s="102">
        <f t="shared" si="47"/>
        <v>0</v>
      </c>
      <c r="BG46" s="102">
        <f t="shared" si="47"/>
        <v>0</v>
      </c>
      <c r="BH46" s="102">
        <f t="shared" si="47"/>
        <v>0</v>
      </c>
      <c r="BI46" s="102">
        <f t="shared" si="47"/>
        <v>0</v>
      </c>
      <c r="BJ46" s="102">
        <f t="shared" si="47"/>
        <v>0</v>
      </c>
      <c r="BK46" s="102">
        <f t="shared" si="47"/>
        <v>0</v>
      </c>
      <c r="BL46" s="102">
        <f t="shared" si="47"/>
        <v>0</v>
      </c>
      <c r="BM46" s="102">
        <f t="shared" si="47"/>
        <v>0</v>
      </c>
      <c r="BN46" s="102">
        <f t="shared" si="47"/>
        <v>0</v>
      </c>
      <c r="BO46" s="102">
        <f t="shared" si="47"/>
        <v>0</v>
      </c>
      <c r="BU46" t="s">
        <v>124</v>
      </c>
      <c r="BW46" s="102">
        <f t="shared" si="45"/>
        <v>0</v>
      </c>
      <c r="BX46" s="102">
        <f t="shared" si="45"/>
        <v>0</v>
      </c>
      <c r="BY46" s="102">
        <f t="shared" si="44"/>
        <v>0</v>
      </c>
      <c r="BZ46" s="102">
        <f t="shared" si="44"/>
        <v>0</v>
      </c>
      <c r="CA46" s="102">
        <f t="shared" si="44"/>
        <v>0</v>
      </c>
      <c r="CB46" s="102">
        <f t="shared" si="44"/>
        <v>0</v>
      </c>
      <c r="CC46" s="102">
        <f t="shared" si="44"/>
        <v>0</v>
      </c>
      <c r="CD46" s="102">
        <f t="shared" si="44"/>
        <v>0</v>
      </c>
      <c r="CE46" s="102">
        <f t="shared" si="44"/>
        <v>0</v>
      </c>
      <c r="CF46" s="102">
        <f t="shared" si="44"/>
        <v>0</v>
      </c>
      <c r="CG46" s="102">
        <f t="shared" si="44"/>
        <v>0</v>
      </c>
      <c r="CH46" s="102">
        <f t="shared" si="44"/>
        <v>0</v>
      </c>
      <c r="CI46" s="102">
        <f t="shared" si="44"/>
        <v>0</v>
      </c>
      <c r="CJ46" s="102">
        <f t="shared" si="44"/>
        <v>0</v>
      </c>
      <c r="CK46" s="102">
        <f t="shared" si="44"/>
        <v>0</v>
      </c>
      <c r="CL46" s="102">
        <f t="shared" si="44"/>
        <v>0</v>
      </c>
      <c r="CM46" s="102">
        <f t="shared" si="44"/>
        <v>0</v>
      </c>
      <c r="CN46" s="102">
        <f t="shared" si="44"/>
        <v>0</v>
      </c>
      <c r="CO46" s="102">
        <f t="shared" si="44"/>
        <v>0</v>
      </c>
      <c r="CP46" s="102">
        <f t="shared" si="44"/>
        <v>0</v>
      </c>
      <c r="CQ46" s="102">
        <f t="shared" si="44"/>
        <v>0</v>
      </c>
      <c r="CR46" s="102">
        <f t="shared" si="44"/>
        <v>0</v>
      </c>
      <c r="CS46" s="102">
        <f t="shared" si="44"/>
        <v>0</v>
      </c>
      <c r="CT46" s="102">
        <f t="shared" si="44"/>
        <v>0</v>
      </c>
      <c r="CU46" s="102">
        <f t="shared" si="44"/>
        <v>0</v>
      </c>
      <c r="CV46" s="102">
        <f t="shared" si="44"/>
        <v>0</v>
      </c>
      <c r="CW46" s="102">
        <f t="shared" si="44"/>
        <v>0</v>
      </c>
      <c r="CX46" s="102">
        <f t="shared" si="44"/>
        <v>0</v>
      </c>
    </row>
    <row r="47" spans="6:102" x14ac:dyDescent="0.25">
      <c r="F47" t="s">
        <v>126</v>
      </c>
      <c r="G47" t="s">
        <v>1266</v>
      </c>
      <c r="H47" s="193">
        <f t="shared" si="43"/>
        <v>1</v>
      </c>
      <c r="I47" s="193">
        <f t="shared" si="43"/>
        <v>0</v>
      </c>
      <c r="J47" s="193">
        <f t="shared" si="43"/>
        <v>0</v>
      </c>
      <c r="K47" s="193">
        <f t="shared" si="43"/>
        <v>0.34807057972918376</v>
      </c>
      <c r="L47" s="193">
        <f t="shared" si="43"/>
        <v>0.22243082552722659</v>
      </c>
      <c r="M47" s="193">
        <f t="shared" si="43"/>
        <v>0.63913514820192341</v>
      </c>
      <c r="N47" s="193">
        <f t="shared" si="43"/>
        <v>0</v>
      </c>
      <c r="O47" s="193">
        <f t="shared" si="43"/>
        <v>1</v>
      </c>
      <c r="P47" s="193">
        <f t="shared" si="43"/>
        <v>0.57581246083889526</v>
      </c>
      <c r="Q47" s="193">
        <f t="shared" si="43"/>
        <v>0.22384528688292948</v>
      </c>
      <c r="R47" s="193">
        <f t="shared" si="43"/>
        <v>1</v>
      </c>
      <c r="S47" s="193">
        <f t="shared" si="43"/>
        <v>1</v>
      </c>
      <c r="T47" s="193">
        <f t="shared" si="43"/>
        <v>0.49311043560933021</v>
      </c>
      <c r="U47" s="193">
        <f t="shared" si="43"/>
        <v>9.4883341866040638E-2</v>
      </c>
      <c r="V47" s="193">
        <f t="shared" si="43"/>
        <v>0.16787238812726113</v>
      </c>
      <c r="W47" s="193">
        <f t="shared" si="43"/>
        <v>0.38003992956854071</v>
      </c>
      <c r="X47" s="193">
        <f t="shared" si="43"/>
        <v>0.5076080610403475</v>
      </c>
      <c r="Y47" s="193">
        <f t="shared" si="43"/>
        <v>1</v>
      </c>
      <c r="Z47" s="193">
        <f t="shared" si="43"/>
        <v>1</v>
      </c>
      <c r="AA47" s="193">
        <f t="shared" si="43"/>
        <v>0.98471239293346846</v>
      </c>
      <c r="AB47" s="193">
        <f t="shared" si="43"/>
        <v>0</v>
      </c>
      <c r="AC47" s="193">
        <f t="shared" si="43"/>
        <v>0.6447082953254597</v>
      </c>
      <c r="AD47" s="193">
        <f t="shared" si="43"/>
        <v>0</v>
      </c>
      <c r="AE47" s="193">
        <f t="shared" si="43"/>
        <v>0.9982958977429931</v>
      </c>
      <c r="AF47" s="193">
        <f t="shared" si="43"/>
        <v>1</v>
      </c>
      <c r="AG47" s="193">
        <f t="shared" si="43"/>
        <v>0.35080275266956451</v>
      </c>
      <c r="AH47" s="193">
        <f t="shared" si="43"/>
        <v>0.96981792282865276</v>
      </c>
      <c r="AI47" s="193">
        <f t="shared" si="43"/>
        <v>0.5332787525519842</v>
      </c>
      <c r="AM47" t="s">
        <v>119</v>
      </c>
      <c r="AN47" s="102">
        <f t="shared" si="46"/>
        <v>0</v>
      </c>
      <c r="AO47" s="102">
        <f t="shared" si="46"/>
        <v>0</v>
      </c>
      <c r="AP47" s="102">
        <f t="shared" si="46"/>
        <v>0</v>
      </c>
      <c r="AQ47" s="102">
        <f t="shared" si="46"/>
        <v>0</v>
      </c>
      <c r="AR47" s="102">
        <f t="shared" si="46"/>
        <v>0</v>
      </c>
      <c r="AS47" s="102">
        <f t="shared" si="46"/>
        <v>0</v>
      </c>
      <c r="AT47" s="102">
        <f t="shared" si="46"/>
        <v>0</v>
      </c>
      <c r="AU47" s="102">
        <f t="shared" si="46"/>
        <v>0</v>
      </c>
      <c r="AV47" s="102">
        <f t="shared" si="46"/>
        <v>6.3E-2</v>
      </c>
      <c r="AW47" s="102">
        <f t="shared" si="46"/>
        <v>0</v>
      </c>
      <c r="AX47" s="102">
        <f t="shared" si="46"/>
        <v>0</v>
      </c>
      <c r="AY47" s="102">
        <f t="shared" si="46"/>
        <v>0</v>
      </c>
      <c r="AZ47" s="102">
        <f t="shared" si="46"/>
        <v>0</v>
      </c>
      <c r="BA47" s="102">
        <f t="shared" si="46"/>
        <v>0</v>
      </c>
      <c r="BB47" s="102">
        <f t="shared" si="46"/>
        <v>0</v>
      </c>
      <c r="BC47" s="102">
        <f t="shared" si="46"/>
        <v>5.0000000000000001E-3</v>
      </c>
      <c r="BD47" s="102">
        <f t="shared" si="47"/>
        <v>1.0999999999999999E-2</v>
      </c>
      <c r="BE47" s="102">
        <f t="shared" si="47"/>
        <v>0</v>
      </c>
      <c r="BF47" s="102">
        <f t="shared" si="47"/>
        <v>0</v>
      </c>
      <c r="BG47" s="102">
        <f t="shared" si="47"/>
        <v>0</v>
      </c>
      <c r="BH47" s="102">
        <f t="shared" si="47"/>
        <v>0</v>
      </c>
      <c r="BI47" s="102">
        <f t="shared" si="47"/>
        <v>0</v>
      </c>
      <c r="BJ47" s="102">
        <f t="shared" si="47"/>
        <v>0</v>
      </c>
      <c r="BK47" s="102">
        <f t="shared" si="47"/>
        <v>0</v>
      </c>
      <c r="BL47" s="102">
        <f t="shared" si="47"/>
        <v>0</v>
      </c>
      <c r="BM47" s="102">
        <f t="shared" si="47"/>
        <v>0</v>
      </c>
      <c r="BN47" s="102">
        <f t="shared" si="47"/>
        <v>0</v>
      </c>
      <c r="BO47" s="102">
        <f t="shared" si="47"/>
        <v>3.6999999999999998E-2</v>
      </c>
      <c r="BU47" t="s">
        <v>126</v>
      </c>
      <c r="BW47" s="102">
        <f t="shared" si="45"/>
        <v>0</v>
      </c>
      <c r="BX47" s="102">
        <f>IF(BX12&lt;0,BX31+BX12,0)</f>
        <v>196.96237202769919</v>
      </c>
      <c r="BY47" s="102">
        <f t="shared" si="44"/>
        <v>35.006266092780095</v>
      </c>
      <c r="BZ47" s="102">
        <f t="shared" si="44"/>
        <v>0</v>
      </c>
      <c r="CA47" s="102">
        <f t="shared" si="44"/>
        <v>0</v>
      </c>
      <c r="CB47" s="102">
        <f t="shared" si="44"/>
        <v>0</v>
      </c>
      <c r="CC47" s="102">
        <f t="shared" si="44"/>
        <v>424.08422752762209</v>
      </c>
      <c r="CD47" s="102">
        <f t="shared" si="44"/>
        <v>0</v>
      </c>
      <c r="CE47" s="102">
        <f t="shared" si="44"/>
        <v>0</v>
      </c>
      <c r="CF47" s="102">
        <f t="shared" si="44"/>
        <v>0</v>
      </c>
      <c r="CG47" s="102">
        <f t="shared" si="44"/>
        <v>0</v>
      </c>
      <c r="CH47" s="102">
        <f t="shared" si="44"/>
        <v>8118.594016872381</v>
      </c>
      <c r="CI47" s="102">
        <f t="shared" si="44"/>
        <v>0</v>
      </c>
      <c r="CJ47" s="102">
        <f t="shared" si="44"/>
        <v>0</v>
      </c>
      <c r="CK47" s="102">
        <f t="shared" si="44"/>
        <v>0</v>
      </c>
      <c r="CL47" s="102">
        <f t="shared" si="44"/>
        <v>0</v>
      </c>
      <c r="CM47" s="102">
        <f t="shared" si="44"/>
        <v>0</v>
      </c>
      <c r="CN47" s="102">
        <f t="shared" si="44"/>
        <v>683.87420856718677</v>
      </c>
      <c r="CO47" s="102">
        <f t="shared" si="44"/>
        <v>1776.2214338862045</v>
      </c>
      <c r="CP47" s="102">
        <f t="shared" si="44"/>
        <v>0</v>
      </c>
      <c r="CQ47" s="102">
        <f t="shared" si="44"/>
        <v>400.32656541374399</v>
      </c>
      <c r="CR47" s="102">
        <f t="shared" si="44"/>
        <v>0</v>
      </c>
      <c r="CS47" s="102">
        <f t="shared" si="44"/>
        <v>297.25984379497186</v>
      </c>
      <c r="CT47" s="102">
        <f t="shared" si="44"/>
        <v>0</v>
      </c>
      <c r="CU47" s="102">
        <f t="shared" si="44"/>
        <v>0</v>
      </c>
      <c r="CV47" s="102">
        <f t="shared" si="44"/>
        <v>0</v>
      </c>
      <c r="CW47" s="102">
        <f t="shared" si="44"/>
        <v>0</v>
      </c>
      <c r="CX47" s="102">
        <f t="shared" si="44"/>
        <v>0</v>
      </c>
    </row>
    <row r="48" spans="6:102" x14ac:dyDescent="0.25">
      <c r="F48" t="s">
        <v>128</v>
      </c>
      <c r="G48" t="s">
        <v>1266</v>
      </c>
      <c r="H48" s="193">
        <f t="shared" si="43"/>
        <v>1</v>
      </c>
      <c r="I48" s="193">
        <f t="shared" si="43"/>
        <v>1</v>
      </c>
      <c r="J48" s="193">
        <f t="shared" si="43"/>
        <v>1</v>
      </c>
      <c r="K48" s="193">
        <f t="shared" si="43"/>
        <v>0</v>
      </c>
      <c r="L48" s="193">
        <f t="shared" si="43"/>
        <v>0.7403000637544801</v>
      </c>
      <c r="M48" s="193">
        <f t="shared" si="43"/>
        <v>0.99340578210064179</v>
      </c>
      <c r="N48" s="193">
        <f t="shared" si="43"/>
        <v>0</v>
      </c>
      <c r="O48" s="193">
        <f t="shared" si="43"/>
        <v>1</v>
      </c>
      <c r="P48" s="193">
        <f t="shared" si="43"/>
        <v>0.68182408024360952</v>
      </c>
      <c r="Q48" s="193">
        <f t="shared" si="43"/>
        <v>0.20224410746172139</v>
      </c>
      <c r="R48" s="193">
        <f t="shared" si="43"/>
        <v>1</v>
      </c>
      <c r="S48" s="193">
        <f t="shared" si="43"/>
        <v>1</v>
      </c>
      <c r="T48" s="193">
        <f t="shared" si="43"/>
        <v>0.61525435894495417</v>
      </c>
      <c r="U48" s="193">
        <f t="shared" si="43"/>
        <v>0</v>
      </c>
      <c r="V48" s="193">
        <f t="shared" si="43"/>
        <v>0.31387785554491432</v>
      </c>
      <c r="W48" s="193">
        <f t="shared" si="43"/>
        <v>0.50450193776577978</v>
      </c>
      <c r="X48" s="193">
        <f t="shared" si="43"/>
        <v>0.67273245801624615</v>
      </c>
      <c r="Y48" s="193">
        <f t="shared" si="43"/>
        <v>1</v>
      </c>
      <c r="Z48" s="193">
        <f t="shared" si="43"/>
        <v>1</v>
      </c>
      <c r="AA48" s="193">
        <f t="shared" si="43"/>
        <v>0.75891184896236896</v>
      </c>
      <c r="AB48" s="193">
        <f t="shared" si="43"/>
        <v>0.38433493252592765</v>
      </c>
      <c r="AC48" s="193">
        <f t="shared" si="43"/>
        <v>0.84200026929767746</v>
      </c>
      <c r="AD48" s="193">
        <f t="shared" si="43"/>
        <v>1</v>
      </c>
      <c r="AE48" s="193">
        <f t="shared" si="43"/>
        <v>1</v>
      </c>
      <c r="AF48" s="193">
        <f t="shared" si="43"/>
        <v>1</v>
      </c>
      <c r="AG48" s="193">
        <f t="shared" si="43"/>
        <v>1</v>
      </c>
      <c r="AH48" s="193">
        <f t="shared" si="43"/>
        <v>0.45011841792357754</v>
      </c>
      <c r="AI48" s="193">
        <f>1-AI32</f>
        <v>0.84197054926416759</v>
      </c>
      <c r="AM48" t="s">
        <v>120</v>
      </c>
      <c r="AN48" s="102">
        <f t="shared" si="46"/>
        <v>0</v>
      </c>
      <c r="AO48" s="102">
        <f t="shared" si="46"/>
        <v>8.7999999999999995E-2</v>
      </c>
      <c r="AP48" s="102">
        <f t="shared" si="46"/>
        <v>0</v>
      </c>
      <c r="AQ48" s="102">
        <f t="shared" si="46"/>
        <v>12.959258430684628</v>
      </c>
      <c r="AR48" s="102">
        <f t="shared" si="46"/>
        <v>35.015428716150204</v>
      </c>
      <c r="AS48" s="102">
        <f t="shared" si="46"/>
        <v>61.704200253562902</v>
      </c>
      <c r="AT48" s="102">
        <f t="shared" si="46"/>
        <v>0</v>
      </c>
      <c r="AU48" s="102">
        <f t="shared" si="46"/>
        <v>0</v>
      </c>
      <c r="AV48" s="102">
        <f t="shared" si="46"/>
        <v>24.849725936014103</v>
      </c>
      <c r="AW48" s="102">
        <f t="shared" si="46"/>
        <v>8.1790000000000003</v>
      </c>
      <c r="AX48" s="102">
        <f t="shared" si="46"/>
        <v>0</v>
      </c>
      <c r="AY48" s="102">
        <f t="shared" si="46"/>
        <v>0</v>
      </c>
      <c r="AZ48" s="102">
        <f t="shared" si="46"/>
        <v>7.157</v>
      </c>
      <c r="BA48" s="102">
        <f t="shared" si="46"/>
        <v>0.72699999999999998</v>
      </c>
      <c r="BB48" s="102">
        <f t="shared" si="46"/>
        <v>2.1429999999999998</v>
      </c>
      <c r="BC48" s="102">
        <f t="shared" si="46"/>
        <v>6.4260000000000002</v>
      </c>
      <c r="BD48" s="102">
        <f t="shared" si="47"/>
        <v>2.145</v>
      </c>
      <c r="BE48" s="102">
        <f t="shared" si="47"/>
        <v>0</v>
      </c>
      <c r="BF48" s="102">
        <f t="shared" si="47"/>
        <v>0</v>
      </c>
      <c r="BG48" s="102">
        <f t="shared" si="47"/>
        <v>1.3420000000000003</v>
      </c>
      <c r="BH48" s="102">
        <f t="shared" si="47"/>
        <v>0</v>
      </c>
      <c r="BI48" s="102">
        <f t="shared" si="47"/>
        <v>4.0975268787439783</v>
      </c>
      <c r="BJ48" s="102">
        <f t="shared" si="47"/>
        <v>0</v>
      </c>
      <c r="BK48" s="102">
        <f t="shared" si="47"/>
        <v>0</v>
      </c>
      <c r="BL48" s="102">
        <f t="shared" si="47"/>
        <v>0</v>
      </c>
      <c r="BM48" s="102">
        <f t="shared" si="47"/>
        <v>0</v>
      </c>
      <c r="BN48" s="102">
        <f t="shared" si="47"/>
        <v>0</v>
      </c>
      <c r="BO48" s="102">
        <f t="shared" si="47"/>
        <v>0</v>
      </c>
      <c r="BU48" t="s">
        <v>128</v>
      </c>
      <c r="BW48" s="102">
        <f t="shared" si="45"/>
        <v>0</v>
      </c>
      <c r="BX48" s="102">
        <f t="shared" si="45"/>
        <v>207.40914597880368</v>
      </c>
      <c r="BY48" s="102">
        <f t="shared" si="44"/>
        <v>53.701932384482625</v>
      </c>
      <c r="BZ48" s="102">
        <f t="shared" si="44"/>
        <v>9.2718199327488104</v>
      </c>
      <c r="CA48" s="102">
        <f t="shared" si="44"/>
        <v>0</v>
      </c>
      <c r="CB48" s="102">
        <f t="shared" si="44"/>
        <v>0</v>
      </c>
      <c r="CC48" s="102">
        <f t="shared" si="44"/>
        <v>413.82518704809809</v>
      </c>
      <c r="CD48" s="102">
        <f t="shared" si="44"/>
        <v>0</v>
      </c>
      <c r="CE48" s="102">
        <f t="shared" si="44"/>
        <v>0</v>
      </c>
      <c r="CF48" s="102">
        <f t="shared" si="44"/>
        <v>0</v>
      </c>
      <c r="CG48" s="102">
        <f t="shared" si="44"/>
        <v>0</v>
      </c>
      <c r="CH48" s="102">
        <f t="shared" si="44"/>
        <v>2314.1310223556015</v>
      </c>
      <c r="CI48" s="102">
        <f t="shared" si="44"/>
        <v>0</v>
      </c>
      <c r="CJ48" s="102">
        <f t="shared" si="44"/>
        <v>0.60104664680519448</v>
      </c>
      <c r="CK48" s="102">
        <f t="shared" si="44"/>
        <v>0</v>
      </c>
      <c r="CL48" s="102">
        <f t="shared" si="44"/>
        <v>0</v>
      </c>
      <c r="CM48" s="102">
        <f t="shared" si="44"/>
        <v>0</v>
      </c>
      <c r="CN48" s="102">
        <f t="shared" si="44"/>
        <v>308.3679223514618</v>
      </c>
      <c r="CO48" s="102">
        <f t="shared" si="44"/>
        <v>257.04355171329775</v>
      </c>
      <c r="CP48" s="102">
        <f t="shared" si="44"/>
        <v>0</v>
      </c>
      <c r="CQ48" s="102">
        <f t="shared" si="44"/>
        <v>0</v>
      </c>
      <c r="CR48" s="102">
        <f t="shared" si="44"/>
        <v>0</v>
      </c>
      <c r="CS48" s="102">
        <f t="shared" si="44"/>
        <v>3215.7083293179685</v>
      </c>
      <c r="CT48" s="102">
        <f t="shared" si="44"/>
        <v>84.305730587865455</v>
      </c>
      <c r="CU48" s="102">
        <f t="shared" si="44"/>
        <v>0</v>
      </c>
      <c r="CV48" s="102">
        <f t="shared" si="44"/>
        <v>0.13358748676586885</v>
      </c>
      <c r="CW48" s="102">
        <f t="shared" si="44"/>
        <v>0</v>
      </c>
      <c r="CX48" s="102">
        <f t="shared" si="44"/>
        <v>0</v>
      </c>
    </row>
    <row r="49" spans="3:102" x14ac:dyDescent="0.25">
      <c r="F49" t="s">
        <v>130</v>
      </c>
      <c r="G49" t="s">
        <v>1266</v>
      </c>
      <c r="H49" s="193">
        <f t="shared" si="43"/>
        <v>1</v>
      </c>
      <c r="I49" s="193">
        <f t="shared" si="43"/>
        <v>1</v>
      </c>
      <c r="J49" s="193">
        <f t="shared" si="43"/>
        <v>1</v>
      </c>
      <c r="K49" s="193">
        <f t="shared" si="43"/>
        <v>1</v>
      </c>
      <c r="L49" s="193">
        <f t="shared" si="43"/>
        <v>1</v>
      </c>
      <c r="M49" s="193">
        <f t="shared" ref="M49:AI49" si="48">1-M33</f>
        <v>1</v>
      </c>
      <c r="N49" s="193">
        <f t="shared" si="48"/>
        <v>1</v>
      </c>
      <c r="O49" s="193">
        <f t="shared" si="48"/>
        <v>1</v>
      </c>
      <c r="P49" s="193">
        <f t="shared" si="48"/>
        <v>1</v>
      </c>
      <c r="Q49" s="193">
        <f t="shared" si="48"/>
        <v>1</v>
      </c>
      <c r="R49" s="193">
        <f t="shared" si="48"/>
        <v>1</v>
      </c>
      <c r="S49" s="193">
        <f t="shared" si="48"/>
        <v>1</v>
      </c>
      <c r="T49" s="193">
        <f t="shared" si="48"/>
        <v>1</v>
      </c>
      <c r="U49" s="193">
        <f t="shared" si="48"/>
        <v>1</v>
      </c>
      <c r="V49" s="193">
        <f t="shared" si="48"/>
        <v>1</v>
      </c>
      <c r="W49" s="193">
        <f t="shared" si="48"/>
        <v>1</v>
      </c>
      <c r="X49" s="193">
        <f t="shared" si="48"/>
        <v>1</v>
      </c>
      <c r="Y49" s="193">
        <f t="shared" si="48"/>
        <v>1</v>
      </c>
      <c r="Z49" s="193">
        <f t="shared" si="48"/>
        <v>1</v>
      </c>
      <c r="AA49" s="193">
        <f t="shared" si="48"/>
        <v>1</v>
      </c>
      <c r="AB49" s="193">
        <f t="shared" si="48"/>
        <v>1</v>
      </c>
      <c r="AC49" s="193">
        <f t="shared" si="48"/>
        <v>1</v>
      </c>
      <c r="AD49" s="193">
        <f t="shared" si="48"/>
        <v>1</v>
      </c>
      <c r="AE49" s="193">
        <f t="shared" si="48"/>
        <v>1</v>
      </c>
      <c r="AF49" s="193">
        <f t="shared" si="48"/>
        <v>1</v>
      </c>
      <c r="AG49" s="193">
        <f t="shared" si="48"/>
        <v>1</v>
      </c>
      <c r="AH49" s="193">
        <f t="shared" si="48"/>
        <v>1</v>
      </c>
      <c r="AI49" s="193">
        <f t="shared" si="48"/>
        <v>1</v>
      </c>
      <c r="AM49" t="s">
        <v>122</v>
      </c>
      <c r="AN49" s="102">
        <f t="shared" si="46"/>
        <v>0</v>
      </c>
      <c r="AO49" s="102">
        <f t="shared" si="46"/>
        <v>0</v>
      </c>
      <c r="AP49" s="102">
        <f t="shared" si="46"/>
        <v>0</v>
      </c>
      <c r="AQ49" s="102">
        <f t="shared" si="46"/>
        <v>0</v>
      </c>
      <c r="AR49" s="102">
        <f t="shared" si="46"/>
        <v>0</v>
      </c>
      <c r="AS49" s="102">
        <f t="shared" si="46"/>
        <v>0</v>
      </c>
      <c r="AT49" s="102">
        <f t="shared" si="46"/>
        <v>0</v>
      </c>
      <c r="AU49" s="102">
        <f t="shared" si="46"/>
        <v>0</v>
      </c>
      <c r="AV49" s="102">
        <f t="shared" si="46"/>
        <v>0</v>
      </c>
      <c r="AW49" s="102">
        <f t="shared" si="46"/>
        <v>0</v>
      </c>
      <c r="AX49" s="102">
        <f t="shared" si="46"/>
        <v>0</v>
      </c>
      <c r="AY49" s="102">
        <f t="shared" si="46"/>
        <v>0</v>
      </c>
      <c r="AZ49" s="102">
        <f t="shared" si="46"/>
        <v>0</v>
      </c>
      <c r="BA49" s="102">
        <f t="shared" si="46"/>
        <v>0</v>
      </c>
      <c r="BB49" s="102">
        <f t="shared" si="46"/>
        <v>7.9000000000000001E-2</v>
      </c>
      <c r="BC49" s="102">
        <f t="shared" si="46"/>
        <v>0</v>
      </c>
      <c r="BD49" s="102">
        <f t="shared" si="47"/>
        <v>0</v>
      </c>
      <c r="BE49" s="102">
        <f t="shared" si="47"/>
        <v>0</v>
      </c>
      <c r="BF49" s="102">
        <f t="shared" si="47"/>
        <v>0</v>
      </c>
      <c r="BG49" s="102">
        <f t="shared" si="47"/>
        <v>0</v>
      </c>
      <c r="BH49" s="102">
        <f t="shared" si="47"/>
        <v>0</v>
      </c>
      <c r="BI49" s="102">
        <f t="shared" si="47"/>
        <v>0</v>
      </c>
      <c r="BJ49" s="102">
        <f t="shared" si="47"/>
        <v>0</v>
      </c>
      <c r="BK49" s="102">
        <f t="shared" si="47"/>
        <v>0</v>
      </c>
      <c r="BL49" s="102">
        <f t="shared" si="47"/>
        <v>0</v>
      </c>
      <c r="BM49" s="102">
        <f t="shared" si="47"/>
        <v>0</v>
      </c>
      <c r="BN49" s="102">
        <f t="shared" si="47"/>
        <v>0</v>
      </c>
      <c r="BO49" s="102">
        <f t="shared" si="47"/>
        <v>0</v>
      </c>
      <c r="BU49" t="s">
        <v>130</v>
      </c>
      <c r="BW49" s="102">
        <f t="shared" si="45"/>
        <v>0</v>
      </c>
      <c r="BX49" s="102">
        <f t="shared" si="45"/>
        <v>0</v>
      </c>
      <c r="BY49" s="102">
        <f t="shared" si="44"/>
        <v>0</v>
      </c>
      <c r="BZ49" s="102">
        <f t="shared" si="44"/>
        <v>0</v>
      </c>
      <c r="CA49" s="102">
        <f t="shared" si="44"/>
        <v>0</v>
      </c>
      <c r="CB49" s="102">
        <f t="shared" si="44"/>
        <v>0</v>
      </c>
      <c r="CC49" s="102">
        <f t="shared" si="44"/>
        <v>0</v>
      </c>
      <c r="CD49" s="102">
        <f t="shared" si="44"/>
        <v>0</v>
      </c>
      <c r="CE49" s="102">
        <f t="shared" si="44"/>
        <v>0</v>
      </c>
      <c r="CF49" s="102">
        <f t="shared" si="44"/>
        <v>0</v>
      </c>
      <c r="CG49" s="102">
        <f t="shared" si="44"/>
        <v>0</v>
      </c>
      <c r="CH49" s="102">
        <f t="shared" si="44"/>
        <v>0</v>
      </c>
      <c r="CI49" s="102">
        <f t="shared" si="44"/>
        <v>0</v>
      </c>
      <c r="CJ49" s="102">
        <f t="shared" si="44"/>
        <v>0</v>
      </c>
      <c r="CK49" s="102">
        <f t="shared" si="44"/>
        <v>0</v>
      </c>
      <c r="CL49" s="102">
        <f t="shared" si="44"/>
        <v>0</v>
      </c>
      <c r="CM49" s="102">
        <f t="shared" si="44"/>
        <v>0</v>
      </c>
      <c r="CN49" s="102">
        <f t="shared" si="44"/>
        <v>0</v>
      </c>
      <c r="CO49" s="102">
        <f t="shared" si="44"/>
        <v>0</v>
      </c>
      <c r="CP49" s="102">
        <f t="shared" si="44"/>
        <v>0</v>
      </c>
      <c r="CQ49" s="102">
        <f t="shared" si="44"/>
        <v>0</v>
      </c>
      <c r="CR49" s="102">
        <f t="shared" si="44"/>
        <v>0</v>
      </c>
      <c r="CS49" s="102">
        <f t="shared" si="44"/>
        <v>0</v>
      </c>
      <c r="CT49" s="102">
        <f t="shared" ref="CT49:CX49" si="49">IF(CT14&lt;0,CT33+CT14,0)</f>
        <v>0</v>
      </c>
      <c r="CU49" s="102">
        <f t="shared" si="49"/>
        <v>0</v>
      </c>
      <c r="CV49" s="102">
        <f t="shared" si="49"/>
        <v>0</v>
      </c>
      <c r="CW49" s="102">
        <f t="shared" si="49"/>
        <v>0</v>
      </c>
      <c r="CX49" s="102">
        <f t="shared" si="49"/>
        <v>0</v>
      </c>
    </row>
    <row r="50" spans="3:102" x14ac:dyDescent="0.25">
      <c r="F50" t="s">
        <v>132</v>
      </c>
      <c r="G50" t="s">
        <v>1266</v>
      </c>
      <c r="H50" s="193">
        <f t="shared" ref="H50:AI51" si="50">1-H34</f>
        <v>1</v>
      </c>
      <c r="I50" s="193">
        <f t="shared" si="50"/>
        <v>1</v>
      </c>
      <c r="J50" s="193">
        <f t="shared" si="50"/>
        <v>1</v>
      </c>
      <c r="K50" s="193">
        <f t="shared" si="50"/>
        <v>1</v>
      </c>
      <c r="L50" s="193">
        <f t="shared" si="50"/>
        <v>1</v>
      </c>
      <c r="M50" s="193">
        <f t="shared" si="50"/>
        <v>1</v>
      </c>
      <c r="N50" s="193">
        <f t="shared" si="50"/>
        <v>1</v>
      </c>
      <c r="O50" s="193">
        <f t="shared" si="50"/>
        <v>1</v>
      </c>
      <c r="P50" s="193">
        <f t="shared" si="50"/>
        <v>1</v>
      </c>
      <c r="Q50" s="193">
        <f t="shared" si="50"/>
        <v>1</v>
      </c>
      <c r="R50" s="193">
        <f t="shared" si="50"/>
        <v>1</v>
      </c>
      <c r="S50" s="193">
        <f t="shared" si="50"/>
        <v>1</v>
      </c>
      <c r="T50" s="193">
        <f t="shared" si="50"/>
        <v>1</v>
      </c>
      <c r="U50" s="193">
        <f t="shared" si="50"/>
        <v>1</v>
      </c>
      <c r="V50" s="193">
        <f t="shared" si="50"/>
        <v>1</v>
      </c>
      <c r="W50" s="193">
        <f t="shared" si="50"/>
        <v>1</v>
      </c>
      <c r="X50" s="193">
        <f t="shared" si="50"/>
        <v>1</v>
      </c>
      <c r="Y50" s="193">
        <f t="shared" si="50"/>
        <v>1</v>
      </c>
      <c r="Z50" s="193">
        <f t="shared" si="50"/>
        <v>1</v>
      </c>
      <c r="AA50" s="193">
        <f t="shared" si="50"/>
        <v>1</v>
      </c>
      <c r="AB50" s="193">
        <f t="shared" si="50"/>
        <v>1</v>
      </c>
      <c r="AC50" s="193">
        <f t="shared" si="50"/>
        <v>1</v>
      </c>
      <c r="AD50" s="193">
        <f t="shared" si="50"/>
        <v>1</v>
      </c>
      <c r="AE50" s="193">
        <f t="shared" si="50"/>
        <v>1</v>
      </c>
      <c r="AF50" s="193">
        <f t="shared" si="50"/>
        <v>1</v>
      </c>
      <c r="AG50" s="193">
        <f t="shared" si="50"/>
        <v>1</v>
      </c>
      <c r="AH50" s="193">
        <f t="shared" si="50"/>
        <v>1</v>
      </c>
      <c r="AI50" s="193">
        <f t="shared" si="50"/>
        <v>1</v>
      </c>
      <c r="AM50" t="s">
        <v>124</v>
      </c>
      <c r="AN50" s="102">
        <f t="shared" si="46"/>
        <v>0</v>
      </c>
      <c r="AO50" s="102">
        <f t="shared" si="46"/>
        <v>0</v>
      </c>
      <c r="AP50" s="102">
        <f t="shared" si="46"/>
        <v>0</v>
      </c>
      <c r="AQ50" s="102">
        <f t="shared" si="46"/>
        <v>0</v>
      </c>
      <c r="AR50" s="102">
        <f t="shared" si="46"/>
        <v>3.8660000000000001</v>
      </c>
      <c r="AS50" s="102">
        <f t="shared" si="46"/>
        <v>3.0390000000000001</v>
      </c>
      <c r="AT50" s="102">
        <f t="shared" si="46"/>
        <v>0</v>
      </c>
      <c r="AU50" s="102">
        <f t="shared" si="46"/>
        <v>0</v>
      </c>
      <c r="AV50" s="102">
        <f t="shared" si="46"/>
        <v>10.949</v>
      </c>
      <c r="AW50" s="102">
        <f t="shared" si="46"/>
        <v>0.34300000000000003</v>
      </c>
      <c r="AX50" s="102">
        <f t="shared" si="46"/>
        <v>0</v>
      </c>
      <c r="AY50" s="102">
        <f t="shared" si="46"/>
        <v>0</v>
      </c>
      <c r="AZ50" s="102">
        <f t="shared" si="46"/>
        <v>0</v>
      </c>
      <c r="BA50" s="102">
        <f t="shared" si="46"/>
        <v>0</v>
      </c>
      <c r="BB50" s="102">
        <f t="shared" si="46"/>
        <v>0.98799999999999999</v>
      </c>
      <c r="BC50" s="102">
        <f t="shared" si="46"/>
        <v>0.113</v>
      </c>
      <c r="BD50" s="102">
        <f t="shared" si="47"/>
        <v>0.67700000000000005</v>
      </c>
      <c r="BE50" s="102">
        <f t="shared" si="47"/>
        <v>0</v>
      </c>
      <c r="BF50" s="102">
        <f t="shared" si="47"/>
        <v>0</v>
      </c>
      <c r="BG50" s="102">
        <f t="shared" si="47"/>
        <v>5.5030000000000001</v>
      </c>
      <c r="BH50" s="102">
        <f t="shared" si="47"/>
        <v>1E-3</v>
      </c>
      <c r="BI50" s="102">
        <f t="shared" si="47"/>
        <v>0.13500000000000001</v>
      </c>
      <c r="BJ50" s="102">
        <f t="shared" si="47"/>
        <v>0</v>
      </c>
      <c r="BK50" s="102">
        <f t="shared" si="47"/>
        <v>0</v>
      </c>
      <c r="BL50" s="102">
        <f t="shared" si="47"/>
        <v>0</v>
      </c>
      <c r="BM50" s="102">
        <f t="shared" si="47"/>
        <v>0</v>
      </c>
      <c r="BN50" s="102">
        <f t="shared" si="47"/>
        <v>0</v>
      </c>
      <c r="BO50" s="102">
        <f t="shared" si="47"/>
        <v>0</v>
      </c>
      <c r="BU50" t="s">
        <v>132</v>
      </c>
      <c r="BW50" s="102">
        <f t="shared" si="45"/>
        <v>0</v>
      </c>
      <c r="BX50" s="102">
        <f t="shared" si="45"/>
        <v>0</v>
      </c>
      <c r="BY50" s="102">
        <f t="shared" si="45"/>
        <v>0</v>
      </c>
      <c r="BZ50" s="102">
        <f t="shared" si="45"/>
        <v>0</v>
      </c>
      <c r="CA50" s="102">
        <f t="shared" si="45"/>
        <v>0</v>
      </c>
      <c r="CB50" s="102">
        <f t="shared" si="45"/>
        <v>0</v>
      </c>
      <c r="CC50" s="102">
        <f t="shared" si="45"/>
        <v>0</v>
      </c>
      <c r="CD50" s="102">
        <f t="shared" si="45"/>
        <v>0</v>
      </c>
      <c r="CE50" s="102">
        <f t="shared" si="45"/>
        <v>0</v>
      </c>
      <c r="CF50" s="102">
        <f t="shared" si="45"/>
        <v>0</v>
      </c>
      <c r="CG50" s="102">
        <f t="shared" si="45"/>
        <v>0</v>
      </c>
      <c r="CH50" s="102">
        <f t="shared" si="45"/>
        <v>0</v>
      </c>
      <c r="CI50" s="102">
        <f t="shared" si="45"/>
        <v>0</v>
      </c>
      <c r="CJ50" s="102">
        <f t="shared" si="45"/>
        <v>0</v>
      </c>
      <c r="CK50" s="102">
        <f t="shared" si="45"/>
        <v>0</v>
      </c>
      <c r="CL50" s="102">
        <f t="shared" si="45"/>
        <v>0</v>
      </c>
      <c r="CM50" s="102">
        <f t="shared" ref="CM50:CX54" si="51">IF(CM15&lt;0,CM34+CM15,0)</f>
        <v>0</v>
      </c>
      <c r="CN50" s="102">
        <f t="shared" si="51"/>
        <v>0</v>
      </c>
      <c r="CO50" s="102">
        <f t="shared" si="51"/>
        <v>0</v>
      </c>
      <c r="CP50" s="102">
        <f t="shared" si="51"/>
        <v>0</v>
      </c>
      <c r="CQ50" s="102">
        <f t="shared" si="51"/>
        <v>0</v>
      </c>
      <c r="CR50" s="102">
        <f t="shared" si="51"/>
        <v>0</v>
      </c>
      <c r="CS50" s="102">
        <f t="shared" si="51"/>
        <v>0</v>
      </c>
      <c r="CT50" s="102">
        <f t="shared" si="51"/>
        <v>0</v>
      </c>
      <c r="CU50" s="102">
        <f t="shared" si="51"/>
        <v>0</v>
      </c>
      <c r="CV50" s="102">
        <f t="shared" si="51"/>
        <v>0</v>
      </c>
      <c r="CW50" s="102">
        <f t="shared" si="51"/>
        <v>0</v>
      </c>
      <c r="CX50" s="102">
        <f t="shared" si="51"/>
        <v>0</v>
      </c>
    </row>
    <row r="51" spans="3:102" x14ac:dyDescent="0.25">
      <c r="F51" t="s">
        <v>134</v>
      </c>
      <c r="G51" t="s">
        <v>1266</v>
      </c>
      <c r="H51" s="193">
        <f t="shared" si="50"/>
        <v>1</v>
      </c>
      <c r="I51" s="193">
        <f t="shared" si="50"/>
        <v>1</v>
      </c>
      <c r="J51" s="193">
        <f t="shared" si="50"/>
        <v>0.61657031041191412</v>
      </c>
      <c r="K51" s="193">
        <f t="shared" si="50"/>
        <v>0</v>
      </c>
      <c r="L51" s="193">
        <f t="shared" si="50"/>
        <v>1</v>
      </c>
      <c r="M51" s="193">
        <f t="shared" si="50"/>
        <v>0.57881958375240727</v>
      </c>
      <c r="N51" s="193">
        <f t="shared" si="50"/>
        <v>0</v>
      </c>
      <c r="O51" s="193">
        <f t="shared" si="50"/>
        <v>1</v>
      </c>
      <c r="P51" s="193">
        <f t="shared" si="50"/>
        <v>0.87493584468355445</v>
      </c>
      <c r="Q51" s="193">
        <f t="shared" si="50"/>
        <v>1</v>
      </c>
      <c r="R51" s="193">
        <f t="shared" si="50"/>
        <v>1</v>
      </c>
      <c r="S51" s="193">
        <f t="shared" si="50"/>
        <v>0.53067232879412574</v>
      </c>
      <c r="T51" s="193">
        <f t="shared" si="50"/>
        <v>1</v>
      </c>
      <c r="U51" s="193">
        <f t="shared" si="50"/>
        <v>1</v>
      </c>
      <c r="V51" s="193">
        <f t="shared" si="50"/>
        <v>1</v>
      </c>
      <c r="W51" s="193">
        <f t="shared" si="50"/>
        <v>1</v>
      </c>
      <c r="X51" s="193">
        <f t="shared" si="50"/>
        <v>1</v>
      </c>
      <c r="Y51" s="193">
        <f t="shared" si="50"/>
        <v>1</v>
      </c>
      <c r="Z51" s="193">
        <f t="shared" si="50"/>
        <v>0</v>
      </c>
      <c r="AA51" s="193">
        <f t="shared" si="50"/>
        <v>1</v>
      </c>
      <c r="AB51" s="193">
        <f t="shared" si="50"/>
        <v>0</v>
      </c>
      <c r="AC51" s="193">
        <f t="shared" si="50"/>
        <v>0</v>
      </c>
      <c r="AD51" s="193">
        <f t="shared" si="50"/>
        <v>1</v>
      </c>
      <c r="AE51" s="193">
        <f t="shared" si="50"/>
        <v>1</v>
      </c>
      <c r="AF51" s="193">
        <f t="shared" si="50"/>
        <v>1</v>
      </c>
      <c r="AG51" s="193">
        <f t="shared" si="50"/>
        <v>1</v>
      </c>
      <c r="AH51" s="193">
        <f t="shared" si="50"/>
        <v>1</v>
      </c>
      <c r="AI51" s="193">
        <f t="shared" si="50"/>
        <v>1</v>
      </c>
      <c r="AM51" t="s">
        <v>126</v>
      </c>
      <c r="AN51" s="102">
        <f t="shared" si="46"/>
        <v>0</v>
      </c>
      <c r="AO51" s="102">
        <f t="shared" si="46"/>
        <v>0</v>
      </c>
      <c r="AP51" s="102">
        <f t="shared" si="46"/>
        <v>0</v>
      </c>
      <c r="AQ51" s="102">
        <f t="shared" si="46"/>
        <v>37.053505494490523</v>
      </c>
      <c r="AR51" s="102">
        <f t="shared" si="46"/>
        <v>30.049292374600679</v>
      </c>
      <c r="AS51" s="102">
        <f t="shared" si="46"/>
        <v>41.507993064825712</v>
      </c>
      <c r="AT51" s="102">
        <f t="shared" si="46"/>
        <v>0</v>
      </c>
      <c r="AU51" s="102">
        <f t="shared" si="46"/>
        <v>0</v>
      </c>
      <c r="AV51" s="102">
        <f t="shared" si="46"/>
        <v>51.333680883787522</v>
      </c>
      <c r="AW51" s="102">
        <f t="shared" si="46"/>
        <v>49.449662325307955</v>
      </c>
      <c r="AX51" s="102">
        <f t="shared" si="46"/>
        <v>0</v>
      </c>
      <c r="AY51" s="102">
        <f t="shared" si="46"/>
        <v>0</v>
      </c>
      <c r="AZ51" s="102">
        <f t="shared" si="46"/>
        <v>6.692494832089829</v>
      </c>
      <c r="BA51" s="102">
        <f t="shared" si="46"/>
        <v>13.521730165987584</v>
      </c>
      <c r="BB51" s="102">
        <f t="shared" si="46"/>
        <v>6.9965853923679893</v>
      </c>
      <c r="BC51" s="102">
        <f t="shared" si="46"/>
        <v>30.168709728939469</v>
      </c>
      <c r="BD51" s="102">
        <f t="shared" si="47"/>
        <v>48.295353751561784</v>
      </c>
      <c r="BE51" s="102">
        <f t="shared" si="47"/>
        <v>0</v>
      </c>
      <c r="BF51" s="102">
        <f t="shared" si="47"/>
        <v>0</v>
      </c>
      <c r="BG51" s="102">
        <f t="shared" si="47"/>
        <v>40.221562401760451</v>
      </c>
      <c r="BH51" s="102">
        <f t="shared" si="47"/>
        <v>0</v>
      </c>
      <c r="BI51" s="102">
        <f t="shared" si="47"/>
        <v>8.8370166040260774</v>
      </c>
      <c r="BJ51" s="102">
        <f t="shared" si="47"/>
        <v>0</v>
      </c>
      <c r="BK51" s="102">
        <f t="shared" si="47"/>
        <v>2.7712694121345485</v>
      </c>
      <c r="BL51" s="102">
        <f t="shared" si="47"/>
        <v>0</v>
      </c>
      <c r="BM51" s="102">
        <f t="shared" si="47"/>
        <v>117.59469553888073</v>
      </c>
      <c r="BN51" s="102">
        <f t="shared" si="47"/>
        <v>30.400882426909778</v>
      </c>
      <c r="BO51" s="102">
        <f t="shared" si="47"/>
        <v>78.360513178741115</v>
      </c>
      <c r="BU51" t="s">
        <v>134</v>
      </c>
      <c r="BW51" s="102">
        <f t="shared" si="45"/>
        <v>0</v>
      </c>
      <c r="BX51" s="102">
        <f t="shared" si="45"/>
        <v>0</v>
      </c>
      <c r="BY51" s="102">
        <f t="shared" si="45"/>
        <v>0</v>
      </c>
      <c r="BZ51" s="102">
        <f t="shared" si="45"/>
        <v>17.304438938495455</v>
      </c>
      <c r="CA51" s="102">
        <f t="shared" si="45"/>
        <v>0</v>
      </c>
      <c r="CB51" s="102">
        <f t="shared" si="45"/>
        <v>0</v>
      </c>
      <c r="CC51" s="102">
        <f t="shared" si="45"/>
        <v>232.08277446089306</v>
      </c>
      <c r="CD51" s="102">
        <f t="shared" si="45"/>
        <v>0</v>
      </c>
      <c r="CE51" s="102">
        <f t="shared" si="45"/>
        <v>0</v>
      </c>
      <c r="CF51" s="102">
        <f t="shared" si="45"/>
        <v>0</v>
      </c>
      <c r="CG51" s="102">
        <f t="shared" si="45"/>
        <v>0</v>
      </c>
      <c r="CH51" s="102">
        <f t="shared" si="45"/>
        <v>0</v>
      </c>
      <c r="CI51" s="102">
        <f t="shared" si="45"/>
        <v>0</v>
      </c>
      <c r="CJ51" s="102">
        <f t="shared" si="45"/>
        <v>0</v>
      </c>
      <c r="CK51" s="102">
        <f t="shared" si="45"/>
        <v>0</v>
      </c>
      <c r="CL51" s="102">
        <f t="shared" si="45"/>
        <v>0</v>
      </c>
      <c r="CM51" s="102">
        <f t="shared" si="51"/>
        <v>0</v>
      </c>
      <c r="CN51" s="102">
        <f t="shared" si="51"/>
        <v>434.4335603560715</v>
      </c>
      <c r="CO51" s="102">
        <f t="shared" si="51"/>
        <v>146.65049873375094</v>
      </c>
      <c r="CP51" s="102">
        <f t="shared" si="51"/>
        <v>0</v>
      </c>
      <c r="CQ51" s="102">
        <f t="shared" si="51"/>
        <v>264.09786583723468</v>
      </c>
      <c r="CR51" s="102">
        <f t="shared" si="51"/>
        <v>54.778186785357157</v>
      </c>
      <c r="CS51" s="102">
        <f t="shared" si="51"/>
        <v>0</v>
      </c>
      <c r="CT51" s="102">
        <f t="shared" si="51"/>
        <v>0</v>
      </c>
      <c r="CU51" s="102">
        <f t="shared" si="51"/>
        <v>0</v>
      </c>
      <c r="CV51" s="102">
        <f t="shared" si="51"/>
        <v>0</v>
      </c>
      <c r="CW51" s="102">
        <f t="shared" si="51"/>
        <v>0</v>
      </c>
      <c r="CX51" s="102">
        <f t="shared" si="51"/>
        <v>0</v>
      </c>
    </row>
    <row r="52" spans="3:102" x14ac:dyDescent="0.25">
      <c r="F52" t="s">
        <v>1701</v>
      </c>
      <c r="G52" t="s">
        <v>1266</v>
      </c>
      <c r="H52" s="193">
        <v>1</v>
      </c>
      <c r="I52" s="193">
        <v>1</v>
      </c>
      <c r="J52" s="193">
        <v>1</v>
      </c>
      <c r="K52" s="193">
        <v>1</v>
      </c>
      <c r="L52" s="193">
        <v>1</v>
      </c>
      <c r="M52" s="193">
        <v>1</v>
      </c>
      <c r="N52" s="193">
        <v>1</v>
      </c>
      <c r="O52" s="193">
        <v>1</v>
      </c>
      <c r="P52" s="193">
        <v>1</v>
      </c>
      <c r="Q52" s="193">
        <v>1</v>
      </c>
      <c r="R52" s="193">
        <v>1</v>
      </c>
      <c r="S52" s="193">
        <v>1</v>
      </c>
      <c r="T52" s="193">
        <v>1</v>
      </c>
      <c r="U52" s="193">
        <v>1</v>
      </c>
      <c r="V52" s="193">
        <v>1</v>
      </c>
      <c r="W52" s="193">
        <v>1</v>
      </c>
      <c r="X52" s="193">
        <v>1</v>
      </c>
      <c r="Y52" s="193">
        <v>1</v>
      </c>
      <c r="Z52" s="193">
        <v>1</v>
      </c>
      <c r="AA52" s="193">
        <v>1</v>
      </c>
      <c r="AB52" s="193">
        <v>1</v>
      </c>
      <c r="AC52" s="193">
        <v>1</v>
      </c>
      <c r="AD52" s="193">
        <v>1</v>
      </c>
      <c r="AE52" s="193">
        <v>1</v>
      </c>
      <c r="AF52" s="193">
        <v>1</v>
      </c>
      <c r="AG52" s="193">
        <v>1</v>
      </c>
      <c r="AH52" s="193">
        <v>1</v>
      </c>
      <c r="AI52" s="193">
        <v>1</v>
      </c>
      <c r="AM52" t="s">
        <v>128</v>
      </c>
      <c r="AN52" s="102">
        <f t="shared" si="46"/>
        <v>0</v>
      </c>
      <c r="AO52" s="102">
        <f t="shared" si="46"/>
        <v>0</v>
      </c>
      <c r="AP52" s="102">
        <f t="shared" si="46"/>
        <v>0</v>
      </c>
      <c r="AQ52" s="102">
        <f t="shared" si="46"/>
        <v>0</v>
      </c>
      <c r="AR52" s="102">
        <f t="shared" si="46"/>
        <v>85.03308622303085</v>
      </c>
      <c r="AS52" s="102">
        <f t="shared" si="46"/>
        <v>4.2587305878654513</v>
      </c>
      <c r="AT52" s="102">
        <f t="shared" si="46"/>
        <v>0</v>
      </c>
      <c r="AU52" s="102">
        <f t="shared" si="46"/>
        <v>0</v>
      </c>
      <c r="AV52" s="102">
        <f t="shared" si="46"/>
        <v>11.03873185914404</v>
      </c>
      <c r="AW52" s="102">
        <f t="shared" si="46"/>
        <v>8.3051542729155887</v>
      </c>
      <c r="AX52" s="102">
        <f t="shared" si="46"/>
        <v>0</v>
      </c>
      <c r="AY52" s="102">
        <f t="shared" si="46"/>
        <v>0</v>
      </c>
      <c r="AZ52" s="102">
        <f t="shared" si="46"/>
        <v>5.3933197105114683</v>
      </c>
      <c r="BA52" s="102">
        <f t="shared" si="46"/>
        <v>0</v>
      </c>
      <c r="BB52" s="102">
        <f t="shared" si="46"/>
        <v>7.7399140398820423</v>
      </c>
      <c r="BC52" s="102">
        <f t="shared" si="46"/>
        <v>26.630639286904451</v>
      </c>
      <c r="BD52" s="102">
        <f t="shared" si="47"/>
        <v>44.132594710781781</v>
      </c>
      <c r="BE52" s="102">
        <f t="shared" si="47"/>
        <v>0</v>
      </c>
      <c r="BF52" s="102">
        <f t="shared" si="47"/>
        <v>0</v>
      </c>
      <c r="BG52" s="102">
        <f t="shared" si="47"/>
        <v>11.746437598239547</v>
      </c>
      <c r="BH52" s="102">
        <f t="shared" si="47"/>
        <v>1.2291031142179167</v>
      </c>
      <c r="BI52" s="102">
        <f t="shared" si="47"/>
        <v>9.4910270355234214</v>
      </c>
      <c r="BJ52" s="102">
        <f t="shared" si="47"/>
        <v>0</v>
      </c>
      <c r="BK52" s="102">
        <f t="shared" si="47"/>
        <v>0</v>
      </c>
      <c r="BL52" s="102">
        <f t="shared" si="47"/>
        <v>0</v>
      </c>
      <c r="BM52" s="102">
        <f t="shared" si="47"/>
        <v>0</v>
      </c>
      <c r="BN52" s="102">
        <f t="shared" si="47"/>
        <v>4.6281175730902255</v>
      </c>
      <c r="BO52" s="102">
        <f t="shared" si="47"/>
        <v>118.23960817426557</v>
      </c>
      <c r="BU52" t="s">
        <v>1701</v>
      </c>
      <c r="BW52" s="102">
        <f t="shared" si="45"/>
        <v>0</v>
      </c>
      <c r="BX52" s="102">
        <f t="shared" si="45"/>
        <v>0</v>
      </c>
      <c r="BY52" s="102">
        <f t="shared" si="45"/>
        <v>0</v>
      </c>
      <c r="BZ52" s="102">
        <f t="shared" si="45"/>
        <v>0</v>
      </c>
      <c r="CA52" s="102">
        <f t="shared" si="45"/>
        <v>0</v>
      </c>
      <c r="CB52" s="102">
        <f t="shared" si="45"/>
        <v>0</v>
      </c>
      <c r="CC52" s="102">
        <f t="shared" si="45"/>
        <v>0</v>
      </c>
      <c r="CD52" s="102">
        <f t="shared" si="45"/>
        <v>0</v>
      </c>
      <c r="CE52" s="102">
        <f t="shared" si="45"/>
        <v>0</v>
      </c>
      <c r="CF52" s="102">
        <f t="shared" si="45"/>
        <v>0</v>
      </c>
      <c r="CG52" s="102">
        <f t="shared" si="45"/>
        <v>0</v>
      </c>
      <c r="CH52" s="102">
        <f t="shared" si="45"/>
        <v>0</v>
      </c>
      <c r="CI52" s="102">
        <f t="shared" si="45"/>
        <v>0</v>
      </c>
      <c r="CJ52" s="102">
        <f t="shared" si="45"/>
        <v>0</v>
      </c>
      <c r="CK52" s="102">
        <f t="shared" si="45"/>
        <v>0</v>
      </c>
      <c r="CL52" s="102">
        <f t="shared" si="45"/>
        <v>0</v>
      </c>
      <c r="CM52" s="102">
        <f t="shared" si="51"/>
        <v>0</v>
      </c>
      <c r="CN52" s="102">
        <f t="shared" si="51"/>
        <v>0</v>
      </c>
      <c r="CO52" s="102">
        <f t="shared" si="51"/>
        <v>0</v>
      </c>
      <c r="CP52" s="102">
        <f t="shared" si="51"/>
        <v>0</v>
      </c>
      <c r="CQ52" s="102">
        <f t="shared" si="51"/>
        <v>0</v>
      </c>
      <c r="CR52" s="102">
        <f t="shared" si="51"/>
        <v>0</v>
      </c>
      <c r="CS52" s="102">
        <f t="shared" si="51"/>
        <v>0</v>
      </c>
      <c r="CT52" s="102">
        <f t="shared" si="51"/>
        <v>0</v>
      </c>
      <c r="CU52" s="102">
        <f t="shared" si="51"/>
        <v>0</v>
      </c>
      <c r="CV52" s="102">
        <f t="shared" si="51"/>
        <v>0</v>
      </c>
      <c r="CW52" s="102">
        <f t="shared" si="51"/>
        <v>0</v>
      </c>
      <c r="CX52" s="102">
        <f t="shared" si="51"/>
        <v>0</v>
      </c>
    </row>
    <row r="53" spans="3:102" x14ac:dyDescent="0.25">
      <c r="F53" t="s">
        <v>137</v>
      </c>
      <c r="G53" t="s">
        <v>1266</v>
      </c>
      <c r="H53" s="193">
        <v>1</v>
      </c>
      <c r="I53" s="193">
        <v>1</v>
      </c>
      <c r="J53" s="193">
        <v>1</v>
      </c>
      <c r="K53" s="193">
        <v>1</v>
      </c>
      <c r="L53" s="193">
        <v>1</v>
      </c>
      <c r="M53" s="193">
        <v>1</v>
      </c>
      <c r="N53" s="193">
        <v>1</v>
      </c>
      <c r="O53" s="193">
        <v>1</v>
      </c>
      <c r="P53" s="193">
        <v>1</v>
      </c>
      <c r="Q53" s="193">
        <v>1</v>
      </c>
      <c r="R53" s="193">
        <v>1</v>
      </c>
      <c r="S53" s="193">
        <v>1</v>
      </c>
      <c r="T53" s="193">
        <v>1</v>
      </c>
      <c r="U53" s="193">
        <v>1</v>
      </c>
      <c r="V53" s="193">
        <v>1</v>
      </c>
      <c r="W53" s="193">
        <v>1</v>
      </c>
      <c r="X53" s="193">
        <v>1</v>
      </c>
      <c r="Y53" s="193">
        <v>1</v>
      </c>
      <c r="Z53" s="193">
        <v>1</v>
      </c>
      <c r="AA53" s="193">
        <v>1</v>
      </c>
      <c r="AB53" s="193">
        <v>1</v>
      </c>
      <c r="AC53" s="193">
        <v>1</v>
      </c>
      <c r="AD53" s="193">
        <v>1</v>
      </c>
      <c r="AE53" s="193">
        <v>1</v>
      </c>
      <c r="AF53" s="193">
        <v>1</v>
      </c>
      <c r="AG53" s="193">
        <v>1</v>
      </c>
      <c r="AH53" s="193">
        <v>1</v>
      </c>
      <c r="AI53" s="193">
        <v>1</v>
      </c>
      <c r="AM53" t="s">
        <v>130</v>
      </c>
      <c r="AN53" s="102">
        <f t="shared" si="46"/>
        <v>0</v>
      </c>
      <c r="AO53" s="102">
        <f t="shared" si="46"/>
        <v>0</v>
      </c>
      <c r="AP53" s="102">
        <f t="shared" si="46"/>
        <v>0</v>
      </c>
      <c r="AQ53" s="102">
        <f t="shared" si="46"/>
        <v>0</v>
      </c>
      <c r="AR53" s="102">
        <f t="shared" si="46"/>
        <v>0</v>
      </c>
      <c r="AS53" s="102">
        <f t="shared" si="46"/>
        <v>0.61799999999999999</v>
      </c>
      <c r="AT53" s="102">
        <f t="shared" si="46"/>
        <v>0</v>
      </c>
      <c r="AU53" s="102">
        <f t="shared" si="46"/>
        <v>0</v>
      </c>
      <c r="AV53" s="102">
        <f t="shared" si="46"/>
        <v>0</v>
      </c>
      <c r="AW53" s="102">
        <f t="shared" si="46"/>
        <v>0</v>
      </c>
      <c r="AX53" s="102">
        <f t="shared" si="46"/>
        <v>0</v>
      </c>
      <c r="AY53" s="102">
        <f t="shared" si="46"/>
        <v>0</v>
      </c>
      <c r="AZ53" s="102">
        <f t="shared" si="46"/>
        <v>12.266999999999999</v>
      </c>
      <c r="BA53" s="102">
        <f t="shared" si="46"/>
        <v>3.5999999999999997E-2</v>
      </c>
      <c r="BB53" s="102">
        <f t="shared" si="46"/>
        <v>1.9370000000000001</v>
      </c>
      <c r="BC53" s="102">
        <f t="shared" si="46"/>
        <v>0.82699999999999996</v>
      </c>
      <c r="BD53" s="102">
        <f t="shared" si="47"/>
        <v>3.1779999999999999</v>
      </c>
      <c r="BE53" s="102">
        <f t="shared" si="47"/>
        <v>0</v>
      </c>
      <c r="BF53" s="102">
        <f t="shared" si="47"/>
        <v>0</v>
      </c>
      <c r="BG53" s="102">
        <f t="shared" si="47"/>
        <v>0</v>
      </c>
      <c r="BH53" s="102">
        <f t="shared" si="47"/>
        <v>0</v>
      </c>
      <c r="BI53" s="102">
        <f t="shared" si="47"/>
        <v>0</v>
      </c>
      <c r="BJ53" s="102">
        <f t="shared" si="47"/>
        <v>0</v>
      </c>
      <c r="BK53" s="102">
        <f t="shared" si="47"/>
        <v>0</v>
      </c>
      <c r="BL53" s="102">
        <f t="shared" si="47"/>
        <v>0</v>
      </c>
      <c r="BM53" s="102">
        <f t="shared" si="47"/>
        <v>0</v>
      </c>
      <c r="BN53" s="102">
        <f t="shared" si="47"/>
        <v>2E-3</v>
      </c>
      <c r="BO53" s="102">
        <f t="shared" si="47"/>
        <v>3.9129999999999998</v>
      </c>
      <c r="BU53" t="s">
        <v>137</v>
      </c>
      <c r="BW53" s="102">
        <f t="shared" si="45"/>
        <v>0</v>
      </c>
      <c r="BX53" s="102">
        <f t="shared" si="45"/>
        <v>0</v>
      </c>
      <c r="BY53" s="102">
        <f t="shared" si="45"/>
        <v>0</v>
      </c>
      <c r="BZ53" s="102">
        <f t="shared" si="45"/>
        <v>0</v>
      </c>
      <c r="CA53" s="102">
        <f t="shared" si="45"/>
        <v>0</v>
      </c>
      <c r="CB53" s="102">
        <f t="shared" si="45"/>
        <v>0</v>
      </c>
      <c r="CC53" s="102">
        <f t="shared" si="45"/>
        <v>0</v>
      </c>
      <c r="CD53" s="102">
        <f t="shared" si="45"/>
        <v>0</v>
      </c>
      <c r="CE53" s="102">
        <f t="shared" si="45"/>
        <v>0</v>
      </c>
      <c r="CF53" s="102">
        <f t="shared" si="45"/>
        <v>0</v>
      </c>
      <c r="CG53" s="102">
        <f t="shared" si="45"/>
        <v>0</v>
      </c>
      <c r="CH53" s="102">
        <f t="shared" si="45"/>
        <v>0</v>
      </c>
      <c r="CI53" s="102">
        <f t="shared" si="45"/>
        <v>0</v>
      </c>
      <c r="CJ53" s="102">
        <f t="shared" si="45"/>
        <v>0</v>
      </c>
      <c r="CK53" s="102">
        <f t="shared" si="45"/>
        <v>0</v>
      </c>
      <c r="CL53" s="102">
        <f t="shared" si="45"/>
        <v>0</v>
      </c>
      <c r="CM53" s="102">
        <f t="shared" si="51"/>
        <v>0</v>
      </c>
      <c r="CN53" s="102">
        <f t="shared" si="51"/>
        <v>0</v>
      </c>
      <c r="CO53" s="102">
        <f t="shared" si="51"/>
        <v>0</v>
      </c>
      <c r="CP53" s="102">
        <f t="shared" si="51"/>
        <v>0</v>
      </c>
      <c r="CQ53" s="102">
        <f t="shared" si="51"/>
        <v>0</v>
      </c>
      <c r="CR53" s="102">
        <f t="shared" si="51"/>
        <v>0</v>
      </c>
      <c r="CS53" s="102">
        <f t="shared" si="51"/>
        <v>0</v>
      </c>
      <c r="CT53" s="102">
        <f t="shared" si="51"/>
        <v>0</v>
      </c>
      <c r="CU53" s="102">
        <f t="shared" si="51"/>
        <v>0</v>
      </c>
      <c r="CV53" s="102">
        <f t="shared" si="51"/>
        <v>0</v>
      </c>
      <c r="CW53" s="102">
        <f t="shared" si="51"/>
        <v>0</v>
      </c>
      <c r="CX53" s="102">
        <f t="shared" si="51"/>
        <v>0</v>
      </c>
    </row>
    <row r="54" spans="3:102" x14ac:dyDescent="0.25">
      <c r="F54" t="s">
        <v>139</v>
      </c>
      <c r="G54" t="s">
        <v>1266</v>
      </c>
      <c r="H54" s="193">
        <v>1</v>
      </c>
      <c r="I54" s="193">
        <v>1</v>
      </c>
      <c r="J54" s="193">
        <v>1</v>
      </c>
      <c r="K54" s="193">
        <v>1</v>
      </c>
      <c r="L54" s="193">
        <v>1</v>
      </c>
      <c r="M54" s="193">
        <v>1</v>
      </c>
      <c r="N54" s="193">
        <v>1</v>
      </c>
      <c r="O54" s="193">
        <v>1</v>
      </c>
      <c r="P54" s="193">
        <v>1</v>
      </c>
      <c r="Q54" s="193">
        <v>1</v>
      </c>
      <c r="R54" s="193">
        <v>1</v>
      </c>
      <c r="S54" s="193">
        <v>1</v>
      </c>
      <c r="T54" s="193">
        <v>1</v>
      </c>
      <c r="U54" s="193">
        <v>1</v>
      </c>
      <c r="V54" s="193">
        <v>1</v>
      </c>
      <c r="W54" s="193">
        <v>1</v>
      </c>
      <c r="X54" s="193">
        <v>1</v>
      </c>
      <c r="Y54" s="193">
        <v>1</v>
      </c>
      <c r="Z54" s="193">
        <v>1</v>
      </c>
      <c r="AA54" s="193">
        <v>1</v>
      </c>
      <c r="AB54" s="193">
        <v>1</v>
      </c>
      <c r="AC54" s="193">
        <v>1</v>
      </c>
      <c r="AD54" s="193">
        <v>1</v>
      </c>
      <c r="AE54" s="193">
        <v>1</v>
      </c>
      <c r="AF54" s="193">
        <v>1</v>
      </c>
      <c r="AG54" s="193">
        <v>1</v>
      </c>
      <c r="AH54" s="193">
        <v>1</v>
      </c>
      <c r="AI54" s="193">
        <v>1</v>
      </c>
      <c r="AM54" t="s">
        <v>132</v>
      </c>
      <c r="AN54" s="102">
        <f t="shared" si="46"/>
        <v>0</v>
      </c>
      <c r="AO54" s="102">
        <f t="shared" si="46"/>
        <v>1.657</v>
      </c>
      <c r="AP54" s="102">
        <f t="shared" si="46"/>
        <v>0</v>
      </c>
      <c r="AQ54" s="102">
        <f t="shared" si="46"/>
        <v>0</v>
      </c>
      <c r="AR54" s="102">
        <f t="shared" si="46"/>
        <v>0.65900000000000003</v>
      </c>
      <c r="AS54" s="102">
        <f t="shared" si="46"/>
        <v>0</v>
      </c>
      <c r="AT54" s="102">
        <f t="shared" si="46"/>
        <v>0.7</v>
      </c>
      <c r="AU54" s="102">
        <f t="shared" si="46"/>
        <v>0</v>
      </c>
      <c r="AV54" s="102">
        <f t="shared" si="46"/>
        <v>1.484</v>
      </c>
      <c r="AW54" s="102">
        <f t="shared" si="46"/>
        <v>0</v>
      </c>
      <c r="AX54" s="102">
        <f t="shared" si="46"/>
        <v>0</v>
      </c>
      <c r="AY54" s="102">
        <f t="shared" si="46"/>
        <v>1.571</v>
      </c>
      <c r="AZ54" s="102">
        <f t="shared" si="46"/>
        <v>0.19500000000000001</v>
      </c>
      <c r="BA54" s="102">
        <f t="shared" si="46"/>
        <v>0.745</v>
      </c>
      <c r="BB54" s="102">
        <f t="shared" si="46"/>
        <v>0.247</v>
      </c>
      <c r="BC54" s="102">
        <f t="shared" si="46"/>
        <v>2.274</v>
      </c>
      <c r="BD54" s="102">
        <f t="shared" si="47"/>
        <v>1.4910000000000001</v>
      </c>
      <c r="BE54" s="102">
        <f t="shared" si="47"/>
        <v>0</v>
      </c>
      <c r="BF54" s="102">
        <f t="shared" si="47"/>
        <v>0</v>
      </c>
      <c r="BG54" s="102">
        <f t="shared" si="47"/>
        <v>2.5219999999999998</v>
      </c>
      <c r="BH54" s="102">
        <f t="shared" si="47"/>
        <v>3.5999999999999997E-2</v>
      </c>
      <c r="BI54" s="102">
        <f t="shared" si="47"/>
        <v>0</v>
      </c>
      <c r="BJ54" s="102">
        <f t="shared" si="47"/>
        <v>0</v>
      </c>
      <c r="BK54" s="102">
        <f t="shared" si="47"/>
        <v>0</v>
      </c>
      <c r="BL54" s="102">
        <f t="shared" si="47"/>
        <v>0</v>
      </c>
      <c r="BM54" s="102">
        <f t="shared" si="47"/>
        <v>0</v>
      </c>
      <c r="BN54" s="102">
        <f t="shared" si="47"/>
        <v>0.47799999999999998</v>
      </c>
      <c r="BO54" s="102">
        <f t="shared" si="47"/>
        <v>4.9000000000000002E-2</v>
      </c>
      <c r="BU54" t="s">
        <v>139</v>
      </c>
      <c r="BW54" s="102">
        <f t="shared" si="45"/>
        <v>0</v>
      </c>
      <c r="BX54" s="102">
        <f t="shared" si="45"/>
        <v>0</v>
      </c>
      <c r="BY54" s="102">
        <f t="shared" si="45"/>
        <v>0</v>
      </c>
      <c r="BZ54" s="102">
        <f t="shared" si="45"/>
        <v>0</v>
      </c>
      <c r="CA54" s="102">
        <f t="shared" si="45"/>
        <v>0</v>
      </c>
      <c r="CB54" s="102">
        <f t="shared" si="45"/>
        <v>0</v>
      </c>
      <c r="CC54" s="102">
        <f t="shared" si="45"/>
        <v>0</v>
      </c>
      <c r="CD54" s="102">
        <f t="shared" si="45"/>
        <v>0</v>
      </c>
      <c r="CE54" s="102">
        <f t="shared" si="45"/>
        <v>0</v>
      </c>
      <c r="CF54" s="102">
        <f t="shared" si="45"/>
        <v>0</v>
      </c>
      <c r="CG54" s="102">
        <f t="shared" si="45"/>
        <v>0</v>
      </c>
      <c r="CH54" s="102">
        <f t="shared" si="45"/>
        <v>0</v>
      </c>
      <c r="CI54" s="102">
        <f t="shared" si="45"/>
        <v>0</v>
      </c>
      <c r="CJ54" s="102">
        <f t="shared" si="45"/>
        <v>0</v>
      </c>
      <c r="CK54" s="102">
        <f t="shared" si="45"/>
        <v>0</v>
      </c>
      <c r="CL54" s="102">
        <f t="shared" si="45"/>
        <v>0</v>
      </c>
      <c r="CM54" s="102">
        <f t="shared" si="51"/>
        <v>0</v>
      </c>
      <c r="CN54" s="102">
        <f t="shared" si="51"/>
        <v>0</v>
      </c>
      <c r="CO54" s="102">
        <f t="shared" si="51"/>
        <v>0</v>
      </c>
      <c r="CP54" s="102">
        <f t="shared" si="51"/>
        <v>0</v>
      </c>
      <c r="CQ54" s="102">
        <f t="shared" si="51"/>
        <v>0</v>
      </c>
      <c r="CR54" s="102">
        <f t="shared" si="51"/>
        <v>0</v>
      </c>
      <c r="CS54" s="102">
        <f t="shared" si="51"/>
        <v>0</v>
      </c>
      <c r="CT54" s="102">
        <f t="shared" si="51"/>
        <v>0</v>
      </c>
      <c r="CU54" s="102">
        <f t="shared" si="51"/>
        <v>0</v>
      </c>
      <c r="CV54" s="102">
        <f t="shared" si="51"/>
        <v>0</v>
      </c>
      <c r="CW54" s="102">
        <f t="shared" si="51"/>
        <v>0</v>
      </c>
      <c r="CX54" s="102">
        <f t="shared" si="51"/>
        <v>0</v>
      </c>
    </row>
    <row r="55" spans="3:102" x14ac:dyDescent="0.25">
      <c r="AM55" t="s">
        <v>134</v>
      </c>
      <c r="AN55" s="102">
        <f t="shared" si="46"/>
        <v>0</v>
      </c>
      <c r="AO55" s="102">
        <f t="shared" si="46"/>
        <v>1.3050000000000002</v>
      </c>
      <c r="AP55" s="102">
        <f t="shared" si="46"/>
        <v>0.29102118651442344</v>
      </c>
      <c r="AQ55" s="102">
        <f t="shared" si="46"/>
        <v>0</v>
      </c>
      <c r="AR55" s="102">
        <f t="shared" si="46"/>
        <v>11.115</v>
      </c>
      <c r="AS55" s="102">
        <f t="shared" si="46"/>
        <v>2.815957274955462</v>
      </c>
      <c r="AT55" s="102">
        <f t="shared" si="46"/>
        <v>0</v>
      </c>
      <c r="AU55" s="102">
        <f t="shared" si="46"/>
        <v>0</v>
      </c>
      <c r="AV55" s="102">
        <f t="shared" si="46"/>
        <v>41.648696078626557</v>
      </c>
      <c r="AW55" s="102">
        <f t="shared" si="46"/>
        <v>2.7309999999999999</v>
      </c>
      <c r="AX55" s="102">
        <f t="shared" si="46"/>
        <v>0</v>
      </c>
      <c r="AY55" s="102">
        <f t="shared" si="46"/>
        <v>60.066270223878298</v>
      </c>
      <c r="AZ55" s="102">
        <f t="shared" si="46"/>
        <v>1.514</v>
      </c>
      <c r="BA55" s="102">
        <f t="shared" si="46"/>
        <v>0.59899999999999998</v>
      </c>
      <c r="BB55" s="102">
        <f t="shared" si="46"/>
        <v>1.135</v>
      </c>
      <c r="BC55" s="102">
        <f t="shared" si="46"/>
        <v>7.7709999999999999</v>
      </c>
      <c r="BD55" s="102">
        <f t="shared" si="47"/>
        <v>3.4560000000000004</v>
      </c>
      <c r="BE55" s="102">
        <f t="shared" si="47"/>
        <v>0</v>
      </c>
      <c r="BF55" s="102">
        <f t="shared" si="47"/>
        <v>0</v>
      </c>
      <c r="BG55" s="102">
        <f t="shared" si="47"/>
        <v>12.853999999999999</v>
      </c>
      <c r="BH55" s="102">
        <f t="shared" si="47"/>
        <v>0</v>
      </c>
      <c r="BI55" s="102">
        <f t="shared" si="47"/>
        <v>0</v>
      </c>
      <c r="BJ55" s="102">
        <f t="shared" si="47"/>
        <v>0</v>
      </c>
      <c r="BK55" s="102">
        <f t="shared" si="47"/>
        <v>0</v>
      </c>
      <c r="BL55" s="102">
        <f t="shared" si="47"/>
        <v>0</v>
      </c>
      <c r="BM55" s="102">
        <f t="shared" si="47"/>
        <v>0</v>
      </c>
      <c r="BN55" s="102">
        <f t="shared" si="47"/>
        <v>0.93500000000000016</v>
      </c>
      <c r="BO55" s="102">
        <f t="shared" si="47"/>
        <v>8.6969999999999992</v>
      </c>
    </row>
    <row r="56" spans="3:102" x14ac:dyDescent="0.25">
      <c r="F56" t="s">
        <v>113</v>
      </c>
      <c r="G56" t="s">
        <v>466</v>
      </c>
      <c r="H56">
        <f>IF(SUM(H24,H40)&lt;&gt;1,"ERROR",1)</f>
        <v>1</v>
      </c>
      <c r="I56">
        <f t="shared" ref="I56:AI56" si="52">IF(SUM(I24,I40)&lt;&gt;1,"ERROR",1)</f>
        <v>1</v>
      </c>
      <c r="J56">
        <f t="shared" si="52"/>
        <v>1</v>
      </c>
      <c r="K56">
        <f t="shared" si="52"/>
        <v>1</v>
      </c>
      <c r="L56">
        <f t="shared" si="52"/>
        <v>1</v>
      </c>
      <c r="M56">
        <f t="shared" si="52"/>
        <v>1</v>
      </c>
      <c r="N56">
        <f t="shared" si="52"/>
        <v>1</v>
      </c>
      <c r="O56">
        <f t="shared" si="52"/>
        <v>1</v>
      </c>
      <c r="P56">
        <f t="shared" si="52"/>
        <v>1</v>
      </c>
      <c r="Q56">
        <f t="shared" si="52"/>
        <v>1</v>
      </c>
      <c r="R56">
        <f t="shared" si="52"/>
        <v>1</v>
      </c>
      <c r="S56">
        <f t="shared" si="52"/>
        <v>1</v>
      </c>
      <c r="T56">
        <f t="shared" si="52"/>
        <v>1</v>
      </c>
      <c r="U56">
        <f t="shared" si="52"/>
        <v>1</v>
      </c>
      <c r="V56">
        <f t="shared" si="52"/>
        <v>1</v>
      </c>
      <c r="W56">
        <f t="shared" si="52"/>
        <v>1</v>
      </c>
      <c r="X56">
        <f t="shared" si="52"/>
        <v>1</v>
      </c>
      <c r="Y56">
        <f t="shared" si="52"/>
        <v>1</v>
      </c>
      <c r="Z56">
        <f t="shared" si="52"/>
        <v>1</v>
      </c>
      <c r="AA56">
        <f t="shared" si="52"/>
        <v>1</v>
      </c>
      <c r="AB56">
        <f t="shared" si="52"/>
        <v>1</v>
      </c>
      <c r="AC56">
        <f t="shared" si="52"/>
        <v>1</v>
      </c>
      <c r="AD56">
        <f t="shared" si="52"/>
        <v>1</v>
      </c>
      <c r="AE56">
        <f t="shared" si="52"/>
        <v>1</v>
      </c>
      <c r="AF56">
        <f t="shared" si="52"/>
        <v>1</v>
      </c>
      <c r="AG56">
        <f t="shared" si="52"/>
        <v>1</v>
      </c>
      <c r="AH56">
        <f t="shared" si="52"/>
        <v>1</v>
      </c>
      <c r="AI56">
        <f t="shared" si="52"/>
        <v>1</v>
      </c>
      <c r="AM56" t="s">
        <v>1701</v>
      </c>
      <c r="AN56" s="102">
        <f t="shared" si="46"/>
        <v>0</v>
      </c>
      <c r="AO56" s="102">
        <f t="shared" si="46"/>
        <v>0</v>
      </c>
      <c r="AP56" s="102">
        <f t="shared" si="46"/>
        <v>0</v>
      </c>
      <c r="AQ56" s="102">
        <f t="shared" si="46"/>
        <v>0</v>
      </c>
      <c r="AR56" s="102">
        <f t="shared" si="46"/>
        <v>0</v>
      </c>
      <c r="AS56" s="102">
        <f t="shared" si="46"/>
        <v>0</v>
      </c>
      <c r="AT56" s="102">
        <f t="shared" si="46"/>
        <v>0</v>
      </c>
      <c r="AU56" s="102">
        <f t="shared" si="46"/>
        <v>0</v>
      </c>
      <c r="AV56" s="102">
        <f t="shared" si="46"/>
        <v>0</v>
      </c>
      <c r="AW56" s="102">
        <f t="shared" si="46"/>
        <v>0</v>
      </c>
      <c r="AX56" s="102">
        <f t="shared" si="46"/>
        <v>0</v>
      </c>
      <c r="AY56" s="102">
        <f t="shared" si="46"/>
        <v>0</v>
      </c>
      <c r="AZ56" s="102">
        <f t="shared" si="46"/>
        <v>0</v>
      </c>
      <c r="BA56" s="102">
        <f t="shared" si="46"/>
        <v>0</v>
      </c>
      <c r="BB56" s="102">
        <f t="shared" si="46"/>
        <v>0</v>
      </c>
      <c r="BC56" s="102">
        <f t="shared" si="46"/>
        <v>0</v>
      </c>
      <c r="BD56" s="102">
        <f t="shared" si="47"/>
        <v>0</v>
      </c>
      <c r="BE56" s="102">
        <f t="shared" si="47"/>
        <v>0</v>
      </c>
      <c r="BF56" s="102">
        <f t="shared" si="47"/>
        <v>0</v>
      </c>
      <c r="BG56" s="102">
        <f t="shared" si="47"/>
        <v>0</v>
      </c>
      <c r="BH56" s="102">
        <f t="shared" si="47"/>
        <v>0</v>
      </c>
      <c r="BI56" s="102">
        <f t="shared" si="47"/>
        <v>0</v>
      </c>
      <c r="BJ56" s="102">
        <f t="shared" si="47"/>
        <v>0</v>
      </c>
      <c r="BK56" s="102">
        <f t="shared" si="47"/>
        <v>0</v>
      </c>
      <c r="BL56" s="102">
        <f t="shared" si="47"/>
        <v>0</v>
      </c>
      <c r="BM56" s="102">
        <f t="shared" si="47"/>
        <v>0</v>
      </c>
      <c r="BN56" s="102">
        <f t="shared" si="47"/>
        <v>0</v>
      </c>
      <c r="BO56" s="102">
        <f t="shared" si="47"/>
        <v>0</v>
      </c>
    </row>
    <row r="57" spans="3:102" x14ac:dyDescent="0.25">
      <c r="F57" t="s">
        <v>115</v>
      </c>
      <c r="G57" t="s">
        <v>466</v>
      </c>
      <c r="H57">
        <f t="shared" ref="H57:AI66" si="53">IF(SUM(H25,H41)&lt;&gt;1,"ERROR",1)</f>
        <v>1</v>
      </c>
      <c r="I57">
        <f t="shared" si="53"/>
        <v>1</v>
      </c>
      <c r="J57">
        <f t="shared" si="53"/>
        <v>1</v>
      </c>
      <c r="K57">
        <f t="shared" si="53"/>
        <v>1</v>
      </c>
      <c r="L57">
        <f t="shared" si="53"/>
        <v>1</v>
      </c>
      <c r="M57">
        <f t="shared" si="53"/>
        <v>1</v>
      </c>
      <c r="N57">
        <f t="shared" si="53"/>
        <v>1</v>
      </c>
      <c r="O57">
        <f t="shared" si="53"/>
        <v>1</v>
      </c>
      <c r="P57">
        <f t="shared" si="53"/>
        <v>1</v>
      </c>
      <c r="Q57">
        <f t="shared" si="53"/>
        <v>1</v>
      </c>
      <c r="R57">
        <f t="shared" si="53"/>
        <v>1</v>
      </c>
      <c r="S57">
        <f t="shared" si="53"/>
        <v>1</v>
      </c>
      <c r="T57">
        <f t="shared" si="53"/>
        <v>1</v>
      </c>
      <c r="U57">
        <f t="shared" si="53"/>
        <v>1</v>
      </c>
      <c r="V57">
        <f t="shared" si="53"/>
        <v>1</v>
      </c>
      <c r="W57">
        <f t="shared" si="53"/>
        <v>1</v>
      </c>
      <c r="X57">
        <f t="shared" si="53"/>
        <v>1</v>
      </c>
      <c r="Y57">
        <f t="shared" si="53"/>
        <v>1</v>
      </c>
      <c r="Z57">
        <f t="shared" si="53"/>
        <v>1</v>
      </c>
      <c r="AA57">
        <f t="shared" si="53"/>
        <v>1</v>
      </c>
      <c r="AB57">
        <f t="shared" si="53"/>
        <v>1</v>
      </c>
      <c r="AC57">
        <f t="shared" si="53"/>
        <v>1</v>
      </c>
      <c r="AD57">
        <f t="shared" si="53"/>
        <v>1</v>
      </c>
      <c r="AE57">
        <f t="shared" si="53"/>
        <v>1</v>
      </c>
      <c r="AF57">
        <f t="shared" si="53"/>
        <v>1</v>
      </c>
      <c r="AG57">
        <f t="shared" si="53"/>
        <v>1</v>
      </c>
      <c r="AH57">
        <f t="shared" si="53"/>
        <v>1</v>
      </c>
      <c r="AI57">
        <f t="shared" si="53"/>
        <v>1</v>
      </c>
      <c r="AM57" t="s">
        <v>137</v>
      </c>
      <c r="AN57" s="102">
        <f t="shared" si="46"/>
        <v>0</v>
      </c>
      <c r="AO57" s="102">
        <f t="shared" si="46"/>
        <v>0</v>
      </c>
      <c r="AP57" s="102">
        <f t="shared" si="46"/>
        <v>0</v>
      </c>
      <c r="AQ57" s="102">
        <f t="shared" si="46"/>
        <v>0</v>
      </c>
      <c r="AR57" s="102">
        <f t="shared" si="46"/>
        <v>0</v>
      </c>
      <c r="AS57" s="102">
        <f t="shared" si="46"/>
        <v>0</v>
      </c>
      <c r="AT57" s="102">
        <f t="shared" si="46"/>
        <v>0</v>
      </c>
      <c r="AU57" s="102">
        <f t="shared" si="46"/>
        <v>0</v>
      </c>
      <c r="AV57" s="102">
        <f t="shared" si="46"/>
        <v>0</v>
      </c>
      <c r="AW57" s="102">
        <f t="shared" si="46"/>
        <v>0</v>
      </c>
      <c r="AX57" s="102">
        <f t="shared" si="46"/>
        <v>0</v>
      </c>
      <c r="AY57" s="102">
        <f t="shared" si="46"/>
        <v>0</v>
      </c>
      <c r="AZ57" s="102">
        <f t="shared" si="46"/>
        <v>0</v>
      </c>
      <c r="BA57" s="102">
        <f t="shared" si="46"/>
        <v>0</v>
      </c>
      <c r="BB57" s="102">
        <f t="shared" si="46"/>
        <v>0</v>
      </c>
      <c r="BC57" s="102">
        <f t="shared" si="46"/>
        <v>0.01</v>
      </c>
      <c r="BD57" s="102">
        <f t="shared" si="47"/>
        <v>0</v>
      </c>
      <c r="BE57" s="102">
        <f t="shared" si="47"/>
        <v>0</v>
      </c>
      <c r="BF57" s="102">
        <f t="shared" si="47"/>
        <v>0</v>
      </c>
      <c r="BG57" s="102">
        <f t="shared" si="47"/>
        <v>0</v>
      </c>
      <c r="BH57" s="102">
        <f t="shared" si="47"/>
        <v>0</v>
      </c>
      <c r="BI57" s="102">
        <f t="shared" si="47"/>
        <v>0</v>
      </c>
      <c r="BJ57" s="102">
        <f t="shared" si="47"/>
        <v>0</v>
      </c>
      <c r="BK57" s="102">
        <f t="shared" si="47"/>
        <v>0</v>
      </c>
      <c r="BL57" s="102">
        <f t="shared" si="47"/>
        <v>0</v>
      </c>
      <c r="BM57" s="102">
        <f t="shared" si="47"/>
        <v>0</v>
      </c>
      <c r="BN57" s="102">
        <f t="shared" si="47"/>
        <v>0</v>
      </c>
      <c r="BO57" s="102">
        <f t="shared" si="47"/>
        <v>0</v>
      </c>
    </row>
    <row r="58" spans="3:102" x14ac:dyDescent="0.25">
      <c r="F58" t="s">
        <v>117</v>
      </c>
      <c r="G58" t="s">
        <v>466</v>
      </c>
      <c r="H58">
        <f t="shared" si="53"/>
        <v>1</v>
      </c>
      <c r="I58">
        <f t="shared" si="53"/>
        <v>1</v>
      </c>
      <c r="J58">
        <f t="shared" si="53"/>
        <v>1</v>
      </c>
      <c r="K58">
        <f t="shared" si="53"/>
        <v>1</v>
      </c>
      <c r="L58">
        <f t="shared" si="53"/>
        <v>1</v>
      </c>
      <c r="M58">
        <f t="shared" si="53"/>
        <v>1</v>
      </c>
      <c r="N58">
        <f t="shared" si="53"/>
        <v>1</v>
      </c>
      <c r="O58">
        <f t="shared" si="53"/>
        <v>1</v>
      </c>
      <c r="P58">
        <f t="shared" si="53"/>
        <v>1</v>
      </c>
      <c r="Q58">
        <f t="shared" si="53"/>
        <v>1</v>
      </c>
      <c r="R58">
        <f t="shared" si="53"/>
        <v>1</v>
      </c>
      <c r="S58">
        <f t="shared" si="53"/>
        <v>1</v>
      </c>
      <c r="T58">
        <f t="shared" si="53"/>
        <v>1</v>
      </c>
      <c r="U58">
        <f t="shared" si="53"/>
        <v>1</v>
      </c>
      <c r="V58">
        <f t="shared" si="53"/>
        <v>1</v>
      </c>
      <c r="W58">
        <f t="shared" si="53"/>
        <v>1</v>
      </c>
      <c r="X58">
        <f t="shared" si="53"/>
        <v>1</v>
      </c>
      <c r="Y58">
        <f t="shared" si="53"/>
        <v>1</v>
      </c>
      <c r="Z58">
        <f t="shared" si="53"/>
        <v>1</v>
      </c>
      <c r="AA58">
        <f t="shared" si="53"/>
        <v>1</v>
      </c>
      <c r="AB58">
        <f t="shared" si="53"/>
        <v>1</v>
      </c>
      <c r="AC58">
        <f t="shared" si="53"/>
        <v>1</v>
      </c>
      <c r="AD58">
        <f t="shared" si="53"/>
        <v>1</v>
      </c>
      <c r="AE58">
        <f t="shared" si="53"/>
        <v>1</v>
      </c>
      <c r="AF58">
        <f t="shared" si="53"/>
        <v>1</v>
      </c>
      <c r="AG58">
        <f t="shared" si="53"/>
        <v>1</v>
      </c>
      <c r="AH58">
        <f t="shared" si="53"/>
        <v>1</v>
      </c>
      <c r="AI58">
        <f t="shared" si="53"/>
        <v>1</v>
      </c>
      <c r="AM58" t="s">
        <v>139</v>
      </c>
      <c r="AN58" s="102">
        <f t="shared" si="46"/>
        <v>0</v>
      </c>
      <c r="AO58" s="102">
        <f t="shared" si="46"/>
        <v>0</v>
      </c>
      <c r="AP58" s="102">
        <f t="shared" si="46"/>
        <v>0</v>
      </c>
      <c r="AQ58" s="102">
        <f t="shared" si="46"/>
        <v>0</v>
      </c>
      <c r="AR58" s="102">
        <f t="shared" si="46"/>
        <v>0</v>
      </c>
      <c r="AS58" s="102">
        <f t="shared" si="46"/>
        <v>0</v>
      </c>
      <c r="AT58" s="102">
        <f t="shared" si="46"/>
        <v>0</v>
      </c>
      <c r="AU58" s="102">
        <f t="shared" si="46"/>
        <v>0</v>
      </c>
      <c r="AV58" s="102">
        <f t="shared" si="46"/>
        <v>0</v>
      </c>
      <c r="AW58" s="102">
        <f t="shared" si="46"/>
        <v>0</v>
      </c>
      <c r="AX58" s="102">
        <f t="shared" si="46"/>
        <v>0</v>
      </c>
      <c r="AY58" s="102">
        <f t="shared" si="46"/>
        <v>0</v>
      </c>
      <c r="AZ58" s="102">
        <f t="shared" si="46"/>
        <v>0</v>
      </c>
      <c r="BA58" s="102">
        <f t="shared" si="46"/>
        <v>0</v>
      </c>
      <c r="BB58" s="102">
        <f t="shared" si="46"/>
        <v>0</v>
      </c>
      <c r="BC58" s="102">
        <f t="shared" si="46"/>
        <v>0</v>
      </c>
      <c r="BD58" s="102">
        <f t="shared" si="47"/>
        <v>0.26500000000000001</v>
      </c>
      <c r="BE58" s="102">
        <f t="shared" si="47"/>
        <v>0</v>
      </c>
      <c r="BF58" s="102">
        <f t="shared" si="47"/>
        <v>0</v>
      </c>
      <c r="BG58" s="102">
        <f t="shared" si="47"/>
        <v>1.3380000000000001</v>
      </c>
      <c r="BH58" s="102">
        <f t="shared" si="47"/>
        <v>1E-3</v>
      </c>
      <c r="BI58" s="102">
        <f t="shared" si="47"/>
        <v>0.46100000000000002</v>
      </c>
      <c r="BJ58" s="102">
        <f t="shared" si="47"/>
        <v>0</v>
      </c>
      <c r="BK58" s="102">
        <f t="shared" si="47"/>
        <v>0</v>
      </c>
      <c r="BL58" s="102">
        <f t="shared" si="47"/>
        <v>0</v>
      </c>
      <c r="BM58" s="102">
        <f t="shared" si="47"/>
        <v>0</v>
      </c>
      <c r="BN58" s="102">
        <f t="shared" si="47"/>
        <v>0</v>
      </c>
      <c r="BO58" s="102">
        <f t="shared" si="47"/>
        <v>0</v>
      </c>
    </row>
    <row r="59" spans="3:102" x14ac:dyDescent="0.25">
      <c r="F59" t="s">
        <v>119</v>
      </c>
      <c r="G59" t="s">
        <v>466</v>
      </c>
      <c r="H59">
        <f t="shared" si="53"/>
        <v>1</v>
      </c>
      <c r="I59">
        <f t="shared" si="53"/>
        <v>1</v>
      </c>
      <c r="J59">
        <f t="shared" si="53"/>
        <v>1</v>
      </c>
      <c r="K59">
        <f t="shared" si="53"/>
        <v>1</v>
      </c>
      <c r="L59">
        <f t="shared" si="53"/>
        <v>1</v>
      </c>
      <c r="M59">
        <f t="shared" si="53"/>
        <v>1</v>
      </c>
      <c r="N59">
        <f t="shared" si="53"/>
        <v>1</v>
      </c>
      <c r="O59">
        <f t="shared" si="53"/>
        <v>1</v>
      </c>
      <c r="P59">
        <f t="shared" si="53"/>
        <v>1</v>
      </c>
      <c r="Q59">
        <f t="shared" si="53"/>
        <v>1</v>
      </c>
      <c r="R59">
        <f t="shared" si="53"/>
        <v>1</v>
      </c>
      <c r="S59">
        <f>IF(SUM(S27,S43)&lt;&gt;1,"ERROR",1)</f>
        <v>1</v>
      </c>
      <c r="T59">
        <f t="shared" si="53"/>
        <v>1</v>
      </c>
      <c r="U59">
        <f t="shared" si="53"/>
        <v>1</v>
      </c>
      <c r="V59">
        <f t="shared" si="53"/>
        <v>1</v>
      </c>
      <c r="W59">
        <f t="shared" si="53"/>
        <v>1</v>
      </c>
      <c r="X59">
        <f t="shared" si="53"/>
        <v>1</v>
      </c>
      <c r="Y59">
        <f t="shared" si="53"/>
        <v>1</v>
      </c>
      <c r="Z59">
        <f t="shared" si="53"/>
        <v>1</v>
      </c>
      <c r="AA59">
        <f t="shared" si="53"/>
        <v>1</v>
      </c>
      <c r="AB59">
        <f t="shared" si="53"/>
        <v>1</v>
      </c>
      <c r="AC59">
        <f t="shared" si="53"/>
        <v>1</v>
      </c>
      <c r="AD59">
        <f t="shared" si="53"/>
        <v>1</v>
      </c>
      <c r="AE59">
        <f t="shared" si="53"/>
        <v>1</v>
      </c>
      <c r="AF59">
        <f t="shared" si="53"/>
        <v>1</v>
      </c>
      <c r="AG59">
        <f t="shared" si="53"/>
        <v>1</v>
      </c>
      <c r="AH59">
        <f t="shared" si="53"/>
        <v>1</v>
      </c>
      <c r="AI59">
        <f t="shared" si="53"/>
        <v>1</v>
      </c>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row>
    <row r="60" spans="3:102" x14ac:dyDescent="0.25">
      <c r="F60" t="s">
        <v>120</v>
      </c>
      <c r="G60" t="s">
        <v>466</v>
      </c>
      <c r="H60">
        <f t="shared" si="53"/>
        <v>1</v>
      </c>
      <c r="I60">
        <f t="shared" si="53"/>
        <v>1</v>
      </c>
      <c r="J60">
        <f t="shared" si="53"/>
        <v>1</v>
      </c>
      <c r="K60">
        <f t="shared" si="53"/>
        <v>1</v>
      </c>
      <c r="L60">
        <f t="shared" si="53"/>
        <v>1</v>
      </c>
      <c r="M60">
        <f t="shared" si="53"/>
        <v>1</v>
      </c>
      <c r="N60">
        <f t="shared" si="53"/>
        <v>1</v>
      </c>
      <c r="O60">
        <f t="shared" si="53"/>
        <v>1</v>
      </c>
      <c r="P60">
        <f t="shared" si="53"/>
        <v>1</v>
      </c>
      <c r="Q60">
        <f t="shared" si="53"/>
        <v>1</v>
      </c>
      <c r="R60">
        <f t="shared" si="53"/>
        <v>1</v>
      </c>
      <c r="S60">
        <f>IF(SUM(S28,S44)&lt;&gt;1,"ERROR",1)</f>
        <v>1</v>
      </c>
      <c r="T60">
        <f t="shared" si="53"/>
        <v>1</v>
      </c>
      <c r="U60">
        <f t="shared" si="53"/>
        <v>1</v>
      </c>
      <c r="V60">
        <f t="shared" si="53"/>
        <v>1</v>
      </c>
      <c r="W60">
        <f t="shared" si="53"/>
        <v>1</v>
      </c>
      <c r="X60">
        <f t="shared" si="53"/>
        <v>1</v>
      </c>
      <c r="Y60">
        <f t="shared" si="53"/>
        <v>1</v>
      </c>
      <c r="Z60">
        <f t="shared" si="53"/>
        <v>1</v>
      </c>
      <c r="AA60">
        <f t="shared" si="53"/>
        <v>1</v>
      </c>
      <c r="AB60">
        <f t="shared" si="53"/>
        <v>1</v>
      </c>
      <c r="AC60">
        <f t="shared" si="53"/>
        <v>1</v>
      </c>
      <c r="AD60">
        <f t="shared" si="53"/>
        <v>1</v>
      </c>
      <c r="AE60">
        <f t="shared" si="53"/>
        <v>1</v>
      </c>
      <c r="AF60">
        <f t="shared" si="53"/>
        <v>1</v>
      </c>
      <c r="AG60">
        <f t="shared" si="53"/>
        <v>1</v>
      </c>
      <c r="AH60">
        <f t="shared" si="53"/>
        <v>1</v>
      </c>
      <c r="AI60">
        <f t="shared" si="53"/>
        <v>1</v>
      </c>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row>
    <row r="61" spans="3:102" x14ac:dyDescent="0.25">
      <c r="F61" t="s">
        <v>122</v>
      </c>
      <c r="G61" t="s">
        <v>466</v>
      </c>
      <c r="H61">
        <f t="shared" si="53"/>
        <v>1</v>
      </c>
      <c r="I61">
        <f t="shared" si="53"/>
        <v>1</v>
      </c>
      <c r="J61">
        <f t="shared" si="53"/>
        <v>1</v>
      </c>
      <c r="K61">
        <f t="shared" si="53"/>
        <v>1</v>
      </c>
      <c r="L61">
        <f t="shared" si="53"/>
        <v>1</v>
      </c>
      <c r="M61">
        <f t="shared" si="53"/>
        <v>1</v>
      </c>
      <c r="N61">
        <f t="shared" si="53"/>
        <v>1</v>
      </c>
      <c r="O61">
        <f t="shared" si="53"/>
        <v>1</v>
      </c>
      <c r="P61">
        <f t="shared" si="53"/>
        <v>1</v>
      </c>
      <c r="Q61">
        <f t="shared" si="53"/>
        <v>1</v>
      </c>
      <c r="R61">
        <f t="shared" si="53"/>
        <v>1</v>
      </c>
      <c r="S61">
        <f t="shared" si="53"/>
        <v>1</v>
      </c>
      <c r="T61">
        <f t="shared" si="53"/>
        <v>1</v>
      </c>
      <c r="U61">
        <f t="shared" si="53"/>
        <v>1</v>
      </c>
      <c r="V61">
        <f t="shared" si="53"/>
        <v>1</v>
      </c>
      <c r="W61">
        <f t="shared" si="53"/>
        <v>1</v>
      </c>
      <c r="X61">
        <f t="shared" si="53"/>
        <v>1</v>
      </c>
      <c r="Y61">
        <f t="shared" si="53"/>
        <v>1</v>
      </c>
      <c r="Z61">
        <f t="shared" si="53"/>
        <v>1</v>
      </c>
      <c r="AA61">
        <f t="shared" si="53"/>
        <v>1</v>
      </c>
      <c r="AB61">
        <f t="shared" si="53"/>
        <v>1</v>
      </c>
      <c r="AC61">
        <f t="shared" si="53"/>
        <v>1</v>
      </c>
      <c r="AD61">
        <f t="shared" si="53"/>
        <v>1</v>
      </c>
      <c r="AE61">
        <f t="shared" si="53"/>
        <v>1</v>
      </c>
      <c r="AF61">
        <f t="shared" si="53"/>
        <v>1</v>
      </c>
      <c r="AG61">
        <f t="shared" si="53"/>
        <v>1</v>
      </c>
      <c r="AH61">
        <f t="shared" si="53"/>
        <v>1</v>
      </c>
      <c r="AI61">
        <f t="shared" si="53"/>
        <v>1</v>
      </c>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row>
    <row r="62" spans="3:102" x14ac:dyDescent="0.25">
      <c r="F62" t="s">
        <v>124</v>
      </c>
      <c r="G62" t="s">
        <v>466</v>
      </c>
      <c r="H62">
        <f t="shared" si="53"/>
        <v>1</v>
      </c>
      <c r="I62">
        <f t="shared" si="53"/>
        <v>1</v>
      </c>
      <c r="J62">
        <f t="shared" si="53"/>
        <v>1</v>
      </c>
      <c r="K62">
        <f t="shared" si="53"/>
        <v>1</v>
      </c>
      <c r="L62">
        <f t="shared" si="53"/>
        <v>1</v>
      </c>
      <c r="M62">
        <f t="shared" si="53"/>
        <v>1</v>
      </c>
      <c r="N62">
        <f t="shared" si="53"/>
        <v>1</v>
      </c>
      <c r="O62">
        <f t="shared" si="53"/>
        <v>1</v>
      </c>
      <c r="P62">
        <f t="shared" si="53"/>
        <v>1</v>
      </c>
      <c r="Q62">
        <f t="shared" si="53"/>
        <v>1</v>
      </c>
      <c r="R62">
        <f t="shared" si="53"/>
        <v>1</v>
      </c>
      <c r="S62">
        <f t="shared" si="53"/>
        <v>1</v>
      </c>
      <c r="T62">
        <f t="shared" si="53"/>
        <v>1</v>
      </c>
      <c r="U62">
        <f t="shared" si="53"/>
        <v>1</v>
      </c>
      <c r="V62">
        <f t="shared" si="53"/>
        <v>1</v>
      </c>
      <c r="W62">
        <f t="shared" si="53"/>
        <v>1</v>
      </c>
      <c r="X62">
        <f t="shared" si="53"/>
        <v>1</v>
      </c>
      <c r="Y62">
        <f t="shared" si="53"/>
        <v>1</v>
      </c>
      <c r="Z62">
        <f t="shared" si="53"/>
        <v>1</v>
      </c>
      <c r="AA62">
        <f t="shared" si="53"/>
        <v>1</v>
      </c>
      <c r="AB62">
        <f t="shared" si="53"/>
        <v>1</v>
      </c>
      <c r="AC62">
        <f t="shared" si="53"/>
        <v>1</v>
      </c>
      <c r="AD62">
        <f t="shared" si="53"/>
        <v>1</v>
      </c>
      <c r="AE62">
        <f t="shared" si="53"/>
        <v>1</v>
      </c>
      <c r="AF62">
        <f t="shared" si="53"/>
        <v>1</v>
      </c>
      <c r="AG62">
        <f t="shared" si="53"/>
        <v>1</v>
      </c>
      <c r="AH62">
        <f t="shared" si="53"/>
        <v>1</v>
      </c>
      <c r="AI62">
        <f t="shared" si="53"/>
        <v>1</v>
      </c>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row>
    <row r="63" spans="3:102" x14ac:dyDescent="0.25">
      <c r="F63" t="s">
        <v>126</v>
      </c>
      <c r="G63" t="s">
        <v>466</v>
      </c>
      <c r="H63">
        <f t="shared" si="53"/>
        <v>1</v>
      </c>
      <c r="I63">
        <f t="shared" si="53"/>
        <v>1</v>
      </c>
      <c r="J63">
        <f t="shared" si="53"/>
        <v>1</v>
      </c>
      <c r="K63">
        <f t="shared" si="53"/>
        <v>1</v>
      </c>
      <c r="L63">
        <f t="shared" si="53"/>
        <v>1</v>
      </c>
      <c r="M63">
        <f t="shared" si="53"/>
        <v>1</v>
      </c>
      <c r="N63">
        <f t="shared" si="53"/>
        <v>1</v>
      </c>
      <c r="O63">
        <f t="shared" si="53"/>
        <v>1</v>
      </c>
      <c r="P63">
        <f t="shared" si="53"/>
        <v>1</v>
      </c>
      <c r="Q63">
        <f t="shared" si="53"/>
        <v>1</v>
      </c>
      <c r="R63">
        <f t="shared" si="53"/>
        <v>1</v>
      </c>
      <c r="S63">
        <f t="shared" si="53"/>
        <v>1</v>
      </c>
      <c r="T63">
        <f t="shared" si="53"/>
        <v>1</v>
      </c>
      <c r="U63">
        <f t="shared" si="53"/>
        <v>1</v>
      </c>
      <c r="V63">
        <f t="shared" si="53"/>
        <v>1</v>
      </c>
      <c r="W63">
        <f t="shared" si="53"/>
        <v>1</v>
      </c>
      <c r="X63">
        <f t="shared" si="53"/>
        <v>1</v>
      </c>
      <c r="Y63">
        <f t="shared" si="53"/>
        <v>1</v>
      </c>
      <c r="Z63">
        <f t="shared" si="53"/>
        <v>1</v>
      </c>
      <c r="AA63">
        <f t="shared" si="53"/>
        <v>1</v>
      </c>
      <c r="AB63">
        <f t="shared" si="53"/>
        <v>1</v>
      </c>
      <c r="AC63">
        <f t="shared" si="53"/>
        <v>1</v>
      </c>
      <c r="AD63">
        <f t="shared" si="53"/>
        <v>1</v>
      </c>
      <c r="AE63">
        <f t="shared" si="53"/>
        <v>1</v>
      </c>
      <c r="AF63">
        <f t="shared" si="53"/>
        <v>1</v>
      </c>
      <c r="AG63">
        <f t="shared" si="53"/>
        <v>1</v>
      </c>
      <c r="AH63">
        <f t="shared" si="53"/>
        <v>1</v>
      </c>
      <c r="AI63">
        <f t="shared" si="53"/>
        <v>1</v>
      </c>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row>
    <row r="64" spans="3:102" x14ac:dyDescent="0.25">
      <c r="C64" s="9"/>
      <c r="F64" t="s">
        <v>128</v>
      </c>
      <c r="G64" t="s">
        <v>466</v>
      </c>
      <c r="H64">
        <f t="shared" si="53"/>
        <v>1</v>
      </c>
      <c r="I64">
        <f t="shared" si="53"/>
        <v>1</v>
      </c>
      <c r="J64">
        <f t="shared" si="53"/>
        <v>1</v>
      </c>
      <c r="K64">
        <f t="shared" si="53"/>
        <v>1</v>
      </c>
      <c r="L64">
        <f t="shared" si="53"/>
        <v>1</v>
      </c>
      <c r="M64">
        <f t="shared" si="53"/>
        <v>1</v>
      </c>
      <c r="N64">
        <f t="shared" si="53"/>
        <v>1</v>
      </c>
      <c r="O64">
        <f t="shared" si="53"/>
        <v>1</v>
      </c>
      <c r="P64">
        <f t="shared" si="53"/>
        <v>1</v>
      </c>
      <c r="Q64">
        <f t="shared" si="53"/>
        <v>1</v>
      </c>
      <c r="R64">
        <f t="shared" si="53"/>
        <v>1</v>
      </c>
      <c r="S64">
        <f t="shared" si="53"/>
        <v>1</v>
      </c>
      <c r="T64">
        <f t="shared" si="53"/>
        <v>1</v>
      </c>
      <c r="U64">
        <f t="shared" si="53"/>
        <v>1</v>
      </c>
      <c r="V64">
        <f t="shared" si="53"/>
        <v>1</v>
      </c>
      <c r="W64">
        <f t="shared" si="53"/>
        <v>1</v>
      </c>
      <c r="X64">
        <f t="shared" si="53"/>
        <v>1</v>
      </c>
      <c r="Y64">
        <f t="shared" si="53"/>
        <v>1</v>
      </c>
      <c r="Z64">
        <f t="shared" si="53"/>
        <v>1</v>
      </c>
      <c r="AA64">
        <f t="shared" si="53"/>
        <v>1</v>
      </c>
      <c r="AB64">
        <f t="shared" si="53"/>
        <v>1</v>
      </c>
      <c r="AC64">
        <f t="shared" si="53"/>
        <v>1</v>
      </c>
      <c r="AD64">
        <f t="shared" si="53"/>
        <v>1</v>
      </c>
      <c r="AE64">
        <f t="shared" si="53"/>
        <v>1</v>
      </c>
      <c r="AF64">
        <f t="shared" si="53"/>
        <v>1</v>
      </c>
      <c r="AG64">
        <f t="shared" si="53"/>
        <v>1</v>
      </c>
      <c r="AH64">
        <f t="shared" si="53"/>
        <v>1</v>
      </c>
      <c r="AI64">
        <f t="shared" si="53"/>
        <v>1</v>
      </c>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row>
    <row r="65" spans="6:67" x14ac:dyDescent="0.25">
      <c r="F65" t="s">
        <v>130</v>
      </c>
      <c r="G65" t="s">
        <v>466</v>
      </c>
      <c r="H65">
        <f t="shared" si="53"/>
        <v>1</v>
      </c>
      <c r="I65">
        <f t="shared" si="53"/>
        <v>1</v>
      </c>
      <c r="J65">
        <f t="shared" si="53"/>
        <v>1</v>
      </c>
      <c r="K65">
        <f t="shared" si="53"/>
        <v>1</v>
      </c>
      <c r="L65">
        <f t="shared" si="53"/>
        <v>1</v>
      </c>
      <c r="M65">
        <f t="shared" si="53"/>
        <v>1</v>
      </c>
      <c r="N65">
        <f t="shared" si="53"/>
        <v>1</v>
      </c>
      <c r="O65">
        <f t="shared" si="53"/>
        <v>1</v>
      </c>
      <c r="P65">
        <f t="shared" si="53"/>
        <v>1</v>
      </c>
      <c r="Q65">
        <f t="shared" si="53"/>
        <v>1</v>
      </c>
      <c r="R65">
        <f t="shared" si="53"/>
        <v>1</v>
      </c>
      <c r="S65">
        <f t="shared" si="53"/>
        <v>1</v>
      </c>
      <c r="T65">
        <f t="shared" si="53"/>
        <v>1</v>
      </c>
      <c r="U65">
        <f t="shared" si="53"/>
        <v>1</v>
      </c>
      <c r="V65">
        <f t="shared" si="53"/>
        <v>1</v>
      </c>
      <c r="W65">
        <f t="shared" si="53"/>
        <v>1</v>
      </c>
      <c r="X65">
        <f t="shared" si="53"/>
        <v>1</v>
      </c>
      <c r="Y65">
        <f t="shared" si="53"/>
        <v>1</v>
      </c>
      <c r="Z65">
        <f t="shared" si="53"/>
        <v>1</v>
      </c>
      <c r="AA65">
        <f t="shared" si="53"/>
        <v>1</v>
      </c>
      <c r="AB65">
        <f t="shared" si="53"/>
        <v>1</v>
      </c>
      <c r="AC65">
        <f t="shared" si="53"/>
        <v>1</v>
      </c>
      <c r="AD65">
        <f t="shared" si="53"/>
        <v>1</v>
      </c>
      <c r="AE65">
        <f t="shared" si="53"/>
        <v>1</v>
      </c>
      <c r="AF65">
        <f t="shared" si="53"/>
        <v>1</v>
      </c>
      <c r="AG65">
        <f t="shared" si="53"/>
        <v>1</v>
      </c>
      <c r="AH65">
        <f t="shared" si="53"/>
        <v>1</v>
      </c>
      <c r="AI65">
        <f t="shared" si="53"/>
        <v>1</v>
      </c>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row>
    <row r="66" spans="6:67" x14ac:dyDescent="0.25">
      <c r="F66" t="s">
        <v>132</v>
      </c>
      <c r="G66" t="s">
        <v>466</v>
      </c>
      <c r="H66">
        <f t="shared" si="53"/>
        <v>1</v>
      </c>
      <c r="I66">
        <f t="shared" si="53"/>
        <v>1</v>
      </c>
      <c r="J66">
        <f t="shared" si="53"/>
        <v>1</v>
      </c>
      <c r="K66">
        <f t="shared" si="53"/>
        <v>1</v>
      </c>
      <c r="L66">
        <f t="shared" si="53"/>
        <v>1</v>
      </c>
      <c r="M66">
        <f t="shared" ref="M66:AI66" si="54">IF(SUM(M34,M50)&lt;&gt;1,"ERROR",1)</f>
        <v>1</v>
      </c>
      <c r="N66">
        <f t="shared" si="54"/>
        <v>1</v>
      </c>
      <c r="O66">
        <f t="shared" si="54"/>
        <v>1</v>
      </c>
      <c r="P66">
        <f t="shared" si="54"/>
        <v>1</v>
      </c>
      <c r="Q66">
        <f t="shared" si="54"/>
        <v>1</v>
      </c>
      <c r="R66">
        <f t="shared" si="54"/>
        <v>1</v>
      </c>
      <c r="S66">
        <f t="shared" si="54"/>
        <v>1</v>
      </c>
      <c r="T66">
        <f t="shared" si="54"/>
        <v>1</v>
      </c>
      <c r="U66">
        <f t="shared" si="54"/>
        <v>1</v>
      </c>
      <c r="V66">
        <f t="shared" si="54"/>
        <v>1</v>
      </c>
      <c r="W66">
        <f t="shared" si="54"/>
        <v>1</v>
      </c>
      <c r="X66">
        <f t="shared" si="54"/>
        <v>1</v>
      </c>
      <c r="Y66">
        <f t="shared" si="54"/>
        <v>1</v>
      </c>
      <c r="Z66">
        <f t="shared" si="54"/>
        <v>1</v>
      </c>
      <c r="AA66">
        <f t="shared" si="54"/>
        <v>1</v>
      </c>
      <c r="AB66">
        <f t="shared" si="54"/>
        <v>1</v>
      </c>
      <c r="AC66">
        <f t="shared" si="54"/>
        <v>1</v>
      </c>
      <c r="AD66">
        <f t="shared" si="54"/>
        <v>1</v>
      </c>
      <c r="AE66">
        <f t="shared" si="54"/>
        <v>1</v>
      </c>
      <c r="AF66">
        <f t="shared" si="54"/>
        <v>1</v>
      </c>
      <c r="AG66">
        <f t="shared" si="54"/>
        <v>1</v>
      </c>
      <c r="AH66">
        <f t="shared" si="54"/>
        <v>1</v>
      </c>
      <c r="AI66">
        <f t="shared" si="54"/>
        <v>1</v>
      </c>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row>
    <row r="67" spans="6:67" x14ac:dyDescent="0.25">
      <c r="F67" t="s">
        <v>134</v>
      </c>
      <c r="G67" t="s">
        <v>466</v>
      </c>
      <c r="H67">
        <f t="shared" ref="H67:AI70" si="55">IF(SUM(H35,H51)&lt;&gt;1,"ERROR",1)</f>
        <v>1</v>
      </c>
      <c r="I67">
        <f t="shared" si="55"/>
        <v>1</v>
      </c>
      <c r="J67">
        <f t="shared" si="55"/>
        <v>1</v>
      </c>
      <c r="K67">
        <f t="shared" si="55"/>
        <v>1</v>
      </c>
      <c r="L67">
        <f t="shared" si="55"/>
        <v>1</v>
      </c>
      <c r="M67">
        <f t="shared" si="55"/>
        <v>1</v>
      </c>
      <c r="N67">
        <f t="shared" si="55"/>
        <v>1</v>
      </c>
      <c r="O67">
        <f t="shared" si="55"/>
        <v>1</v>
      </c>
      <c r="P67">
        <f t="shared" si="55"/>
        <v>1</v>
      </c>
      <c r="Q67">
        <f t="shared" si="55"/>
        <v>1</v>
      </c>
      <c r="R67">
        <f t="shared" si="55"/>
        <v>1</v>
      </c>
      <c r="S67">
        <f t="shared" si="55"/>
        <v>1</v>
      </c>
      <c r="T67">
        <f t="shared" si="55"/>
        <v>1</v>
      </c>
      <c r="U67">
        <f t="shared" si="55"/>
        <v>1</v>
      </c>
      <c r="V67">
        <f t="shared" si="55"/>
        <v>1</v>
      </c>
      <c r="W67">
        <f t="shared" si="55"/>
        <v>1</v>
      </c>
      <c r="X67">
        <f t="shared" si="55"/>
        <v>1</v>
      </c>
      <c r="Y67">
        <f t="shared" si="55"/>
        <v>1</v>
      </c>
      <c r="Z67">
        <f t="shared" si="55"/>
        <v>1</v>
      </c>
      <c r="AA67">
        <f t="shared" si="55"/>
        <v>1</v>
      </c>
      <c r="AB67">
        <f t="shared" si="55"/>
        <v>1</v>
      </c>
      <c r="AC67">
        <f t="shared" si="55"/>
        <v>1</v>
      </c>
      <c r="AD67">
        <f t="shared" si="55"/>
        <v>1</v>
      </c>
      <c r="AE67">
        <f t="shared" si="55"/>
        <v>1</v>
      </c>
      <c r="AF67">
        <f t="shared" si="55"/>
        <v>1</v>
      </c>
      <c r="AG67">
        <f t="shared" si="55"/>
        <v>1</v>
      </c>
      <c r="AH67">
        <f t="shared" si="55"/>
        <v>1</v>
      </c>
      <c r="AI67">
        <f t="shared" si="55"/>
        <v>1</v>
      </c>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row>
    <row r="68" spans="6:67" x14ac:dyDescent="0.25">
      <c r="F68" t="s">
        <v>1701</v>
      </c>
      <c r="G68" t="s">
        <v>466</v>
      </c>
      <c r="H68">
        <f t="shared" si="55"/>
        <v>1</v>
      </c>
      <c r="I68">
        <f t="shared" si="55"/>
        <v>1</v>
      </c>
      <c r="J68">
        <f t="shared" si="55"/>
        <v>1</v>
      </c>
      <c r="K68">
        <f t="shared" si="55"/>
        <v>1</v>
      </c>
      <c r="L68">
        <f t="shared" si="55"/>
        <v>1</v>
      </c>
      <c r="M68">
        <f t="shared" si="55"/>
        <v>1</v>
      </c>
      <c r="N68">
        <f t="shared" si="55"/>
        <v>1</v>
      </c>
      <c r="O68">
        <f t="shared" si="55"/>
        <v>1</v>
      </c>
      <c r="P68">
        <f t="shared" si="55"/>
        <v>1</v>
      </c>
      <c r="Q68">
        <f t="shared" si="55"/>
        <v>1</v>
      </c>
      <c r="R68">
        <f t="shared" si="55"/>
        <v>1</v>
      </c>
      <c r="S68">
        <f t="shared" si="55"/>
        <v>1</v>
      </c>
      <c r="T68">
        <f t="shared" si="55"/>
        <v>1</v>
      </c>
      <c r="U68">
        <f t="shared" si="55"/>
        <v>1</v>
      </c>
      <c r="V68">
        <f t="shared" si="55"/>
        <v>1</v>
      </c>
      <c r="W68">
        <f t="shared" si="55"/>
        <v>1</v>
      </c>
      <c r="X68">
        <f t="shared" si="55"/>
        <v>1</v>
      </c>
      <c r="Y68">
        <f t="shared" si="55"/>
        <v>1</v>
      </c>
      <c r="Z68">
        <f t="shared" si="55"/>
        <v>1</v>
      </c>
      <c r="AA68">
        <f t="shared" si="55"/>
        <v>1</v>
      </c>
      <c r="AB68">
        <f t="shared" si="55"/>
        <v>1</v>
      </c>
      <c r="AC68">
        <f t="shared" si="55"/>
        <v>1</v>
      </c>
      <c r="AD68">
        <f t="shared" si="55"/>
        <v>1</v>
      </c>
      <c r="AE68">
        <f t="shared" si="55"/>
        <v>1</v>
      </c>
      <c r="AF68">
        <f t="shared" si="55"/>
        <v>1</v>
      </c>
      <c r="AG68">
        <f t="shared" si="55"/>
        <v>1</v>
      </c>
      <c r="AH68">
        <f t="shared" si="55"/>
        <v>1</v>
      </c>
      <c r="AI68">
        <f t="shared" si="55"/>
        <v>1</v>
      </c>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row>
    <row r="69" spans="6:67" x14ac:dyDescent="0.25">
      <c r="F69" t="s">
        <v>137</v>
      </c>
      <c r="G69" t="s">
        <v>466</v>
      </c>
      <c r="H69">
        <f t="shared" si="55"/>
        <v>1</v>
      </c>
      <c r="I69">
        <f t="shared" si="55"/>
        <v>1</v>
      </c>
      <c r="J69">
        <f t="shared" si="55"/>
        <v>1</v>
      </c>
      <c r="K69">
        <f t="shared" si="55"/>
        <v>1</v>
      </c>
      <c r="L69">
        <f t="shared" si="55"/>
        <v>1</v>
      </c>
      <c r="M69">
        <f t="shared" si="55"/>
        <v>1</v>
      </c>
      <c r="N69">
        <f t="shared" si="55"/>
        <v>1</v>
      </c>
      <c r="O69">
        <f t="shared" si="55"/>
        <v>1</v>
      </c>
      <c r="P69">
        <f t="shared" si="55"/>
        <v>1</v>
      </c>
      <c r="Q69">
        <f t="shared" si="55"/>
        <v>1</v>
      </c>
      <c r="R69">
        <f t="shared" si="55"/>
        <v>1</v>
      </c>
      <c r="S69">
        <f t="shared" si="55"/>
        <v>1</v>
      </c>
      <c r="T69">
        <f t="shared" si="55"/>
        <v>1</v>
      </c>
      <c r="U69">
        <f t="shared" si="55"/>
        <v>1</v>
      </c>
      <c r="V69">
        <f t="shared" si="55"/>
        <v>1</v>
      </c>
      <c r="W69">
        <f t="shared" si="55"/>
        <v>1</v>
      </c>
      <c r="X69">
        <f t="shared" si="55"/>
        <v>1</v>
      </c>
      <c r="Y69">
        <f t="shared" si="55"/>
        <v>1</v>
      </c>
      <c r="Z69">
        <f t="shared" si="55"/>
        <v>1</v>
      </c>
      <c r="AA69">
        <f t="shared" si="55"/>
        <v>1</v>
      </c>
      <c r="AB69">
        <f t="shared" si="55"/>
        <v>1</v>
      </c>
      <c r="AC69">
        <f t="shared" si="55"/>
        <v>1</v>
      </c>
      <c r="AD69">
        <f t="shared" si="55"/>
        <v>1</v>
      </c>
      <c r="AE69">
        <f t="shared" si="55"/>
        <v>1</v>
      </c>
      <c r="AF69">
        <f t="shared" si="55"/>
        <v>1</v>
      </c>
      <c r="AG69">
        <f t="shared" si="55"/>
        <v>1</v>
      </c>
      <c r="AH69">
        <f t="shared" si="55"/>
        <v>1</v>
      </c>
      <c r="AI69">
        <f t="shared" si="55"/>
        <v>1</v>
      </c>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row>
    <row r="70" spans="6:67" x14ac:dyDescent="0.25">
      <c r="F70" t="s">
        <v>139</v>
      </c>
      <c r="G70" t="s">
        <v>466</v>
      </c>
      <c r="H70">
        <f t="shared" si="55"/>
        <v>1</v>
      </c>
      <c r="I70">
        <f t="shared" si="55"/>
        <v>1</v>
      </c>
      <c r="J70">
        <f t="shared" si="55"/>
        <v>1</v>
      </c>
      <c r="K70">
        <f t="shared" si="55"/>
        <v>1</v>
      </c>
      <c r="L70">
        <f t="shared" si="55"/>
        <v>1</v>
      </c>
      <c r="M70">
        <f t="shared" si="55"/>
        <v>1</v>
      </c>
      <c r="N70">
        <f t="shared" si="55"/>
        <v>1</v>
      </c>
      <c r="O70">
        <f t="shared" si="55"/>
        <v>1</v>
      </c>
      <c r="P70">
        <f t="shared" si="55"/>
        <v>1</v>
      </c>
      <c r="Q70">
        <f t="shared" si="55"/>
        <v>1</v>
      </c>
      <c r="R70">
        <f t="shared" si="55"/>
        <v>1</v>
      </c>
      <c r="S70">
        <f t="shared" si="55"/>
        <v>1</v>
      </c>
      <c r="T70">
        <f t="shared" si="55"/>
        <v>1</v>
      </c>
      <c r="U70">
        <f t="shared" si="55"/>
        <v>1</v>
      </c>
      <c r="V70">
        <f t="shared" si="55"/>
        <v>1</v>
      </c>
      <c r="W70">
        <f t="shared" si="55"/>
        <v>1</v>
      </c>
      <c r="X70">
        <f t="shared" si="55"/>
        <v>1</v>
      </c>
      <c r="Y70">
        <f t="shared" si="55"/>
        <v>1</v>
      </c>
      <c r="Z70">
        <f t="shared" si="55"/>
        <v>1</v>
      </c>
      <c r="AA70">
        <f t="shared" si="55"/>
        <v>1</v>
      </c>
      <c r="AB70">
        <f t="shared" si="55"/>
        <v>1</v>
      </c>
      <c r="AC70">
        <f t="shared" si="55"/>
        <v>1</v>
      </c>
      <c r="AD70">
        <f t="shared" si="55"/>
        <v>1</v>
      </c>
      <c r="AE70">
        <f t="shared" si="55"/>
        <v>1</v>
      </c>
      <c r="AF70">
        <f t="shared" si="55"/>
        <v>1</v>
      </c>
      <c r="AG70">
        <f t="shared" si="55"/>
        <v>1</v>
      </c>
      <c r="AH70">
        <f t="shared" si="55"/>
        <v>1</v>
      </c>
      <c r="AI70">
        <f t="shared" si="55"/>
        <v>1</v>
      </c>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row>
    <row r="71" spans="6:67" x14ac:dyDescent="0.25">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row>
    <row r="72" spans="6:67" x14ac:dyDescent="0.25">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row>
    <row r="73" spans="6:67" ht="15.75" thickBot="1" x14ac:dyDescent="0.3">
      <c r="F73" s="44" t="s">
        <v>416</v>
      </c>
      <c r="G73" s="44" t="s">
        <v>1269</v>
      </c>
      <c r="H73" s="44" t="s">
        <v>162</v>
      </c>
      <c r="I73" s="44" t="s">
        <v>164</v>
      </c>
      <c r="J73" s="44" t="s">
        <v>166</v>
      </c>
      <c r="K73" s="44" t="s">
        <v>168</v>
      </c>
      <c r="L73" s="44" t="s">
        <v>170</v>
      </c>
      <c r="M73" s="44" t="s">
        <v>173</v>
      </c>
      <c r="N73" s="44" t="s">
        <v>175</v>
      </c>
      <c r="O73" s="44" t="s">
        <v>177</v>
      </c>
      <c r="P73" s="44" t="s">
        <v>179</v>
      </c>
      <c r="Q73" s="44" t="s">
        <v>181</v>
      </c>
      <c r="R73" s="44" t="s">
        <v>183</v>
      </c>
      <c r="S73" s="44" t="s">
        <v>185</v>
      </c>
      <c r="T73" s="44" t="s">
        <v>188</v>
      </c>
      <c r="U73" s="44" t="s">
        <v>190</v>
      </c>
      <c r="V73" s="44" t="s">
        <v>192</v>
      </c>
      <c r="W73" s="44" t="s">
        <v>194</v>
      </c>
      <c r="X73" s="44" t="s">
        <v>196</v>
      </c>
      <c r="Y73" s="44" t="s">
        <v>198</v>
      </c>
      <c r="Z73" s="44" t="s">
        <v>9</v>
      </c>
      <c r="AA73" s="44" t="s">
        <v>201</v>
      </c>
      <c r="AB73" s="44" t="s">
        <v>203</v>
      </c>
      <c r="AC73" s="44" t="s">
        <v>205</v>
      </c>
      <c r="AD73" s="44" t="s">
        <v>207</v>
      </c>
      <c r="AE73" s="44" t="s">
        <v>210</v>
      </c>
      <c r="AF73" s="44" t="s">
        <v>212</v>
      </c>
      <c r="AG73" s="44" t="s">
        <v>214</v>
      </c>
      <c r="AH73" s="44" t="s">
        <v>217</v>
      </c>
      <c r="AI73" s="44" t="s">
        <v>219</v>
      </c>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row>
    <row r="74" spans="6:67" x14ac:dyDescent="0.25">
      <c r="F74" t="s">
        <v>113</v>
      </c>
      <c r="G74" t="s">
        <v>1258</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row>
    <row r="75" spans="6:67" x14ac:dyDescent="0.25">
      <c r="F75" t="s">
        <v>115</v>
      </c>
      <c r="G75" t="s">
        <v>1258</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row>
    <row r="76" spans="6:67" x14ac:dyDescent="0.25">
      <c r="F76" t="s">
        <v>117</v>
      </c>
      <c r="G76" t="s">
        <v>1258</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row>
    <row r="77" spans="6:67" x14ac:dyDescent="0.25">
      <c r="F77" t="s">
        <v>119</v>
      </c>
      <c r="G77" t="s">
        <v>1258</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row>
    <row r="78" spans="6:67" x14ac:dyDescent="0.25">
      <c r="F78" t="s">
        <v>120</v>
      </c>
      <c r="G78" s="9" t="s">
        <v>1254</v>
      </c>
      <c r="H78">
        <v>0.9</v>
      </c>
      <c r="I78">
        <v>0.9</v>
      </c>
      <c r="J78">
        <v>0.9</v>
      </c>
      <c r="K78">
        <v>0.9</v>
      </c>
      <c r="L78">
        <v>0.9</v>
      </c>
      <c r="M78">
        <v>0.9</v>
      </c>
      <c r="N78">
        <v>0.9</v>
      </c>
      <c r="O78">
        <v>0.9</v>
      </c>
      <c r="P78">
        <v>0.9</v>
      </c>
      <c r="Q78">
        <v>0.9</v>
      </c>
      <c r="R78">
        <v>0.9</v>
      </c>
      <c r="S78">
        <v>0.9</v>
      </c>
      <c r="T78">
        <v>0.9</v>
      </c>
      <c r="U78">
        <v>0.9</v>
      </c>
      <c r="V78">
        <v>0.9</v>
      </c>
      <c r="W78">
        <v>0.9</v>
      </c>
      <c r="X78">
        <v>0.9</v>
      </c>
      <c r="Y78">
        <v>0.9</v>
      </c>
      <c r="Z78">
        <v>0.9</v>
      </c>
      <c r="AA78">
        <v>0.9</v>
      </c>
      <c r="AB78">
        <v>0.9</v>
      </c>
      <c r="AC78">
        <v>0.9</v>
      </c>
      <c r="AD78">
        <v>0.9</v>
      </c>
      <c r="AE78">
        <v>0.9</v>
      </c>
      <c r="AF78">
        <v>0.9</v>
      </c>
      <c r="AG78">
        <v>0.9</v>
      </c>
      <c r="AH78">
        <v>0.9</v>
      </c>
      <c r="AI78">
        <v>0.9</v>
      </c>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row>
    <row r="79" spans="6:67" x14ac:dyDescent="0.25">
      <c r="F79" t="s">
        <v>120</v>
      </c>
      <c r="G79" s="9" t="s">
        <v>1256</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row>
    <row r="80" spans="6:67" x14ac:dyDescent="0.25">
      <c r="F80" t="s">
        <v>120</v>
      </c>
      <c r="G80" t="s">
        <v>1258</v>
      </c>
      <c r="H80">
        <v>0.1</v>
      </c>
      <c r="I80">
        <v>0.1</v>
      </c>
      <c r="J80">
        <v>0.1</v>
      </c>
      <c r="K80">
        <v>0.1</v>
      </c>
      <c r="L80">
        <v>0.1</v>
      </c>
      <c r="M80">
        <v>0.1</v>
      </c>
      <c r="N80">
        <v>0.1</v>
      </c>
      <c r="O80">
        <v>0.1</v>
      </c>
      <c r="P80">
        <v>0.1</v>
      </c>
      <c r="Q80">
        <v>0.1</v>
      </c>
      <c r="R80">
        <v>0.1</v>
      </c>
      <c r="S80">
        <v>0.1</v>
      </c>
      <c r="T80">
        <v>0.1</v>
      </c>
      <c r="U80">
        <v>0.1</v>
      </c>
      <c r="V80">
        <v>0.1</v>
      </c>
      <c r="W80">
        <v>0.1</v>
      </c>
      <c r="X80">
        <v>0.1</v>
      </c>
      <c r="Y80">
        <v>0.1</v>
      </c>
      <c r="Z80">
        <v>0.1</v>
      </c>
      <c r="AA80">
        <v>0.1</v>
      </c>
      <c r="AB80">
        <v>0.1</v>
      </c>
      <c r="AC80">
        <v>0.1</v>
      </c>
      <c r="AD80">
        <v>0.1</v>
      </c>
      <c r="AE80">
        <v>0.1</v>
      </c>
      <c r="AF80">
        <v>0.1</v>
      </c>
      <c r="AG80">
        <v>0.1</v>
      </c>
      <c r="AH80">
        <v>0.1</v>
      </c>
      <c r="AI80">
        <v>0.1</v>
      </c>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row>
    <row r="81" spans="6:67" x14ac:dyDescent="0.25">
      <c r="F81" t="s">
        <v>466</v>
      </c>
      <c r="G81" s="9"/>
      <c r="H81" t="str">
        <f>IF(SUM(H78:H80) &lt;&gt; 1,"ERR","")</f>
        <v/>
      </c>
      <c r="I81" t="str">
        <f t="shared" ref="I81:AI81" si="56">IF(SUM(I78:I80) &lt;&gt; 1,"ERR","")</f>
        <v/>
      </c>
      <c r="J81" t="str">
        <f t="shared" si="56"/>
        <v/>
      </c>
      <c r="K81" t="str">
        <f t="shared" si="56"/>
        <v/>
      </c>
      <c r="L81" t="str">
        <f t="shared" si="56"/>
        <v/>
      </c>
      <c r="M81" t="str">
        <f t="shared" si="56"/>
        <v/>
      </c>
      <c r="N81" t="str">
        <f t="shared" si="56"/>
        <v/>
      </c>
      <c r="O81" t="str">
        <f t="shared" si="56"/>
        <v/>
      </c>
      <c r="P81" t="str">
        <f t="shared" si="56"/>
        <v/>
      </c>
      <c r="Q81" t="str">
        <f t="shared" si="56"/>
        <v/>
      </c>
      <c r="R81" t="str">
        <f t="shared" si="56"/>
        <v/>
      </c>
      <c r="S81" t="str">
        <f t="shared" si="56"/>
        <v/>
      </c>
      <c r="T81" t="str">
        <f t="shared" si="56"/>
        <v/>
      </c>
      <c r="U81" t="str">
        <f t="shared" si="56"/>
        <v/>
      </c>
      <c r="V81" t="str">
        <f t="shared" si="56"/>
        <v/>
      </c>
      <c r="W81" t="str">
        <f t="shared" si="56"/>
        <v/>
      </c>
      <c r="X81" t="str">
        <f t="shared" si="56"/>
        <v/>
      </c>
      <c r="Y81" t="str">
        <f t="shared" si="56"/>
        <v/>
      </c>
      <c r="Z81" t="str">
        <f t="shared" si="56"/>
        <v/>
      </c>
      <c r="AA81" t="str">
        <f t="shared" si="56"/>
        <v/>
      </c>
      <c r="AB81" t="str">
        <f t="shared" si="56"/>
        <v/>
      </c>
      <c r="AC81" t="str">
        <f t="shared" si="56"/>
        <v/>
      </c>
      <c r="AD81" t="str">
        <f t="shared" si="56"/>
        <v/>
      </c>
      <c r="AE81" t="str">
        <f t="shared" si="56"/>
        <v/>
      </c>
      <c r="AF81" t="str">
        <f t="shared" si="56"/>
        <v/>
      </c>
      <c r="AG81" t="str">
        <f t="shared" si="56"/>
        <v/>
      </c>
      <c r="AH81" t="str">
        <f t="shared" si="56"/>
        <v/>
      </c>
      <c r="AI81" t="str">
        <f t="shared" si="56"/>
        <v/>
      </c>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row>
    <row r="82" spans="6:67" x14ac:dyDescent="0.25">
      <c r="F82" t="s">
        <v>122</v>
      </c>
      <c r="G82" t="s">
        <v>1258</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row>
    <row r="83" spans="6:67" x14ac:dyDescent="0.25">
      <c r="F83" t="s">
        <v>124</v>
      </c>
      <c r="G83" s="9" t="s">
        <v>1254</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row>
    <row r="84" spans="6:67" x14ac:dyDescent="0.25">
      <c r="F84" t="s">
        <v>124</v>
      </c>
      <c r="G84" s="9" t="s">
        <v>1256</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row>
    <row r="85" spans="6:67" x14ac:dyDescent="0.25">
      <c r="F85" t="s">
        <v>124</v>
      </c>
      <c r="G85" t="s">
        <v>1258</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row>
    <row r="86" spans="6:67" x14ac:dyDescent="0.25">
      <c r="F86" t="s">
        <v>466</v>
      </c>
      <c r="H86" t="str">
        <f>IF(SUM(H83:H85) &lt;&gt; 1,"ERR","")</f>
        <v/>
      </c>
      <c r="I86" t="str">
        <f t="shared" ref="I86:AI86" si="57">IF(SUM(I83:I85) &lt;&gt; 1,"ERR","")</f>
        <v/>
      </c>
      <c r="J86" t="str">
        <f t="shared" si="57"/>
        <v/>
      </c>
      <c r="K86" t="str">
        <f t="shared" si="57"/>
        <v/>
      </c>
      <c r="L86" t="str">
        <f t="shared" si="57"/>
        <v/>
      </c>
      <c r="M86" t="str">
        <f t="shared" si="57"/>
        <v/>
      </c>
      <c r="N86" t="str">
        <f t="shared" si="57"/>
        <v/>
      </c>
      <c r="O86" t="str">
        <f t="shared" si="57"/>
        <v/>
      </c>
      <c r="P86" t="str">
        <f t="shared" si="57"/>
        <v/>
      </c>
      <c r="Q86" t="str">
        <f t="shared" si="57"/>
        <v/>
      </c>
      <c r="R86" t="str">
        <f t="shared" si="57"/>
        <v/>
      </c>
      <c r="S86" t="str">
        <f t="shared" si="57"/>
        <v/>
      </c>
      <c r="T86" t="str">
        <f t="shared" si="57"/>
        <v/>
      </c>
      <c r="U86" t="str">
        <f t="shared" si="57"/>
        <v/>
      </c>
      <c r="V86" t="str">
        <f t="shared" si="57"/>
        <v/>
      </c>
      <c r="W86" t="str">
        <f t="shared" si="57"/>
        <v/>
      </c>
      <c r="X86" t="str">
        <f t="shared" si="57"/>
        <v/>
      </c>
      <c r="Y86" t="str">
        <f t="shared" si="57"/>
        <v/>
      </c>
      <c r="Z86" t="str">
        <f t="shared" si="57"/>
        <v/>
      </c>
      <c r="AA86" t="str">
        <f t="shared" si="57"/>
        <v/>
      </c>
      <c r="AB86" t="str">
        <f t="shared" si="57"/>
        <v/>
      </c>
      <c r="AC86" t="str">
        <f t="shared" si="57"/>
        <v/>
      </c>
      <c r="AD86" t="str">
        <f t="shared" si="57"/>
        <v/>
      </c>
      <c r="AE86" t="str">
        <f t="shared" si="57"/>
        <v/>
      </c>
      <c r="AF86" t="str">
        <f t="shared" si="57"/>
        <v/>
      </c>
      <c r="AG86" t="str">
        <f t="shared" si="57"/>
        <v/>
      </c>
      <c r="AH86" t="str">
        <f t="shared" si="57"/>
        <v/>
      </c>
      <c r="AI86" t="str">
        <f t="shared" si="57"/>
        <v/>
      </c>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row>
    <row r="87" spans="6:67" x14ac:dyDescent="0.25">
      <c r="F87" t="s">
        <v>126</v>
      </c>
      <c r="G87" s="9" t="s">
        <v>1254</v>
      </c>
      <c r="H87">
        <v>0.8</v>
      </c>
      <c r="I87">
        <v>0.8</v>
      </c>
      <c r="J87">
        <v>0.8</v>
      </c>
      <c r="K87">
        <v>0.8</v>
      </c>
      <c r="L87">
        <v>0.8</v>
      </c>
      <c r="M87">
        <v>0.8</v>
      </c>
      <c r="N87">
        <v>0.8</v>
      </c>
      <c r="O87">
        <v>0.8</v>
      </c>
      <c r="P87">
        <v>0.8</v>
      </c>
      <c r="Q87">
        <v>0.8</v>
      </c>
      <c r="R87">
        <v>0.8</v>
      </c>
      <c r="S87">
        <v>0.8</v>
      </c>
      <c r="T87">
        <v>0.8</v>
      </c>
      <c r="U87">
        <v>0.8</v>
      </c>
      <c r="V87">
        <v>0.8</v>
      </c>
      <c r="W87">
        <v>0.8</v>
      </c>
      <c r="X87">
        <v>0.8</v>
      </c>
      <c r="Y87">
        <v>0.8</v>
      </c>
      <c r="Z87">
        <v>0.8</v>
      </c>
      <c r="AA87">
        <v>0.8</v>
      </c>
      <c r="AB87">
        <v>0.8</v>
      </c>
      <c r="AC87">
        <v>0.8</v>
      </c>
      <c r="AD87">
        <v>0.8</v>
      </c>
      <c r="AE87">
        <v>0.8</v>
      </c>
      <c r="AF87">
        <v>0.8</v>
      </c>
      <c r="AG87">
        <v>0.8</v>
      </c>
      <c r="AH87">
        <v>0.8</v>
      </c>
      <c r="AI87">
        <v>0.8</v>
      </c>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row>
    <row r="88" spans="6:67" x14ac:dyDescent="0.25">
      <c r="F88" t="s">
        <v>126</v>
      </c>
      <c r="G88" s="9" t="s">
        <v>1256</v>
      </c>
      <c r="H88">
        <v>0.1</v>
      </c>
      <c r="I88">
        <v>0.1</v>
      </c>
      <c r="J88">
        <v>0.1</v>
      </c>
      <c r="K88">
        <v>0.1</v>
      </c>
      <c r="L88">
        <v>0.1</v>
      </c>
      <c r="M88">
        <v>0.1</v>
      </c>
      <c r="N88">
        <v>0.1</v>
      </c>
      <c r="O88">
        <v>0.1</v>
      </c>
      <c r="P88">
        <v>0.1</v>
      </c>
      <c r="Q88">
        <v>0.1</v>
      </c>
      <c r="R88">
        <v>0.1</v>
      </c>
      <c r="S88">
        <v>0.1</v>
      </c>
      <c r="T88">
        <v>0.1</v>
      </c>
      <c r="U88">
        <v>0.1</v>
      </c>
      <c r="V88">
        <v>0.1</v>
      </c>
      <c r="W88">
        <v>0.1</v>
      </c>
      <c r="X88">
        <v>0.1</v>
      </c>
      <c r="Y88">
        <v>0.1</v>
      </c>
      <c r="Z88">
        <v>0.1</v>
      </c>
      <c r="AA88">
        <v>0.1</v>
      </c>
      <c r="AB88">
        <v>0.1</v>
      </c>
      <c r="AC88">
        <v>0.1</v>
      </c>
      <c r="AD88">
        <v>0.1</v>
      </c>
      <c r="AE88">
        <v>0.1</v>
      </c>
      <c r="AF88">
        <v>0.1</v>
      </c>
      <c r="AG88">
        <v>0.1</v>
      </c>
      <c r="AH88">
        <v>0.1</v>
      </c>
      <c r="AI88">
        <v>0.1</v>
      </c>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row>
    <row r="89" spans="6:67" x14ac:dyDescent="0.25">
      <c r="F89" t="s">
        <v>126</v>
      </c>
      <c r="G89" t="s">
        <v>1258</v>
      </c>
      <c r="H89">
        <v>0.1</v>
      </c>
      <c r="I89">
        <v>0.1</v>
      </c>
      <c r="J89">
        <v>0.1</v>
      </c>
      <c r="K89">
        <v>0.1</v>
      </c>
      <c r="L89">
        <v>0.1</v>
      </c>
      <c r="M89">
        <v>0.1</v>
      </c>
      <c r="N89">
        <v>0.1</v>
      </c>
      <c r="O89">
        <v>0.1</v>
      </c>
      <c r="P89">
        <v>0.1</v>
      </c>
      <c r="Q89">
        <v>0.1</v>
      </c>
      <c r="R89">
        <v>0.1</v>
      </c>
      <c r="S89">
        <v>0.1</v>
      </c>
      <c r="T89">
        <v>0.1</v>
      </c>
      <c r="U89">
        <v>0.1</v>
      </c>
      <c r="V89">
        <v>0.1</v>
      </c>
      <c r="W89">
        <v>0.1</v>
      </c>
      <c r="X89">
        <v>0.1</v>
      </c>
      <c r="Y89">
        <v>0.1</v>
      </c>
      <c r="Z89">
        <v>0.1</v>
      </c>
      <c r="AA89">
        <v>0.1</v>
      </c>
      <c r="AB89">
        <v>0.1</v>
      </c>
      <c r="AC89">
        <v>0.1</v>
      </c>
      <c r="AD89">
        <v>0.1</v>
      </c>
      <c r="AE89">
        <v>0.1</v>
      </c>
      <c r="AF89">
        <v>0.1</v>
      </c>
      <c r="AG89">
        <v>0.1</v>
      </c>
      <c r="AH89">
        <v>0.1</v>
      </c>
      <c r="AI89">
        <v>0.1</v>
      </c>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row>
    <row r="90" spans="6:67" x14ac:dyDescent="0.25">
      <c r="F90" t="s">
        <v>466</v>
      </c>
      <c r="H90" t="str">
        <f>IF(SUM(H87:H89) &lt;&gt; 1,"ERR","")</f>
        <v/>
      </c>
      <c r="I90" t="str">
        <f t="shared" ref="I90:AI90" si="58">IF(SUM(I87:I89) &lt;&gt; 1,"ERR","")</f>
        <v/>
      </c>
      <c r="J90" t="str">
        <f t="shared" si="58"/>
        <v/>
      </c>
      <c r="K90" t="str">
        <f t="shared" si="58"/>
        <v/>
      </c>
      <c r="L90" t="str">
        <f t="shared" si="58"/>
        <v/>
      </c>
      <c r="M90" t="str">
        <f t="shared" si="58"/>
        <v/>
      </c>
      <c r="N90" t="str">
        <f t="shared" si="58"/>
        <v/>
      </c>
      <c r="O90" t="str">
        <f t="shared" si="58"/>
        <v/>
      </c>
      <c r="P90" t="str">
        <f t="shared" si="58"/>
        <v/>
      </c>
      <c r="Q90" t="str">
        <f t="shared" si="58"/>
        <v/>
      </c>
      <c r="R90" t="str">
        <f t="shared" si="58"/>
        <v/>
      </c>
      <c r="S90" t="str">
        <f t="shared" si="58"/>
        <v/>
      </c>
      <c r="T90" t="str">
        <f t="shared" si="58"/>
        <v/>
      </c>
      <c r="U90" t="str">
        <f t="shared" si="58"/>
        <v/>
      </c>
      <c r="V90" t="str">
        <f t="shared" si="58"/>
        <v/>
      </c>
      <c r="W90" t="str">
        <f t="shared" si="58"/>
        <v/>
      </c>
      <c r="X90" t="str">
        <f t="shared" si="58"/>
        <v/>
      </c>
      <c r="Y90" t="str">
        <f t="shared" si="58"/>
        <v/>
      </c>
      <c r="Z90" t="str">
        <f t="shared" si="58"/>
        <v/>
      </c>
      <c r="AA90" t="str">
        <f t="shared" si="58"/>
        <v/>
      </c>
      <c r="AB90" t="str">
        <f t="shared" si="58"/>
        <v/>
      </c>
      <c r="AC90" t="str">
        <f t="shared" si="58"/>
        <v/>
      </c>
      <c r="AD90" t="str">
        <f t="shared" si="58"/>
        <v/>
      </c>
      <c r="AE90" t="str">
        <f t="shared" si="58"/>
        <v/>
      </c>
      <c r="AF90" t="str">
        <f t="shared" si="58"/>
        <v/>
      </c>
      <c r="AG90" t="str">
        <f t="shared" si="58"/>
        <v/>
      </c>
      <c r="AH90" t="str">
        <f t="shared" si="58"/>
        <v/>
      </c>
      <c r="AI90" t="str">
        <f t="shared" si="58"/>
        <v/>
      </c>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row>
    <row r="91" spans="6:67" x14ac:dyDescent="0.25">
      <c r="F91" t="s">
        <v>128</v>
      </c>
      <c r="G91" s="9" t="s">
        <v>1254</v>
      </c>
      <c r="H91">
        <v>0.9</v>
      </c>
      <c r="I91">
        <v>0.9</v>
      </c>
      <c r="J91">
        <v>0.9</v>
      </c>
      <c r="K91">
        <v>0.9</v>
      </c>
      <c r="L91">
        <v>0.9</v>
      </c>
      <c r="M91">
        <v>0.9</v>
      </c>
      <c r="N91">
        <v>0.9</v>
      </c>
      <c r="O91">
        <v>0.9</v>
      </c>
      <c r="P91">
        <v>0.9</v>
      </c>
      <c r="Q91">
        <v>0.9</v>
      </c>
      <c r="R91">
        <v>0.9</v>
      </c>
      <c r="S91">
        <v>0.9</v>
      </c>
      <c r="T91">
        <v>0.9</v>
      </c>
      <c r="U91">
        <v>0.9</v>
      </c>
      <c r="V91">
        <v>0.9</v>
      </c>
      <c r="W91">
        <v>0.9</v>
      </c>
      <c r="X91">
        <v>0.9</v>
      </c>
      <c r="Y91">
        <v>0.9</v>
      </c>
      <c r="Z91">
        <v>0.9</v>
      </c>
      <c r="AA91">
        <v>0.9</v>
      </c>
      <c r="AB91">
        <v>0.9</v>
      </c>
      <c r="AC91">
        <v>0.9</v>
      </c>
      <c r="AD91">
        <v>0.9</v>
      </c>
      <c r="AE91">
        <v>0.9</v>
      </c>
      <c r="AF91">
        <v>0.9</v>
      </c>
      <c r="AG91">
        <v>0.9</v>
      </c>
      <c r="AH91">
        <v>0.9</v>
      </c>
      <c r="AI91">
        <v>0.9</v>
      </c>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row>
    <row r="92" spans="6:67" x14ac:dyDescent="0.25">
      <c r="F92" t="s">
        <v>128</v>
      </c>
      <c r="G92" s="9" t="s">
        <v>1256</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row>
    <row r="93" spans="6:67" x14ac:dyDescent="0.25">
      <c r="F93" t="s">
        <v>128</v>
      </c>
      <c r="G93" t="s">
        <v>1258</v>
      </c>
      <c r="H93">
        <v>0.1</v>
      </c>
      <c r="I93">
        <v>0.1</v>
      </c>
      <c r="J93">
        <v>0.1</v>
      </c>
      <c r="K93">
        <v>0.1</v>
      </c>
      <c r="L93">
        <v>0.1</v>
      </c>
      <c r="M93">
        <v>0.1</v>
      </c>
      <c r="N93">
        <v>0.1</v>
      </c>
      <c r="O93">
        <v>0.1</v>
      </c>
      <c r="P93">
        <v>0.1</v>
      </c>
      <c r="Q93">
        <v>0.1</v>
      </c>
      <c r="R93">
        <v>0.1</v>
      </c>
      <c r="S93">
        <v>0.1</v>
      </c>
      <c r="T93">
        <v>0.1</v>
      </c>
      <c r="U93">
        <v>0.1</v>
      </c>
      <c r="V93">
        <v>0.1</v>
      </c>
      <c r="W93">
        <v>0.1</v>
      </c>
      <c r="X93">
        <v>0.1</v>
      </c>
      <c r="Y93">
        <v>0.1</v>
      </c>
      <c r="Z93">
        <v>0.1</v>
      </c>
      <c r="AA93">
        <v>0.1</v>
      </c>
      <c r="AB93">
        <v>0.1</v>
      </c>
      <c r="AC93">
        <v>0.1</v>
      </c>
      <c r="AD93">
        <v>0.1</v>
      </c>
      <c r="AE93">
        <v>0.1</v>
      </c>
      <c r="AF93">
        <v>0.1</v>
      </c>
      <c r="AG93">
        <v>0.1</v>
      </c>
      <c r="AH93">
        <v>0.1</v>
      </c>
      <c r="AI93">
        <v>0.1</v>
      </c>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row>
    <row r="94" spans="6:67" x14ac:dyDescent="0.25">
      <c r="F94" t="s">
        <v>466</v>
      </c>
      <c r="H94" t="str">
        <f>IF(SUM(H91:H93) &lt;&gt; 1,"ERR","")</f>
        <v/>
      </c>
      <c r="I94" t="str">
        <f t="shared" ref="I94:AI94" si="59">IF(SUM(I91:I93) &lt;&gt; 1,"ERR","")</f>
        <v/>
      </c>
      <c r="J94" t="str">
        <f t="shared" si="59"/>
        <v/>
      </c>
      <c r="K94" t="str">
        <f t="shared" si="59"/>
        <v/>
      </c>
      <c r="L94" t="str">
        <f t="shared" si="59"/>
        <v/>
      </c>
      <c r="M94" t="str">
        <f t="shared" si="59"/>
        <v/>
      </c>
      <c r="N94" t="str">
        <f t="shared" si="59"/>
        <v/>
      </c>
      <c r="O94" t="str">
        <f t="shared" si="59"/>
        <v/>
      </c>
      <c r="P94" t="str">
        <f t="shared" si="59"/>
        <v/>
      </c>
      <c r="Q94" t="str">
        <f t="shared" si="59"/>
        <v/>
      </c>
      <c r="R94" t="str">
        <f t="shared" si="59"/>
        <v/>
      </c>
      <c r="S94" t="str">
        <f t="shared" si="59"/>
        <v/>
      </c>
      <c r="T94" t="str">
        <f t="shared" si="59"/>
        <v/>
      </c>
      <c r="U94" t="str">
        <f t="shared" si="59"/>
        <v/>
      </c>
      <c r="V94" t="str">
        <f t="shared" si="59"/>
        <v/>
      </c>
      <c r="W94" t="str">
        <f t="shared" si="59"/>
        <v/>
      </c>
      <c r="X94" t="str">
        <f t="shared" si="59"/>
        <v/>
      </c>
      <c r="Y94" t="str">
        <f t="shared" si="59"/>
        <v/>
      </c>
      <c r="Z94" t="str">
        <f t="shared" si="59"/>
        <v/>
      </c>
      <c r="AA94" t="str">
        <f t="shared" si="59"/>
        <v/>
      </c>
      <c r="AB94" t="str">
        <f t="shared" si="59"/>
        <v/>
      </c>
      <c r="AC94" t="str">
        <f t="shared" si="59"/>
        <v/>
      </c>
      <c r="AD94" t="str">
        <f t="shared" si="59"/>
        <v/>
      </c>
      <c r="AE94" t="str">
        <f t="shared" si="59"/>
        <v/>
      </c>
      <c r="AF94" t="str">
        <f t="shared" si="59"/>
        <v/>
      </c>
      <c r="AG94" t="str">
        <f t="shared" si="59"/>
        <v/>
      </c>
      <c r="AH94" t="str">
        <f t="shared" si="59"/>
        <v/>
      </c>
      <c r="AI94" t="str">
        <f t="shared" si="59"/>
        <v/>
      </c>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row>
    <row r="95" spans="6:67" x14ac:dyDescent="0.25">
      <c r="F95" t="s">
        <v>130</v>
      </c>
      <c r="G95" t="s">
        <v>1258</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row>
    <row r="96" spans="6:67" x14ac:dyDescent="0.25">
      <c r="F96" t="s">
        <v>132</v>
      </c>
      <c r="G96" t="s">
        <v>1258</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c r="AD96">
        <v>1</v>
      </c>
      <c r="AE96">
        <v>1</v>
      </c>
      <c r="AF96">
        <v>1</v>
      </c>
      <c r="AG96">
        <v>1</v>
      </c>
      <c r="AH96">
        <v>1</v>
      </c>
      <c r="AI96">
        <v>1</v>
      </c>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row>
    <row r="97" spans="3:67" x14ac:dyDescent="0.25">
      <c r="F97" t="s">
        <v>134</v>
      </c>
      <c r="G97" s="9" t="s">
        <v>1254</v>
      </c>
      <c r="H97">
        <v>0.8</v>
      </c>
      <c r="I97">
        <v>0.8</v>
      </c>
      <c r="J97">
        <v>0.8</v>
      </c>
      <c r="K97">
        <v>0.8</v>
      </c>
      <c r="L97">
        <v>0.8</v>
      </c>
      <c r="M97">
        <v>0.8</v>
      </c>
      <c r="N97">
        <v>0.8</v>
      </c>
      <c r="O97">
        <v>0.8</v>
      </c>
      <c r="P97">
        <v>0.8</v>
      </c>
      <c r="Q97">
        <v>0.8</v>
      </c>
      <c r="R97">
        <v>0.8</v>
      </c>
      <c r="S97">
        <v>0.8</v>
      </c>
      <c r="T97">
        <v>0.8</v>
      </c>
      <c r="U97">
        <v>0.8</v>
      </c>
      <c r="V97">
        <v>0.8</v>
      </c>
      <c r="W97">
        <v>0.8</v>
      </c>
      <c r="X97">
        <v>0.8</v>
      </c>
      <c r="Y97">
        <v>0.8</v>
      </c>
      <c r="Z97">
        <v>0.8</v>
      </c>
      <c r="AA97">
        <v>0.8</v>
      </c>
      <c r="AB97">
        <v>0.8</v>
      </c>
      <c r="AC97">
        <v>0.8</v>
      </c>
      <c r="AD97">
        <v>0.8</v>
      </c>
      <c r="AE97">
        <v>0.8</v>
      </c>
      <c r="AF97">
        <v>0.8</v>
      </c>
      <c r="AG97">
        <v>0.8</v>
      </c>
      <c r="AH97">
        <v>0.8</v>
      </c>
      <c r="AI97">
        <v>0.8</v>
      </c>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row>
    <row r="98" spans="3:67" x14ac:dyDescent="0.25">
      <c r="F98" t="s">
        <v>134</v>
      </c>
      <c r="G98" s="9" t="s">
        <v>1256</v>
      </c>
      <c r="H98">
        <v>0.1</v>
      </c>
      <c r="I98">
        <v>0.1</v>
      </c>
      <c r="J98">
        <v>0.1</v>
      </c>
      <c r="K98">
        <v>0.1</v>
      </c>
      <c r="L98">
        <v>0.1</v>
      </c>
      <c r="M98">
        <v>0.1</v>
      </c>
      <c r="N98">
        <v>0.1</v>
      </c>
      <c r="O98">
        <v>0.1</v>
      </c>
      <c r="P98">
        <v>0.1</v>
      </c>
      <c r="Q98">
        <v>0.1</v>
      </c>
      <c r="R98">
        <v>0.1</v>
      </c>
      <c r="S98">
        <v>0.1</v>
      </c>
      <c r="T98">
        <v>0.1</v>
      </c>
      <c r="U98">
        <v>0.1</v>
      </c>
      <c r="V98">
        <v>0.1</v>
      </c>
      <c r="W98">
        <v>0.1</v>
      </c>
      <c r="X98">
        <v>0.1</v>
      </c>
      <c r="Y98">
        <v>0.1</v>
      </c>
      <c r="Z98">
        <v>0.1</v>
      </c>
      <c r="AA98">
        <v>0.1</v>
      </c>
      <c r="AB98">
        <v>0.1</v>
      </c>
      <c r="AC98">
        <v>0.1</v>
      </c>
      <c r="AD98">
        <v>0.1</v>
      </c>
      <c r="AE98">
        <v>0.1</v>
      </c>
      <c r="AF98">
        <v>0.1</v>
      </c>
      <c r="AG98">
        <v>0.1</v>
      </c>
      <c r="AH98">
        <v>0.1</v>
      </c>
      <c r="AI98">
        <v>0.1</v>
      </c>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row>
    <row r="99" spans="3:67" x14ac:dyDescent="0.25">
      <c r="F99" t="s">
        <v>134</v>
      </c>
      <c r="G99" t="s">
        <v>1258</v>
      </c>
      <c r="H99">
        <v>0.1</v>
      </c>
      <c r="I99">
        <v>0.1</v>
      </c>
      <c r="J99">
        <v>0.1</v>
      </c>
      <c r="K99">
        <v>0.1</v>
      </c>
      <c r="L99">
        <v>0.1</v>
      </c>
      <c r="M99">
        <v>0.1</v>
      </c>
      <c r="N99">
        <v>0.1</v>
      </c>
      <c r="O99">
        <v>0.1</v>
      </c>
      <c r="P99">
        <v>0.1</v>
      </c>
      <c r="Q99">
        <v>0.1</v>
      </c>
      <c r="R99">
        <v>0.1</v>
      </c>
      <c r="S99">
        <v>0.1</v>
      </c>
      <c r="T99">
        <v>0.1</v>
      </c>
      <c r="U99">
        <v>0.1</v>
      </c>
      <c r="V99">
        <v>0.1</v>
      </c>
      <c r="W99">
        <v>0.1</v>
      </c>
      <c r="X99">
        <v>0.1</v>
      </c>
      <c r="Y99">
        <v>0.1</v>
      </c>
      <c r="Z99">
        <v>0.1</v>
      </c>
      <c r="AA99">
        <v>0.1</v>
      </c>
      <c r="AB99">
        <v>0.1</v>
      </c>
      <c r="AC99">
        <v>0.1</v>
      </c>
      <c r="AD99">
        <v>0.1</v>
      </c>
      <c r="AE99">
        <v>0.1</v>
      </c>
      <c r="AF99">
        <v>0.1</v>
      </c>
      <c r="AG99">
        <v>0.1</v>
      </c>
      <c r="AH99">
        <v>0.1</v>
      </c>
      <c r="AI99">
        <v>0.1</v>
      </c>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row>
    <row r="100" spans="3:67" x14ac:dyDescent="0.25">
      <c r="F100" t="s">
        <v>466</v>
      </c>
      <c r="H100" t="str">
        <f>IF(SUM(H97:H99) &lt;&gt; 1,"ERR","")</f>
        <v/>
      </c>
      <c r="I100" t="str">
        <f t="shared" ref="I100:AI100" si="60">IF(SUM(I97:I99) &lt;&gt; 1,"ERR","")</f>
        <v/>
      </c>
      <c r="J100" t="str">
        <f t="shared" si="60"/>
        <v/>
      </c>
      <c r="K100" t="str">
        <f t="shared" si="60"/>
        <v/>
      </c>
      <c r="L100" t="str">
        <f t="shared" si="60"/>
        <v/>
      </c>
      <c r="M100" t="str">
        <f t="shared" si="60"/>
        <v/>
      </c>
      <c r="N100" t="str">
        <f t="shared" si="60"/>
        <v/>
      </c>
      <c r="O100" t="str">
        <f t="shared" si="60"/>
        <v/>
      </c>
      <c r="P100" t="str">
        <f t="shared" si="60"/>
        <v/>
      </c>
      <c r="Q100" t="str">
        <f t="shared" si="60"/>
        <v/>
      </c>
      <c r="R100" t="str">
        <f t="shared" si="60"/>
        <v/>
      </c>
      <c r="S100" t="str">
        <f t="shared" si="60"/>
        <v/>
      </c>
      <c r="T100" t="str">
        <f t="shared" si="60"/>
        <v/>
      </c>
      <c r="U100" t="str">
        <f t="shared" si="60"/>
        <v/>
      </c>
      <c r="V100" t="str">
        <f t="shared" si="60"/>
        <v/>
      </c>
      <c r="W100" t="str">
        <f t="shared" si="60"/>
        <v/>
      </c>
      <c r="X100" t="str">
        <f t="shared" si="60"/>
        <v/>
      </c>
      <c r="Y100" t="str">
        <f t="shared" si="60"/>
        <v/>
      </c>
      <c r="Z100" t="str">
        <f t="shared" si="60"/>
        <v/>
      </c>
      <c r="AA100" t="str">
        <f t="shared" si="60"/>
        <v/>
      </c>
      <c r="AB100" t="str">
        <f t="shared" si="60"/>
        <v/>
      </c>
      <c r="AC100" t="str">
        <f t="shared" si="60"/>
        <v/>
      </c>
      <c r="AD100" t="str">
        <f t="shared" si="60"/>
        <v/>
      </c>
      <c r="AE100" t="str">
        <f t="shared" si="60"/>
        <v/>
      </c>
      <c r="AF100" t="str">
        <f t="shared" si="60"/>
        <v/>
      </c>
      <c r="AG100" t="str">
        <f t="shared" si="60"/>
        <v/>
      </c>
      <c r="AH100" t="str">
        <f t="shared" si="60"/>
        <v/>
      </c>
      <c r="AI100" t="str">
        <f t="shared" si="60"/>
        <v/>
      </c>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row>
    <row r="101" spans="3:67" x14ac:dyDescent="0.25">
      <c r="F101" t="s">
        <v>1701</v>
      </c>
      <c r="G101" t="s">
        <v>1258</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c r="AD101">
        <v>1</v>
      </c>
      <c r="AE101">
        <v>1</v>
      </c>
      <c r="AF101">
        <v>1</v>
      </c>
      <c r="AG101">
        <v>1</v>
      </c>
      <c r="AH101">
        <v>1</v>
      </c>
      <c r="AI101">
        <v>1</v>
      </c>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row>
    <row r="102" spans="3:67" x14ac:dyDescent="0.25">
      <c r="F102" t="s">
        <v>137</v>
      </c>
      <c r="G102" t="s">
        <v>1258</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c r="AF102">
        <v>1</v>
      </c>
      <c r="AG102">
        <v>1</v>
      </c>
      <c r="AH102">
        <v>1</v>
      </c>
      <c r="AI102">
        <v>1</v>
      </c>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row>
    <row r="103" spans="3:67" x14ac:dyDescent="0.25">
      <c r="F103" t="s">
        <v>139</v>
      </c>
      <c r="G103" t="s">
        <v>1258</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1</v>
      </c>
      <c r="AH103">
        <v>1</v>
      </c>
      <c r="AI103">
        <v>1</v>
      </c>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row>
    <row r="104" spans="3:67" x14ac:dyDescent="0.25">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row>
    <row r="105" spans="3:67" x14ac:dyDescent="0.25">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row>
    <row r="106" spans="3:67" x14ac:dyDescent="0.25">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row>
    <row r="107" spans="3:67" x14ac:dyDescent="0.25">
      <c r="C107" s="5" t="s">
        <v>589</v>
      </c>
      <c r="H107" s="193"/>
      <c r="I107" s="193"/>
      <c r="J107" s="193"/>
      <c r="K107" s="193"/>
      <c r="L107" s="193"/>
      <c r="M107" s="193"/>
      <c r="N107" s="193"/>
      <c r="O107" s="193"/>
      <c r="P107" s="193"/>
      <c r="Q107" s="193"/>
      <c r="R107" s="193"/>
      <c r="S107" s="193"/>
      <c r="T107" s="193"/>
      <c r="U107" s="193"/>
      <c r="V107" s="193"/>
      <c r="W107" s="193"/>
      <c r="X107" s="193"/>
      <c r="Y107" s="193"/>
      <c r="Z107" s="193"/>
      <c r="AA107" s="193"/>
      <c r="AB107" s="193"/>
      <c r="AC107" s="193"/>
      <c r="AD107" s="193"/>
      <c r="AE107" s="193"/>
      <c r="AF107" s="193"/>
      <c r="AG107" s="193"/>
      <c r="AH107" s="193"/>
      <c r="AI107" s="193"/>
      <c r="AK107" s="193">
        <f>SUM(H107:AI107)</f>
        <v>0</v>
      </c>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row>
    <row r="108" spans="3:67" x14ac:dyDescent="0.25">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row>
    <row r="110" spans="3:67" x14ac:dyDescent="0.25">
      <c r="C110" s="52" t="s">
        <v>300</v>
      </c>
    </row>
    <row r="111" spans="3:67" ht="16.5" thickBot="1" x14ac:dyDescent="0.3">
      <c r="C111" s="487" t="s">
        <v>340</v>
      </c>
      <c r="D111" s="487" t="s">
        <v>591</v>
      </c>
      <c r="E111" s="487" t="s">
        <v>582</v>
      </c>
      <c r="F111" s="487" t="s">
        <v>326</v>
      </c>
      <c r="G111" s="487" t="s">
        <v>549</v>
      </c>
      <c r="H111" s="487" t="s">
        <v>162</v>
      </c>
      <c r="I111" s="487" t="s">
        <v>164</v>
      </c>
      <c r="J111" s="487" t="s">
        <v>166</v>
      </c>
      <c r="K111" s="487" t="s">
        <v>168</v>
      </c>
      <c r="L111" s="487" t="s">
        <v>170</v>
      </c>
      <c r="M111" s="487" t="s">
        <v>173</v>
      </c>
      <c r="N111" s="487" t="s">
        <v>175</v>
      </c>
      <c r="O111" s="487" t="s">
        <v>177</v>
      </c>
      <c r="P111" s="487" t="s">
        <v>179</v>
      </c>
      <c r="Q111" s="487" t="s">
        <v>181</v>
      </c>
      <c r="R111" s="487" t="s">
        <v>183</v>
      </c>
      <c r="S111" s="487" t="s">
        <v>185</v>
      </c>
      <c r="T111" s="487" t="s">
        <v>188</v>
      </c>
      <c r="U111" s="487" t="s">
        <v>190</v>
      </c>
      <c r="V111" s="487" t="s">
        <v>192</v>
      </c>
      <c r="W111" s="487" t="s">
        <v>194</v>
      </c>
      <c r="X111" s="487" t="s">
        <v>196</v>
      </c>
      <c r="Y111" s="487" t="s">
        <v>198</v>
      </c>
      <c r="Z111" s="487" t="s">
        <v>9</v>
      </c>
      <c r="AA111" s="487" t="s">
        <v>201</v>
      </c>
      <c r="AB111" s="487" t="s">
        <v>203</v>
      </c>
      <c r="AC111" s="487" t="s">
        <v>205</v>
      </c>
      <c r="AD111" s="487" t="s">
        <v>207</v>
      </c>
      <c r="AE111" s="487" t="s">
        <v>210</v>
      </c>
      <c r="AF111" s="487" t="s">
        <v>212</v>
      </c>
      <c r="AG111" s="487" t="s">
        <v>214</v>
      </c>
      <c r="AH111" s="487" t="s">
        <v>217</v>
      </c>
      <c r="AI111" s="487" t="s">
        <v>219</v>
      </c>
      <c r="AK111" t="s">
        <v>466</v>
      </c>
    </row>
    <row r="112" spans="3:67" x14ac:dyDescent="0.25">
      <c r="C112" t="s">
        <v>1250</v>
      </c>
      <c r="D112" t="s">
        <v>1270</v>
      </c>
      <c r="E112">
        <v>2019</v>
      </c>
      <c r="F112" t="s">
        <v>594</v>
      </c>
      <c r="G112" t="s">
        <v>454</v>
      </c>
      <c r="H112" s="193">
        <f>H125</f>
        <v>0</v>
      </c>
      <c r="I112" s="193">
        <f t="shared" ref="I112:AI112" si="61">I125</f>
        <v>0.33999999999999997</v>
      </c>
      <c r="J112" s="193">
        <f t="shared" si="61"/>
        <v>0.122</v>
      </c>
      <c r="K112" s="193">
        <f t="shared" si="61"/>
        <v>1.3320000000000001</v>
      </c>
      <c r="L112" s="193">
        <f t="shared" si="61"/>
        <v>2.8010000000000002</v>
      </c>
      <c r="M112" s="193">
        <f t="shared" si="61"/>
        <v>0.42</v>
      </c>
      <c r="N112" s="193">
        <f t="shared" si="61"/>
        <v>1.05</v>
      </c>
      <c r="O112" s="193">
        <f t="shared" si="61"/>
        <v>0</v>
      </c>
      <c r="P112" s="193">
        <f t="shared" si="61"/>
        <v>1.8199999999999998</v>
      </c>
      <c r="Q112" s="193">
        <f t="shared" si="61"/>
        <v>4.5640000000000001</v>
      </c>
      <c r="R112" s="193">
        <f t="shared" si="61"/>
        <v>0</v>
      </c>
      <c r="S112" s="193">
        <f t="shared" si="61"/>
        <v>45.653999999999996</v>
      </c>
      <c r="T112" s="193">
        <f t="shared" si="61"/>
        <v>0.16500000000000001</v>
      </c>
      <c r="U112" s="193">
        <f t="shared" si="61"/>
        <v>3.4030000000000005</v>
      </c>
      <c r="V112" s="193">
        <f t="shared" si="61"/>
        <v>0.79999999999999993</v>
      </c>
      <c r="W112" s="193">
        <f t="shared" si="61"/>
        <v>4.22</v>
      </c>
      <c r="X112" s="193">
        <f t="shared" si="61"/>
        <v>2.7399999999999998</v>
      </c>
      <c r="Y112" s="193">
        <f t="shared" si="61"/>
        <v>0.27999999999999997</v>
      </c>
      <c r="Z112" s="193">
        <f t="shared" si="61"/>
        <v>5.03</v>
      </c>
      <c r="AA112" s="193">
        <f t="shared" si="61"/>
        <v>1.32</v>
      </c>
      <c r="AB112" s="193">
        <f t="shared" si="61"/>
        <v>0.69500000000000006</v>
      </c>
      <c r="AC112" s="193">
        <f t="shared" si="61"/>
        <v>0.71</v>
      </c>
      <c r="AD112" s="193">
        <f t="shared" si="61"/>
        <v>6.6029999999999998</v>
      </c>
      <c r="AE112" s="193">
        <f t="shared" si="61"/>
        <v>0.01</v>
      </c>
      <c r="AF112" s="193">
        <f t="shared" si="61"/>
        <v>0</v>
      </c>
      <c r="AG112" s="193">
        <f t="shared" si="61"/>
        <v>3.9569999999999999</v>
      </c>
      <c r="AH112" s="193">
        <f t="shared" si="61"/>
        <v>2</v>
      </c>
      <c r="AI112" s="193">
        <f t="shared" si="61"/>
        <v>4.96</v>
      </c>
      <c r="AK112" s="193">
        <f>SUM(H112:AI112)</f>
        <v>94.995999999999952</v>
      </c>
    </row>
    <row r="113" spans="3:37" x14ac:dyDescent="0.25">
      <c r="C113" t="s">
        <v>369</v>
      </c>
      <c r="D113" t="s">
        <v>1271</v>
      </c>
      <c r="E113">
        <v>2019</v>
      </c>
      <c r="F113" t="s">
        <v>594</v>
      </c>
      <c r="G113" t="s">
        <v>323</v>
      </c>
      <c r="H113" s="193">
        <f>AN159</f>
        <v>0</v>
      </c>
      <c r="I113" s="193">
        <f t="shared" ref="I113:AI113" si="62">AO159</f>
        <v>2.7255500000000001</v>
      </c>
      <c r="J113" s="193">
        <f t="shared" si="62"/>
        <v>0.2227431389091164</v>
      </c>
      <c r="K113" s="193">
        <f t="shared" si="62"/>
        <v>46.984375585775361</v>
      </c>
      <c r="L113" s="193">
        <f t="shared" si="62"/>
        <v>138.90157497965126</v>
      </c>
      <c r="M113" s="193">
        <f t="shared" si="62"/>
        <v>98.504567869674901</v>
      </c>
      <c r="N113" s="193">
        <f t="shared" si="62"/>
        <v>0.7</v>
      </c>
      <c r="O113" s="193">
        <f t="shared" si="62"/>
        <v>0</v>
      </c>
      <c r="P113" s="193">
        <f t="shared" si="62"/>
        <v>121.14829115545304</v>
      </c>
      <c r="Q113" s="193">
        <f t="shared" si="62"/>
        <v>64.414753710611706</v>
      </c>
      <c r="R113" s="193">
        <f t="shared" si="62"/>
        <v>0</v>
      </c>
      <c r="S113" s="193">
        <f t="shared" si="62"/>
        <v>51.22279913289146</v>
      </c>
      <c r="T113" s="193">
        <f t="shared" si="62"/>
        <v>30.251161125231313</v>
      </c>
      <c r="U113" s="193">
        <f t="shared" si="62"/>
        <v>15.214278423219863</v>
      </c>
      <c r="V113" s="193">
        <f t="shared" si="62"/>
        <v>18.661000425294962</v>
      </c>
      <c r="W113" s="193">
        <f t="shared" si="62"/>
        <v>65.239205243335633</v>
      </c>
      <c r="X113" s="193">
        <f t="shared" si="62"/>
        <v>92.688337813481667</v>
      </c>
      <c r="Y113" s="193">
        <f t="shared" si="62"/>
        <v>0</v>
      </c>
      <c r="Z113" s="193">
        <f t="shared" si="62"/>
        <v>0</v>
      </c>
      <c r="AA113" s="193">
        <f t="shared" si="62"/>
        <v>69.7243123930769</v>
      </c>
      <c r="AB113" s="193">
        <f t="shared" si="62"/>
        <v>1.0115970828034262</v>
      </c>
      <c r="AC113" s="193">
        <f t="shared" si="62"/>
        <v>20.087842036902039</v>
      </c>
      <c r="AD113" s="193">
        <f t="shared" si="62"/>
        <v>0</v>
      </c>
      <c r="AE113" s="193">
        <f t="shared" si="62"/>
        <v>2.7460760538424163</v>
      </c>
      <c r="AF113" s="193">
        <f t="shared" si="62"/>
        <v>0</v>
      </c>
      <c r="AG113" s="193">
        <f t="shared" si="62"/>
        <v>116.52565285216363</v>
      </c>
      <c r="AH113" s="193">
        <f t="shared" si="62"/>
        <v>34.987038537931731</v>
      </c>
      <c r="AI113" s="193">
        <f t="shared" si="62"/>
        <v>181.9858459690343</v>
      </c>
      <c r="AK113" s="193">
        <f>SUM(H113:AI113)</f>
        <v>1173.9470035292848</v>
      </c>
    </row>
    <row r="118" spans="3:37" s="488" customFormat="1" x14ac:dyDescent="0.25"/>
    <row r="120" spans="3:37" x14ac:dyDescent="0.25">
      <c r="C120" s="5" t="s">
        <v>1</v>
      </c>
    </row>
    <row r="122" spans="3:37" ht="15.75" thickBot="1" x14ac:dyDescent="0.3">
      <c r="F122" s="5" t="s">
        <v>1272</v>
      </c>
      <c r="H122" s="44" t="s">
        <v>162</v>
      </c>
      <c r="I122" s="44" t="s">
        <v>164</v>
      </c>
      <c r="J122" s="44" t="s">
        <v>166</v>
      </c>
      <c r="K122" s="44" t="s">
        <v>168</v>
      </c>
      <c r="L122" s="44" t="s">
        <v>170</v>
      </c>
      <c r="M122" s="44" t="s">
        <v>173</v>
      </c>
      <c r="N122" s="44" t="s">
        <v>175</v>
      </c>
      <c r="O122" s="44" t="s">
        <v>177</v>
      </c>
      <c r="P122" s="44" t="s">
        <v>179</v>
      </c>
      <c r="Q122" s="44" t="s">
        <v>181</v>
      </c>
      <c r="R122" s="44" t="s">
        <v>183</v>
      </c>
      <c r="S122" s="44" t="s">
        <v>185</v>
      </c>
      <c r="T122" s="44" t="s">
        <v>188</v>
      </c>
      <c r="U122" s="44" t="s">
        <v>190</v>
      </c>
      <c r="V122" s="44" t="s">
        <v>192</v>
      </c>
      <c r="W122" s="44" t="s">
        <v>194</v>
      </c>
      <c r="X122" s="44" t="s">
        <v>196</v>
      </c>
      <c r="Y122" s="44" t="s">
        <v>198</v>
      </c>
      <c r="Z122" s="44" t="s">
        <v>9</v>
      </c>
      <c r="AA122" s="44" t="s">
        <v>201</v>
      </c>
      <c r="AB122" s="44" t="s">
        <v>203</v>
      </c>
      <c r="AC122" s="44" t="s">
        <v>205</v>
      </c>
      <c r="AD122" s="44" t="s">
        <v>207</v>
      </c>
      <c r="AE122" s="44" t="s">
        <v>210</v>
      </c>
      <c r="AF122" s="44" t="s">
        <v>212</v>
      </c>
      <c r="AG122" s="44" t="s">
        <v>214</v>
      </c>
      <c r="AH122" s="44" t="s">
        <v>217</v>
      </c>
      <c r="AI122" s="44" t="s">
        <v>219</v>
      </c>
    </row>
    <row r="123" spans="3:37" x14ac:dyDescent="0.25">
      <c r="G123" t="s">
        <v>1273</v>
      </c>
      <c r="H123" s="193">
        <f>INF_Data!G170</f>
        <v>0</v>
      </c>
      <c r="I123" s="193">
        <f>INF_Data!H170</f>
        <v>0.3</v>
      </c>
      <c r="J123" s="193">
        <f>INF_Data!I170</f>
        <v>0.112</v>
      </c>
      <c r="K123" s="193">
        <f>INF_Data!J170</f>
        <v>1.282</v>
      </c>
      <c r="L123" s="193">
        <f>INF_Data!K170</f>
        <v>1.921</v>
      </c>
      <c r="M123" s="193">
        <f>INF_Data!L170</f>
        <v>0.41</v>
      </c>
      <c r="N123" s="193">
        <f>INF_Data!M170</f>
        <v>0.76</v>
      </c>
      <c r="O123" s="193">
        <f>INF_Data!N170</f>
        <v>0</v>
      </c>
      <c r="P123" s="193">
        <f>INF_Data!O170</f>
        <v>0.65</v>
      </c>
      <c r="Q123" s="193">
        <f>INF_Data!P170</f>
        <v>2.8540000000000001</v>
      </c>
      <c r="R123" s="193">
        <f>INF_Data!Q170</f>
        <v>0</v>
      </c>
      <c r="S123" s="193">
        <f>INF_Data!R170</f>
        <v>35.043999999999997</v>
      </c>
      <c r="T123" s="193">
        <f>INF_Data!S170</f>
        <v>0.115</v>
      </c>
      <c r="U123" s="193">
        <f>INF_Data!T170</f>
        <v>2.2930000000000001</v>
      </c>
      <c r="V123" s="193">
        <f>INF_Data!U170</f>
        <v>0.57999999999999996</v>
      </c>
      <c r="W123" s="193">
        <f>INF_Data!V170</f>
        <v>0.85</v>
      </c>
      <c r="X123" s="193">
        <f>INF_Data!W170</f>
        <v>0.82</v>
      </c>
      <c r="Y123" s="193">
        <f>INF_Data!X170</f>
        <v>0.24</v>
      </c>
      <c r="Z123" s="193">
        <f>INF_Data!Y170</f>
        <v>3.64</v>
      </c>
      <c r="AA123" s="193">
        <f>INF_Data!Z170</f>
        <v>0</v>
      </c>
      <c r="AB123" s="193">
        <f>INF_Data!AA170</f>
        <v>0.435</v>
      </c>
      <c r="AC123" s="193">
        <f>INF_Data!AB170</f>
        <v>0.08</v>
      </c>
      <c r="AD123" s="193">
        <f>INF_Data!AC170</f>
        <v>6.133</v>
      </c>
      <c r="AE123" s="193">
        <f>INF_Data!AD170</f>
        <v>0</v>
      </c>
      <c r="AF123" s="193">
        <f>INF_Data!AE170</f>
        <v>0</v>
      </c>
      <c r="AG123" s="193">
        <f>INF_Data!AF170</f>
        <v>3.637</v>
      </c>
      <c r="AH123" s="193">
        <f>INF_Data!AG170</f>
        <v>0</v>
      </c>
      <c r="AI123" s="193">
        <f>INF_Data!AH170</f>
        <v>1.0900000000000001</v>
      </c>
    </row>
    <row r="124" spans="3:37" x14ac:dyDescent="0.25">
      <c r="G124" t="s">
        <v>1274</v>
      </c>
      <c r="H124" s="193">
        <f>INF_Data!G229</f>
        <v>0</v>
      </c>
      <c r="I124" s="193">
        <f>INF_Data!H229</f>
        <v>0.04</v>
      </c>
      <c r="J124" s="193">
        <f>INF_Data!I229</f>
        <v>0.01</v>
      </c>
      <c r="K124" s="193">
        <f>INF_Data!J229</f>
        <v>0.05</v>
      </c>
      <c r="L124" s="193">
        <f>INF_Data!K229</f>
        <v>0.88</v>
      </c>
      <c r="M124" s="193">
        <f>INF_Data!L229</f>
        <v>0.01</v>
      </c>
      <c r="N124" s="193">
        <f>INF_Data!M229</f>
        <v>0.28999999999999998</v>
      </c>
      <c r="O124" s="193">
        <f>INF_Data!N229</f>
        <v>0</v>
      </c>
      <c r="P124" s="193">
        <f>INF_Data!O229</f>
        <v>1.17</v>
      </c>
      <c r="Q124" s="193">
        <f>INF_Data!P229</f>
        <v>1.71</v>
      </c>
      <c r="R124" s="193">
        <f>INF_Data!Q229</f>
        <v>0</v>
      </c>
      <c r="S124" s="193">
        <f>INF_Data!R229</f>
        <v>10.61</v>
      </c>
      <c r="T124" s="193">
        <f>INF_Data!S229</f>
        <v>0.05</v>
      </c>
      <c r="U124" s="193">
        <f>INF_Data!T229</f>
        <v>1.1100000000000001</v>
      </c>
      <c r="V124" s="193">
        <f>INF_Data!U229</f>
        <v>0.22</v>
      </c>
      <c r="W124" s="193">
        <f>INF_Data!V229</f>
        <v>3.37</v>
      </c>
      <c r="X124" s="193">
        <f>INF_Data!W229</f>
        <v>1.92</v>
      </c>
      <c r="Y124" s="193">
        <f>INF_Data!X229</f>
        <v>0.04</v>
      </c>
      <c r="Z124" s="193">
        <f>INF_Data!Y229</f>
        <v>1.39</v>
      </c>
      <c r="AA124" s="193">
        <f>INF_Data!Z229</f>
        <v>1.32</v>
      </c>
      <c r="AB124" s="193">
        <f>INF_Data!AA229</f>
        <v>0.26</v>
      </c>
      <c r="AC124" s="193">
        <f>INF_Data!AB229</f>
        <v>0.63</v>
      </c>
      <c r="AD124" s="193">
        <f>INF_Data!AC229</f>
        <v>0.47</v>
      </c>
      <c r="AE124" s="193">
        <f>INF_Data!AD229</f>
        <v>0.01</v>
      </c>
      <c r="AF124" s="193">
        <f>INF_Data!AE229</f>
        <v>0</v>
      </c>
      <c r="AG124" s="193">
        <f>INF_Data!AF229</f>
        <v>0.32</v>
      </c>
      <c r="AH124" s="193">
        <f>INF_Data!AG229</f>
        <v>2</v>
      </c>
      <c r="AI124" s="193">
        <f>INF_Data!AH229</f>
        <v>3.87</v>
      </c>
    </row>
    <row r="125" spans="3:37" x14ac:dyDescent="0.25">
      <c r="G125" t="s">
        <v>466</v>
      </c>
      <c r="H125">
        <f>SUM(H123:H124)</f>
        <v>0</v>
      </c>
      <c r="I125">
        <f t="shared" ref="I125:AI125" si="63">SUM(I123:I124)</f>
        <v>0.33999999999999997</v>
      </c>
      <c r="J125">
        <f t="shared" si="63"/>
        <v>0.122</v>
      </c>
      <c r="K125">
        <f t="shared" si="63"/>
        <v>1.3320000000000001</v>
      </c>
      <c r="L125">
        <f t="shared" si="63"/>
        <v>2.8010000000000002</v>
      </c>
      <c r="M125">
        <f t="shared" si="63"/>
        <v>0.42</v>
      </c>
      <c r="N125">
        <f t="shared" si="63"/>
        <v>1.05</v>
      </c>
      <c r="O125">
        <f t="shared" si="63"/>
        <v>0</v>
      </c>
      <c r="P125">
        <f t="shared" si="63"/>
        <v>1.8199999999999998</v>
      </c>
      <c r="Q125">
        <f t="shared" si="63"/>
        <v>4.5640000000000001</v>
      </c>
      <c r="R125">
        <f t="shared" si="63"/>
        <v>0</v>
      </c>
      <c r="S125">
        <f t="shared" si="63"/>
        <v>45.653999999999996</v>
      </c>
      <c r="T125">
        <f t="shared" si="63"/>
        <v>0.16500000000000001</v>
      </c>
      <c r="U125">
        <f t="shared" si="63"/>
        <v>3.4030000000000005</v>
      </c>
      <c r="V125">
        <f t="shared" si="63"/>
        <v>0.79999999999999993</v>
      </c>
      <c r="W125">
        <f t="shared" si="63"/>
        <v>4.22</v>
      </c>
      <c r="X125">
        <f t="shared" si="63"/>
        <v>2.7399999999999998</v>
      </c>
      <c r="Y125">
        <f t="shared" si="63"/>
        <v>0.27999999999999997</v>
      </c>
      <c r="Z125">
        <f t="shared" si="63"/>
        <v>5.03</v>
      </c>
      <c r="AA125">
        <f t="shared" si="63"/>
        <v>1.32</v>
      </c>
      <c r="AB125">
        <f t="shared" si="63"/>
        <v>0.69500000000000006</v>
      </c>
      <c r="AC125">
        <f t="shared" si="63"/>
        <v>0.71</v>
      </c>
      <c r="AD125">
        <f t="shared" si="63"/>
        <v>6.6029999999999998</v>
      </c>
      <c r="AE125">
        <f t="shared" si="63"/>
        <v>0.01</v>
      </c>
      <c r="AF125">
        <f t="shared" si="63"/>
        <v>0</v>
      </c>
      <c r="AG125">
        <f t="shared" si="63"/>
        <v>3.9569999999999999</v>
      </c>
      <c r="AH125">
        <f t="shared" si="63"/>
        <v>2</v>
      </c>
      <c r="AI125">
        <f t="shared" si="63"/>
        <v>4.96</v>
      </c>
    </row>
    <row r="127" spans="3:37" ht="15.75" thickBot="1" x14ac:dyDescent="0.3">
      <c r="F127" s="5" t="s">
        <v>1275</v>
      </c>
      <c r="H127" s="44" t="s">
        <v>162</v>
      </c>
      <c r="I127" s="44" t="s">
        <v>164</v>
      </c>
      <c r="J127" s="44" t="s">
        <v>166</v>
      </c>
      <c r="K127" s="44" t="s">
        <v>168</v>
      </c>
      <c r="L127" s="44" t="s">
        <v>170</v>
      </c>
      <c r="M127" s="44" t="s">
        <v>173</v>
      </c>
      <c r="N127" s="44" t="s">
        <v>175</v>
      </c>
      <c r="O127" s="44" t="s">
        <v>177</v>
      </c>
      <c r="P127" s="44" t="s">
        <v>179</v>
      </c>
      <c r="Q127" s="44" t="s">
        <v>181</v>
      </c>
      <c r="R127" s="44" t="s">
        <v>183</v>
      </c>
      <c r="S127" s="44" t="s">
        <v>185</v>
      </c>
      <c r="T127" s="44" t="s">
        <v>188</v>
      </c>
      <c r="U127" s="44" t="s">
        <v>190</v>
      </c>
      <c r="V127" s="44" t="s">
        <v>192</v>
      </c>
      <c r="W127" s="44" t="s">
        <v>194</v>
      </c>
      <c r="X127" s="44" t="s">
        <v>196</v>
      </c>
      <c r="Y127" s="44" t="s">
        <v>198</v>
      </c>
      <c r="Z127" s="44" t="s">
        <v>9</v>
      </c>
      <c r="AA127" s="44" t="s">
        <v>201</v>
      </c>
      <c r="AB127" s="44" t="s">
        <v>203</v>
      </c>
      <c r="AC127" s="44" t="s">
        <v>205</v>
      </c>
      <c r="AD127" s="44" t="s">
        <v>207</v>
      </c>
      <c r="AE127" s="44" t="s">
        <v>210</v>
      </c>
      <c r="AF127" s="44" t="s">
        <v>212</v>
      </c>
      <c r="AG127" s="44" t="s">
        <v>214</v>
      </c>
      <c r="AH127" s="44" t="s">
        <v>217</v>
      </c>
      <c r="AI127" s="44" t="s">
        <v>219</v>
      </c>
    </row>
    <row r="128" spans="3:37" x14ac:dyDescent="0.25">
      <c r="G128" t="s">
        <v>1273</v>
      </c>
      <c r="H128" s="101">
        <f>IFERROR(H123/H$125,0)</f>
        <v>0</v>
      </c>
      <c r="I128" s="101">
        <f t="shared" ref="I128:AI129" si="64">IFERROR(I123/I$125,0)</f>
        <v>0.88235294117647067</v>
      </c>
      <c r="J128" s="101">
        <f t="shared" si="64"/>
        <v>0.91803278688524592</v>
      </c>
      <c r="K128" s="101">
        <f t="shared" si="64"/>
        <v>0.96246246246246248</v>
      </c>
      <c r="L128" s="101">
        <f t="shared" si="64"/>
        <v>0.68582649053909317</v>
      </c>
      <c r="M128" s="101">
        <f t="shared" si="64"/>
        <v>0.97619047619047616</v>
      </c>
      <c r="N128" s="101">
        <f t="shared" si="64"/>
        <v>0.72380952380952379</v>
      </c>
      <c r="O128" s="101">
        <f t="shared" si="64"/>
        <v>0</v>
      </c>
      <c r="P128" s="101">
        <f t="shared" si="64"/>
        <v>0.35714285714285721</v>
      </c>
      <c r="Q128" s="101">
        <f t="shared" si="64"/>
        <v>0.62532865907099033</v>
      </c>
      <c r="R128" s="101">
        <f t="shared" si="64"/>
        <v>0</v>
      </c>
      <c r="S128" s="101">
        <f t="shared" si="64"/>
        <v>0.76759977219958819</v>
      </c>
      <c r="T128" s="101">
        <f t="shared" si="64"/>
        <v>0.69696969696969702</v>
      </c>
      <c r="U128" s="101">
        <f t="shared" si="64"/>
        <v>0.67381722009991174</v>
      </c>
      <c r="V128" s="101">
        <f t="shared" si="64"/>
        <v>0.72499999999999998</v>
      </c>
      <c r="W128" s="101">
        <f t="shared" si="64"/>
        <v>0.2014218009478673</v>
      </c>
      <c r="X128" s="101">
        <f t="shared" si="64"/>
        <v>0.29927007299270075</v>
      </c>
      <c r="Y128" s="101">
        <f t="shared" si="64"/>
        <v>0.85714285714285721</v>
      </c>
      <c r="Z128" s="101">
        <f t="shared" si="64"/>
        <v>0.72365805168986086</v>
      </c>
      <c r="AA128" s="101">
        <f t="shared" si="64"/>
        <v>0</v>
      </c>
      <c r="AB128" s="101">
        <f t="shared" si="64"/>
        <v>0.62589928057553956</v>
      </c>
      <c r="AC128" s="101">
        <f t="shared" si="64"/>
        <v>0.11267605633802817</v>
      </c>
      <c r="AD128" s="101">
        <f t="shared" si="64"/>
        <v>0.92882023322732099</v>
      </c>
      <c r="AE128" s="101">
        <f t="shared" si="64"/>
        <v>0</v>
      </c>
      <c r="AF128" s="101">
        <f t="shared" si="64"/>
        <v>0</v>
      </c>
      <c r="AG128" s="101">
        <f t="shared" si="64"/>
        <v>0.91913065453626486</v>
      </c>
      <c r="AH128" s="101">
        <f t="shared" si="64"/>
        <v>0</v>
      </c>
      <c r="AI128" s="101">
        <f t="shared" si="64"/>
        <v>0.21975806451612906</v>
      </c>
    </row>
    <row r="129" spans="3:67" x14ac:dyDescent="0.25">
      <c r="G129" t="s">
        <v>1276</v>
      </c>
      <c r="H129" s="101">
        <f>IFERROR(H124/H$125,0)</f>
        <v>0</v>
      </c>
      <c r="I129" s="101">
        <f t="shared" si="64"/>
        <v>0.11764705882352942</v>
      </c>
      <c r="J129" s="101">
        <f t="shared" si="64"/>
        <v>8.1967213114754106E-2</v>
      </c>
      <c r="K129" s="101">
        <f t="shared" si="64"/>
        <v>3.7537537537537538E-2</v>
      </c>
      <c r="L129" s="101">
        <f t="shared" si="64"/>
        <v>0.31417350946090683</v>
      </c>
      <c r="M129" s="101">
        <f t="shared" si="64"/>
        <v>2.3809523809523812E-2</v>
      </c>
      <c r="N129" s="101">
        <f t="shared" si="64"/>
        <v>0.27619047619047615</v>
      </c>
      <c r="O129" s="101">
        <f t="shared" si="64"/>
        <v>0</v>
      </c>
      <c r="P129" s="101">
        <f t="shared" si="64"/>
        <v>0.6428571428571429</v>
      </c>
      <c r="Q129" s="101">
        <f t="shared" si="64"/>
        <v>0.37467134092900961</v>
      </c>
      <c r="R129" s="101">
        <f t="shared" si="64"/>
        <v>0</v>
      </c>
      <c r="S129" s="101">
        <f t="shared" si="64"/>
        <v>0.23240022780041181</v>
      </c>
      <c r="T129" s="101">
        <f t="shared" si="64"/>
        <v>0.30303030303030304</v>
      </c>
      <c r="U129" s="101">
        <f t="shared" si="64"/>
        <v>0.32618277990008815</v>
      </c>
      <c r="V129" s="101">
        <f t="shared" si="64"/>
        <v>0.27500000000000002</v>
      </c>
      <c r="W129" s="101">
        <f t="shared" si="64"/>
        <v>0.79857819905213279</v>
      </c>
      <c r="X129" s="101">
        <f t="shared" si="64"/>
        <v>0.7007299270072993</v>
      </c>
      <c r="Y129" s="101">
        <f t="shared" si="64"/>
        <v>0.14285714285714288</v>
      </c>
      <c r="Z129" s="101">
        <f t="shared" si="64"/>
        <v>0.27634194831013914</v>
      </c>
      <c r="AA129" s="101">
        <f t="shared" si="64"/>
        <v>1</v>
      </c>
      <c r="AB129" s="101">
        <f t="shared" si="64"/>
        <v>0.37410071942446044</v>
      </c>
      <c r="AC129" s="101">
        <f t="shared" si="64"/>
        <v>0.88732394366197187</v>
      </c>
      <c r="AD129" s="101">
        <f t="shared" si="64"/>
        <v>7.1179766772679079E-2</v>
      </c>
      <c r="AE129" s="101">
        <f t="shared" si="64"/>
        <v>1</v>
      </c>
      <c r="AF129" s="101">
        <f t="shared" si="64"/>
        <v>0</v>
      </c>
      <c r="AG129" s="101">
        <f t="shared" si="64"/>
        <v>8.0869345463735157E-2</v>
      </c>
      <c r="AH129" s="101">
        <f t="shared" si="64"/>
        <v>1</v>
      </c>
      <c r="AI129" s="101">
        <f t="shared" si="64"/>
        <v>0.780241935483871</v>
      </c>
    </row>
    <row r="131" spans="3:67" x14ac:dyDescent="0.25">
      <c r="C131" s="49" t="s">
        <v>300</v>
      </c>
      <c r="H131" s="5"/>
    </row>
    <row r="132" spans="3:67" ht="15.75" thickBot="1" x14ac:dyDescent="0.3">
      <c r="C132" s="44" t="s">
        <v>306</v>
      </c>
      <c r="D132" s="44" t="s">
        <v>1277</v>
      </c>
      <c r="E132" s="44" t="s">
        <v>1278</v>
      </c>
      <c r="F132" s="44" t="s">
        <v>326</v>
      </c>
      <c r="G132" s="44" t="s">
        <v>340</v>
      </c>
      <c r="H132" s="44" t="s">
        <v>162</v>
      </c>
      <c r="I132" s="44" t="s">
        <v>164</v>
      </c>
      <c r="J132" s="44" t="s">
        <v>166</v>
      </c>
      <c r="K132" s="44" t="s">
        <v>168</v>
      </c>
      <c r="L132" s="44" t="s">
        <v>170</v>
      </c>
      <c r="M132" s="44" t="s">
        <v>173</v>
      </c>
      <c r="N132" s="44" t="s">
        <v>175</v>
      </c>
      <c r="O132" s="44" t="s">
        <v>177</v>
      </c>
      <c r="P132" s="44" t="s">
        <v>179</v>
      </c>
      <c r="Q132" s="44" t="s">
        <v>181</v>
      </c>
      <c r="R132" s="44" t="s">
        <v>183</v>
      </c>
      <c r="S132" s="44" t="s">
        <v>185</v>
      </c>
      <c r="T132" s="44" t="s">
        <v>188</v>
      </c>
      <c r="U132" s="44" t="s">
        <v>190</v>
      </c>
      <c r="V132" s="44" t="s">
        <v>192</v>
      </c>
      <c r="W132" s="44" t="s">
        <v>194</v>
      </c>
      <c r="X132" s="44" t="s">
        <v>196</v>
      </c>
      <c r="Y132" s="44" t="s">
        <v>198</v>
      </c>
      <c r="Z132" s="44" t="s">
        <v>9</v>
      </c>
      <c r="AA132" s="44" t="s">
        <v>201</v>
      </c>
      <c r="AB132" s="44" t="s">
        <v>203</v>
      </c>
      <c r="AC132" s="44" t="s">
        <v>205</v>
      </c>
      <c r="AD132" s="44" t="s">
        <v>207</v>
      </c>
      <c r="AE132" s="44" t="s">
        <v>210</v>
      </c>
      <c r="AF132" s="44" t="s">
        <v>212</v>
      </c>
      <c r="AG132" s="44" t="s">
        <v>214</v>
      </c>
      <c r="AH132" s="44" t="s">
        <v>217</v>
      </c>
      <c r="AI132" s="44" t="s">
        <v>219</v>
      </c>
      <c r="AN132" t="s">
        <v>162</v>
      </c>
      <c r="AO132" s="485" t="s">
        <v>164</v>
      </c>
      <c r="AP132" t="s">
        <v>166</v>
      </c>
      <c r="AQ132" t="s">
        <v>168</v>
      </c>
      <c r="AR132" t="s">
        <v>170</v>
      </c>
      <c r="AS132" t="s">
        <v>173</v>
      </c>
      <c r="AT132" t="s">
        <v>175</v>
      </c>
      <c r="AU132" t="s">
        <v>177</v>
      </c>
      <c r="AV132" t="s">
        <v>179</v>
      </c>
      <c r="AW132" t="s">
        <v>181</v>
      </c>
      <c r="AX132" t="s">
        <v>183</v>
      </c>
      <c r="AY132" t="s">
        <v>185</v>
      </c>
      <c r="AZ132" t="s">
        <v>188</v>
      </c>
      <c r="BA132" t="s">
        <v>190</v>
      </c>
      <c r="BB132" t="s">
        <v>192</v>
      </c>
      <c r="BC132" t="s">
        <v>194</v>
      </c>
      <c r="BD132" t="s">
        <v>196</v>
      </c>
      <c r="BE132" t="s">
        <v>198</v>
      </c>
      <c r="BF132" t="s">
        <v>9</v>
      </c>
      <c r="BG132" t="s">
        <v>201</v>
      </c>
      <c r="BH132" t="s">
        <v>203</v>
      </c>
      <c r="BI132" t="s">
        <v>205</v>
      </c>
      <c r="BJ132" t="s">
        <v>207</v>
      </c>
      <c r="BK132" t="s">
        <v>210</v>
      </c>
      <c r="BL132" t="s">
        <v>212</v>
      </c>
      <c r="BM132" t="s">
        <v>214</v>
      </c>
      <c r="BN132" t="s">
        <v>217</v>
      </c>
      <c r="BO132" t="s">
        <v>219</v>
      </c>
    </row>
    <row r="133" spans="3:67" x14ac:dyDescent="0.25">
      <c r="C133" t="s">
        <v>1107</v>
      </c>
      <c r="D133">
        <v>30</v>
      </c>
      <c r="E133">
        <f>INF_Data!C463*1000</f>
        <v>1650.0000000000002</v>
      </c>
      <c r="F133" t="s">
        <v>470</v>
      </c>
      <c r="G133" t="s">
        <v>134</v>
      </c>
      <c r="H133" s="102">
        <f>IF(INF_Data!B65=0,"",INF_Data!B65)</f>
        <v>1.6158822632640759</v>
      </c>
      <c r="I133" s="102" t="str">
        <f>IF(INF_Data!C65=0,"",INF_Data!C65)</f>
        <v/>
      </c>
      <c r="J133" s="102">
        <f>IF(INF_Data!D65=0,"",INF_Data!D65)</f>
        <v>1.6158822632640759</v>
      </c>
      <c r="K133" s="102">
        <f>IF(INF_Data!E65=0,"",INF_Data!E65)</f>
        <v>1.6158822632640759</v>
      </c>
      <c r="L133" s="102" t="str">
        <f>IF(INF_Data!F65=0,"",INF_Data!F65)</f>
        <v/>
      </c>
      <c r="M133" s="102">
        <f>IF(INF_Data!G65=0,"",INF_Data!G65)</f>
        <v>4.997665183035461</v>
      </c>
      <c r="N133" s="102">
        <f>IF(INF_Data!H65=0,"",INF_Data!H65)</f>
        <v>4.997665183035461</v>
      </c>
      <c r="O133" s="102">
        <f>IF(INF_Data!I65=0,"",INF_Data!I65)</f>
        <v>4.997665183035461</v>
      </c>
      <c r="P133" s="102">
        <f>IF(INF_Data!J65=0,"",INF_Data!J65)</f>
        <v>9.158929109805289</v>
      </c>
      <c r="Q133" s="102" t="str">
        <f>IF(INF_Data!K65=0,"",INF_Data!K65)</f>
        <v/>
      </c>
      <c r="R133" s="102">
        <f>IF(INF_Data!L65=0,"",INF_Data!L65)</f>
        <v>9.158929109805289</v>
      </c>
      <c r="S133" s="102">
        <f>IF(INF_Data!M65=0,"",INF_Data!M65)</f>
        <v>1.5158865933147385</v>
      </c>
      <c r="T133" s="102" t="str">
        <f>IF(INF_Data!N65=0,"",INF_Data!N65)</f>
        <v/>
      </c>
      <c r="U133" s="102" t="str">
        <f>IF(INF_Data!O65=0,"",INF_Data!O65)</f>
        <v/>
      </c>
      <c r="V133" s="102" t="str">
        <f>IF(INF_Data!P65=0,"",INF_Data!P65)</f>
        <v/>
      </c>
      <c r="W133" s="102" t="str">
        <f>IF(INF_Data!Q65=0,"",INF_Data!Q65)</f>
        <v/>
      </c>
      <c r="X133" s="102" t="str">
        <f>IF(INF_Data!R65=0,"",INF_Data!R65)</f>
        <v/>
      </c>
      <c r="Y133" s="102">
        <f>IF(INF_Data!S65=0,"",INF_Data!S65)</f>
        <v>4.997665183035461</v>
      </c>
      <c r="Z133" s="102">
        <f>IF(INF_Data!T65=0,"",INF_Data!T65)</f>
        <v>4.997665183035461</v>
      </c>
      <c r="AA133" s="102">
        <f>IF(INF_Data!U65=0,"",INF_Data!U65)</f>
        <v>4.997665183035461</v>
      </c>
      <c r="AB133" s="102">
        <f>IF(INF_Data!V65=0,"",INF_Data!V65)</f>
        <v>9.158929109805289</v>
      </c>
      <c r="AC133" s="102">
        <f>IF(INF_Data!W65=0,"",INF_Data!W65)</f>
        <v>4.997665183035461</v>
      </c>
      <c r="AD133" s="102" t="str">
        <f>IF(INF_Data!X65=0,"",INF_Data!X65)</f>
        <v/>
      </c>
      <c r="AE133" s="102">
        <f>IF(INF_Data!Y65=0,"",INF_Data!Y65)</f>
        <v>9.158929109805289</v>
      </c>
      <c r="AF133" s="102">
        <f>IF(INF_Data!Z65=0,"",INF_Data!Z65)</f>
        <v>1.6158822632640759</v>
      </c>
      <c r="AG133" s="110" t="str">
        <f>IF(INF_Data!AA65=0,"",INF_Data!AA65)</f>
        <v/>
      </c>
      <c r="AH133" s="102">
        <f>IF(INF_Data!AB65=0,"",INF_Data!AB65)</f>
        <v>4.997665183035461</v>
      </c>
      <c r="AI133" s="102" t="str">
        <f>IF(INF_Data!AC65=0,"",INF_Data!AC65)</f>
        <v/>
      </c>
      <c r="AM133" t="s">
        <v>134</v>
      </c>
      <c r="AN133" s="193">
        <f>IFERROR(H133*H$138,0)</f>
        <v>0</v>
      </c>
      <c r="AO133" s="193">
        <f t="shared" ref="AO133:AT136" si="65">IFERROR(I133*I$138,0)</f>
        <v>0</v>
      </c>
      <c r="AP133" s="193">
        <f t="shared" si="65"/>
        <v>0.18097881348557651</v>
      </c>
      <c r="AQ133" s="193">
        <f t="shared" si="65"/>
        <v>2.0715610615045454</v>
      </c>
      <c r="AR133" s="193">
        <f t="shared" si="65"/>
        <v>0</v>
      </c>
      <c r="AS133" s="193">
        <f t="shared" si="65"/>
        <v>2.0490427250445391</v>
      </c>
      <c r="AT133" s="193">
        <f t="shared" si="65"/>
        <v>3.7982255391069506</v>
      </c>
      <c r="AU133" s="193">
        <f t="shared" ref="AU133:AU136" si="66">IFERROR(O133*O$138,0)</f>
        <v>0</v>
      </c>
      <c r="AV133" s="193">
        <f t="shared" ref="AV133:AV136" si="67">IFERROR(P133*P$138,0)</f>
        <v>5.953303921373438</v>
      </c>
      <c r="AW133" s="193">
        <f t="shared" ref="AW133:AW136" si="68">IFERROR(Q133*Q$138,0)</f>
        <v>0</v>
      </c>
      <c r="AX133" s="193">
        <f t="shared" ref="AX133:AX136" si="69">IFERROR(R133*R$138,0)</f>
        <v>0</v>
      </c>
      <c r="AY133" s="193">
        <f t="shared" ref="AY133:AY136" si="70">IFERROR(S133*S$138,0)</f>
        <v>53.122729776121695</v>
      </c>
      <c r="AZ133" s="193">
        <f t="shared" ref="AZ133:AZ136" si="71">IFERROR(T133*T$138,0)</f>
        <v>0</v>
      </c>
      <c r="BA133" s="193">
        <f t="shared" ref="BA133:BA136" si="72">IFERROR(U133*U$138,0)</f>
        <v>0</v>
      </c>
      <c r="BB133" s="193">
        <f t="shared" ref="BB133:BB136" si="73">IFERROR(V133*V$138,0)</f>
        <v>0</v>
      </c>
      <c r="BC133" s="193">
        <f t="shared" ref="BC133:BC136" si="74">IFERROR(W133*W$138,0)</f>
        <v>0</v>
      </c>
      <c r="BD133" s="193">
        <f t="shared" ref="BD133:BD136" si="75">IFERROR(X133*X$138,0)</f>
        <v>0</v>
      </c>
      <c r="BE133" s="193">
        <f t="shared" ref="BE133:BE136" si="76">IFERROR(Y133*Y$138,0)</f>
        <v>1.1994396439285107</v>
      </c>
      <c r="BF133" s="193">
        <f t="shared" ref="BF133:BF136" si="77">IFERROR(Z133*Z$138,0)</f>
        <v>18.19150126624908</v>
      </c>
      <c r="BG133" s="193">
        <f t="shared" ref="BG133:BG136" si="78">IFERROR(AA133*AA$138,0)</f>
        <v>0</v>
      </c>
      <c r="BH133" s="193">
        <f t="shared" ref="BH133:BH136" si="79">IFERROR(AB133*AB$138,0)</f>
        <v>3.9841341627653009</v>
      </c>
      <c r="BI133" s="193">
        <f t="shared" ref="BI133:BI136" si="80">IFERROR(AC133*AC$138,0)</f>
        <v>0.39981321464283687</v>
      </c>
      <c r="BJ133" s="193">
        <f>IFERROR(AD133*AD$138,0)</f>
        <v>0</v>
      </c>
      <c r="BK133" s="193">
        <f t="shared" ref="BK133:BK136" si="81">IFERROR(AE133*AE$138,0)</f>
        <v>0</v>
      </c>
      <c r="BL133" s="193">
        <f t="shared" ref="BL133:BL136" si="82">IFERROR(AF133*AF$138,0)</f>
        <v>0</v>
      </c>
      <c r="BM133" s="193">
        <f t="shared" ref="BM133:BM136" si="83">IFERROR(AG133*AG$138,0)</f>
        <v>0</v>
      </c>
      <c r="BN133" s="193">
        <f t="shared" ref="BN133:BN136" si="84">IFERROR(AH133*AH$138,0)</f>
        <v>0</v>
      </c>
      <c r="BO133" s="193">
        <f t="shared" ref="BO133:BO136" si="85">IFERROR(AI133*AI$138,0)</f>
        <v>0</v>
      </c>
    </row>
    <row r="134" spans="3:67" x14ac:dyDescent="0.25">
      <c r="F134" t="s">
        <v>470</v>
      </c>
      <c r="G134" t="s">
        <v>128</v>
      </c>
      <c r="H134" s="102">
        <f>IF(INF_Data!B66=0,"",INF_Data!B66)</f>
        <v>7.6410553873466807</v>
      </c>
      <c r="I134" s="102">
        <f>IF(INF_Data!C66=0,"",INF_Data!C66)</f>
        <v>19.259254575527123</v>
      </c>
      <c r="J134" s="102">
        <f>IF(INF_Data!D66=0,"",INF_Data!D66)</f>
        <v>7.6410553873466807</v>
      </c>
      <c r="K134" s="102">
        <f>IF(INF_Data!E66=0,"",INF_Data!E66)</f>
        <v>7.6410553873466807</v>
      </c>
      <c r="L134" s="102">
        <f>IF(INF_Data!F66=0,"",INF_Data!F66)</f>
        <v>14.233318849104036</v>
      </c>
      <c r="M134" s="102" t="str">
        <f>IF(INF_Data!G66=0,"",INF_Data!G66)</f>
        <v/>
      </c>
      <c r="N134" s="102" t="str">
        <f>IF(INF_Data!H66=0,"",INF_Data!H66)</f>
        <v/>
      </c>
      <c r="O134" s="102" t="str">
        <f>IF(INF_Data!I66=0,"",INF_Data!I66)</f>
        <v/>
      </c>
      <c r="P134" s="102">
        <f>IF(INF_Data!J66=0,"",INF_Data!J66)</f>
        <v>2.8365337247903732</v>
      </c>
      <c r="Q134" s="102">
        <f>IF(INF_Data!K66=0,"",INF_Data!K66)</f>
        <v>9.7847849516736325</v>
      </c>
      <c r="R134" s="102">
        <f>IF(INF_Data!L66=0,"",INF_Data!L66)</f>
        <v>2.8365337247903732</v>
      </c>
      <c r="S134" s="102">
        <f>IF(INF_Data!M66=0,"",INF_Data!M66)</f>
        <v>2.3166913414462429</v>
      </c>
      <c r="T134" s="102">
        <f>IF(INF_Data!N66=0,"",INF_Data!N66)</f>
        <v>28.09854981578945</v>
      </c>
      <c r="U134" s="110">
        <f>INF_Data!O66*0.88</f>
        <v>17.21545948812031</v>
      </c>
      <c r="V134" s="102">
        <f>IF(INF_Data!P66=0,"",INF_Data!P66)</f>
        <v>28.09854981578945</v>
      </c>
      <c r="W134" s="102">
        <f>IF(INF_Data!Q66=0,"",INF_Data!Q66)</f>
        <v>19.563022145591262</v>
      </c>
      <c r="X134" s="102">
        <f>IF(INF_Data!R66=0,"",INF_Data!R66)</f>
        <v>19.563022145591262</v>
      </c>
      <c r="Y134" s="102" t="str">
        <f>IF(INF_Data!S66=0,"",INF_Data!S66)</f>
        <v/>
      </c>
      <c r="Z134" s="102" t="str">
        <f>IF(INF_Data!T66=0,"",INF_Data!T66)</f>
        <v/>
      </c>
      <c r="AA134" s="102" t="str">
        <f>IF(INF_Data!U66=0,"",INF_Data!U66)</f>
        <v/>
      </c>
      <c r="AB134" s="102">
        <f>IF(INF_Data!V66=0,"",INF_Data!V66)</f>
        <v>2.8365337247903732</v>
      </c>
      <c r="AC134" s="102" t="str">
        <f>IF(INF_Data!W66=0,"",INF_Data!W66)</f>
        <v/>
      </c>
      <c r="AD134" s="102">
        <f>IF(INF_Data!X66=0,"",INF_Data!X66)</f>
        <v>19.259254575527123</v>
      </c>
      <c r="AE134" s="102">
        <f>IF(INF_Data!Y66=0,"",INF_Data!Y66)</f>
        <v>2.8365337247903732</v>
      </c>
      <c r="AF134" s="102">
        <f>IF(INF_Data!Z66=0,"",INF_Data!Z66)</f>
        <v>7.6410553873466807</v>
      </c>
      <c r="AG134" s="110">
        <f>INF_Data!AA66*0.88</f>
        <v>8.6106107574727968</v>
      </c>
      <c r="AH134" s="102" t="str">
        <f>IF(INF_Data!AB66=0,"",INF_Data!AB66)</f>
        <v/>
      </c>
      <c r="AI134" s="102">
        <f>IF(INF_Data!AC66=0,"",INF_Data!AC66)</f>
        <v>10.323054430884405</v>
      </c>
      <c r="AM134" t="s">
        <v>128</v>
      </c>
      <c r="AN134" s="193">
        <f>IFERROR(H134*H$138,0)</f>
        <v>0</v>
      </c>
      <c r="AO134" s="193">
        <f t="shared" si="65"/>
        <v>5.7777763726581366</v>
      </c>
      <c r="AP134" s="193">
        <f t="shared" si="65"/>
        <v>0.8557982033828283</v>
      </c>
      <c r="AQ134" s="193">
        <f t="shared" si="65"/>
        <v>9.7958330065784445</v>
      </c>
      <c r="AR134" s="193">
        <f t="shared" si="65"/>
        <v>27.342205509128853</v>
      </c>
      <c r="AS134" s="193">
        <f t="shared" si="65"/>
        <v>0</v>
      </c>
      <c r="AT134" s="193">
        <f t="shared" si="65"/>
        <v>0</v>
      </c>
      <c r="AU134" s="193">
        <f t="shared" si="66"/>
        <v>0</v>
      </c>
      <c r="AV134" s="193">
        <f t="shared" si="67"/>
        <v>1.8437469211137427</v>
      </c>
      <c r="AW134" s="193">
        <f t="shared" si="68"/>
        <v>27.925776252076549</v>
      </c>
      <c r="AX134" s="193">
        <f t="shared" si="69"/>
        <v>0</v>
      </c>
      <c r="AY134" s="193">
        <f t="shared" si="70"/>
        <v>81.186131369642126</v>
      </c>
      <c r="AZ134" s="193">
        <f t="shared" si="71"/>
        <v>3.231333228815787</v>
      </c>
      <c r="BA134" s="193">
        <f t="shared" si="72"/>
        <v>39.475048606259875</v>
      </c>
      <c r="BB134" s="193">
        <f t="shared" si="73"/>
        <v>16.297158893157881</v>
      </c>
      <c r="BC134" s="193">
        <f t="shared" si="74"/>
        <v>16.628568823752573</v>
      </c>
      <c r="BD134" s="193">
        <f t="shared" si="75"/>
        <v>16.041678159384833</v>
      </c>
      <c r="BE134" s="193">
        <f t="shared" si="76"/>
        <v>0</v>
      </c>
      <c r="BF134" s="193">
        <f t="shared" si="77"/>
        <v>0</v>
      </c>
      <c r="BG134" s="193">
        <f t="shared" si="78"/>
        <v>0</v>
      </c>
      <c r="BH134" s="193">
        <f t="shared" si="79"/>
        <v>1.2338921702838124</v>
      </c>
      <c r="BI134" s="193">
        <f t="shared" si="80"/>
        <v>0</v>
      </c>
      <c r="BJ134" s="193">
        <f>IFERROR(AD134*AD$138,0)</f>
        <v>118.11700831170785</v>
      </c>
      <c r="BK134" s="193">
        <f t="shared" si="81"/>
        <v>0</v>
      </c>
      <c r="BL134" s="193">
        <f t="shared" si="82"/>
        <v>0</v>
      </c>
      <c r="BM134" s="193">
        <f t="shared" si="83"/>
        <v>31.316791324928563</v>
      </c>
      <c r="BN134" s="193">
        <f t="shared" si="84"/>
        <v>0</v>
      </c>
      <c r="BO134" s="193">
        <f t="shared" si="85"/>
        <v>11.252129329664001</v>
      </c>
    </row>
    <row r="135" spans="3:67" x14ac:dyDescent="0.25">
      <c r="F135" t="s">
        <v>470</v>
      </c>
      <c r="G135" t="s">
        <v>120</v>
      </c>
      <c r="H135" s="102">
        <f>IF(INF_Data!B67=0,"",INF_Data!B67)</f>
        <v>12.309470802898106</v>
      </c>
      <c r="I135" s="102" t="str">
        <f>IF(INF_Data!C67=0,"",INF_Data!C67)</f>
        <v/>
      </c>
      <c r="J135" s="102">
        <f>IF(INF_Data!D67=0,"",INF_Data!D67)</f>
        <v>12.309470802898106</v>
      </c>
      <c r="K135" s="102">
        <f>IF(INF_Data!E67=0,"",INF_Data!E67)</f>
        <v>12.309470802898106</v>
      </c>
      <c r="L135" s="102">
        <f>IF(INF_Data!F67=0,"",INF_Data!F67)</f>
        <v>6.0882724017958303</v>
      </c>
      <c r="M135" s="102">
        <f>IF(INF_Data!G67=0,"",INF_Data!G67)</f>
        <v>13.243414015700271</v>
      </c>
      <c r="N135" s="102">
        <f>IF(INF_Data!H67=0,"",INF_Data!H67)</f>
        <v>13.243414015700271</v>
      </c>
      <c r="O135" s="102">
        <f>IF(INF_Data!I67=0,"",INF_Data!I67)</f>
        <v>13.243414015700271</v>
      </c>
      <c r="P135" s="102">
        <f>IF(INF_Data!J67=0,"",INF_Data!J67)</f>
        <v>5.5558062522859917</v>
      </c>
      <c r="Q135" s="102" t="str">
        <f>IF(INF_Data!K67=0,"",INF_Data!K67)</f>
        <v/>
      </c>
      <c r="R135" s="102">
        <f>IF(INF_Data!L67=0,"",INF_Data!L67)</f>
        <v>5.5558062522859917</v>
      </c>
      <c r="S135" s="102">
        <f>IF(INF_Data!M67=0,"",INF_Data!M67)</f>
        <v>16.970460946677086</v>
      </c>
      <c r="T135" s="102" t="str">
        <f>IF(INF_Data!N67=0,"",INF_Data!N67)</f>
        <v/>
      </c>
      <c r="U135" s="102" t="str">
        <f>IF(INF_Data!O67=0,"",INF_Data!O67)</f>
        <v/>
      </c>
      <c r="V135" s="102" t="str">
        <f>IF(INF_Data!P67=0,"",INF_Data!P67)</f>
        <v/>
      </c>
      <c r="W135" s="102" t="str">
        <f>IF(INF_Data!Q67=0,"",INF_Data!Q67)</f>
        <v/>
      </c>
      <c r="X135" s="102" t="str">
        <f>IF(INF_Data!R67=0,"",INF_Data!R67)</f>
        <v/>
      </c>
      <c r="Y135" s="102">
        <f>IF(INF_Data!S67=0,"",INF_Data!S67)</f>
        <v>13.243414015700271</v>
      </c>
      <c r="Z135" s="102">
        <f>IF(INF_Data!T67=0,"",INF_Data!T67)</f>
        <v>13.243414015700271</v>
      </c>
      <c r="AA135" s="102">
        <f>IF(INF_Data!U67=0,"",INF_Data!U67)</f>
        <v>13.243414015700271</v>
      </c>
      <c r="AB135" s="102">
        <f>IF(INF_Data!V67=0,"",INF_Data!V67)</f>
        <v>5.5558062522859917</v>
      </c>
      <c r="AC135" s="102">
        <f>IF(INF_Data!W67=0,"",INF_Data!W67)</f>
        <v>13.243414015700271</v>
      </c>
      <c r="AD135" s="102" t="str">
        <f>IF(INF_Data!X67=0,"",INF_Data!X67)</f>
        <v/>
      </c>
      <c r="AE135" s="102">
        <f>IF(INF_Data!Y67=0,"",INF_Data!Y67)</f>
        <v>5.5558062522859917</v>
      </c>
      <c r="AF135" s="102">
        <f>IF(INF_Data!Z67=0,"",INF_Data!Z67)</f>
        <v>12.309470802898106</v>
      </c>
      <c r="AG135" s="110" t="str">
        <f>IF(INF_Data!AA67=0,"",INF_Data!AA67)</f>
        <v/>
      </c>
      <c r="AH135" s="102">
        <f>IF(INF_Data!AB67=0,"",INF_Data!AB67)</f>
        <v>13.243414015700271</v>
      </c>
      <c r="AI135" s="102" t="str">
        <f>IF(INF_Data!AC67=0,"",INF_Data!AC67)</f>
        <v/>
      </c>
      <c r="AM135" t="s">
        <v>120</v>
      </c>
      <c r="AN135" s="193">
        <f>IFERROR(H135*H$138,0)</f>
        <v>0</v>
      </c>
      <c r="AO135" s="193">
        <f t="shared" si="65"/>
        <v>0</v>
      </c>
      <c r="AP135" s="193">
        <f t="shared" si="65"/>
        <v>1.3786607299245879</v>
      </c>
      <c r="AQ135" s="193">
        <f t="shared" si="65"/>
        <v>15.780741569315373</v>
      </c>
      <c r="AR135" s="193">
        <f t="shared" si="65"/>
        <v>11.695571283849791</v>
      </c>
      <c r="AS135" s="193">
        <f t="shared" si="65"/>
        <v>5.4297997464371104</v>
      </c>
      <c r="AT135" s="193">
        <f t="shared" si="65"/>
        <v>10.064994651932206</v>
      </c>
      <c r="AU135" s="193">
        <f t="shared" si="66"/>
        <v>0</v>
      </c>
      <c r="AV135" s="193">
        <f t="shared" si="67"/>
        <v>3.6112740639858947</v>
      </c>
      <c r="AW135" s="193">
        <f t="shared" si="68"/>
        <v>0</v>
      </c>
      <c r="AX135" s="193">
        <f t="shared" si="69"/>
        <v>0</v>
      </c>
      <c r="AY135" s="193">
        <f t="shared" si="70"/>
        <v>594.71283341535172</v>
      </c>
      <c r="AZ135" s="193">
        <f t="shared" si="71"/>
        <v>0</v>
      </c>
      <c r="BA135" s="193">
        <f t="shared" si="72"/>
        <v>0</v>
      </c>
      <c r="BB135" s="193">
        <f t="shared" si="73"/>
        <v>0</v>
      </c>
      <c r="BC135" s="193">
        <f t="shared" si="74"/>
        <v>0</v>
      </c>
      <c r="BD135" s="193">
        <f t="shared" si="75"/>
        <v>0</v>
      </c>
      <c r="BE135" s="193">
        <f t="shared" si="76"/>
        <v>3.1784193637680649</v>
      </c>
      <c r="BF135" s="193">
        <f t="shared" si="77"/>
        <v>48.20602701714899</v>
      </c>
      <c r="BG135" s="193">
        <f t="shared" si="78"/>
        <v>0</v>
      </c>
      <c r="BH135" s="193">
        <f t="shared" si="79"/>
        <v>2.4167757197444062</v>
      </c>
      <c r="BI135" s="193">
        <f t="shared" si="80"/>
        <v>1.0594731212560218</v>
      </c>
      <c r="BJ135" s="193">
        <f>IFERROR(AD135*AD$138,0)</f>
        <v>0</v>
      </c>
      <c r="BK135" s="193">
        <f t="shared" si="81"/>
        <v>0</v>
      </c>
      <c r="BL135" s="193">
        <f t="shared" si="82"/>
        <v>0</v>
      </c>
      <c r="BM135" s="193">
        <f t="shared" si="83"/>
        <v>0</v>
      </c>
      <c r="BN135" s="193">
        <f t="shared" si="84"/>
        <v>0</v>
      </c>
      <c r="BO135" s="193">
        <f t="shared" si="85"/>
        <v>0</v>
      </c>
    </row>
    <row r="136" spans="3:67" x14ac:dyDescent="0.25">
      <c r="F136" t="s">
        <v>470</v>
      </c>
      <c r="G136" t="s">
        <v>126</v>
      </c>
      <c r="H136" s="102">
        <f>IF(INF_Data!B68=0,"",INF_Data!B68)</f>
        <v>54.116101065664758</v>
      </c>
      <c r="I136" s="102">
        <f>IF(INF_Data!C68=0,"",INF_Data!C68)</f>
        <v>58.155685402796664</v>
      </c>
      <c r="J136" s="102">
        <f>IF(INF_Data!D68=0,"",INF_Data!D68)</f>
        <v>54.116101065664758</v>
      </c>
      <c r="K136" s="102">
        <f>IF(INF_Data!E68=0,"",INF_Data!E68)</f>
        <v>54.116101065664758</v>
      </c>
      <c r="L136" s="102">
        <f>IF(INF_Data!F68=0,"",INF_Data!F68)</f>
        <v>54.466119673732237</v>
      </c>
      <c r="M136" s="102">
        <f>IF(INF_Data!G68=0,"",INF_Data!G68)</f>
        <v>57.149454505631297</v>
      </c>
      <c r="N136" s="102">
        <f>IF(INF_Data!H68=0,"",INF_Data!H68)</f>
        <v>57.149454505631297</v>
      </c>
      <c r="O136" s="102">
        <f>IF(INF_Data!I68=0,"",INF_Data!I68)</f>
        <v>57.149454505631297</v>
      </c>
      <c r="P136" s="102">
        <f>IF(INF_Data!J68=0,"",INF_Data!J68)</f>
        <v>57.327446670699544</v>
      </c>
      <c r="Q136" s="102">
        <f>IF(INF_Data!K68=0,"",INF_Data!K68)</f>
        <v>59.793765644604029</v>
      </c>
      <c r="R136" s="102">
        <f>IF(INF_Data!L68=0,"",INF_Data!L68)</f>
        <v>57.327446670699544</v>
      </c>
      <c r="S136" s="102">
        <f>IF(INF_Data!M68=0,"",INF_Data!M68)</f>
        <v>51.039345662663393</v>
      </c>
      <c r="T136" s="102">
        <f>IF(INF_Data!N68=0,"",INF_Data!N68)</f>
        <v>59.616106335503595</v>
      </c>
      <c r="U136" s="102">
        <f>IF(INF_Data!O68=0,"",INF_Data!O68)</f>
        <v>56.023626071062942</v>
      </c>
      <c r="V136" s="102">
        <f>IF(INF_Data!P68=0,"",INF_Data!P68)</f>
        <v>59.616106335503595</v>
      </c>
      <c r="W136" s="102">
        <f>IF(INF_Data!Q68=0,"",INF_Data!Q68)</f>
        <v>56.023626071062942</v>
      </c>
      <c r="X136" s="102">
        <f>IF(INF_Data!R68=0,"",INF_Data!R68)</f>
        <v>56.023626071062942</v>
      </c>
      <c r="Y136" s="102">
        <f>IF(INF_Data!S68=0,"",INF_Data!S68)</f>
        <v>57.149454505631297</v>
      </c>
      <c r="Z136" s="102">
        <f>IF(INF_Data!T68=0,"",INF_Data!T68)</f>
        <v>57.149454505631297</v>
      </c>
      <c r="AA136" s="102">
        <f>IF(INF_Data!U68=0,"",INF_Data!U68)</f>
        <v>57.149454505631297</v>
      </c>
      <c r="AB136" s="102">
        <f>IF(INF_Data!V68=0,"",INF_Data!V68)</f>
        <v>57.327446670699544</v>
      </c>
      <c r="AC136" s="102">
        <f>IF(INF_Data!W68=0,"",INF_Data!W68)</f>
        <v>57.149454505631297</v>
      </c>
      <c r="AD136" s="102">
        <f>IF(INF_Data!X68=0,"",INF_Data!X68)</f>
        <v>58.155685402796664</v>
      </c>
      <c r="AE136" s="102">
        <f>IF(INF_Data!Y68=0,"",INF_Data!Y68)</f>
        <v>57.327446670699544</v>
      </c>
      <c r="AF136" s="102">
        <f>IF(INF_Data!Z68=0,"",INF_Data!Z68)</f>
        <v>54.116101065664758</v>
      </c>
      <c r="AG136" s="110">
        <f>INF_Data!AA68</f>
        <v>59.793765644604029</v>
      </c>
      <c r="AH136" s="102">
        <f>IF(INF_Data!AB68=0,"",INF_Data!AB68)</f>
        <v>57.149454505631297</v>
      </c>
      <c r="AI136" s="102">
        <f>IF(INF_Data!AC68=0,"",INF_Data!AC68)</f>
        <v>61.238302125990188</v>
      </c>
      <c r="AM136" t="s">
        <v>126</v>
      </c>
      <c r="AN136" s="193">
        <f>IFERROR(H136*H$138,0)</f>
        <v>0</v>
      </c>
      <c r="AO136" s="193">
        <f t="shared" si="65"/>
        <v>17.446705620838998</v>
      </c>
      <c r="AP136" s="193">
        <f t="shared" si="65"/>
        <v>6.0610033193544526</v>
      </c>
      <c r="AQ136" s="193">
        <f t="shared" si="65"/>
        <v>69.376841566182222</v>
      </c>
      <c r="AR136" s="193">
        <f t="shared" si="65"/>
        <v>104.62941589323962</v>
      </c>
      <c r="AS136" s="193">
        <f t="shared" si="65"/>
        <v>23.431276347308831</v>
      </c>
      <c r="AT136" s="193">
        <f t="shared" si="65"/>
        <v>43.433585424279784</v>
      </c>
      <c r="AU136" s="193">
        <f t="shared" si="66"/>
        <v>0</v>
      </c>
      <c r="AV136" s="193">
        <f t="shared" si="67"/>
        <v>37.262840335954706</v>
      </c>
      <c r="AW136" s="193">
        <f t="shared" si="68"/>
        <v>170.65140714969991</v>
      </c>
      <c r="AX136" s="193">
        <f t="shared" si="69"/>
        <v>0</v>
      </c>
      <c r="AY136" s="193">
        <f t="shared" si="70"/>
        <v>1788.6228294023758</v>
      </c>
      <c r="AZ136" s="193">
        <f t="shared" si="71"/>
        <v>6.855852228582914</v>
      </c>
      <c r="BA136" s="193">
        <f t="shared" si="72"/>
        <v>128.46217458094733</v>
      </c>
      <c r="BB136" s="193">
        <f t="shared" si="73"/>
        <v>34.577341674592084</v>
      </c>
      <c r="BC136" s="193">
        <f t="shared" si="74"/>
        <v>47.620082160403499</v>
      </c>
      <c r="BD136" s="193">
        <f t="shared" si="75"/>
        <v>45.939373378271611</v>
      </c>
      <c r="BE136" s="193">
        <f t="shared" si="76"/>
        <v>13.71586908135151</v>
      </c>
      <c r="BF136" s="193">
        <f t="shared" si="77"/>
        <v>208.02401440049792</v>
      </c>
      <c r="BG136" s="193">
        <f t="shared" si="78"/>
        <v>0</v>
      </c>
      <c r="BH136" s="193">
        <f t="shared" si="79"/>
        <v>24.937439301754303</v>
      </c>
      <c r="BI136" s="193">
        <f t="shared" si="80"/>
        <v>4.5719563604505042</v>
      </c>
      <c r="BJ136" s="193">
        <f>IFERROR(AD136*AD$138,0)</f>
        <v>356.66881857535196</v>
      </c>
      <c r="BK136" s="193">
        <f t="shared" si="81"/>
        <v>0</v>
      </c>
      <c r="BL136" s="193">
        <f t="shared" si="82"/>
        <v>0</v>
      </c>
      <c r="BM136" s="193">
        <f t="shared" si="83"/>
        <v>217.46992564942485</v>
      </c>
      <c r="BN136" s="193">
        <f t="shared" si="84"/>
        <v>0</v>
      </c>
      <c r="BO136" s="193">
        <f t="shared" si="85"/>
        <v>66.749749317329304</v>
      </c>
    </row>
    <row r="137" spans="3:67" x14ac:dyDescent="0.25">
      <c r="F137" t="s">
        <v>472</v>
      </c>
      <c r="G137" t="s">
        <v>1250</v>
      </c>
      <c r="H137" s="193">
        <v>1</v>
      </c>
      <c r="I137" s="193">
        <v>1</v>
      </c>
      <c r="J137" s="193">
        <v>1</v>
      </c>
      <c r="K137" s="193">
        <v>1</v>
      </c>
      <c r="L137" s="193">
        <v>1</v>
      </c>
      <c r="M137" s="193">
        <v>1</v>
      </c>
      <c r="N137" s="193">
        <v>1</v>
      </c>
      <c r="O137" s="193">
        <v>1</v>
      </c>
      <c r="P137" s="193">
        <v>1</v>
      </c>
      <c r="Q137" s="193">
        <v>1</v>
      </c>
      <c r="R137" s="193">
        <v>1</v>
      </c>
      <c r="S137" s="193">
        <v>1</v>
      </c>
      <c r="T137" s="193">
        <v>1</v>
      </c>
      <c r="U137" s="193">
        <v>1</v>
      </c>
      <c r="V137" s="193">
        <v>1</v>
      </c>
      <c r="W137" s="193">
        <v>1</v>
      </c>
      <c r="X137" s="193">
        <v>1</v>
      </c>
      <c r="Y137" s="193">
        <v>1</v>
      </c>
      <c r="Z137" s="193">
        <v>1</v>
      </c>
      <c r="AA137" s="193">
        <v>1</v>
      </c>
      <c r="AB137" s="193">
        <v>1</v>
      </c>
      <c r="AC137" s="193">
        <v>1</v>
      </c>
      <c r="AD137" s="193">
        <v>1</v>
      </c>
      <c r="AE137" s="193">
        <v>1</v>
      </c>
      <c r="AF137" s="193">
        <v>1</v>
      </c>
      <c r="AG137" s="193">
        <v>1</v>
      </c>
      <c r="AH137" s="193">
        <v>1</v>
      </c>
      <c r="AI137" s="193">
        <v>1</v>
      </c>
    </row>
    <row r="138" spans="3:67" x14ac:dyDescent="0.25">
      <c r="F138" t="s">
        <v>1279</v>
      </c>
      <c r="H138" s="193">
        <f t="shared" ref="H138:AI138" si="86">H123</f>
        <v>0</v>
      </c>
      <c r="I138" s="193">
        <f t="shared" si="86"/>
        <v>0.3</v>
      </c>
      <c r="J138" s="193">
        <f t="shared" si="86"/>
        <v>0.112</v>
      </c>
      <c r="K138" s="193">
        <f t="shared" si="86"/>
        <v>1.282</v>
      </c>
      <c r="L138" s="193">
        <f t="shared" si="86"/>
        <v>1.921</v>
      </c>
      <c r="M138" s="193">
        <f t="shared" si="86"/>
        <v>0.41</v>
      </c>
      <c r="N138" s="193">
        <f t="shared" si="86"/>
        <v>0.76</v>
      </c>
      <c r="O138" s="193">
        <f t="shared" si="86"/>
        <v>0</v>
      </c>
      <c r="P138" s="193">
        <f t="shared" si="86"/>
        <v>0.65</v>
      </c>
      <c r="Q138" s="193">
        <f t="shared" si="86"/>
        <v>2.8540000000000001</v>
      </c>
      <c r="R138" s="193">
        <f t="shared" si="86"/>
        <v>0</v>
      </c>
      <c r="S138" s="193">
        <f t="shared" si="86"/>
        <v>35.043999999999997</v>
      </c>
      <c r="T138" s="193">
        <f t="shared" si="86"/>
        <v>0.115</v>
      </c>
      <c r="U138" s="193">
        <f t="shared" si="86"/>
        <v>2.2930000000000001</v>
      </c>
      <c r="V138" s="193">
        <f t="shared" si="86"/>
        <v>0.57999999999999996</v>
      </c>
      <c r="W138" s="193">
        <f t="shared" si="86"/>
        <v>0.85</v>
      </c>
      <c r="X138" s="193">
        <f t="shared" si="86"/>
        <v>0.82</v>
      </c>
      <c r="Y138" s="193">
        <f t="shared" si="86"/>
        <v>0.24</v>
      </c>
      <c r="Z138" s="193">
        <f t="shared" si="86"/>
        <v>3.64</v>
      </c>
      <c r="AA138" s="193">
        <f t="shared" si="86"/>
        <v>0</v>
      </c>
      <c r="AB138" s="193">
        <f t="shared" si="86"/>
        <v>0.435</v>
      </c>
      <c r="AC138" s="193">
        <f t="shared" si="86"/>
        <v>0.08</v>
      </c>
      <c r="AD138" s="193">
        <f t="shared" si="86"/>
        <v>6.133</v>
      </c>
      <c r="AE138" s="193">
        <f t="shared" si="86"/>
        <v>0</v>
      </c>
      <c r="AF138" s="193">
        <f t="shared" si="86"/>
        <v>0</v>
      </c>
      <c r="AG138" s="193">
        <f t="shared" si="86"/>
        <v>3.637</v>
      </c>
      <c r="AH138" s="193">
        <f t="shared" si="86"/>
        <v>0</v>
      </c>
      <c r="AI138" s="193">
        <f t="shared" si="86"/>
        <v>1.0900000000000001</v>
      </c>
    </row>
    <row r="139" spans="3:67" x14ac:dyDescent="0.25">
      <c r="C139" t="s">
        <v>575</v>
      </c>
      <c r="H139" s="193"/>
      <c r="I139" s="193"/>
      <c r="J139" s="193"/>
      <c r="K139" s="193"/>
      <c r="L139" s="193"/>
      <c r="M139" s="193"/>
      <c r="N139" s="193"/>
      <c r="O139" s="193"/>
      <c r="P139" s="193"/>
      <c r="Q139" s="193"/>
      <c r="R139" s="193"/>
      <c r="S139" s="193"/>
      <c r="T139" s="193"/>
      <c r="U139" s="193"/>
      <c r="V139" s="193"/>
      <c r="W139" s="193"/>
      <c r="X139" s="193"/>
      <c r="Y139" s="193"/>
      <c r="Z139" s="193"/>
      <c r="AA139" s="193"/>
      <c r="AB139" s="193"/>
      <c r="AC139" s="193"/>
      <c r="AD139" s="193"/>
      <c r="AE139" s="193"/>
      <c r="AF139" s="193"/>
      <c r="AG139" s="193"/>
      <c r="AH139" s="193"/>
      <c r="AI139" s="193"/>
    </row>
    <row r="140" spans="3:67" x14ac:dyDescent="0.25">
      <c r="C140" t="s">
        <v>1109</v>
      </c>
      <c r="D140">
        <v>30</v>
      </c>
      <c r="F140" t="s">
        <v>470</v>
      </c>
      <c r="G140" t="s">
        <v>126</v>
      </c>
      <c r="H140" s="193">
        <v>0.47305878654511158</v>
      </c>
      <c r="I140" s="193">
        <v>0.47305878654511158</v>
      </c>
      <c r="J140" s="193">
        <v>0.47305878654511158</v>
      </c>
      <c r="K140" s="193">
        <v>0.47305878654511158</v>
      </c>
      <c r="L140" s="193">
        <v>0.47305878654511158</v>
      </c>
      <c r="M140" s="193">
        <v>0.47305878654511158</v>
      </c>
      <c r="N140" s="193">
        <v>0.47305878654511158</v>
      </c>
      <c r="O140" s="193">
        <v>0.47305878654511158</v>
      </c>
      <c r="P140" s="193">
        <v>0.47305878654511158</v>
      </c>
      <c r="Q140" s="193">
        <v>0.47305878654511158</v>
      </c>
      <c r="R140" s="193">
        <v>0.47305878654511158</v>
      </c>
      <c r="S140" s="193">
        <v>0.47305878654511158</v>
      </c>
      <c r="T140" s="193">
        <v>0.47305878654511158</v>
      </c>
      <c r="U140" s="193">
        <v>0.47305878654511158</v>
      </c>
      <c r="V140" s="193">
        <v>0.47305878654511158</v>
      </c>
      <c r="W140" s="193">
        <v>0.47305878654511158</v>
      </c>
      <c r="X140" s="193">
        <v>0.47305878654511158</v>
      </c>
      <c r="Y140" s="193">
        <v>0.47305878654511158</v>
      </c>
      <c r="Z140" s="193">
        <v>0.47305878654511158</v>
      </c>
      <c r="AA140" s="193">
        <v>0.47305878654511158</v>
      </c>
      <c r="AB140" s="193">
        <v>0.47305878654511158</v>
      </c>
      <c r="AC140" s="193">
        <v>0.47305878654511158</v>
      </c>
      <c r="AD140" s="193">
        <v>0.47305878654511158</v>
      </c>
      <c r="AE140" s="193">
        <v>0.47305878654511158</v>
      </c>
      <c r="AF140" s="193">
        <v>0.47305878654511158</v>
      </c>
      <c r="AG140" s="193">
        <v>0.47305878654511158</v>
      </c>
      <c r="AH140" s="193">
        <v>0.47305878654511158</v>
      </c>
      <c r="AI140" s="193">
        <v>0.47305878654511158</v>
      </c>
      <c r="AM140" t="s">
        <v>126</v>
      </c>
      <c r="AN140" s="193">
        <f>H140*H$144</f>
        <v>0</v>
      </c>
      <c r="AO140" s="193">
        <f t="shared" ref="AO140:BO141" si="87">I140*I$144</f>
        <v>1.8922351461804463E-2</v>
      </c>
      <c r="AP140" s="193">
        <f t="shared" si="87"/>
        <v>4.7305878654511158E-3</v>
      </c>
      <c r="AQ140" s="193">
        <f t="shared" si="87"/>
        <v>2.3652939327255582E-2</v>
      </c>
      <c r="AR140" s="193">
        <f t="shared" si="87"/>
        <v>0.41629173215969817</v>
      </c>
      <c r="AS140" s="193">
        <f t="shared" si="87"/>
        <v>4.7305878654511158E-3</v>
      </c>
      <c r="AT140" s="193">
        <f t="shared" si="87"/>
        <v>0.13718704809808235</v>
      </c>
      <c r="AU140" s="193">
        <f t="shared" si="87"/>
        <v>0</v>
      </c>
      <c r="AV140" s="193">
        <f t="shared" si="87"/>
        <v>0.55347878025778052</v>
      </c>
      <c r="AW140" s="193">
        <f t="shared" si="87"/>
        <v>0.8089305249921408</v>
      </c>
      <c r="AX140" s="193">
        <f t="shared" si="87"/>
        <v>0</v>
      </c>
      <c r="AY140" s="193">
        <f t="shared" si="87"/>
        <v>5.0191537252436333</v>
      </c>
      <c r="AZ140" s="193">
        <f t="shared" si="87"/>
        <v>2.3652939327255582E-2</v>
      </c>
      <c r="BA140" s="193">
        <f t="shared" si="87"/>
        <v>0.52509525306507387</v>
      </c>
      <c r="BB140" s="193">
        <f t="shared" si="87"/>
        <v>0.10407293303992454</v>
      </c>
      <c r="BC140" s="193">
        <f t="shared" si="87"/>
        <v>1.5942081106570261</v>
      </c>
      <c r="BD140" s="193">
        <f t="shared" si="87"/>
        <v>0.90827287016661418</v>
      </c>
      <c r="BE140" s="193">
        <f t="shared" si="87"/>
        <v>1.8922351461804463E-2</v>
      </c>
      <c r="BF140" s="193">
        <f t="shared" si="87"/>
        <v>0.65755171329770501</v>
      </c>
      <c r="BG140" s="193">
        <f t="shared" si="87"/>
        <v>0.62443759823954736</v>
      </c>
      <c r="BH140" s="193">
        <f t="shared" si="87"/>
        <v>0.12299528450172902</v>
      </c>
      <c r="BI140" s="193">
        <f t="shared" si="87"/>
        <v>0.2980270355234203</v>
      </c>
      <c r="BJ140" s="193">
        <f t="shared" si="87"/>
        <v>0.22233762967620244</v>
      </c>
      <c r="BK140" s="193">
        <f t="shared" si="87"/>
        <v>4.7305878654511158E-3</v>
      </c>
      <c r="BL140" s="193">
        <f t="shared" si="87"/>
        <v>0</v>
      </c>
      <c r="BM140" s="193">
        <f t="shared" si="87"/>
        <v>0.15137881169443571</v>
      </c>
      <c r="BN140" s="193">
        <f t="shared" si="87"/>
        <v>0.94611757309022315</v>
      </c>
      <c r="BO140" s="193">
        <f t="shared" si="87"/>
        <v>1.8307375039295819</v>
      </c>
    </row>
    <row r="141" spans="3:67" x14ac:dyDescent="0.25">
      <c r="F141" t="s">
        <v>470</v>
      </c>
      <c r="G141" t="s">
        <v>128</v>
      </c>
      <c r="H141" s="193">
        <v>2.8269412134548881</v>
      </c>
      <c r="I141" s="193">
        <v>2.8269412134548881</v>
      </c>
      <c r="J141" s="193">
        <v>2.8269412134548881</v>
      </c>
      <c r="K141" s="193">
        <v>2.8269412134548881</v>
      </c>
      <c r="L141" s="193">
        <v>2.8269412134548881</v>
      </c>
      <c r="M141" s="193">
        <v>2.8269412134548881</v>
      </c>
      <c r="N141" s="193">
        <v>2.8269412134548881</v>
      </c>
      <c r="O141" s="193">
        <v>2.8269412134548881</v>
      </c>
      <c r="P141" s="193">
        <v>2.8269412134548881</v>
      </c>
      <c r="Q141" s="193">
        <v>2.8269412134548881</v>
      </c>
      <c r="R141" s="193">
        <v>2.8269412134548881</v>
      </c>
      <c r="S141" s="193">
        <v>2.8269412134548881</v>
      </c>
      <c r="T141" s="193">
        <v>2.8269412134548881</v>
      </c>
      <c r="U141" s="193">
        <v>2.8269412134548881</v>
      </c>
      <c r="V141" s="193">
        <v>2.8269412134548881</v>
      </c>
      <c r="W141" s="193">
        <v>2.8269412134548881</v>
      </c>
      <c r="X141" s="193">
        <v>2.8269412134548881</v>
      </c>
      <c r="Y141" s="193">
        <v>2.8269412134548881</v>
      </c>
      <c r="Z141" s="193">
        <v>2.8269412134548881</v>
      </c>
      <c r="AA141" s="193">
        <v>2.8269412134548881</v>
      </c>
      <c r="AB141" s="193">
        <v>2.8269412134548881</v>
      </c>
      <c r="AC141" s="193">
        <v>2.8269412134548881</v>
      </c>
      <c r="AD141" s="193">
        <v>2.8269412134548881</v>
      </c>
      <c r="AE141" s="193">
        <v>2.8269412134548881</v>
      </c>
      <c r="AF141" s="193">
        <v>2.8269412134548881</v>
      </c>
      <c r="AG141" s="193">
        <v>2.8269412134548881</v>
      </c>
      <c r="AH141" s="193">
        <v>2.8269412134548881</v>
      </c>
      <c r="AI141" s="193">
        <v>2.8269412134548881</v>
      </c>
      <c r="AM141" t="s">
        <v>128</v>
      </c>
      <c r="AN141" s="193">
        <f>H141*H$144</f>
        <v>0</v>
      </c>
      <c r="AO141" s="193">
        <f t="shared" si="87"/>
        <v>0.11307764853819553</v>
      </c>
      <c r="AP141" s="193">
        <f t="shared" si="87"/>
        <v>2.8269412134548883E-2</v>
      </c>
      <c r="AQ141" s="193">
        <f t="shared" si="87"/>
        <v>0.14134706067274441</v>
      </c>
      <c r="AR141" s="193">
        <f t="shared" si="87"/>
        <v>2.4877082678403015</v>
      </c>
      <c r="AS141" s="193">
        <f t="shared" si="87"/>
        <v>2.8269412134548883E-2</v>
      </c>
      <c r="AT141" s="193">
        <f t="shared" si="87"/>
        <v>0.8198129519019175</v>
      </c>
      <c r="AU141" s="193">
        <f t="shared" si="87"/>
        <v>0</v>
      </c>
      <c r="AV141" s="193">
        <f t="shared" si="87"/>
        <v>3.307521219742219</v>
      </c>
      <c r="AW141" s="193">
        <f t="shared" si="87"/>
        <v>4.8340694750078583</v>
      </c>
      <c r="AX141" s="193">
        <f t="shared" si="87"/>
        <v>0</v>
      </c>
      <c r="AY141" s="193">
        <f t="shared" si="87"/>
        <v>29.993846274756361</v>
      </c>
      <c r="AZ141" s="193">
        <f t="shared" si="87"/>
        <v>0.14134706067274441</v>
      </c>
      <c r="BA141" s="193">
        <f t="shared" si="87"/>
        <v>3.1379047469349262</v>
      </c>
      <c r="BB141" s="193">
        <f t="shared" si="87"/>
        <v>0.62192706696007538</v>
      </c>
      <c r="BC141" s="193">
        <f t="shared" si="87"/>
        <v>9.5267918893429737</v>
      </c>
      <c r="BD141" s="193">
        <f t="shared" si="87"/>
        <v>5.4277271298333849</v>
      </c>
      <c r="BE141" s="193">
        <f t="shared" si="87"/>
        <v>0.11307764853819553</v>
      </c>
      <c r="BF141" s="193">
        <f t="shared" si="87"/>
        <v>3.9294482867022942</v>
      </c>
      <c r="BG141" s="193">
        <f t="shared" si="87"/>
        <v>3.7315624017604527</v>
      </c>
      <c r="BH141" s="193">
        <f t="shared" si="87"/>
        <v>0.73500471549827096</v>
      </c>
      <c r="BI141" s="193">
        <f t="shared" si="87"/>
        <v>1.7809729644765795</v>
      </c>
      <c r="BJ141" s="193">
        <f t="shared" si="87"/>
        <v>1.3286623703237974</v>
      </c>
      <c r="BK141" s="193">
        <f t="shared" si="87"/>
        <v>2.8269412134548883E-2</v>
      </c>
      <c r="BL141" s="193">
        <f t="shared" si="87"/>
        <v>0</v>
      </c>
      <c r="BM141" s="193">
        <f t="shared" si="87"/>
        <v>0.90462118830556426</v>
      </c>
      <c r="BN141" s="193">
        <f t="shared" si="87"/>
        <v>5.6538824269097763</v>
      </c>
      <c r="BO141" s="193">
        <f t="shared" si="87"/>
        <v>10.940262496070417</v>
      </c>
    </row>
    <row r="142" spans="3:67" x14ac:dyDescent="0.25">
      <c r="F142" t="s">
        <v>470</v>
      </c>
      <c r="G142" t="s">
        <v>1252</v>
      </c>
      <c r="H142" s="193">
        <f>INF_Data!$C$82</f>
        <v>1.05</v>
      </c>
      <c r="I142" s="193">
        <f>H142</f>
        <v>1.05</v>
      </c>
      <c r="J142" s="193">
        <f t="shared" ref="J142:AI142" si="88">I142</f>
        <v>1.05</v>
      </c>
      <c r="K142" s="193">
        <f t="shared" si="88"/>
        <v>1.05</v>
      </c>
      <c r="L142" s="193">
        <f t="shared" si="88"/>
        <v>1.05</v>
      </c>
      <c r="M142" s="193">
        <f t="shared" si="88"/>
        <v>1.05</v>
      </c>
      <c r="N142" s="193">
        <f t="shared" si="88"/>
        <v>1.05</v>
      </c>
      <c r="O142" s="193">
        <f t="shared" si="88"/>
        <v>1.05</v>
      </c>
      <c r="P142" s="193">
        <f t="shared" si="88"/>
        <v>1.05</v>
      </c>
      <c r="Q142" s="193">
        <f t="shared" si="88"/>
        <v>1.05</v>
      </c>
      <c r="R142" s="193">
        <f t="shared" si="88"/>
        <v>1.05</v>
      </c>
      <c r="S142" s="193">
        <f t="shared" si="88"/>
        <v>1.05</v>
      </c>
      <c r="T142" s="193">
        <f t="shared" si="88"/>
        <v>1.05</v>
      </c>
      <c r="U142" s="193">
        <f t="shared" si="88"/>
        <v>1.05</v>
      </c>
      <c r="V142" s="193">
        <f t="shared" si="88"/>
        <v>1.05</v>
      </c>
      <c r="W142" s="193">
        <f t="shared" si="88"/>
        <v>1.05</v>
      </c>
      <c r="X142" s="193">
        <f t="shared" si="88"/>
        <v>1.05</v>
      </c>
      <c r="Y142" s="193">
        <f t="shared" si="88"/>
        <v>1.05</v>
      </c>
      <c r="Z142" s="193">
        <f t="shared" si="88"/>
        <v>1.05</v>
      </c>
      <c r="AA142" s="193">
        <f t="shared" si="88"/>
        <v>1.05</v>
      </c>
      <c r="AB142" s="193">
        <f t="shared" si="88"/>
        <v>1.05</v>
      </c>
      <c r="AC142" s="193">
        <f t="shared" si="88"/>
        <v>1.05</v>
      </c>
      <c r="AD142" s="193">
        <f t="shared" si="88"/>
        <v>1.05</v>
      </c>
      <c r="AE142" s="193">
        <f t="shared" si="88"/>
        <v>1.05</v>
      </c>
      <c r="AF142" s="193">
        <f t="shared" si="88"/>
        <v>1.05</v>
      </c>
      <c r="AG142" s="193">
        <f t="shared" si="88"/>
        <v>1.05</v>
      </c>
      <c r="AH142" s="193">
        <f t="shared" si="88"/>
        <v>1.05</v>
      </c>
      <c r="AI142" s="193">
        <f t="shared" si="88"/>
        <v>1.05</v>
      </c>
      <c r="AN142" s="193"/>
      <c r="AO142" s="193"/>
      <c r="AP142" s="193"/>
      <c r="AQ142" s="193"/>
      <c r="AR142" s="193"/>
      <c r="AS142" s="193"/>
      <c r="AT142" s="193"/>
      <c r="AU142" s="193"/>
      <c r="AV142" s="193"/>
      <c r="AW142" s="193"/>
      <c r="AX142" s="193"/>
      <c r="AY142" s="193"/>
      <c r="AZ142" s="193"/>
      <c r="BA142" s="193"/>
      <c r="BB142" s="193"/>
      <c r="BC142" s="193"/>
      <c r="BD142" s="193"/>
      <c r="BE142" s="193"/>
      <c r="BF142" s="193"/>
      <c r="BG142" s="193"/>
      <c r="BH142" s="193"/>
      <c r="BI142" s="193"/>
      <c r="BJ142" s="193"/>
      <c r="BK142" s="193"/>
      <c r="BL142" s="193"/>
      <c r="BM142" s="193"/>
      <c r="BN142" s="193"/>
      <c r="BO142" s="193"/>
    </row>
    <row r="143" spans="3:67" x14ac:dyDescent="0.25">
      <c r="F143" t="s">
        <v>472</v>
      </c>
      <c r="G143" t="s">
        <v>1250</v>
      </c>
      <c r="H143" s="193">
        <v>1</v>
      </c>
      <c r="I143" s="193">
        <v>1</v>
      </c>
      <c r="J143" s="193">
        <v>1</v>
      </c>
      <c r="K143" s="193">
        <v>1</v>
      </c>
      <c r="L143" s="193">
        <v>1</v>
      </c>
      <c r="M143" s="193">
        <v>1</v>
      </c>
      <c r="N143" s="193">
        <v>1</v>
      </c>
      <c r="O143" s="193">
        <v>1</v>
      </c>
      <c r="P143" s="193">
        <v>1</v>
      </c>
      <c r="Q143" s="193">
        <v>1</v>
      </c>
      <c r="R143" s="193">
        <v>1</v>
      </c>
      <c r="S143" s="193">
        <v>1</v>
      </c>
      <c r="T143" s="193">
        <v>1</v>
      </c>
      <c r="U143" s="193">
        <v>1</v>
      </c>
      <c r="V143" s="193">
        <v>1</v>
      </c>
      <c r="W143" s="193">
        <v>1</v>
      </c>
      <c r="X143" s="193">
        <v>1</v>
      </c>
      <c r="Y143" s="193">
        <v>1</v>
      </c>
      <c r="Z143" s="193">
        <v>1</v>
      </c>
      <c r="AA143" s="193">
        <v>1</v>
      </c>
      <c r="AB143" s="193">
        <v>1</v>
      </c>
      <c r="AC143" s="193">
        <v>1</v>
      </c>
      <c r="AD143" s="193">
        <v>1</v>
      </c>
      <c r="AE143" s="193">
        <v>1</v>
      </c>
      <c r="AF143" s="193">
        <v>1</v>
      </c>
      <c r="AG143" s="193">
        <v>1</v>
      </c>
      <c r="AH143" s="193">
        <v>1</v>
      </c>
      <c r="AI143" s="193">
        <v>1</v>
      </c>
    </row>
    <row r="144" spans="3:67" x14ac:dyDescent="0.25">
      <c r="F144" t="s">
        <v>1279</v>
      </c>
      <c r="H144" s="193">
        <f t="shared" ref="H144:AI144" si="89">H124</f>
        <v>0</v>
      </c>
      <c r="I144" s="193">
        <f t="shared" si="89"/>
        <v>0.04</v>
      </c>
      <c r="J144" s="193">
        <f t="shared" si="89"/>
        <v>0.01</v>
      </c>
      <c r="K144" s="193">
        <f t="shared" si="89"/>
        <v>0.05</v>
      </c>
      <c r="L144" s="193">
        <f t="shared" si="89"/>
        <v>0.88</v>
      </c>
      <c r="M144" s="193">
        <f t="shared" si="89"/>
        <v>0.01</v>
      </c>
      <c r="N144" s="193">
        <f t="shared" si="89"/>
        <v>0.28999999999999998</v>
      </c>
      <c r="O144" s="193">
        <f t="shared" si="89"/>
        <v>0</v>
      </c>
      <c r="P144" s="193">
        <f t="shared" si="89"/>
        <v>1.17</v>
      </c>
      <c r="Q144" s="193">
        <f t="shared" si="89"/>
        <v>1.71</v>
      </c>
      <c r="R144" s="193">
        <f t="shared" si="89"/>
        <v>0</v>
      </c>
      <c r="S144" s="193">
        <f t="shared" si="89"/>
        <v>10.61</v>
      </c>
      <c r="T144" s="193">
        <f t="shared" si="89"/>
        <v>0.05</v>
      </c>
      <c r="U144" s="193">
        <f t="shared" si="89"/>
        <v>1.1100000000000001</v>
      </c>
      <c r="V144" s="193">
        <f t="shared" si="89"/>
        <v>0.22</v>
      </c>
      <c r="W144" s="193">
        <f t="shared" si="89"/>
        <v>3.37</v>
      </c>
      <c r="X144" s="193">
        <f t="shared" si="89"/>
        <v>1.92</v>
      </c>
      <c r="Y144" s="193">
        <f t="shared" si="89"/>
        <v>0.04</v>
      </c>
      <c r="Z144" s="193">
        <f t="shared" si="89"/>
        <v>1.39</v>
      </c>
      <c r="AA144" s="193">
        <f t="shared" si="89"/>
        <v>1.32</v>
      </c>
      <c r="AB144" s="193">
        <f t="shared" si="89"/>
        <v>0.26</v>
      </c>
      <c r="AC144" s="193">
        <f t="shared" si="89"/>
        <v>0.63</v>
      </c>
      <c r="AD144" s="193">
        <f t="shared" si="89"/>
        <v>0.47</v>
      </c>
      <c r="AE144" s="193">
        <f t="shared" si="89"/>
        <v>0.01</v>
      </c>
      <c r="AF144" s="193">
        <f t="shared" si="89"/>
        <v>0</v>
      </c>
      <c r="AG144" s="193">
        <f t="shared" si="89"/>
        <v>0.32</v>
      </c>
      <c r="AH144" s="193">
        <f t="shared" si="89"/>
        <v>2</v>
      </c>
      <c r="AI144" s="193">
        <f t="shared" si="89"/>
        <v>3.87</v>
      </c>
    </row>
    <row r="145" spans="3:72" x14ac:dyDescent="0.25">
      <c r="C145" t="s">
        <v>1134</v>
      </c>
      <c r="F145" t="s">
        <v>472</v>
      </c>
      <c r="G145" t="s">
        <v>1252</v>
      </c>
      <c r="H145" s="193">
        <v>1</v>
      </c>
      <c r="I145" s="193">
        <v>1</v>
      </c>
      <c r="J145" s="193">
        <v>1</v>
      </c>
      <c r="K145" s="193">
        <v>1</v>
      </c>
      <c r="L145" s="193">
        <v>1</v>
      </c>
      <c r="M145" s="193">
        <v>1</v>
      </c>
      <c r="N145" s="193">
        <v>1</v>
      </c>
      <c r="O145" s="193">
        <v>1</v>
      </c>
      <c r="P145" s="193">
        <v>1</v>
      </c>
      <c r="Q145" s="193">
        <v>1</v>
      </c>
      <c r="R145" s="193">
        <v>1</v>
      </c>
      <c r="S145" s="193">
        <v>1</v>
      </c>
      <c r="T145" s="193">
        <v>1</v>
      </c>
      <c r="U145" s="193">
        <v>1</v>
      </c>
      <c r="V145" s="193">
        <v>1</v>
      </c>
      <c r="W145" s="193">
        <v>1</v>
      </c>
      <c r="X145" s="193">
        <v>1</v>
      </c>
      <c r="Y145" s="193">
        <v>1</v>
      </c>
      <c r="Z145" s="193">
        <v>1</v>
      </c>
      <c r="AA145" s="193">
        <v>1</v>
      </c>
      <c r="AB145" s="193">
        <v>1</v>
      </c>
      <c r="AC145" s="193">
        <v>1</v>
      </c>
      <c r="AD145" s="193">
        <v>1</v>
      </c>
      <c r="AE145" s="193">
        <v>1</v>
      </c>
      <c r="AF145" s="193">
        <v>1</v>
      </c>
      <c r="AG145" s="193">
        <v>1</v>
      </c>
      <c r="AH145" s="193">
        <v>1</v>
      </c>
      <c r="AI145" s="193">
        <v>1</v>
      </c>
    </row>
    <row r="146" spans="3:72" x14ac:dyDescent="0.25">
      <c r="F146" t="s">
        <v>1678</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row>
    <row r="149" spans="3:72" x14ac:dyDescent="0.25">
      <c r="H149" t="s">
        <v>558</v>
      </c>
      <c r="I149" s="193"/>
      <c r="J149" s="193"/>
      <c r="K149" s="193"/>
      <c r="L149" s="193"/>
      <c r="M149" s="193"/>
      <c r="P149" s="193"/>
      <c r="Q149" s="193"/>
      <c r="R149" s="193"/>
      <c r="S149" s="193"/>
      <c r="T149" s="193"/>
      <c r="U149" s="193"/>
      <c r="V149" s="193"/>
      <c r="W149" s="193"/>
      <c r="X149" s="193"/>
      <c r="AA149" s="193"/>
      <c r="AB149" s="193"/>
      <c r="AC149" s="193"/>
      <c r="AD149" s="193"/>
      <c r="AE149" s="193"/>
      <c r="AF149" s="193"/>
      <c r="AG149" s="193"/>
      <c r="AH149" s="193"/>
      <c r="AI149" s="193"/>
    </row>
    <row r="150" spans="3:72" x14ac:dyDescent="0.25">
      <c r="H150" t="s">
        <v>558</v>
      </c>
      <c r="I150" s="193"/>
      <c r="J150" s="193"/>
      <c r="K150" s="193"/>
      <c r="L150" s="193"/>
      <c r="M150" s="193"/>
      <c r="P150" s="193"/>
      <c r="Q150" s="193"/>
      <c r="R150" s="193"/>
      <c r="S150" s="193"/>
      <c r="T150" s="193"/>
      <c r="U150" s="193"/>
      <c r="V150" s="193"/>
      <c r="W150" s="193"/>
      <c r="X150" s="193"/>
      <c r="AA150" s="193"/>
      <c r="AB150" s="193"/>
      <c r="AC150" s="193"/>
      <c r="AD150" s="193"/>
      <c r="AE150" s="193"/>
      <c r="AF150" s="193"/>
      <c r="AG150" s="193"/>
      <c r="AH150" s="193"/>
      <c r="AI150" s="193"/>
    </row>
    <row r="151" spans="3:72" x14ac:dyDescent="0.25">
      <c r="C151" s="5" t="s">
        <v>1280</v>
      </c>
      <c r="H151" t="s">
        <v>558</v>
      </c>
      <c r="I151" s="193"/>
      <c r="J151" s="193"/>
      <c r="K151" s="193"/>
      <c r="L151" s="193"/>
      <c r="M151" s="193"/>
      <c r="P151" s="193"/>
      <c r="Q151" s="193"/>
      <c r="R151" s="193"/>
      <c r="S151" s="193"/>
      <c r="T151" s="193"/>
      <c r="U151" s="193"/>
      <c r="V151" s="193"/>
      <c r="W151" s="193"/>
      <c r="X151" s="193"/>
      <c r="AA151" s="193"/>
      <c r="AB151" s="193"/>
      <c r="AC151" s="193"/>
      <c r="AD151" s="193"/>
      <c r="AE151" s="193"/>
      <c r="AF151" s="193"/>
      <c r="AG151" s="193"/>
      <c r="AH151" s="193"/>
      <c r="AI151" s="193"/>
    </row>
    <row r="152" spans="3:72" x14ac:dyDescent="0.25">
      <c r="C152" s="5"/>
    </row>
    <row r="153" spans="3:72" x14ac:dyDescent="0.25">
      <c r="D153" s="49" t="s">
        <v>300</v>
      </c>
      <c r="AM153" t="s">
        <v>1281</v>
      </c>
    </row>
    <row r="154" spans="3:72" ht="15.75" thickBot="1" x14ac:dyDescent="0.3">
      <c r="D154" s="44" t="s">
        <v>306</v>
      </c>
      <c r="E154" s="44" t="s">
        <v>1277</v>
      </c>
      <c r="F154" s="44" t="s">
        <v>326</v>
      </c>
      <c r="G154" s="44" t="s">
        <v>340</v>
      </c>
      <c r="H154" s="44" t="s">
        <v>162</v>
      </c>
      <c r="I154" s="44" t="s">
        <v>164</v>
      </c>
      <c r="J154" s="44" t="s">
        <v>166</v>
      </c>
      <c r="K154" s="44" t="s">
        <v>168</v>
      </c>
      <c r="L154" s="44" t="s">
        <v>170</v>
      </c>
      <c r="M154" s="44" t="s">
        <v>173</v>
      </c>
      <c r="N154" s="44" t="s">
        <v>175</v>
      </c>
      <c r="O154" s="44" t="s">
        <v>177</v>
      </c>
      <c r="P154" s="44" t="s">
        <v>179</v>
      </c>
      <c r="Q154" s="44" t="s">
        <v>181</v>
      </c>
      <c r="R154" s="44" t="s">
        <v>183</v>
      </c>
      <c r="S154" s="44" t="s">
        <v>185</v>
      </c>
      <c r="T154" s="44" t="s">
        <v>188</v>
      </c>
      <c r="U154" s="44" t="s">
        <v>190</v>
      </c>
      <c r="V154" s="44" t="s">
        <v>192</v>
      </c>
      <c r="W154" s="44" t="s">
        <v>194</v>
      </c>
      <c r="X154" s="44" t="s">
        <v>196</v>
      </c>
      <c r="Y154" s="44" t="s">
        <v>198</v>
      </c>
      <c r="Z154" s="44" t="s">
        <v>9</v>
      </c>
      <c r="AA154" s="44" t="s">
        <v>201</v>
      </c>
      <c r="AB154" s="44" t="s">
        <v>203</v>
      </c>
      <c r="AC154" s="44" t="s">
        <v>205</v>
      </c>
      <c r="AD154" s="44" t="s">
        <v>207</v>
      </c>
      <c r="AE154" s="44" t="s">
        <v>210</v>
      </c>
      <c r="AF154" s="44" t="s">
        <v>212</v>
      </c>
      <c r="AG154" s="44" t="s">
        <v>214</v>
      </c>
      <c r="AH154" s="44" t="s">
        <v>217</v>
      </c>
      <c r="AI154" s="44" t="s">
        <v>219</v>
      </c>
      <c r="AN154" t="s">
        <v>162</v>
      </c>
      <c r="AO154" s="485" t="s">
        <v>164</v>
      </c>
      <c r="AP154" t="s">
        <v>166</v>
      </c>
      <c r="AQ154" t="s">
        <v>168</v>
      </c>
      <c r="AR154" t="s">
        <v>170</v>
      </c>
      <c r="AS154" t="s">
        <v>173</v>
      </c>
      <c r="AT154" t="s">
        <v>175</v>
      </c>
      <c r="AU154" t="s">
        <v>177</v>
      </c>
      <c r="AV154" t="s">
        <v>179</v>
      </c>
      <c r="AW154" t="s">
        <v>181</v>
      </c>
      <c r="AX154" t="s">
        <v>183</v>
      </c>
      <c r="AY154" t="s">
        <v>185</v>
      </c>
      <c r="AZ154" t="s">
        <v>188</v>
      </c>
      <c r="BA154" t="s">
        <v>190</v>
      </c>
      <c r="BB154" t="s">
        <v>192</v>
      </c>
      <c r="BC154" t="s">
        <v>194</v>
      </c>
      <c r="BD154" t="s">
        <v>196</v>
      </c>
      <c r="BE154" t="s">
        <v>198</v>
      </c>
      <c r="BF154" t="s">
        <v>9</v>
      </c>
      <c r="BG154" t="s">
        <v>201</v>
      </c>
      <c r="BH154" t="s">
        <v>203</v>
      </c>
      <c r="BI154" t="s">
        <v>205</v>
      </c>
      <c r="BJ154" t="s">
        <v>207</v>
      </c>
      <c r="BK154" t="s">
        <v>210</v>
      </c>
      <c r="BL154" t="s">
        <v>212</v>
      </c>
      <c r="BM154" t="s">
        <v>214</v>
      </c>
      <c r="BN154" t="s">
        <v>217</v>
      </c>
      <c r="BO154" t="s">
        <v>219</v>
      </c>
      <c r="BT154" s="485"/>
    </row>
    <row r="155" spans="3:72" x14ac:dyDescent="0.25">
      <c r="D155" t="s">
        <v>1111</v>
      </c>
      <c r="E155">
        <v>30</v>
      </c>
      <c r="F155" t="s">
        <v>470</v>
      </c>
      <c r="G155" s="9" t="s">
        <v>1254</v>
      </c>
      <c r="H155" s="193" t="str">
        <f>IF(AN155=0,"",AN155/AN$159)</f>
        <v/>
      </c>
      <c r="I155" s="193">
        <f t="shared" ref="I155:M157" si="90">IF(AO155=0,"",AO155/AO$159)</f>
        <v>0.31700023848397563</v>
      </c>
      <c r="J155" s="193">
        <f t="shared" si="90"/>
        <v>0.80402010050251249</v>
      </c>
      <c r="K155" s="193">
        <f t="shared" si="90"/>
        <v>0.82186042088105071</v>
      </c>
      <c r="L155" s="193">
        <f t="shared" si="90"/>
        <v>0.84206237699732034</v>
      </c>
      <c r="M155" s="193">
        <f t="shared" si="90"/>
        <v>0.84202824058432946</v>
      </c>
      <c r="N155" s="193" t="str">
        <f>IF(AT155=0,"",AT155/AT$159)</f>
        <v/>
      </c>
      <c r="O155" s="193" t="str">
        <f t="shared" ref="O155:O157" si="91">IF(AU155=0,"",AU155/AU$159)</f>
        <v/>
      </c>
      <c r="P155" s="193">
        <f t="shared" ref="P155:P157" si="92">IF(AV155=0,"",AV155/AV$159)</f>
        <v>0.82514638597196943</v>
      </c>
      <c r="Q155" s="193">
        <f t="shared" ref="Q155:Q157" si="93">IF(AW155=0,"",AW155/AW$159)</f>
        <v>0.82149344916794476</v>
      </c>
      <c r="R155" s="193" t="str">
        <f t="shared" ref="R155:R157" si="94">IF(AX155=0,"",AX155/AX$159)</f>
        <v/>
      </c>
      <c r="S155" s="193">
        <f t="shared" ref="S155:S157" si="95">IF(AY155=0,"",AY155/AY$159)</f>
        <v>0.72162902506384674</v>
      </c>
      <c r="T155" s="193">
        <f t="shared" ref="T155:T157" si="96">IF(AZ155=0,"",AZ155/AZ$159)</f>
        <v>0.49500153028448785</v>
      </c>
      <c r="U155" s="193">
        <f t="shared" ref="U155:U157" si="97">IF(BA155=0,"",BA155/BA$159)</f>
        <v>0.76831164019405962</v>
      </c>
      <c r="V155" s="193">
        <f t="shared" ref="V155:V157" si="98">IF(BB155=0,"",BB155/BB$159)</f>
        <v>0.7447482422080427</v>
      </c>
      <c r="W155" s="193">
        <f t="shared" ref="W155:W157" si="99">IF(BC155=0,"",BC155/BC$159)</f>
        <v>0.79537158941239194</v>
      </c>
      <c r="X155" s="193">
        <f t="shared" ref="X155:X157" si="100">IF(BD155=0,"",BD155/BD$159)</f>
        <v>0.79106129198375874</v>
      </c>
      <c r="Y155" s="193" t="str">
        <f t="shared" ref="Y155:Y157" si="101">IF(BE155=0,"",BE155/BE$159)</f>
        <v/>
      </c>
      <c r="Z155" s="193" t="str">
        <f t="shared" ref="Z155:Z157" si="102">IF(BF155=0,"",BF155/BF$159)</f>
        <v/>
      </c>
      <c r="AA155" s="193">
        <f t="shared" ref="AA155:AA157" si="103">IF(BG155=0,"",BG155/BG$159)</f>
        <v>0.76561108870096206</v>
      </c>
      <c r="AB155" s="193">
        <f t="shared" ref="AB155:AB157" si="104">IF(BH155=0,"",BH155/BH$159)</f>
        <v>0.84192292154635884</v>
      </c>
      <c r="AC155" s="193">
        <f t="shared" ref="AC155:AC157" si="105">IF(BI155=0,"",BI155/BI$159)</f>
        <v>0.82542066035726658</v>
      </c>
      <c r="AD155" s="193" t="str">
        <f t="shared" ref="AD155:AD157" si="106">IF(BJ155=0,"",BJ155/BJ$159)</f>
        <v/>
      </c>
      <c r="AE155" s="193">
        <f t="shared" ref="AE155:AE157" si="107">IF(BK155=0,"",BK155/BK$159)</f>
        <v>0.80733944954128445</v>
      </c>
      <c r="AF155" s="193" t="str">
        <f t="shared" ref="AF155:AF157" si="108">IF(BL155=0,"",BL155/BL$159)</f>
        <v/>
      </c>
      <c r="AG155" s="193">
        <f t="shared" ref="AG155:AG157" si="109">IF(BM155=0,"",BM155/BM$159)</f>
        <v>0.80733944954128445</v>
      </c>
      <c r="AH155" s="193">
        <f t="shared" ref="AH155:AH157" si="110">IF(BN155=0,"",BN155/BN$159)</f>
        <v>0.80315948785439439</v>
      </c>
      <c r="AI155" s="193">
        <f t="shared" ref="AI155:AI157" si="111">IF(BO155=0,"",BO155/BO$159)</f>
        <v>0.82368274312382705</v>
      </c>
      <c r="AM155" s="9" t="s">
        <v>1254</v>
      </c>
      <c r="AN155" s="193">
        <f>AN177</f>
        <v>0</v>
      </c>
      <c r="AO155" s="193">
        <f t="shared" ref="AO155:BO155" si="112">AO177</f>
        <v>0.86399999999999988</v>
      </c>
      <c r="AP155" s="193">
        <f t="shared" si="112"/>
        <v>0.17908996093195287</v>
      </c>
      <c r="AQ155" s="193">
        <f t="shared" si="112"/>
        <v>38.614598693758701</v>
      </c>
      <c r="AR155" s="193">
        <f t="shared" si="112"/>
        <v>116.96379039603666</v>
      </c>
      <c r="AS155" s="193">
        <f t="shared" si="112"/>
        <v>82.943627972822028</v>
      </c>
      <c r="AT155" s="193">
        <f t="shared" si="112"/>
        <v>0</v>
      </c>
      <c r="AU155" s="193">
        <f t="shared" si="112"/>
        <v>0</v>
      </c>
      <c r="AV155" s="193">
        <f t="shared" si="112"/>
        <v>99.965074613601985</v>
      </c>
      <c r="AW155" s="193">
        <f t="shared" si="112"/>
        <v>52.916298203034081</v>
      </c>
      <c r="AX155" s="193">
        <f t="shared" si="112"/>
        <v>0</v>
      </c>
      <c r="AY155" s="193">
        <f t="shared" si="112"/>
        <v>36.963858599309717</v>
      </c>
      <c r="AZ155" s="193">
        <f t="shared" si="112"/>
        <v>14.97437104987211</v>
      </c>
      <c r="BA155" s="193">
        <f t="shared" si="112"/>
        <v>11.689307209713144</v>
      </c>
      <c r="BB155" s="193">
        <f t="shared" si="112"/>
        <v>13.897747264581959</v>
      </c>
      <c r="BC155" s="193">
        <f t="shared" si="112"/>
        <v>51.889410366393115</v>
      </c>
      <c r="BD155" s="193">
        <f t="shared" si="112"/>
        <v>73.322156262559886</v>
      </c>
      <c r="BE155" s="193">
        <f t="shared" si="112"/>
        <v>0</v>
      </c>
      <c r="BF155" s="193">
        <f t="shared" si="112"/>
        <v>0</v>
      </c>
      <c r="BG155" s="193">
        <f t="shared" si="112"/>
        <v>53.381706720189584</v>
      </c>
      <c r="BH155" s="193">
        <f t="shared" si="112"/>
        <v>0.85168677138163451</v>
      </c>
      <c r="BI155" s="193">
        <f t="shared" si="112"/>
        <v>16.58091983925214</v>
      </c>
      <c r="BJ155" s="193">
        <f t="shared" si="112"/>
        <v>0</v>
      </c>
      <c r="BK155" s="193">
        <f t="shared" si="112"/>
        <v>2.217015529707639</v>
      </c>
      <c r="BL155" s="193">
        <f t="shared" si="112"/>
        <v>0</v>
      </c>
      <c r="BM155" s="193">
        <f t="shared" si="112"/>
        <v>94.075756431104594</v>
      </c>
      <c r="BN155" s="193">
        <f t="shared" si="112"/>
        <v>28.100171953667207</v>
      </c>
      <c r="BO155" s="193">
        <f t="shared" si="112"/>
        <v>149.89860081748444</v>
      </c>
    </row>
    <row r="156" spans="3:72" x14ac:dyDescent="0.25">
      <c r="F156" t="s">
        <v>470</v>
      </c>
      <c r="G156" s="9" t="s">
        <v>1256</v>
      </c>
      <c r="H156" s="193" t="str">
        <f>IF(AN156=0,"",AN156/AN$159)</f>
        <v/>
      </c>
      <c r="I156" s="193">
        <f t="shared" si="90"/>
        <v>2.3940122177175248E-2</v>
      </c>
      <c r="J156" s="193">
        <f t="shared" si="90"/>
        <v>6.5326633165829151E-2</v>
      </c>
      <c r="K156" s="193">
        <f t="shared" si="90"/>
        <v>7.1694056960479452E-2</v>
      </c>
      <c r="L156" s="193">
        <f t="shared" si="90"/>
        <v>2.3667865916697034E-2</v>
      </c>
      <c r="M156" s="193">
        <f t="shared" si="90"/>
        <v>3.9736753973791603E-2</v>
      </c>
      <c r="N156" s="193" t="str">
        <f>IF(AT156=0,"",AT156/AT$159)</f>
        <v/>
      </c>
      <c r="O156" s="193" t="str">
        <f t="shared" si="91"/>
        <v/>
      </c>
      <c r="P156" s="193">
        <f t="shared" si="92"/>
        <v>5.5709684401850867E-2</v>
      </c>
      <c r="Q156" s="193">
        <f t="shared" si="93"/>
        <v>7.1908585858525068E-2</v>
      </c>
      <c r="R156" s="193" t="str">
        <f t="shared" si="94"/>
        <v/>
      </c>
      <c r="S156" s="193">
        <f t="shared" si="95"/>
        <v>5.863235828643755E-2</v>
      </c>
      <c r="T156" s="193">
        <f t="shared" si="96"/>
        <v>2.2614292994145174E-2</v>
      </c>
      <c r="U156" s="193">
        <f t="shared" si="97"/>
        <v>8.2764240398426517E-2</v>
      </c>
      <c r="V156" s="193">
        <f t="shared" si="98"/>
        <v>3.7125727544001612E-2</v>
      </c>
      <c r="W156" s="193">
        <f t="shared" si="99"/>
        <v>4.799506621331795E-2</v>
      </c>
      <c r="X156" s="193">
        <f t="shared" si="100"/>
        <v>4.9232587532966825E-2</v>
      </c>
      <c r="Y156" s="193" t="str">
        <f t="shared" si="101"/>
        <v/>
      </c>
      <c r="Z156" s="193" t="str">
        <f t="shared" si="102"/>
        <v/>
      </c>
      <c r="AA156" s="193">
        <f t="shared" si="103"/>
        <v>6.1660065554324385E-2</v>
      </c>
      <c r="AB156" s="193" t="str">
        <f t="shared" si="104"/>
        <v/>
      </c>
      <c r="AC156" s="193">
        <f t="shared" si="105"/>
        <v>3.9992605693769584E-2</v>
      </c>
      <c r="AD156" s="193" t="str">
        <f t="shared" si="106"/>
        <v/>
      </c>
      <c r="AE156" s="193">
        <f t="shared" si="107"/>
        <v>9.1743119266055051E-2</v>
      </c>
      <c r="AF156" s="193" t="str">
        <f t="shared" si="108"/>
        <v/>
      </c>
      <c r="AG156" s="193">
        <f t="shared" si="109"/>
        <v>9.1743119266055051E-2</v>
      </c>
      <c r="AH156" s="193">
        <f t="shared" si="110"/>
        <v>8.032879322488283E-2</v>
      </c>
      <c r="AI156" s="193">
        <f t="shared" si="111"/>
        <v>4.1533631233801063E-2</v>
      </c>
      <c r="AM156" s="9" t="s">
        <v>1256</v>
      </c>
      <c r="AN156" s="193">
        <f>AN195</f>
        <v>0</v>
      </c>
      <c r="AO156" s="193">
        <f t="shared" ref="AO156:BO156" si="113">AO195</f>
        <v>6.5250000000000002E-2</v>
      </c>
      <c r="AP156" s="193">
        <f t="shared" si="113"/>
        <v>1.4551059325721172E-2</v>
      </c>
      <c r="AQ156" s="193">
        <f t="shared" si="113"/>
        <v>3.3685004994991385</v>
      </c>
      <c r="AR156" s="193">
        <f t="shared" si="113"/>
        <v>3.2875038522364255</v>
      </c>
      <c r="AS156" s="193">
        <f t="shared" si="113"/>
        <v>3.9142517787319289</v>
      </c>
      <c r="AT156" s="193">
        <f t="shared" si="113"/>
        <v>0</v>
      </c>
      <c r="AU156" s="193">
        <f t="shared" si="113"/>
        <v>0</v>
      </c>
      <c r="AV156" s="193">
        <f t="shared" si="113"/>
        <v>6.7491330660938296</v>
      </c>
      <c r="AW156" s="193">
        <f t="shared" si="113"/>
        <v>4.6319738477552681</v>
      </c>
      <c r="AX156" s="193">
        <f t="shared" si="113"/>
        <v>0</v>
      </c>
      <c r="AY156" s="193">
        <f t="shared" si="113"/>
        <v>3.0033135111939147</v>
      </c>
      <c r="AZ156" s="193">
        <f t="shared" si="113"/>
        <v>0.68410862109907533</v>
      </c>
      <c r="BA156" s="193">
        <f t="shared" si="113"/>
        <v>1.2591981969079622</v>
      </c>
      <c r="BB156" s="193">
        <f t="shared" si="113"/>
        <v>0.692803217487999</v>
      </c>
      <c r="BC156" s="193">
        <f t="shared" si="113"/>
        <v>3.1311599753581332</v>
      </c>
      <c r="BD156" s="193">
        <f t="shared" si="113"/>
        <v>4.5632867046874352</v>
      </c>
      <c r="BE156" s="193">
        <f t="shared" si="113"/>
        <v>0</v>
      </c>
      <c r="BF156" s="193">
        <f t="shared" si="113"/>
        <v>0</v>
      </c>
      <c r="BG156" s="193">
        <f t="shared" si="113"/>
        <v>4.2992056728873136</v>
      </c>
      <c r="BH156" s="193">
        <f t="shared" si="113"/>
        <v>0</v>
      </c>
      <c r="BI156" s="193">
        <f t="shared" si="113"/>
        <v>0.80336514582055252</v>
      </c>
      <c r="BJ156" s="193">
        <f t="shared" si="113"/>
        <v>0</v>
      </c>
      <c r="BK156" s="193">
        <f t="shared" si="113"/>
        <v>0.25193358292132262</v>
      </c>
      <c r="BL156" s="193">
        <f t="shared" si="113"/>
        <v>0</v>
      </c>
      <c r="BM156" s="193">
        <f t="shared" si="113"/>
        <v>10.690426867170975</v>
      </c>
      <c r="BN156" s="193">
        <f t="shared" si="113"/>
        <v>2.8104665842645251</v>
      </c>
      <c r="BO156" s="193">
        <f t="shared" si="113"/>
        <v>7.5585330162491928</v>
      </c>
    </row>
    <row r="157" spans="3:72" x14ac:dyDescent="0.25">
      <c r="F157" t="s">
        <v>470</v>
      </c>
      <c r="G157" t="s">
        <v>1258</v>
      </c>
      <c r="H157" s="193" t="str">
        <f>IF(AN157=0,"",AN157/AN$159)</f>
        <v/>
      </c>
      <c r="I157" s="193">
        <f t="shared" si="90"/>
        <v>0.65905963933884903</v>
      </c>
      <c r="J157" s="193">
        <f t="shared" si="90"/>
        <v>0.1306532663316583</v>
      </c>
      <c r="K157" s="193">
        <f t="shared" si="90"/>
        <v>0.10644552215846972</v>
      </c>
      <c r="L157" s="193">
        <f t="shared" si="90"/>
        <v>0.1342697570859826</v>
      </c>
      <c r="M157" s="193">
        <f t="shared" si="90"/>
        <v>0.11823500544187901</v>
      </c>
      <c r="N157" s="193">
        <f>IF(AT157=0,"",AT157/AT$159)</f>
        <v>1</v>
      </c>
      <c r="O157" s="193" t="str">
        <f t="shared" si="91"/>
        <v/>
      </c>
      <c r="P157" s="193">
        <f t="shared" si="92"/>
        <v>0.11914392962617969</v>
      </c>
      <c r="Q157" s="193">
        <f t="shared" si="93"/>
        <v>0.10659796497353009</v>
      </c>
      <c r="R157" s="193" t="str">
        <f t="shared" si="94"/>
        <v/>
      </c>
      <c r="S157" s="193">
        <f t="shared" si="95"/>
        <v>0.21973861664971575</v>
      </c>
      <c r="T157" s="193">
        <f t="shared" si="96"/>
        <v>0.48238417672136708</v>
      </c>
      <c r="U157" s="193">
        <f t="shared" si="97"/>
        <v>0.14892411940751396</v>
      </c>
      <c r="V157" s="193">
        <f t="shared" si="98"/>
        <v>0.21812603024795571</v>
      </c>
      <c r="W157" s="193">
        <f t="shared" si="99"/>
        <v>0.15663334437429025</v>
      </c>
      <c r="X157" s="193">
        <f t="shared" si="100"/>
        <v>0.15970612048327457</v>
      </c>
      <c r="Y157" s="193" t="str">
        <f t="shared" si="101"/>
        <v/>
      </c>
      <c r="Z157" s="193" t="str">
        <f t="shared" si="102"/>
        <v/>
      </c>
      <c r="AA157" s="193">
        <f t="shared" si="103"/>
        <v>0.17272884574471359</v>
      </c>
      <c r="AB157" s="193">
        <f t="shared" si="104"/>
        <v>0.15807707845364108</v>
      </c>
      <c r="AC157" s="193">
        <f t="shared" si="105"/>
        <v>0.13458673394896389</v>
      </c>
      <c r="AD157" s="193" t="str">
        <f t="shared" si="106"/>
        <v/>
      </c>
      <c r="AE157" s="193">
        <f t="shared" si="107"/>
        <v>0.10091743119266056</v>
      </c>
      <c r="AF157" s="193" t="str">
        <f t="shared" si="108"/>
        <v/>
      </c>
      <c r="AG157" s="193">
        <f t="shared" si="109"/>
        <v>0.10091743119266056</v>
      </c>
      <c r="AH157" s="193">
        <f t="shared" si="110"/>
        <v>0.11651171892072283</v>
      </c>
      <c r="AI157" s="193">
        <f t="shared" si="111"/>
        <v>0.1347836256423719</v>
      </c>
      <c r="AM157" t="s">
        <v>1258</v>
      </c>
      <c r="AN157" s="193">
        <f>AN243</f>
        <v>0</v>
      </c>
      <c r="AO157" s="193">
        <f t="shared" ref="AO157:BO157" si="114">AO243</f>
        <v>1.7963</v>
      </c>
      <c r="AP157" s="193">
        <f t="shared" si="114"/>
        <v>2.9102118651442344E-2</v>
      </c>
      <c r="AQ157" s="193">
        <f t="shared" si="114"/>
        <v>5.0012763925175152</v>
      </c>
      <c r="AR157" s="193">
        <f t="shared" si="114"/>
        <v>18.650280731378174</v>
      </c>
      <c r="AS157" s="193">
        <f t="shared" si="114"/>
        <v>11.646688118120952</v>
      </c>
      <c r="AT157" s="193">
        <f t="shared" si="114"/>
        <v>0.7</v>
      </c>
      <c r="AU157" s="193">
        <f t="shared" si="114"/>
        <v>0</v>
      </c>
      <c r="AV157" s="193">
        <f t="shared" si="114"/>
        <v>14.434083475757223</v>
      </c>
      <c r="AW157" s="193">
        <f t="shared" si="114"/>
        <v>6.8664816598223544</v>
      </c>
      <c r="AX157" s="193">
        <f t="shared" si="114"/>
        <v>0</v>
      </c>
      <c r="AY157" s="193">
        <f t="shared" si="114"/>
        <v>11.255627022387829</v>
      </c>
      <c r="AZ157" s="193">
        <f t="shared" si="114"/>
        <v>14.592681454260131</v>
      </c>
      <c r="BA157" s="193">
        <f t="shared" si="114"/>
        <v>2.2657730165987582</v>
      </c>
      <c r="BB157" s="193">
        <f t="shared" si="114"/>
        <v>4.070449943225003</v>
      </c>
      <c r="BC157" s="193">
        <f t="shared" si="114"/>
        <v>10.218634901584393</v>
      </c>
      <c r="BD157" s="193">
        <f t="shared" si="114"/>
        <v>14.802894846234357</v>
      </c>
      <c r="BE157" s="193">
        <f t="shared" si="114"/>
        <v>0</v>
      </c>
      <c r="BF157" s="193">
        <f t="shared" si="114"/>
        <v>0</v>
      </c>
      <c r="BG157" s="193">
        <f t="shared" si="114"/>
        <v>12.043400000000002</v>
      </c>
      <c r="BH157" s="193">
        <f t="shared" si="114"/>
        <v>0.15991031142179166</v>
      </c>
      <c r="BI157" s="193">
        <f t="shared" si="114"/>
        <v>2.7035570518293475</v>
      </c>
      <c r="BJ157" s="193">
        <f t="shared" si="114"/>
        <v>0</v>
      </c>
      <c r="BK157" s="193">
        <f t="shared" si="114"/>
        <v>0.27712694121345488</v>
      </c>
      <c r="BL157" s="193">
        <f t="shared" si="114"/>
        <v>0</v>
      </c>
      <c r="BM157" s="193">
        <f t="shared" si="114"/>
        <v>11.759469553888074</v>
      </c>
      <c r="BN157" s="193">
        <f t="shared" si="114"/>
        <v>4.0763999999999996</v>
      </c>
      <c r="BO157" s="193">
        <f t="shared" si="114"/>
        <v>24.528712135300673</v>
      </c>
    </row>
    <row r="158" spans="3:72" x14ac:dyDescent="0.25">
      <c r="F158" t="s">
        <v>472</v>
      </c>
      <c r="G158" t="s">
        <v>369</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c r="AD158">
        <v>1</v>
      </c>
      <c r="AE158">
        <v>1</v>
      </c>
      <c r="AF158">
        <v>1</v>
      </c>
      <c r="AG158">
        <v>1</v>
      </c>
      <c r="AH158">
        <v>1</v>
      </c>
      <c r="AI158">
        <v>1</v>
      </c>
      <c r="AN158" s="193"/>
      <c r="AO158" s="193"/>
      <c r="AP158" s="193"/>
      <c r="AQ158" s="193"/>
      <c r="AR158" s="193"/>
      <c r="AS158" s="193"/>
      <c r="AT158" s="193"/>
      <c r="AU158" s="193"/>
      <c r="AV158" s="193"/>
      <c r="AW158" s="193"/>
      <c r="AX158" s="193"/>
      <c r="AY158" s="193"/>
      <c r="AZ158" s="193"/>
      <c r="BA158" s="193"/>
      <c r="BB158" s="193"/>
      <c r="BC158" s="193"/>
      <c r="BD158" s="193"/>
      <c r="BE158" s="193"/>
      <c r="BF158" s="193"/>
      <c r="BG158" s="193"/>
      <c r="BH158" s="193"/>
      <c r="BI158" s="193"/>
      <c r="BJ158" s="193"/>
      <c r="BK158" s="193"/>
      <c r="BL158" s="193"/>
      <c r="BM158" s="193"/>
      <c r="BN158" s="193"/>
      <c r="BO158" s="193"/>
    </row>
    <row r="159" spans="3:72" x14ac:dyDescent="0.25">
      <c r="D159" t="s">
        <v>575</v>
      </c>
      <c r="AM159" t="s">
        <v>466</v>
      </c>
      <c r="AN159" s="193">
        <f>SUM(AN155:AN157)</f>
        <v>0</v>
      </c>
      <c r="AO159" s="193">
        <f t="shared" ref="AO159:BO159" si="115">SUM(AO155:AO157)</f>
        <v>2.7255500000000001</v>
      </c>
      <c r="AP159" s="193">
        <f t="shared" si="115"/>
        <v>0.2227431389091164</v>
      </c>
      <c r="AQ159" s="193">
        <f t="shared" si="115"/>
        <v>46.984375585775361</v>
      </c>
      <c r="AR159" s="193">
        <f t="shared" si="115"/>
        <v>138.90157497965126</v>
      </c>
      <c r="AS159" s="193">
        <f t="shared" si="115"/>
        <v>98.504567869674901</v>
      </c>
      <c r="AT159" s="193">
        <f t="shared" si="115"/>
        <v>0.7</v>
      </c>
      <c r="AU159" s="193">
        <f t="shared" si="115"/>
        <v>0</v>
      </c>
      <c r="AV159" s="193">
        <f t="shared" si="115"/>
        <v>121.14829115545304</v>
      </c>
      <c r="AW159" s="193">
        <f t="shared" si="115"/>
        <v>64.414753710611706</v>
      </c>
      <c r="AX159" s="193">
        <f t="shared" si="115"/>
        <v>0</v>
      </c>
      <c r="AY159" s="193">
        <f t="shared" si="115"/>
        <v>51.22279913289146</v>
      </c>
      <c r="AZ159" s="193">
        <f t="shared" si="115"/>
        <v>30.251161125231313</v>
      </c>
      <c r="BA159" s="193">
        <f t="shared" si="115"/>
        <v>15.214278423219863</v>
      </c>
      <c r="BB159" s="193">
        <f t="shared" si="115"/>
        <v>18.661000425294962</v>
      </c>
      <c r="BC159" s="193">
        <f t="shared" si="115"/>
        <v>65.239205243335633</v>
      </c>
      <c r="BD159" s="193">
        <f t="shared" si="115"/>
        <v>92.688337813481667</v>
      </c>
      <c r="BE159" s="193">
        <f t="shared" si="115"/>
        <v>0</v>
      </c>
      <c r="BF159" s="193">
        <f t="shared" si="115"/>
        <v>0</v>
      </c>
      <c r="BG159" s="193">
        <f t="shared" si="115"/>
        <v>69.7243123930769</v>
      </c>
      <c r="BH159" s="193">
        <f t="shared" si="115"/>
        <v>1.0115970828034262</v>
      </c>
      <c r="BI159" s="193">
        <f t="shared" si="115"/>
        <v>20.087842036902039</v>
      </c>
      <c r="BJ159" s="193">
        <f t="shared" si="115"/>
        <v>0</v>
      </c>
      <c r="BK159" s="193">
        <f t="shared" si="115"/>
        <v>2.7460760538424163</v>
      </c>
      <c r="BL159" s="193">
        <f t="shared" si="115"/>
        <v>0</v>
      </c>
      <c r="BM159" s="193">
        <f t="shared" si="115"/>
        <v>116.52565285216363</v>
      </c>
      <c r="BN159" s="193">
        <f t="shared" si="115"/>
        <v>34.987038537931731</v>
      </c>
      <c r="BO159" s="193">
        <f t="shared" si="115"/>
        <v>181.9858459690343</v>
      </c>
    </row>
    <row r="160" spans="3:72" x14ac:dyDescent="0.25">
      <c r="D160" t="s">
        <v>575</v>
      </c>
      <c r="AN160" s="193"/>
      <c r="AO160" s="193"/>
      <c r="AP160" s="193"/>
      <c r="AQ160" s="193"/>
      <c r="AR160" s="193"/>
      <c r="AS160" s="193"/>
      <c r="AT160" s="193"/>
      <c r="AU160" s="193"/>
      <c r="AV160" s="193"/>
      <c r="AW160" s="193"/>
      <c r="AX160" s="193"/>
      <c r="AY160" s="193"/>
      <c r="AZ160" s="193"/>
      <c r="BA160" s="193"/>
      <c r="BB160" s="193"/>
      <c r="BC160" s="193"/>
      <c r="BD160" s="193"/>
      <c r="BE160" s="193"/>
      <c r="BF160" s="193"/>
      <c r="BG160" s="193"/>
      <c r="BH160" s="193"/>
      <c r="BI160" s="193"/>
      <c r="BJ160" s="193"/>
      <c r="BK160" s="193"/>
      <c r="BL160" s="193"/>
      <c r="BM160" s="193"/>
      <c r="BN160" s="193"/>
      <c r="BO160" s="193"/>
    </row>
    <row r="161" spans="1:98" x14ac:dyDescent="0.25">
      <c r="D161" t="s">
        <v>1282</v>
      </c>
      <c r="AM161" t="s">
        <v>1281</v>
      </c>
      <c r="AN161" s="193"/>
      <c r="AO161" s="193"/>
      <c r="AP161" s="193"/>
      <c r="AQ161" s="193"/>
      <c r="AR161" s="193"/>
      <c r="AS161" s="193"/>
      <c r="AT161" s="193"/>
      <c r="AU161" s="193"/>
      <c r="AV161" s="193"/>
      <c r="AW161" s="193"/>
      <c r="AX161" s="193"/>
      <c r="AY161" s="193"/>
      <c r="AZ161" s="193"/>
      <c r="BA161" s="193"/>
      <c r="BB161" s="193"/>
      <c r="BC161" s="193"/>
      <c r="BD161" s="193"/>
      <c r="BE161" s="193"/>
      <c r="BF161" s="193"/>
      <c r="BG161" s="193"/>
      <c r="BH161" s="193"/>
      <c r="BI161" s="193"/>
      <c r="BJ161" s="193"/>
      <c r="BK161" s="193"/>
      <c r="BL161" s="193"/>
      <c r="BM161" s="193"/>
      <c r="BN161" s="193"/>
      <c r="BO161" s="193"/>
      <c r="BQ161" t="s">
        <v>1283</v>
      </c>
    </row>
    <row r="162" spans="1:98" x14ac:dyDescent="0.25">
      <c r="B162" t="s">
        <v>104</v>
      </c>
      <c r="D162" t="s">
        <v>1136</v>
      </c>
      <c r="E162">
        <v>30</v>
      </c>
      <c r="F162" t="s">
        <v>470</v>
      </c>
      <c r="G162" t="s">
        <v>120</v>
      </c>
      <c r="H162">
        <v>1.3</v>
      </c>
      <c r="I162">
        <v>1.3</v>
      </c>
      <c r="J162">
        <v>1.3</v>
      </c>
      <c r="K162">
        <v>1.3</v>
      </c>
      <c r="L162">
        <v>1.3</v>
      </c>
      <c r="M162">
        <v>1.3</v>
      </c>
      <c r="N162">
        <v>1.3</v>
      </c>
      <c r="O162">
        <v>1.3</v>
      </c>
      <c r="P162">
        <v>1.3</v>
      </c>
      <c r="Q162">
        <v>1.3</v>
      </c>
      <c r="R162">
        <v>1.3</v>
      </c>
      <c r="S162">
        <v>1.3</v>
      </c>
      <c r="T162">
        <v>1.3</v>
      </c>
      <c r="U162">
        <v>1.3</v>
      </c>
      <c r="V162">
        <v>1.3</v>
      </c>
      <c r="W162">
        <v>1.3</v>
      </c>
      <c r="X162">
        <v>1.3</v>
      </c>
      <c r="Y162">
        <v>1.3</v>
      </c>
      <c r="Z162">
        <v>1.3</v>
      </c>
      <c r="AA162">
        <v>1.3</v>
      </c>
      <c r="AB162">
        <v>1.3</v>
      </c>
      <c r="AC162">
        <v>1.3</v>
      </c>
      <c r="AD162">
        <v>1.3</v>
      </c>
      <c r="AE162">
        <v>1.3</v>
      </c>
      <c r="AF162">
        <v>1.3</v>
      </c>
      <c r="AG162">
        <v>1.3</v>
      </c>
      <c r="AH162">
        <v>1.3</v>
      </c>
      <c r="AI162">
        <v>1.3</v>
      </c>
      <c r="AN162" s="193"/>
      <c r="AO162" s="193"/>
      <c r="AP162" s="193"/>
      <c r="AQ162" s="193"/>
      <c r="AR162" s="193"/>
      <c r="AS162" s="193"/>
      <c r="AT162" s="193"/>
      <c r="AU162" s="193"/>
      <c r="AV162" s="193"/>
      <c r="AW162" s="193"/>
      <c r="AX162" s="193"/>
      <c r="AY162" s="193"/>
      <c r="AZ162" s="193"/>
      <c r="BA162" s="193"/>
      <c r="BB162" s="193"/>
      <c r="BC162" s="193"/>
      <c r="BD162" s="193"/>
      <c r="BE162" s="193"/>
      <c r="BF162" s="193"/>
      <c r="BG162" s="193"/>
      <c r="BH162" s="193"/>
      <c r="BI162" s="193"/>
      <c r="BJ162" s="193"/>
      <c r="BK162" s="193"/>
      <c r="BL162" s="193"/>
      <c r="BM162" s="193"/>
      <c r="BN162" s="193"/>
      <c r="BO162" s="193"/>
      <c r="BS162" t="s">
        <v>162</v>
      </c>
      <c r="BT162" s="485" t="s">
        <v>164</v>
      </c>
      <c r="BU162" t="s">
        <v>166</v>
      </c>
      <c r="BV162" t="s">
        <v>168</v>
      </c>
      <c r="BW162" t="s">
        <v>170</v>
      </c>
      <c r="BX162" t="s">
        <v>173</v>
      </c>
      <c r="BY162" t="s">
        <v>175</v>
      </c>
      <c r="BZ162" t="s">
        <v>177</v>
      </c>
      <c r="CA162" t="s">
        <v>179</v>
      </c>
      <c r="CB162" t="s">
        <v>181</v>
      </c>
      <c r="CC162" t="s">
        <v>183</v>
      </c>
      <c r="CD162" t="s">
        <v>185</v>
      </c>
      <c r="CE162" t="s">
        <v>188</v>
      </c>
      <c r="CF162" t="s">
        <v>190</v>
      </c>
      <c r="CG162" t="s">
        <v>192</v>
      </c>
      <c r="CH162" t="s">
        <v>194</v>
      </c>
      <c r="CI162" t="s">
        <v>196</v>
      </c>
      <c r="CJ162" t="s">
        <v>198</v>
      </c>
      <c r="CK162" t="s">
        <v>9</v>
      </c>
      <c r="CL162" t="s">
        <v>201</v>
      </c>
      <c r="CM162" t="s">
        <v>203</v>
      </c>
      <c r="CN162" t="s">
        <v>205</v>
      </c>
      <c r="CO162" t="s">
        <v>207</v>
      </c>
      <c r="CP162" t="s">
        <v>210</v>
      </c>
      <c r="CQ162" t="s">
        <v>212</v>
      </c>
      <c r="CR162" t="s">
        <v>214</v>
      </c>
      <c r="CS162" t="s">
        <v>217</v>
      </c>
      <c r="CT162" t="s">
        <v>219</v>
      </c>
    </row>
    <row r="163" spans="1:98" x14ac:dyDescent="0.25">
      <c r="A163" t="s">
        <v>113</v>
      </c>
      <c r="B163" t="str">
        <f t="shared" ref="B163:B177" si="116">IF(ISNUMBER(MATCH(A163,$G$162:$G$176,0)),"YES","NO")</f>
        <v>NO</v>
      </c>
      <c r="F163" t="s">
        <v>472</v>
      </c>
      <c r="G163" t="s">
        <v>1254</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c r="AD163">
        <v>1</v>
      </c>
      <c r="AE163">
        <v>1</v>
      </c>
      <c r="AF163">
        <v>1</v>
      </c>
      <c r="AG163">
        <v>1</v>
      </c>
      <c r="AH163">
        <v>1</v>
      </c>
      <c r="AI163">
        <v>1</v>
      </c>
      <c r="AM163" t="s">
        <v>1254</v>
      </c>
      <c r="AN163" s="193">
        <f>(H163/H162)*BS163</f>
        <v>0</v>
      </c>
      <c r="AO163" s="193">
        <f>(I163/I162)*BT163</f>
        <v>6.0923076923076913E-2</v>
      </c>
      <c r="AP163" s="193">
        <f t="shared" ref="AP163:BO163" si="117">(J163/J162)*BU163</f>
        <v>0</v>
      </c>
      <c r="AQ163" s="193">
        <f t="shared" si="117"/>
        <v>8.9717942981662802</v>
      </c>
      <c r="AR163" s="193">
        <f t="shared" si="117"/>
        <v>24.241450649642449</v>
      </c>
      <c r="AS163" s="193">
        <f t="shared" si="117"/>
        <v>42.718292483235849</v>
      </c>
      <c r="AT163" s="193">
        <f t="shared" si="117"/>
        <v>0</v>
      </c>
      <c r="AU163" s="193">
        <f t="shared" si="117"/>
        <v>0</v>
      </c>
      <c r="AV163" s="193">
        <f>(P163/P162)*CA163</f>
        <v>17.203656417240531</v>
      </c>
      <c r="AW163" s="193">
        <f t="shared" si="117"/>
        <v>5.6623846153846156</v>
      </c>
      <c r="AX163" s="193">
        <f t="shared" si="117"/>
        <v>0</v>
      </c>
      <c r="AY163" s="193">
        <f t="shared" si="117"/>
        <v>0</v>
      </c>
      <c r="AZ163" s="193">
        <f t="shared" si="117"/>
        <v>4.9548461538461535</v>
      </c>
      <c r="BA163" s="193">
        <f t="shared" si="117"/>
        <v>0.50330769230769223</v>
      </c>
      <c r="BB163" s="193">
        <f t="shared" si="117"/>
        <v>1.4836153846153843</v>
      </c>
      <c r="BC163" s="193">
        <f t="shared" si="117"/>
        <v>4.4487692307692308</v>
      </c>
      <c r="BD163" s="193">
        <f t="shared" si="117"/>
        <v>1.4849999999999999</v>
      </c>
      <c r="BE163" s="193">
        <f t="shared" si="117"/>
        <v>0</v>
      </c>
      <c r="BF163" s="193">
        <f t="shared" si="117"/>
        <v>0</v>
      </c>
      <c r="BG163" s="193">
        <f t="shared" si="117"/>
        <v>0.92907692307692313</v>
      </c>
      <c r="BH163" s="193">
        <f t="shared" si="117"/>
        <v>0</v>
      </c>
      <c r="BI163" s="193">
        <f t="shared" si="117"/>
        <v>2.836749377591985</v>
      </c>
      <c r="BJ163" s="193">
        <f t="shared" si="117"/>
        <v>0</v>
      </c>
      <c r="BK163" s="193">
        <f t="shared" si="117"/>
        <v>0</v>
      </c>
      <c r="BL163" s="193">
        <f t="shared" si="117"/>
        <v>0</v>
      </c>
      <c r="BM163" s="193">
        <f t="shared" si="117"/>
        <v>0</v>
      </c>
      <c r="BN163" s="193">
        <f t="shared" si="117"/>
        <v>0</v>
      </c>
      <c r="BO163" s="193">
        <f t="shared" si="117"/>
        <v>0</v>
      </c>
      <c r="BQ163" t="s">
        <v>120</v>
      </c>
      <c r="BR163" t="s">
        <v>1254</v>
      </c>
      <c r="BS163" s="193" cm="1">
        <f t="array" ref="BS163">SUMPRODUCT(($AN$5:$AN$19=$BQ163)*(AP$5:AP$19)*(H$40:H$54))*SUMIFS(H$74:H$103,$F$74:$F$103,$BQ163,$G$74:$G$103,$BR163)</f>
        <v>0</v>
      </c>
      <c r="BT163" s="193" cm="1">
        <f t="array" ref="BT163">SUMPRODUCT(($AN$5:$AN$19=$BQ163)*(AQ$5:AQ$19)*(I$40:I$54))*SUMIFS(I$74:I$103,$F$74:$F$103,$BQ163,$G$74:$G$103,$BR163)</f>
        <v>7.9199999999999993E-2</v>
      </c>
      <c r="BU163" s="193" cm="1">
        <f t="array" ref="BU163">SUMPRODUCT(($AN$5:$AN$19=$BQ163)*(AR$5:AR$19)*(J$40:J$54))*SUMIFS(J$74:J$103,$F$74:$F$103,$BQ163,$G$74:$G$103,$BR163)</f>
        <v>0</v>
      </c>
      <c r="BV163" s="193" cm="1">
        <f t="array" ref="BV163">SUMPRODUCT(($AN$5:$AN$19=$BQ163)*(AS$5:AS$19)*(K$40:K$54))*SUMIFS(K$74:K$103,$F$74:$F$103,$BQ163,$G$74:$G$103,$BR163)</f>
        <v>11.663332587616164</v>
      </c>
      <c r="BW163" s="193" cm="1">
        <f t="array" ref="BW163">SUMPRODUCT(($AN$5:$AN$19=$BQ163)*(AT$5:AT$19)*(L$40:L$54))*SUMIFS(L$74:L$103,$F$74:$F$103,$BQ163,$G$74:$G$103,$BR163)</f>
        <v>31.513885844535185</v>
      </c>
      <c r="BX163" s="193" cm="1">
        <f t="array" ref="BX163">SUMPRODUCT(($AN$5:$AN$19=$BQ163)*(AU$5:AU$19)*(M$40:M$54))*SUMIFS(M$74:M$103,$F$74:$F$103,$BQ163,$G$74:$G$103,$BR163)</f>
        <v>55.533780228206609</v>
      </c>
      <c r="BY163" s="193" cm="1">
        <f t="array" ref="BY163">SUMPRODUCT(($AN$5:$AN$19=$BQ163)*(AV$5:AV$19)*(N$40:N$54))*SUMIFS(N$74:N$103,$F$74:$F$103,$BQ163,$G$74:$G$103,$BR163)</f>
        <v>0</v>
      </c>
      <c r="BZ163" s="193" cm="1">
        <f t="array" ref="BZ163">SUMPRODUCT(($AN$5:$AN$19=$BQ163)*(AW$5:AW$19)*(O$40:O$54))*SUMIFS(O$74:O$103,$F$74:$F$103,$BQ163,$G$74:$G$103,$BR163)</f>
        <v>0</v>
      </c>
      <c r="CA163" s="193" cm="1">
        <f t="array" ref="CA163">SUMPRODUCT(($AN$5:$AN$19=$BQ163)*(AX$5:AX$19)*(P$40:P$54))*SUMIFS(P$74:P$103,$F$74:$F$103,$BQ163,$G$74:$G$103,$BR163)</f>
        <v>22.364753342412694</v>
      </c>
      <c r="CB163" s="193" cm="1">
        <f t="array" ref="CB163">SUMPRODUCT(($AN$5:$AN$19=$BQ163)*(AY$5:AY$19)*(Q$40:Q$54))*SUMIFS(Q$74:Q$103,$F$74:$F$103,$BQ163,$G$74:$G$103,$BR163)</f>
        <v>7.3611000000000004</v>
      </c>
      <c r="CC163" s="193" cm="1">
        <f t="array" ref="CC163">SUMPRODUCT(($AN$5:$AN$19=$BQ163)*(AZ$5:AZ$19)*(R$40:R$54))*SUMIFS(R$74:R$103,$F$74:$F$103,$BQ163,$G$74:$G$103,$BR163)</f>
        <v>0</v>
      </c>
      <c r="CD163" s="193" cm="1">
        <f t="array" ref="CD163">SUMPRODUCT(($AN$5:$AN$19=$BQ163)*(BA$5:BA$19)*(S$40:S$54))*SUMIFS(S$74:S$103,$F$74:$F$103,$BQ163,$G$74:$G$103,$BR163)</f>
        <v>0</v>
      </c>
      <c r="CE163" s="193" cm="1">
        <f t="array" ref="CE163">SUMPRODUCT(($AN$5:$AN$19=$BQ163)*(BB$5:BB$19)*(T$40:T$54))*SUMIFS(T$74:T$103,$F$74:$F$103,$BQ163,$G$74:$G$103,$BR163)</f>
        <v>6.4413</v>
      </c>
      <c r="CF163" s="193" cm="1">
        <f t="array" ref="CF163">SUMPRODUCT(($AN$5:$AN$19=$BQ163)*(BC$5:BC$19)*(U$40:U$54))*SUMIFS(U$74:U$103,$F$74:$F$103,$BQ163,$G$74:$G$103,$BR163)</f>
        <v>0.65429999999999999</v>
      </c>
      <c r="CG163" s="193" cm="1">
        <f t="array" ref="CG163">SUMPRODUCT(($AN$5:$AN$19=$BQ163)*(BD$5:BD$19)*(V$40:V$54))*SUMIFS(V$74:V$103,$F$74:$F$103,$BQ163,$G$74:$G$103,$BR163)</f>
        <v>1.9286999999999999</v>
      </c>
      <c r="CH163" s="193" cm="1">
        <f t="array" ref="CH163">SUMPRODUCT(($AN$5:$AN$19=$BQ163)*(BE$5:BE$19)*(W$40:W$54))*SUMIFS(W$74:W$103,$F$74:$F$103,$BQ163,$G$74:$G$103,$BR163)</f>
        <v>5.7834000000000003</v>
      </c>
      <c r="CI163" s="193" cm="1">
        <f t="array" ref="CI163">SUMPRODUCT(($AN$5:$AN$19=$BQ163)*(BF$5:BF$19)*(X$40:X$54))*SUMIFS(X$74:X$103,$F$74:$F$103,$BQ163,$G$74:$G$103,$BR163)</f>
        <v>1.9305000000000001</v>
      </c>
      <c r="CJ163" s="193" cm="1">
        <f t="array" ref="CJ163">SUMPRODUCT(($AN$5:$AN$19=$BQ163)*(BG$5:BG$19)*(Y$40:Y$54))*SUMIFS(Y$74:Y$103,$F$74:$F$103,$BQ163,$G$74:$G$103,$BR163)</f>
        <v>0</v>
      </c>
      <c r="CK163" s="193" cm="1">
        <f t="array" ref="CK163">SUMPRODUCT(($AN$5:$AN$19=$BQ163)*(BH$5:BH$19)*(Z$40:Z$54))*SUMIFS(Z$74:Z$103,$F$74:$F$103,$BQ163,$G$74:$G$103,$BR163)</f>
        <v>0</v>
      </c>
      <c r="CL163" s="193" cm="1">
        <f t="array" ref="CL163">SUMPRODUCT(($AN$5:$AN$19=$BQ163)*(BI$5:BI$19)*(AA$40:AA$54))*SUMIFS(AA$74:AA$103,$F$74:$F$103,$BQ163,$G$74:$G$103,$BR163)</f>
        <v>1.2078000000000002</v>
      </c>
      <c r="CM163" s="193" cm="1">
        <f t="array" ref="CM163">SUMPRODUCT(($AN$5:$AN$19=$BQ163)*(BJ$5:BJ$19)*(AB$40:AB$54))*SUMIFS(AB$74:AB$103,$F$74:$F$103,$BQ163,$G$74:$G$103,$BR163)</f>
        <v>0</v>
      </c>
      <c r="CN163" s="193" cm="1">
        <f t="array" ref="CN163">SUMPRODUCT(($AN$5:$AN$19=$BQ163)*(BK$5:BK$19)*(AC$40:AC$54))*SUMIFS(AC$74:AC$103,$F$74:$F$103,$BQ163,$G$74:$G$103,$BR163)</f>
        <v>3.6877741908695807</v>
      </c>
      <c r="CO163" s="193" cm="1">
        <f t="array" ref="CO163">SUMPRODUCT(($AN$5:$AN$19=$BQ163)*(BL$5:BL$19)*(AD$40:AD$54))*SUMIFS(AD$74:AD$103,$F$74:$F$103,$BQ163,$G$74:$G$103,$BR163)</f>
        <v>0</v>
      </c>
      <c r="CP163" s="193" cm="1">
        <f t="array" ref="CP163">SUMPRODUCT(($AN$5:$AN$19=$BQ163)*(BM$5:BM$19)*(AE$40:AE$54))*SUMIFS(AE$74:AE$103,$F$74:$F$103,$BQ163,$G$74:$G$103,$BR163)</f>
        <v>0</v>
      </c>
      <c r="CQ163" s="193" cm="1">
        <f t="array" ref="CQ163">SUMPRODUCT(($AN$5:$AN$19=$BQ163)*(BN$5:BN$19)*(AF$40:AF$54))*SUMIFS(AF$74:AF$103,$F$74:$F$103,$BQ163,$G$74:$G$103,$BR163)</f>
        <v>0</v>
      </c>
      <c r="CR163" s="193" cm="1">
        <f t="array" ref="CR163">SUMPRODUCT(($AN$5:$AN$19=$BQ163)*(BO$5:BO$19)*(AG$40:AG$54))*SUMIFS(AG$74:AG$103,$F$74:$F$103,$BQ163,$G$74:$G$103,$BR163)</f>
        <v>0</v>
      </c>
      <c r="CS163" s="193" cm="1">
        <f t="array" ref="CS163">SUMPRODUCT(($AN$5:$AN$19=$BQ163)*(BP$5:BP$19)*(AH$40:AH$54))*SUMIFS(AH$74:AH$103,$F$74:$F$103,$BQ163,$G$74:$G$103,$BR163)</f>
        <v>0</v>
      </c>
      <c r="CT163" s="193" cm="1">
        <f t="array" ref="CT163">SUMPRODUCT(($AN$5:$AN$19=$BQ163)*(BQ$5:BQ$19)*(AI$40:AI$54))*SUMIFS(AI$74:AI$103,$F$74:$F$103,$BQ163,$G$74:$G$103,$BR163)</f>
        <v>0</v>
      </c>
    </row>
    <row r="164" spans="1:98" x14ac:dyDescent="0.25">
      <c r="A164" t="s">
        <v>115</v>
      </c>
      <c r="B164" t="str">
        <f t="shared" si="116"/>
        <v>NO</v>
      </c>
      <c r="F164" t="s">
        <v>1279</v>
      </c>
      <c r="H164" s="193">
        <f>AN163</f>
        <v>0</v>
      </c>
      <c r="I164" s="193">
        <f t="shared" ref="I164:AI164" si="118">AO163</f>
        <v>6.0923076923076913E-2</v>
      </c>
      <c r="J164" s="193">
        <f t="shared" si="118"/>
        <v>0</v>
      </c>
      <c r="K164" s="193">
        <f t="shared" si="118"/>
        <v>8.9717942981662802</v>
      </c>
      <c r="L164" s="193">
        <f t="shared" si="118"/>
        <v>24.241450649642449</v>
      </c>
      <c r="M164" s="193">
        <f t="shared" si="118"/>
        <v>42.718292483235849</v>
      </c>
      <c r="N164" s="193">
        <f t="shared" si="118"/>
        <v>0</v>
      </c>
      <c r="O164" s="193">
        <f t="shared" si="118"/>
        <v>0</v>
      </c>
      <c r="P164" s="193">
        <f t="shared" si="118"/>
        <v>17.203656417240531</v>
      </c>
      <c r="Q164" s="193">
        <f t="shared" si="118"/>
        <v>5.6623846153846156</v>
      </c>
      <c r="R164" s="193">
        <f t="shared" si="118"/>
        <v>0</v>
      </c>
      <c r="S164" s="193">
        <f t="shared" si="118"/>
        <v>0</v>
      </c>
      <c r="T164" s="193">
        <f t="shared" si="118"/>
        <v>4.9548461538461535</v>
      </c>
      <c r="U164" s="193">
        <f t="shared" si="118"/>
        <v>0.50330769230769223</v>
      </c>
      <c r="V164" s="193">
        <f t="shared" si="118"/>
        <v>1.4836153846153843</v>
      </c>
      <c r="W164" s="193">
        <f t="shared" si="118"/>
        <v>4.4487692307692308</v>
      </c>
      <c r="X164" s="193">
        <f t="shared" si="118"/>
        <v>1.4849999999999999</v>
      </c>
      <c r="Y164" s="193">
        <f t="shared" si="118"/>
        <v>0</v>
      </c>
      <c r="Z164" s="193">
        <f t="shared" si="118"/>
        <v>0</v>
      </c>
      <c r="AA164" s="193">
        <f t="shared" si="118"/>
        <v>0.92907692307692313</v>
      </c>
      <c r="AB164" s="193">
        <f t="shared" si="118"/>
        <v>0</v>
      </c>
      <c r="AC164" s="193">
        <f t="shared" si="118"/>
        <v>2.836749377591985</v>
      </c>
      <c r="AD164" s="193">
        <f t="shared" si="118"/>
        <v>0</v>
      </c>
      <c r="AE164" s="193">
        <f t="shared" si="118"/>
        <v>0</v>
      </c>
      <c r="AF164" s="193">
        <f t="shared" si="118"/>
        <v>0</v>
      </c>
      <c r="AG164" s="193">
        <f t="shared" si="118"/>
        <v>0</v>
      </c>
      <c r="AH164" s="193">
        <f t="shared" si="118"/>
        <v>0</v>
      </c>
      <c r="AI164" s="193">
        <f t="shared" si="118"/>
        <v>0</v>
      </c>
      <c r="AN164" s="193"/>
      <c r="AO164" s="193"/>
      <c r="AP164" s="193"/>
      <c r="AQ164" s="193"/>
      <c r="AR164" s="193"/>
      <c r="AS164" s="193"/>
      <c r="AT164" s="193"/>
      <c r="AU164" s="193"/>
      <c r="AV164" s="193"/>
      <c r="AW164" s="193"/>
      <c r="AX164" s="193"/>
      <c r="AY164" s="193"/>
      <c r="AZ164" s="193"/>
      <c r="BA164" s="193"/>
      <c r="BB164" s="193"/>
      <c r="BC164" s="193"/>
      <c r="BD164" s="193"/>
      <c r="BE164" s="193"/>
      <c r="BF164" s="193"/>
      <c r="BG164" s="193"/>
      <c r="BH164" s="193"/>
      <c r="BI164" s="193"/>
      <c r="BJ164" s="193"/>
      <c r="BK164" s="193"/>
      <c r="BL164" s="193"/>
      <c r="BM164" s="193"/>
      <c r="BN164" s="193"/>
      <c r="BO164" s="193"/>
      <c r="BS164" s="193"/>
      <c r="BT164" s="193"/>
      <c r="BU164" s="193"/>
      <c r="BV164" s="193"/>
      <c r="BW164" s="193"/>
      <c r="BX164" s="193"/>
      <c r="BY164" s="193"/>
      <c r="BZ164" s="193"/>
      <c r="CA164" s="193"/>
      <c r="CB164" s="193"/>
      <c r="CC164" s="193"/>
      <c r="CD164" s="193"/>
      <c r="CE164" s="193"/>
      <c r="CF164" s="193"/>
      <c r="CG164" s="193"/>
      <c r="CH164" s="193"/>
      <c r="CI164" s="193"/>
      <c r="CJ164" s="193"/>
      <c r="CK164" s="193"/>
      <c r="CL164" s="193"/>
      <c r="CM164" s="193"/>
      <c r="CN164" s="193"/>
      <c r="CO164" s="193"/>
      <c r="CP164" s="193"/>
      <c r="CQ164" s="193"/>
      <c r="CR164" s="193"/>
      <c r="CS164" s="193"/>
      <c r="CT164" s="193"/>
    </row>
    <row r="165" spans="1:98" x14ac:dyDescent="0.25">
      <c r="A165" t="s">
        <v>117</v>
      </c>
      <c r="B165" t="str">
        <f t="shared" si="116"/>
        <v>NO</v>
      </c>
      <c r="D165" t="s">
        <v>1138</v>
      </c>
      <c r="E165">
        <v>30</v>
      </c>
      <c r="F165" t="s">
        <v>470</v>
      </c>
      <c r="G165" t="s">
        <v>124</v>
      </c>
      <c r="H165">
        <v>1.3</v>
      </c>
      <c r="I165">
        <v>1.3</v>
      </c>
      <c r="J165">
        <v>1.3</v>
      </c>
      <c r="K165">
        <v>1.3</v>
      </c>
      <c r="L165">
        <v>1.3</v>
      </c>
      <c r="M165">
        <v>1.3</v>
      </c>
      <c r="N165">
        <v>1.3</v>
      </c>
      <c r="O165">
        <v>1.3</v>
      </c>
      <c r="P165">
        <v>1.3</v>
      </c>
      <c r="Q165">
        <v>1.3</v>
      </c>
      <c r="R165">
        <v>1.3</v>
      </c>
      <c r="S165">
        <v>1.3</v>
      </c>
      <c r="T165">
        <v>1.3</v>
      </c>
      <c r="U165">
        <v>1.3</v>
      </c>
      <c r="V165">
        <v>1.3</v>
      </c>
      <c r="W165">
        <v>1.3</v>
      </c>
      <c r="X165">
        <v>1.3</v>
      </c>
      <c r="Y165">
        <v>1.3</v>
      </c>
      <c r="Z165">
        <v>1.3</v>
      </c>
      <c r="AA165">
        <v>1.3</v>
      </c>
      <c r="AB165">
        <v>1.3</v>
      </c>
      <c r="AC165">
        <v>1.3</v>
      </c>
      <c r="AD165">
        <v>1.3</v>
      </c>
      <c r="AE165">
        <v>1.3</v>
      </c>
      <c r="AF165">
        <v>1.3</v>
      </c>
      <c r="AG165">
        <v>1.3</v>
      </c>
      <c r="AH165">
        <v>1.3</v>
      </c>
      <c r="AI165">
        <v>1.3</v>
      </c>
      <c r="AN165" s="193"/>
      <c r="AO165" s="193"/>
      <c r="AP165" s="193"/>
      <c r="AQ165" s="193"/>
      <c r="AR165" s="193"/>
      <c r="AS165" s="193"/>
      <c r="AT165" s="193"/>
      <c r="AU165" s="193"/>
      <c r="AV165" s="193"/>
      <c r="AW165" s="193"/>
      <c r="AX165" s="193"/>
      <c r="AY165" s="193"/>
      <c r="AZ165" s="193"/>
      <c r="BA165" s="193"/>
      <c r="BB165" s="193"/>
      <c r="BC165" s="193"/>
      <c r="BD165" s="193"/>
      <c r="BE165" s="193"/>
      <c r="BF165" s="193"/>
      <c r="BG165" s="193"/>
      <c r="BH165" s="193"/>
      <c r="BI165" s="193"/>
      <c r="BJ165" s="193"/>
      <c r="BK165" s="193"/>
      <c r="BL165" s="193"/>
      <c r="BM165" s="193"/>
      <c r="BN165" s="193"/>
      <c r="BO165" s="193"/>
      <c r="BS165" s="193"/>
      <c r="BT165" s="193"/>
      <c r="BU165" s="193"/>
      <c r="BV165" s="193"/>
      <c r="BW165" s="193"/>
      <c r="BX165" s="193"/>
      <c r="BY165" s="193"/>
      <c r="BZ165" s="193"/>
      <c r="CA165" s="193"/>
      <c r="CB165" s="193"/>
      <c r="CC165" s="193"/>
      <c r="CD165" s="193"/>
      <c r="CE165" s="193"/>
      <c r="CF165" s="193"/>
      <c r="CG165" s="193"/>
      <c r="CH165" s="193"/>
      <c r="CI165" s="193"/>
      <c r="CJ165" s="193"/>
      <c r="CK165" s="193"/>
      <c r="CL165" s="193"/>
      <c r="CM165" s="193"/>
      <c r="CN165" s="193"/>
      <c r="CO165" s="193"/>
      <c r="CP165" s="193"/>
      <c r="CQ165" s="193"/>
      <c r="CR165" s="193"/>
      <c r="CS165" s="193"/>
      <c r="CT165" s="193"/>
    </row>
    <row r="166" spans="1:98" x14ac:dyDescent="0.25">
      <c r="A166" t="s">
        <v>119</v>
      </c>
      <c r="B166" t="str">
        <f t="shared" si="116"/>
        <v>NO</v>
      </c>
      <c r="F166" t="s">
        <v>472</v>
      </c>
      <c r="G166" t="s">
        <v>1254</v>
      </c>
      <c r="H166">
        <v>1</v>
      </c>
      <c r="I166">
        <v>1</v>
      </c>
      <c r="J166">
        <v>1</v>
      </c>
      <c r="K166">
        <v>1</v>
      </c>
      <c r="L166">
        <v>1</v>
      </c>
      <c r="M166">
        <v>1</v>
      </c>
      <c r="N166">
        <v>1</v>
      </c>
      <c r="O166">
        <v>1</v>
      </c>
      <c r="P166">
        <v>1</v>
      </c>
      <c r="Q166">
        <v>1</v>
      </c>
      <c r="R166">
        <v>1</v>
      </c>
      <c r="S166">
        <v>1</v>
      </c>
      <c r="T166">
        <v>1</v>
      </c>
      <c r="U166">
        <v>1</v>
      </c>
      <c r="V166">
        <v>1</v>
      </c>
      <c r="W166">
        <v>1</v>
      </c>
      <c r="X166">
        <v>1</v>
      </c>
      <c r="Y166">
        <v>1</v>
      </c>
      <c r="Z166">
        <v>1</v>
      </c>
      <c r="AA166">
        <v>1</v>
      </c>
      <c r="AB166">
        <v>1</v>
      </c>
      <c r="AC166">
        <v>1</v>
      </c>
      <c r="AD166">
        <v>1</v>
      </c>
      <c r="AE166">
        <v>1</v>
      </c>
      <c r="AF166">
        <v>1</v>
      </c>
      <c r="AG166">
        <v>1</v>
      </c>
      <c r="AH166">
        <v>1</v>
      </c>
      <c r="AI166">
        <v>1</v>
      </c>
      <c r="AM166" t="s">
        <v>1254</v>
      </c>
      <c r="AN166" s="193">
        <f>(H166/H165)*BS166</f>
        <v>0</v>
      </c>
      <c r="AO166" s="193">
        <f t="shared" ref="AO166:BO166" si="119">(I166/I165)*BT166</f>
        <v>0</v>
      </c>
      <c r="AP166" s="193">
        <f t="shared" si="119"/>
        <v>0</v>
      </c>
      <c r="AQ166" s="193">
        <f t="shared" si="119"/>
        <v>0</v>
      </c>
      <c r="AR166" s="193">
        <f t="shared" si="119"/>
        <v>2.9738461538461536</v>
      </c>
      <c r="AS166" s="193">
        <f t="shared" si="119"/>
        <v>2.3376923076923077</v>
      </c>
      <c r="AT166" s="193">
        <f t="shared" si="119"/>
        <v>0</v>
      </c>
      <c r="AU166" s="193">
        <f t="shared" si="119"/>
        <v>0</v>
      </c>
      <c r="AV166" s="193">
        <f t="shared" si="119"/>
        <v>8.4223076923076921</v>
      </c>
      <c r="AW166" s="193">
        <f t="shared" si="119"/>
        <v>0.26384615384615384</v>
      </c>
      <c r="AX166" s="193">
        <f t="shared" si="119"/>
        <v>0</v>
      </c>
      <c r="AY166" s="193">
        <f t="shared" si="119"/>
        <v>0</v>
      </c>
      <c r="AZ166" s="193">
        <f t="shared" si="119"/>
        <v>0</v>
      </c>
      <c r="BA166" s="193">
        <f t="shared" si="119"/>
        <v>0</v>
      </c>
      <c r="BB166" s="193">
        <f t="shared" si="119"/>
        <v>0.7599999999999999</v>
      </c>
      <c r="BC166" s="193">
        <f t="shared" si="119"/>
        <v>8.6923076923076922E-2</v>
      </c>
      <c r="BD166" s="193">
        <f t="shared" si="119"/>
        <v>0.52076923076923076</v>
      </c>
      <c r="BE166" s="193">
        <f t="shared" si="119"/>
        <v>0</v>
      </c>
      <c r="BF166" s="193">
        <f t="shared" si="119"/>
        <v>0</v>
      </c>
      <c r="BG166" s="193">
        <f t="shared" si="119"/>
        <v>4.233076923076923</v>
      </c>
      <c r="BH166" s="193">
        <f t="shared" si="119"/>
        <v>7.6923076923076923E-4</v>
      </c>
      <c r="BI166" s="193">
        <f t="shared" si="119"/>
        <v>0.10384615384615384</v>
      </c>
      <c r="BJ166" s="193">
        <f t="shared" si="119"/>
        <v>0</v>
      </c>
      <c r="BK166" s="193">
        <f t="shared" si="119"/>
        <v>0</v>
      </c>
      <c r="BL166" s="193">
        <f t="shared" si="119"/>
        <v>0</v>
      </c>
      <c r="BM166" s="193">
        <f t="shared" si="119"/>
        <v>0</v>
      </c>
      <c r="BN166" s="193">
        <f t="shared" si="119"/>
        <v>0</v>
      </c>
      <c r="BO166" s="193">
        <f t="shared" si="119"/>
        <v>0</v>
      </c>
      <c r="BQ166" t="s">
        <v>124</v>
      </c>
      <c r="BR166" t="s">
        <v>1254</v>
      </c>
      <c r="BS166" s="193" cm="1">
        <f t="array" ref="BS166">SUMPRODUCT(($AN$5:$AN$19=$BQ166)*(AP$5:AP$19)*(H$40:H$54))*SUMIFS(H$74:H$103,$F$74:$F$103,$BQ166,$G$74:$G$103,$BR166)</f>
        <v>0</v>
      </c>
      <c r="BT166" s="193" cm="1">
        <f t="array" ref="BT166">SUMPRODUCT(($AN$5:$AN$19=$BQ166)*(AQ$5:AQ$19)*(I$40:I$54))*SUMIFS(I$74:I$103,$F$74:$F$103,$BQ166,$G$74:$G$103,$BR166)</f>
        <v>0</v>
      </c>
      <c r="BU166" s="193" cm="1">
        <f t="array" ref="BU166">SUMPRODUCT(($AN$5:$AN$19=$BQ166)*(AR$5:AR$19)*(J$40:J$54))*SUMIFS(J$74:J$103,$F$74:$F$103,$BQ166,$G$74:$G$103,$BR166)</f>
        <v>0</v>
      </c>
      <c r="BV166" s="193" cm="1">
        <f t="array" ref="BV166">SUMPRODUCT(($AN$5:$AN$19=$BQ166)*(AS$5:AS$19)*(K$40:K$54))*SUMIFS(K$74:K$103,$F$74:$F$103,$BQ166,$G$74:$G$103,$BR166)</f>
        <v>0</v>
      </c>
      <c r="BW166" s="193" cm="1">
        <f t="array" ref="BW166">SUMPRODUCT(($AN$5:$AN$19=$BQ166)*(AT$5:AT$19)*(L$40:L$54))*SUMIFS(L$74:L$103,$F$74:$F$103,$BQ166,$G$74:$G$103,$BR166)</f>
        <v>3.8660000000000001</v>
      </c>
      <c r="BX166" s="193" cm="1">
        <f t="array" ref="BX166">SUMPRODUCT(($AN$5:$AN$19=$BQ166)*(AU$5:AU$19)*(M$40:M$54))*SUMIFS(M$74:M$103,$F$74:$F$103,$BQ166,$G$74:$G$103,$BR166)</f>
        <v>3.0390000000000001</v>
      </c>
      <c r="BY166" s="193" cm="1">
        <f t="array" ref="BY166">SUMPRODUCT(($AN$5:$AN$19=$BQ166)*(AV$5:AV$19)*(N$40:N$54))*SUMIFS(N$74:N$103,$F$74:$F$103,$BQ166,$G$74:$G$103,$BR166)</f>
        <v>0</v>
      </c>
      <c r="BZ166" s="193" cm="1">
        <f t="array" ref="BZ166">SUMPRODUCT(($AN$5:$AN$19=$BQ166)*(AW$5:AW$19)*(O$40:O$54))*SUMIFS(O$74:O$103,$F$74:$F$103,$BQ166,$G$74:$G$103,$BR166)</f>
        <v>0</v>
      </c>
      <c r="CA166" s="193" cm="1">
        <f t="array" ref="CA166">SUMPRODUCT(($AN$5:$AN$19=$BQ166)*(AX$5:AX$19)*(P$40:P$54))*SUMIFS(P$74:P$103,$F$74:$F$103,$BQ166,$G$74:$G$103,$BR166)</f>
        <v>10.949</v>
      </c>
      <c r="CB166" s="193" cm="1">
        <f t="array" ref="CB166">SUMPRODUCT(($AN$5:$AN$19=$BQ166)*(AY$5:AY$19)*(Q$40:Q$54))*SUMIFS(Q$74:Q$103,$F$74:$F$103,$BQ166,$G$74:$G$103,$BR166)</f>
        <v>0.34300000000000003</v>
      </c>
      <c r="CC166" s="193" cm="1">
        <f t="array" ref="CC166">SUMPRODUCT(($AN$5:$AN$19=$BQ166)*(AZ$5:AZ$19)*(R$40:R$54))*SUMIFS(R$74:R$103,$F$74:$F$103,$BQ166,$G$74:$G$103,$BR166)</f>
        <v>0</v>
      </c>
      <c r="CD166" s="193" cm="1">
        <f t="array" ref="CD166">SUMPRODUCT(($AN$5:$AN$19=$BQ166)*(BA$5:BA$19)*(S$40:S$54))*SUMIFS(S$74:S$103,$F$74:$F$103,$BQ166,$G$74:$G$103,$BR166)</f>
        <v>0</v>
      </c>
      <c r="CE166" s="193" cm="1">
        <f t="array" ref="CE166">SUMPRODUCT(($AN$5:$AN$19=$BQ166)*(BB$5:BB$19)*(T$40:T$54))*SUMIFS(T$74:T$103,$F$74:$F$103,$BQ166,$G$74:$G$103,$BR166)</f>
        <v>0</v>
      </c>
      <c r="CF166" s="193" cm="1">
        <f t="array" ref="CF166">SUMPRODUCT(($AN$5:$AN$19=$BQ166)*(BC$5:BC$19)*(U$40:U$54))*SUMIFS(U$74:U$103,$F$74:$F$103,$BQ166,$G$74:$G$103,$BR166)</f>
        <v>0</v>
      </c>
      <c r="CG166" s="193" cm="1">
        <f t="array" ref="CG166">SUMPRODUCT(($AN$5:$AN$19=$BQ166)*(BD$5:BD$19)*(V$40:V$54))*SUMIFS(V$74:V$103,$F$74:$F$103,$BQ166,$G$74:$G$103,$BR166)</f>
        <v>0.98799999999999999</v>
      </c>
      <c r="CH166" s="193" cm="1">
        <f t="array" ref="CH166">SUMPRODUCT(($AN$5:$AN$19=$BQ166)*(BE$5:BE$19)*(W$40:W$54))*SUMIFS(W$74:W$103,$F$74:$F$103,$BQ166,$G$74:$G$103,$BR166)</f>
        <v>0.113</v>
      </c>
      <c r="CI166" s="193" cm="1">
        <f t="array" ref="CI166">SUMPRODUCT(($AN$5:$AN$19=$BQ166)*(BF$5:BF$19)*(X$40:X$54))*SUMIFS(X$74:X$103,$F$74:$F$103,$BQ166,$G$74:$G$103,$BR166)</f>
        <v>0.67700000000000005</v>
      </c>
      <c r="CJ166" s="193" cm="1">
        <f t="array" ref="CJ166">SUMPRODUCT(($AN$5:$AN$19=$BQ166)*(BG$5:BG$19)*(Y$40:Y$54))*SUMIFS(Y$74:Y$103,$F$74:$F$103,$BQ166,$G$74:$G$103,$BR166)</f>
        <v>0</v>
      </c>
      <c r="CK166" s="193" cm="1">
        <f t="array" ref="CK166">SUMPRODUCT(($AN$5:$AN$19=$BQ166)*(BH$5:BH$19)*(Z$40:Z$54))*SUMIFS(Z$74:Z$103,$F$74:$F$103,$BQ166,$G$74:$G$103,$BR166)</f>
        <v>0</v>
      </c>
      <c r="CL166" s="193" cm="1">
        <f t="array" ref="CL166">SUMPRODUCT(($AN$5:$AN$19=$BQ166)*(BI$5:BI$19)*(AA$40:AA$54))*SUMIFS(AA$74:AA$103,$F$74:$F$103,$BQ166,$G$74:$G$103,$BR166)</f>
        <v>5.5030000000000001</v>
      </c>
      <c r="CM166" s="193" cm="1">
        <f t="array" ref="CM166">SUMPRODUCT(($AN$5:$AN$19=$BQ166)*(BJ$5:BJ$19)*(AB$40:AB$54))*SUMIFS(AB$74:AB$103,$F$74:$F$103,$BQ166,$G$74:$G$103,$BR166)</f>
        <v>1E-3</v>
      </c>
      <c r="CN166" s="193" cm="1">
        <f t="array" ref="CN166">SUMPRODUCT(($AN$5:$AN$19=$BQ166)*(BK$5:BK$19)*(AC$40:AC$54))*SUMIFS(AC$74:AC$103,$F$74:$F$103,$BQ166,$G$74:$G$103,$BR166)</f>
        <v>0.13500000000000001</v>
      </c>
      <c r="CO166" s="193" cm="1">
        <f t="array" ref="CO166">SUMPRODUCT(($AN$5:$AN$19=$BQ166)*(BL$5:BL$19)*(AD$40:AD$54))*SUMIFS(AD$74:AD$103,$F$74:$F$103,$BQ166,$G$74:$G$103,$BR166)</f>
        <v>0</v>
      </c>
      <c r="CP166" s="193" cm="1">
        <f t="array" ref="CP166">SUMPRODUCT(($AN$5:$AN$19=$BQ166)*(BM$5:BM$19)*(AE$40:AE$54))*SUMIFS(AE$74:AE$103,$F$74:$F$103,$BQ166,$G$74:$G$103,$BR166)</f>
        <v>0</v>
      </c>
      <c r="CQ166" s="193" cm="1">
        <f t="array" ref="CQ166">SUMPRODUCT(($AN$5:$AN$19=$BQ166)*(BN$5:BN$19)*(AF$40:AF$54))*SUMIFS(AF$74:AF$103,$F$74:$F$103,$BQ166,$G$74:$G$103,$BR166)</f>
        <v>0</v>
      </c>
      <c r="CR166" s="193" cm="1">
        <f t="array" ref="CR166">SUMPRODUCT(($AN$5:$AN$19=$BQ166)*(BO$5:BO$19)*(AG$40:AG$54))*SUMIFS(AG$74:AG$103,$F$74:$F$103,$BQ166,$G$74:$G$103,$BR166)</f>
        <v>0</v>
      </c>
      <c r="CS166" s="193" cm="1">
        <f t="array" ref="CS166">SUMPRODUCT(($AN$5:$AN$19=$BQ166)*(BP$5:BP$19)*(AH$40:AH$54))*SUMIFS(AH$74:AH$103,$F$74:$F$103,$BQ166,$G$74:$G$103,$BR166)</f>
        <v>0</v>
      </c>
      <c r="CT166" s="193" cm="1">
        <f t="array" ref="CT166">SUMPRODUCT(($AN$5:$AN$19=$BQ166)*(BQ$5:BQ$19)*(AI$40:AI$54))*SUMIFS(AI$74:AI$103,$F$74:$F$103,$BQ166,$G$74:$G$103,$BR166)</f>
        <v>0</v>
      </c>
    </row>
    <row r="167" spans="1:98" x14ac:dyDescent="0.25">
      <c r="A167" t="s">
        <v>120</v>
      </c>
      <c r="B167" t="str">
        <f t="shared" si="116"/>
        <v>YES</v>
      </c>
      <c r="F167" t="s">
        <v>1279</v>
      </c>
      <c r="H167" s="193">
        <f>AN166</f>
        <v>0</v>
      </c>
      <c r="I167" s="193">
        <f t="shared" ref="I167:AI167" si="120">AO166</f>
        <v>0</v>
      </c>
      <c r="J167" s="193">
        <f t="shared" si="120"/>
        <v>0</v>
      </c>
      <c r="K167" s="193">
        <f t="shared" si="120"/>
        <v>0</v>
      </c>
      <c r="L167" s="193">
        <f t="shared" si="120"/>
        <v>2.9738461538461536</v>
      </c>
      <c r="M167" s="193">
        <f t="shared" si="120"/>
        <v>2.3376923076923077</v>
      </c>
      <c r="N167" s="193">
        <f t="shared" si="120"/>
        <v>0</v>
      </c>
      <c r="O167" s="193">
        <f t="shared" si="120"/>
        <v>0</v>
      </c>
      <c r="P167" s="193">
        <f t="shared" si="120"/>
        <v>8.4223076923076921</v>
      </c>
      <c r="Q167" s="193">
        <f t="shared" si="120"/>
        <v>0.26384615384615384</v>
      </c>
      <c r="R167" s="193">
        <f t="shared" si="120"/>
        <v>0</v>
      </c>
      <c r="S167" s="193">
        <f t="shared" si="120"/>
        <v>0</v>
      </c>
      <c r="T167" s="193">
        <f t="shared" si="120"/>
        <v>0</v>
      </c>
      <c r="U167" s="193">
        <f t="shared" si="120"/>
        <v>0</v>
      </c>
      <c r="V167" s="193">
        <f t="shared" si="120"/>
        <v>0.7599999999999999</v>
      </c>
      <c r="W167" s="193">
        <f t="shared" si="120"/>
        <v>8.6923076923076922E-2</v>
      </c>
      <c r="X167" s="193">
        <f t="shared" si="120"/>
        <v>0.52076923076923076</v>
      </c>
      <c r="Y167" s="193">
        <f t="shared" si="120"/>
        <v>0</v>
      </c>
      <c r="Z167" s="193">
        <f t="shared" si="120"/>
        <v>0</v>
      </c>
      <c r="AA167" s="193">
        <f t="shared" si="120"/>
        <v>4.233076923076923</v>
      </c>
      <c r="AB167" s="193">
        <f t="shared" si="120"/>
        <v>7.6923076923076923E-4</v>
      </c>
      <c r="AC167" s="193">
        <f t="shared" si="120"/>
        <v>0.10384615384615384</v>
      </c>
      <c r="AD167" s="193">
        <f t="shared" si="120"/>
        <v>0</v>
      </c>
      <c r="AE167" s="193">
        <f t="shared" si="120"/>
        <v>0</v>
      </c>
      <c r="AF167" s="193">
        <f t="shared" si="120"/>
        <v>0</v>
      </c>
      <c r="AG167" s="193">
        <f t="shared" si="120"/>
        <v>0</v>
      </c>
      <c r="AH167" s="193">
        <f t="shared" si="120"/>
        <v>0</v>
      </c>
      <c r="AI167" s="193">
        <f t="shared" si="120"/>
        <v>0</v>
      </c>
      <c r="AN167" s="193"/>
      <c r="AO167" s="193"/>
      <c r="AP167" s="193"/>
      <c r="AQ167" s="193"/>
      <c r="AR167" s="193"/>
      <c r="AS167" s="193"/>
      <c r="AT167" s="193"/>
      <c r="AU167" s="193"/>
      <c r="AV167" s="193"/>
      <c r="AW167" s="193"/>
      <c r="AX167" s="193"/>
      <c r="AY167" s="193"/>
      <c r="AZ167" s="193"/>
      <c r="BA167" s="193"/>
      <c r="BB167" s="193"/>
      <c r="BC167" s="193"/>
      <c r="BD167" s="193"/>
      <c r="BE167" s="193"/>
      <c r="BF167" s="193"/>
      <c r="BG167" s="193"/>
      <c r="BH167" s="193"/>
      <c r="BI167" s="193"/>
      <c r="BJ167" s="193"/>
      <c r="BK167" s="193"/>
      <c r="BL167" s="193"/>
      <c r="BM167" s="193"/>
      <c r="BN167" s="193"/>
      <c r="BO167" s="193"/>
      <c r="BS167" s="193"/>
      <c r="BT167" s="193"/>
      <c r="BU167" s="193"/>
      <c r="BV167" s="193"/>
      <c r="BW167" s="193"/>
      <c r="BX167" s="193"/>
      <c r="BY167" s="193"/>
      <c r="BZ167" s="193"/>
      <c r="CA167" s="193"/>
      <c r="CB167" s="193"/>
      <c r="CC167" s="193"/>
      <c r="CD167" s="193"/>
      <c r="CE167" s="193"/>
      <c r="CF167" s="193"/>
      <c r="CG167" s="193"/>
      <c r="CH167" s="193"/>
      <c r="CI167" s="193"/>
      <c r="CJ167" s="193"/>
      <c r="CK167" s="193"/>
      <c r="CL167" s="193"/>
      <c r="CM167" s="193"/>
      <c r="CN167" s="193"/>
      <c r="CO167" s="193"/>
      <c r="CP167" s="193"/>
      <c r="CQ167" s="193"/>
      <c r="CR167" s="193"/>
      <c r="CS167" s="193"/>
      <c r="CT167" s="193"/>
    </row>
    <row r="168" spans="1:98" x14ac:dyDescent="0.25">
      <c r="A168" t="s">
        <v>122</v>
      </c>
      <c r="B168" t="str">
        <f t="shared" si="116"/>
        <v>NO</v>
      </c>
      <c r="D168" t="s">
        <v>1140</v>
      </c>
      <c r="E168">
        <v>30</v>
      </c>
      <c r="F168" t="s">
        <v>470</v>
      </c>
      <c r="G168" t="s">
        <v>126</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c r="AD168">
        <v>1</v>
      </c>
      <c r="AE168">
        <v>1</v>
      </c>
      <c r="AF168">
        <v>1</v>
      </c>
      <c r="AG168">
        <v>1</v>
      </c>
      <c r="AH168">
        <v>1</v>
      </c>
      <c r="AI168">
        <v>1</v>
      </c>
      <c r="AN168" s="193"/>
      <c r="AO168" s="193"/>
      <c r="AP168" s="193"/>
      <c r="AQ168" s="193"/>
      <c r="AR168" s="193"/>
      <c r="AS168" s="193"/>
      <c r="AT168" s="193"/>
      <c r="AU168" s="193"/>
      <c r="AV168" s="193"/>
      <c r="AW168" s="193"/>
      <c r="AX168" s="193"/>
      <c r="AY168" s="193"/>
      <c r="AZ168" s="193"/>
      <c r="BA168" s="193"/>
      <c r="BB168" s="193"/>
      <c r="BC168" s="193"/>
      <c r="BD168" s="193"/>
      <c r="BE168" s="193"/>
      <c r="BF168" s="193"/>
      <c r="BG168" s="193"/>
      <c r="BH168" s="193"/>
      <c r="BI168" s="193"/>
      <c r="BJ168" s="193"/>
      <c r="BK168" s="193"/>
      <c r="BL168" s="193"/>
      <c r="BM168" s="193"/>
      <c r="BN168" s="193"/>
      <c r="BO168" s="193"/>
      <c r="BS168" s="193"/>
      <c r="BT168" s="193"/>
      <c r="BU168" s="193"/>
      <c r="BV168" s="193"/>
      <c r="BW168" s="193"/>
      <c r="BX168" s="193"/>
      <c r="BY168" s="193"/>
      <c r="BZ168" s="193"/>
      <c r="CA168" s="193"/>
      <c r="CB168" s="193"/>
      <c r="CC168" s="193"/>
      <c r="CD168" s="193"/>
      <c r="CE168" s="193"/>
      <c r="CF168" s="193"/>
      <c r="CG168" s="193"/>
      <c r="CH168" s="193"/>
      <c r="CI168" s="193"/>
      <c r="CJ168" s="193"/>
      <c r="CK168" s="193"/>
      <c r="CL168" s="193"/>
      <c r="CM168" s="193"/>
      <c r="CN168" s="193"/>
      <c r="CO168" s="193"/>
      <c r="CP168" s="193"/>
      <c r="CQ168" s="193"/>
      <c r="CR168" s="193"/>
      <c r="CS168" s="193"/>
      <c r="CT168" s="193"/>
    </row>
    <row r="169" spans="1:98" x14ac:dyDescent="0.25">
      <c r="A169" t="s">
        <v>124</v>
      </c>
      <c r="B169" t="str">
        <f t="shared" si="116"/>
        <v>YES</v>
      </c>
      <c r="F169" t="s">
        <v>472</v>
      </c>
      <c r="G169" t="s">
        <v>1254</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c r="AD169">
        <v>1</v>
      </c>
      <c r="AE169">
        <v>1</v>
      </c>
      <c r="AF169">
        <v>1</v>
      </c>
      <c r="AG169">
        <v>1</v>
      </c>
      <c r="AH169">
        <v>1</v>
      </c>
      <c r="AI169">
        <v>1</v>
      </c>
      <c r="AM169" t="s">
        <v>1254</v>
      </c>
      <c r="AN169" s="193">
        <f>(H169/H168)*BS169</f>
        <v>0</v>
      </c>
      <c r="AO169" s="193">
        <f t="shared" ref="AO169:BO169" si="121">(I169/I168)*BT169</f>
        <v>0</v>
      </c>
      <c r="AP169" s="193">
        <f t="shared" si="121"/>
        <v>0</v>
      </c>
      <c r="AQ169" s="193">
        <f t="shared" si="121"/>
        <v>29.642804395592421</v>
      </c>
      <c r="AR169" s="193">
        <f t="shared" si="121"/>
        <v>24.039433899680542</v>
      </c>
      <c r="AS169" s="193">
        <f t="shared" si="121"/>
        <v>33.206394451860575</v>
      </c>
      <c r="AT169" s="193">
        <f t="shared" si="121"/>
        <v>0</v>
      </c>
      <c r="AU169" s="193">
        <f t="shared" si="121"/>
        <v>0</v>
      </c>
      <c r="AV169" s="193">
        <f t="shared" si="121"/>
        <v>41.066944707030018</v>
      </c>
      <c r="AW169" s="193">
        <f t="shared" si="121"/>
        <v>39.559729860246364</v>
      </c>
      <c r="AX169" s="193">
        <f t="shared" si="121"/>
        <v>0</v>
      </c>
      <c r="AY169" s="193">
        <f t="shared" si="121"/>
        <v>0</v>
      </c>
      <c r="AZ169" s="193">
        <f t="shared" si="121"/>
        <v>5.3539958656718634</v>
      </c>
      <c r="BA169" s="193">
        <f t="shared" si="121"/>
        <v>10.817384132790067</v>
      </c>
      <c r="BB169" s="193">
        <f t="shared" si="121"/>
        <v>5.5972683138943919</v>
      </c>
      <c r="BC169" s="193">
        <f t="shared" si="121"/>
        <v>24.134967783151573</v>
      </c>
      <c r="BD169" s="193">
        <f t="shared" si="121"/>
        <v>38.636283001249431</v>
      </c>
      <c r="BE169" s="193">
        <f t="shared" si="121"/>
        <v>0</v>
      </c>
      <c r="BF169" s="193">
        <f t="shared" si="121"/>
        <v>0</v>
      </c>
      <c r="BG169" s="193">
        <f t="shared" si="121"/>
        <v>32.177249921408361</v>
      </c>
      <c r="BH169" s="193">
        <f t="shared" si="121"/>
        <v>0</v>
      </c>
      <c r="BI169" s="193">
        <f t="shared" si="121"/>
        <v>7.0696132832208622</v>
      </c>
      <c r="BJ169" s="193">
        <f t="shared" si="121"/>
        <v>0</v>
      </c>
      <c r="BK169" s="193">
        <f t="shared" si="121"/>
        <v>2.217015529707639</v>
      </c>
      <c r="BL169" s="193">
        <f t="shared" si="121"/>
        <v>0</v>
      </c>
      <c r="BM169" s="193">
        <f t="shared" si="121"/>
        <v>94.075756431104594</v>
      </c>
      <c r="BN169" s="193">
        <f t="shared" si="121"/>
        <v>24.320705941527823</v>
      </c>
      <c r="BO169" s="193">
        <f t="shared" si="121"/>
        <v>62.688410542992898</v>
      </c>
      <c r="BQ169" t="s">
        <v>126</v>
      </c>
      <c r="BR169" t="s">
        <v>1254</v>
      </c>
      <c r="BS169" s="193" cm="1">
        <f t="array" ref="BS169">SUMPRODUCT(($AN$5:$AN$19=$BQ169)*(AP$5:AP$19)*(H$40:H$54))*SUMIFS(H$74:H$103,$F$74:$F$103,$BQ169,$G$74:$G$103,$BR169)</f>
        <v>0</v>
      </c>
      <c r="BT169" s="193" cm="1">
        <f t="array" ref="BT169">SUMPRODUCT(($AN$5:$AN$19=$BQ169)*(AQ$5:AQ$19)*(I$40:I$54))*SUMIFS(I$74:I$103,$F$74:$F$103,$BQ169,$G$74:$G$103,$BR169)</f>
        <v>0</v>
      </c>
      <c r="BU169" s="193" cm="1">
        <f t="array" ref="BU169">SUMPRODUCT(($AN$5:$AN$19=$BQ169)*(AR$5:AR$19)*(J$40:J$54))*SUMIFS(J$74:J$103,$F$74:$F$103,$BQ169,$G$74:$G$103,$BR169)</f>
        <v>0</v>
      </c>
      <c r="BV169" s="193" cm="1">
        <f t="array" ref="BV169">SUMPRODUCT(($AN$5:$AN$19=$BQ169)*(AS$5:AS$19)*(K$40:K$54))*SUMIFS(K$74:K$103,$F$74:$F$103,$BQ169,$G$74:$G$103,$BR169)</f>
        <v>29.642804395592421</v>
      </c>
      <c r="BW169" s="193" cm="1">
        <f t="array" ref="BW169">SUMPRODUCT(($AN$5:$AN$19=$BQ169)*(AT$5:AT$19)*(L$40:L$54))*SUMIFS(L$74:L$103,$F$74:$F$103,$BQ169,$G$74:$G$103,$BR169)</f>
        <v>24.039433899680542</v>
      </c>
      <c r="BX169" s="193" cm="1">
        <f t="array" ref="BX169">SUMPRODUCT(($AN$5:$AN$19=$BQ169)*(AU$5:AU$19)*(M$40:M$54))*SUMIFS(M$74:M$103,$F$74:$F$103,$BQ169,$G$74:$G$103,$BR169)</f>
        <v>33.206394451860575</v>
      </c>
      <c r="BY169" s="193" cm="1">
        <f t="array" ref="BY169">SUMPRODUCT(($AN$5:$AN$19=$BQ169)*(AV$5:AV$19)*(N$40:N$54))*SUMIFS(N$74:N$103,$F$74:$F$103,$BQ169,$G$74:$G$103,$BR169)</f>
        <v>0</v>
      </c>
      <c r="BZ169" s="193" cm="1">
        <f t="array" ref="BZ169">SUMPRODUCT(($AN$5:$AN$19=$BQ169)*(AW$5:AW$19)*(O$40:O$54))*SUMIFS(O$74:O$103,$F$74:$F$103,$BQ169,$G$74:$G$103,$BR169)</f>
        <v>0</v>
      </c>
      <c r="CA169" s="193" cm="1">
        <f t="array" ref="CA169">SUMPRODUCT(($AN$5:$AN$19=$BQ169)*(AX$5:AX$19)*(P$40:P$54))*SUMIFS(P$74:P$103,$F$74:$F$103,$BQ169,$G$74:$G$103,$BR169)</f>
        <v>41.066944707030018</v>
      </c>
      <c r="CB169" s="193" cm="1">
        <f t="array" ref="CB169">SUMPRODUCT(($AN$5:$AN$19=$BQ169)*(AY$5:AY$19)*(Q$40:Q$54))*SUMIFS(Q$74:Q$103,$F$74:$F$103,$BQ169,$G$74:$G$103,$BR169)</f>
        <v>39.559729860246364</v>
      </c>
      <c r="CC169" s="193" cm="1">
        <f t="array" ref="CC169">SUMPRODUCT(($AN$5:$AN$19=$BQ169)*(AZ$5:AZ$19)*(R$40:R$54))*SUMIFS(R$74:R$103,$F$74:$F$103,$BQ169,$G$74:$G$103,$BR169)</f>
        <v>0</v>
      </c>
      <c r="CD169" s="193" cm="1">
        <f t="array" ref="CD169">SUMPRODUCT(($AN$5:$AN$19=$BQ169)*(BA$5:BA$19)*(S$40:S$54))*SUMIFS(S$74:S$103,$F$74:$F$103,$BQ169,$G$74:$G$103,$BR169)</f>
        <v>0</v>
      </c>
      <c r="CE169" s="193" cm="1">
        <f t="array" ref="CE169">SUMPRODUCT(($AN$5:$AN$19=$BQ169)*(BB$5:BB$19)*(T$40:T$54))*SUMIFS(T$74:T$103,$F$74:$F$103,$BQ169,$G$74:$G$103,$BR169)</f>
        <v>5.3539958656718634</v>
      </c>
      <c r="CF169" s="193" cm="1">
        <f t="array" ref="CF169">SUMPRODUCT(($AN$5:$AN$19=$BQ169)*(BC$5:BC$19)*(U$40:U$54))*SUMIFS(U$74:U$103,$F$74:$F$103,$BQ169,$G$74:$G$103,$BR169)</f>
        <v>10.817384132790067</v>
      </c>
      <c r="CG169" s="193" cm="1">
        <f t="array" ref="CG169">SUMPRODUCT(($AN$5:$AN$19=$BQ169)*(BD$5:BD$19)*(V$40:V$54))*SUMIFS(V$74:V$103,$F$74:$F$103,$BQ169,$G$74:$G$103,$BR169)</f>
        <v>5.5972683138943919</v>
      </c>
      <c r="CH169" s="193" cm="1">
        <f t="array" ref="CH169">SUMPRODUCT(($AN$5:$AN$19=$BQ169)*(BE$5:BE$19)*(W$40:W$54))*SUMIFS(W$74:W$103,$F$74:$F$103,$BQ169,$G$74:$G$103,$BR169)</f>
        <v>24.134967783151573</v>
      </c>
      <c r="CI169" s="193" cm="1">
        <f t="array" ref="CI169">SUMPRODUCT(($AN$5:$AN$19=$BQ169)*(BF$5:BF$19)*(X$40:X$54))*SUMIFS(X$74:X$103,$F$74:$F$103,$BQ169,$G$74:$G$103,$BR169)</f>
        <v>38.636283001249431</v>
      </c>
      <c r="CJ169" s="193" cm="1">
        <f t="array" ref="CJ169">SUMPRODUCT(($AN$5:$AN$19=$BQ169)*(BG$5:BG$19)*(Y$40:Y$54))*SUMIFS(Y$74:Y$103,$F$74:$F$103,$BQ169,$G$74:$G$103,$BR169)</f>
        <v>0</v>
      </c>
      <c r="CK169" s="193" cm="1">
        <f t="array" ref="CK169">SUMPRODUCT(($AN$5:$AN$19=$BQ169)*(BH$5:BH$19)*(Z$40:Z$54))*SUMIFS(Z$74:Z$103,$F$74:$F$103,$BQ169,$G$74:$G$103,$BR169)</f>
        <v>0</v>
      </c>
      <c r="CL169" s="193" cm="1">
        <f t="array" ref="CL169">SUMPRODUCT(($AN$5:$AN$19=$BQ169)*(BI$5:BI$19)*(AA$40:AA$54))*SUMIFS(AA$74:AA$103,$F$74:$F$103,$BQ169,$G$74:$G$103,$BR169)</f>
        <v>32.177249921408361</v>
      </c>
      <c r="CM169" s="193" cm="1">
        <f t="array" ref="CM169">SUMPRODUCT(($AN$5:$AN$19=$BQ169)*(BJ$5:BJ$19)*(AB$40:AB$54))*SUMIFS(AB$74:AB$103,$F$74:$F$103,$BQ169,$G$74:$G$103,$BR169)</f>
        <v>0</v>
      </c>
      <c r="CN169" s="193" cm="1">
        <f t="array" ref="CN169">SUMPRODUCT(($AN$5:$AN$19=$BQ169)*(BK$5:BK$19)*(AC$40:AC$54))*SUMIFS(AC$74:AC$103,$F$74:$F$103,$BQ169,$G$74:$G$103,$BR169)</f>
        <v>7.0696132832208622</v>
      </c>
      <c r="CO169" s="193" cm="1">
        <f t="array" ref="CO169">SUMPRODUCT(($AN$5:$AN$19=$BQ169)*(BL$5:BL$19)*(AD$40:AD$54))*SUMIFS(AD$74:AD$103,$F$74:$F$103,$BQ169,$G$74:$G$103,$BR169)</f>
        <v>0</v>
      </c>
      <c r="CP169" s="193" cm="1">
        <f t="array" ref="CP169">SUMPRODUCT(($AN$5:$AN$19=$BQ169)*(BM$5:BM$19)*(AE$40:AE$54))*SUMIFS(AE$74:AE$103,$F$74:$F$103,$BQ169,$G$74:$G$103,$BR169)</f>
        <v>2.217015529707639</v>
      </c>
      <c r="CQ169" s="193" cm="1">
        <f t="array" ref="CQ169">SUMPRODUCT(($AN$5:$AN$19=$BQ169)*(BN$5:BN$19)*(AF$40:AF$54))*SUMIFS(AF$74:AF$103,$F$74:$F$103,$BQ169,$G$74:$G$103,$BR169)</f>
        <v>0</v>
      </c>
      <c r="CR169" s="193" cm="1">
        <f t="array" ref="CR169">SUMPRODUCT(($AN$5:$AN$19=$BQ169)*(BO$5:BO$19)*(AG$40:AG$54))*SUMIFS(AG$74:AG$103,$F$74:$F$103,$BQ169,$G$74:$G$103,$BR169)</f>
        <v>94.075756431104594</v>
      </c>
      <c r="CS169" s="193" cm="1">
        <f t="array" ref="CS169">SUMPRODUCT(($AN$5:$AN$19=$BQ169)*(BP$5:BP$19)*(AH$40:AH$54))*SUMIFS(AH$74:AH$103,$F$74:$F$103,$BQ169,$G$74:$G$103,$BR169)</f>
        <v>24.320705941527823</v>
      </c>
      <c r="CT169" s="193" cm="1">
        <f t="array" ref="CT169">SUMPRODUCT(($AN$5:$AN$19=$BQ169)*(BQ$5:BQ$19)*(AI$40:AI$54))*SUMIFS(AI$74:AI$103,$F$74:$F$103,$BQ169,$G$74:$G$103,$BR169)</f>
        <v>62.688410542992898</v>
      </c>
    </row>
    <row r="170" spans="1:98" x14ac:dyDescent="0.25">
      <c r="A170" t="s">
        <v>126</v>
      </c>
      <c r="B170" t="str">
        <f t="shared" si="116"/>
        <v>YES</v>
      </c>
      <c r="F170" t="s">
        <v>1279</v>
      </c>
      <c r="H170" s="193">
        <f>AN169</f>
        <v>0</v>
      </c>
      <c r="I170" s="193">
        <f t="shared" ref="I170:AH170" si="122">AO169</f>
        <v>0</v>
      </c>
      <c r="J170" s="193">
        <f t="shared" si="122"/>
        <v>0</v>
      </c>
      <c r="K170" s="193">
        <f t="shared" si="122"/>
        <v>29.642804395592421</v>
      </c>
      <c r="L170" s="193">
        <f t="shared" si="122"/>
        <v>24.039433899680542</v>
      </c>
      <c r="M170" s="193">
        <f t="shared" si="122"/>
        <v>33.206394451860575</v>
      </c>
      <c r="N170" s="193">
        <f t="shared" si="122"/>
        <v>0</v>
      </c>
      <c r="O170" s="193">
        <f t="shared" si="122"/>
        <v>0</v>
      </c>
      <c r="P170" s="193">
        <f t="shared" si="122"/>
        <v>41.066944707030018</v>
      </c>
      <c r="Q170" s="193">
        <f t="shared" si="122"/>
        <v>39.559729860246364</v>
      </c>
      <c r="R170" s="193">
        <f t="shared" si="122"/>
        <v>0</v>
      </c>
      <c r="S170" s="193">
        <f t="shared" si="122"/>
        <v>0</v>
      </c>
      <c r="T170" s="193">
        <f t="shared" si="122"/>
        <v>5.3539958656718634</v>
      </c>
      <c r="U170" s="193">
        <f t="shared" si="122"/>
        <v>10.817384132790067</v>
      </c>
      <c r="V170" s="193">
        <f t="shared" si="122"/>
        <v>5.5972683138943919</v>
      </c>
      <c r="W170" s="193">
        <f t="shared" si="122"/>
        <v>24.134967783151573</v>
      </c>
      <c r="X170" s="193">
        <f t="shared" si="122"/>
        <v>38.636283001249431</v>
      </c>
      <c r="Y170" s="193">
        <f t="shared" si="122"/>
        <v>0</v>
      </c>
      <c r="Z170" s="193">
        <f t="shared" si="122"/>
        <v>0</v>
      </c>
      <c r="AA170" s="193">
        <f t="shared" si="122"/>
        <v>32.177249921408361</v>
      </c>
      <c r="AB170" s="193">
        <f t="shared" si="122"/>
        <v>0</v>
      </c>
      <c r="AC170" s="193">
        <f t="shared" si="122"/>
        <v>7.0696132832208622</v>
      </c>
      <c r="AD170" s="193">
        <f t="shared" si="122"/>
        <v>0</v>
      </c>
      <c r="AE170" s="193">
        <f t="shared" si="122"/>
        <v>2.217015529707639</v>
      </c>
      <c r="AF170" s="193">
        <f t="shared" si="122"/>
        <v>0</v>
      </c>
      <c r="AG170" s="193">
        <f t="shared" si="122"/>
        <v>94.075756431104594</v>
      </c>
      <c r="AH170" s="193">
        <f t="shared" si="122"/>
        <v>24.320705941527823</v>
      </c>
      <c r="AI170" s="193">
        <f>BO169</f>
        <v>62.688410542992898</v>
      </c>
      <c r="AN170" s="193"/>
      <c r="AO170" s="193"/>
      <c r="AP170" s="193"/>
      <c r="AQ170" s="193"/>
      <c r="AR170" s="193"/>
      <c r="AS170" s="193"/>
      <c r="AT170" s="193"/>
      <c r="AU170" s="193"/>
      <c r="AV170" s="193"/>
      <c r="AW170" s="193"/>
      <c r="AX170" s="193"/>
      <c r="AY170" s="193"/>
      <c r="AZ170" s="193"/>
      <c r="BA170" s="193"/>
      <c r="BB170" s="193"/>
      <c r="BC170" s="193"/>
      <c r="BD170" s="193"/>
      <c r="BE170" s="193"/>
      <c r="BF170" s="193"/>
      <c r="BG170" s="193"/>
      <c r="BH170" s="193"/>
      <c r="BI170" s="193"/>
      <c r="BJ170" s="193"/>
      <c r="BK170" s="193"/>
      <c r="BL170" s="193"/>
      <c r="BM170" s="193"/>
      <c r="BN170" s="193"/>
      <c r="BO170" s="193"/>
      <c r="BS170" s="193"/>
      <c r="BT170" s="193"/>
      <c r="BU170" s="193"/>
      <c r="BV170" s="193"/>
      <c r="BW170" s="193"/>
      <c r="BX170" s="193"/>
      <c r="BY170" s="193"/>
      <c r="BZ170" s="193"/>
      <c r="CA170" s="193"/>
      <c r="CB170" s="193"/>
      <c r="CC170" s="193"/>
      <c r="CD170" s="193"/>
      <c r="CE170" s="193"/>
      <c r="CF170" s="193"/>
      <c r="CG170" s="193"/>
      <c r="CH170" s="193"/>
      <c r="CI170" s="193"/>
      <c r="CJ170" s="193"/>
      <c r="CK170" s="193"/>
      <c r="CL170" s="193"/>
      <c r="CM170" s="193"/>
      <c r="CN170" s="193"/>
      <c r="CO170" s="193"/>
      <c r="CP170" s="193"/>
      <c r="CQ170" s="193"/>
      <c r="CR170" s="193"/>
      <c r="CS170" s="193"/>
      <c r="CT170" s="193"/>
    </row>
    <row r="171" spans="1:98" x14ac:dyDescent="0.25">
      <c r="A171" t="s">
        <v>128</v>
      </c>
      <c r="B171" t="str">
        <f t="shared" si="116"/>
        <v>YES</v>
      </c>
      <c r="D171" t="s">
        <v>1142</v>
      </c>
      <c r="E171">
        <v>30</v>
      </c>
      <c r="F171" t="s">
        <v>470</v>
      </c>
      <c r="G171" t="s">
        <v>128</v>
      </c>
      <c r="H171">
        <v>1.3</v>
      </c>
      <c r="I171">
        <v>1.3</v>
      </c>
      <c r="J171">
        <v>1.3</v>
      </c>
      <c r="K171">
        <v>1.3</v>
      </c>
      <c r="L171">
        <v>1.3</v>
      </c>
      <c r="M171">
        <v>1.3</v>
      </c>
      <c r="N171">
        <v>1.3</v>
      </c>
      <c r="O171">
        <v>1.3</v>
      </c>
      <c r="P171">
        <v>1.3</v>
      </c>
      <c r="Q171">
        <v>1.3</v>
      </c>
      <c r="R171">
        <v>1.3</v>
      </c>
      <c r="S171">
        <v>1.3</v>
      </c>
      <c r="T171">
        <v>1.3</v>
      </c>
      <c r="U171">
        <v>1.3</v>
      </c>
      <c r="V171">
        <v>1.3</v>
      </c>
      <c r="W171">
        <v>1.3</v>
      </c>
      <c r="X171">
        <v>1.3</v>
      </c>
      <c r="Y171">
        <v>1.3</v>
      </c>
      <c r="Z171">
        <v>1.3</v>
      </c>
      <c r="AA171">
        <v>1.3</v>
      </c>
      <c r="AB171">
        <v>1.3</v>
      </c>
      <c r="AC171">
        <v>1.3</v>
      </c>
      <c r="AD171">
        <v>1.3</v>
      </c>
      <c r="AE171">
        <v>1.3</v>
      </c>
      <c r="AF171">
        <v>1.3</v>
      </c>
      <c r="AG171">
        <v>1.3</v>
      </c>
      <c r="AH171">
        <v>1.3</v>
      </c>
      <c r="AI171">
        <v>1.3</v>
      </c>
      <c r="AN171" s="193"/>
      <c r="AO171" s="193"/>
      <c r="AP171" s="193"/>
      <c r="AQ171" s="193"/>
      <c r="AR171" s="193"/>
      <c r="AS171" s="193"/>
      <c r="AT171" s="193"/>
      <c r="AU171" s="193"/>
      <c r="AV171" s="193"/>
      <c r="AW171" s="193"/>
      <c r="AX171" s="193"/>
      <c r="AY171" s="193"/>
      <c r="AZ171" s="193"/>
      <c r="BA171" s="193"/>
      <c r="BB171" s="193"/>
      <c r="BC171" s="193"/>
      <c r="BD171" s="193"/>
      <c r="BE171" s="193"/>
      <c r="BF171" s="193"/>
      <c r="BG171" s="193"/>
      <c r="BH171" s="193"/>
      <c r="BI171" s="193"/>
      <c r="BJ171" s="193"/>
      <c r="BK171" s="193"/>
      <c r="BL171" s="193"/>
      <c r="BM171" s="193"/>
      <c r="BN171" s="193"/>
      <c r="BO171" s="193"/>
      <c r="BS171" s="193"/>
      <c r="BT171" s="193"/>
      <c r="BU171" s="193"/>
      <c r="BV171" s="193"/>
      <c r="BW171" s="193"/>
      <c r="BX171" s="193"/>
      <c r="BY171" s="193"/>
      <c r="BZ171" s="193"/>
      <c r="CA171" s="193"/>
      <c r="CB171" s="193"/>
      <c r="CC171" s="193"/>
      <c r="CD171" s="193"/>
      <c r="CE171" s="193"/>
      <c r="CF171" s="193"/>
      <c r="CG171" s="193"/>
      <c r="CH171" s="193"/>
      <c r="CI171" s="193"/>
      <c r="CJ171" s="193"/>
      <c r="CK171" s="193"/>
      <c r="CL171" s="193"/>
      <c r="CM171" s="193"/>
      <c r="CN171" s="193"/>
      <c r="CO171" s="193"/>
      <c r="CP171" s="193"/>
      <c r="CQ171" s="193"/>
      <c r="CR171" s="193"/>
      <c r="CS171" s="193"/>
      <c r="CT171" s="193"/>
    </row>
    <row r="172" spans="1:98" x14ac:dyDescent="0.25">
      <c r="A172" t="s">
        <v>130</v>
      </c>
      <c r="B172" t="str">
        <f t="shared" si="116"/>
        <v>NO</v>
      </c>
      <c r="F172" t="s">
        <v>472</v>
      </c>
      <c r="G172" t="s">
        <v>1254</v>
      </c>
      <c r="H172">
        <v>1</v>
      </c>
      <c r="I172">
        <v>1</v>
      </c>
      <c r="J172">
        <v>1</v>
      </c>
      <c r="K172">
        <v>1</v>
      </c>
      <c r="L172">
        <v>1</v>
      </c>
      <c r="M172">
        <v>1</v>
      </c>
      <c r="N172">
        <v>1</v>
      </c>
      <c r="O172">
        <v>1</v>
      </c>
      <c r="P172">
        <v>1</v>
      </c>
      <c r="Q172">
        <v>1</v>
      </c>
      <c r="R172">
        <v>1</v>
      </c>
      <c r="S172">
        <v>1</v>
      </c>
      <c r="T172">
        <v>1</v>
      </c>
      <c r="U172">
        <v>1</v>
      </c>
      <c r="V172">
        <v>1</v>
      </c>
      <c r="W172">
        <v>1</v>
      </c>
      <c r="X172">
        <v>1</v>
      </c>
      <c r="Y172">
        <v>1</v>
      </c>
      <c r="Z172">
        <v>1</v>
      </c>
      <c r="AA172">
        <v>1</v>
      </c>
      <c r="AB172">
        <v>1</v>
      </c>
      <c r="AC172">
        <v>1</v>
      </c>
      <c r="AD172">
        <v>1</v>
      </c>
      <c r="AE172">
        <v>1</v>
      </c>
      <c r="AF172">
        <v>1</v>
      </c>
      <c r="AG172">
        <v>1</v>
      </c>
      <c r="AH172">
        <v>1</v>
      </c>
      <c r="AI172">
        <v>1</v>
      </c>
      <c r="AM172" t="s">
        <v>1254</v>
      </c>
      <c r="AN172" s="193">
        <f>(H172/H171)*BS172</f>
        <v>0</v>
      </c>
      <c r="AO172" s="193">
        <f t="shared" ref="AO172:BN172" si="123">(I172/I171)*BT172</f>
        <v>0</v>
      </c>
      <c r="AP172" s="193">
        <f t="shared" si="123"/>
        <v>0</v>
      </c>
      <c r="AQ172" s="193">
        <f t="shared" si="123"/>
        <v>0</v>
      </c>
      <c r="AR172" s="193">
        <f t="shared" si="123"/>
        <v>58.869059692867509</v>
      </c>
      <c r="AS172" s="193">
        <f t="shared" si="123"/>
        <v>2.948351945445312</v>
      </c>
      <c r="AT172" s="193">
        <f t="shared" si="123"/>
        <v>0</v>
      </c>
      <c r="AU172" s="193">
        <f t="shared" si="123"/>
        <v>0</v>
      </c>
      <c r="AV172" s="193">
        <f t="shared" si="123"/>
        <v>7.6421989794074117</v>
      </c>
      <c r="AW172" s="193">
        <f t="shared" si="123"/>
        <v>5.7497221889415613</v>
      </c>
      <c r="AX172" s="193">
        <f t="shared" si="123"/>
        <v>0</v>
      </c>
      <c r="AY172" s="193">
        <f t="shared" si="123"/>
        <v>0</v>
      </c>
      <c r="AZ172" s="193">
        <f t="shared" si="123"/>
        <v>3.7338367226617852</v>
      </c>
      <c r="BA172" s="193">
        <f t="shared" si="123"/>
        <v>0</v>
      </c>
      <c r="BB172" s="193">
        <f t="shared" si="123"/>
        <v>5.3584020276106443</v>
      </c>
      <c r="BC172" s="193">
        <f t="shared" si="123"/>
        <v>18.436596429395387</v>
      </c>
      <c r="BD172" s="193">
        <f t="shared" si="123"/>
        <v>30.553334799771999</v>
      </c>
      <c r="BE172" s="193">
        <f t="shared" si="123"/>
        <v>0</v>
      </c>
      <c r="BF172" s="193">
        <f t="shared" si="123"/>
        <v>0</v>
      </c>
      <c r="BG172" s="193">
        <f t="shared" si="123"/>
        <v>8.1321491064735323</v>
      </c>
      <c r="BH172" s="193">
        <f t="shared" si="123"/>
        <v>0.85091754061240377</v>
      </c>
      <c r="BI172" s="193">
        <f t="shared" si="123"/>
        <v>6.5707110245931375</v>
      </c>
      <c r="BJ172" s="193">
        <f t="shared" si="123"/>
        <v>0</v>
      </c>
      <c r="BK172" s="193">
        <f t="shared" si="123"/>
        <v>0</v>
      </c>
      <c r="BL172" s="193">
        <f t="shared" si="123"/>
        <v>0</v>
      </c>
      <c r="BM172" s="193">
        <f t="shared" si="123"/>
        <v>0</v>
      </c>
      <c r="BN172" s="193">
        <f t="shared" si="123"/>
        <v>3.2040813967547708</v>
      </c>
      <c r="BO172" s="193">
        <f>(AI172/AI171)*CT172</f>
        <v>81.858190274491548</v>
      </c>
      <c r="BQ172" t="s">
        <v>128</v>
      </c>
      <c r="BR172" t="s">
        <v>1254</v>
      </c>
      <c r="BS172" s="193" cm="1">
        <f t="array" ref="BS172">SUMPRODUCT(($AN$5:$AN$19=$BQ172)*(AP$5:AP$19)*(H$40:H$54))*SUMIFS(H$74:H$103,$F$74:$F$103,$BQ172,$G$74:$G$103,$BR172)</f>
        <v>0</v>
      </c>
      <c r="BT172" s="193" cm="1">
        <f t="array" ref="BT172">SUMPRODUCT(($AN$5:$AN$19=$BQ172)*(AQ$5:AQ$19)*(I$40:I$54))*SUMIFS(I$74:I$103,$F$74:$F$103,$BQ172,$G$74:$G$103,$BR172)</f>
        <v>0</v>
      </c>
      <c r="BU172" s="193" cm="1">
        <f t="array" ref="BU172">SUMPRODUCT(($AN$5:$AN$19=$BQ172)*(AR$5:AR$19)*(J$40:J$54))*SUMIFS(J$74:J$103,$F$74:$F$103,$BQ172,$G$74:$G$103,$BR172)</f>
        <v>0</v>
      </c>
      <c r="BV172" s="193" cm="1">
        <f t="array" ref="BV172">SUMPRODUCT(($AN$5:$AN$19=$BQ172)*(AS$5:AS$19)*(K$40:K$54))*SUMIFS(K$74:K$103,$F$74:$F$103,$BQ172,$G$74:$G$103,$BR172)</f>
        <v>0</v>
      </c>
      <c r="BW172" s="193" cm="1">
        <f t="array" ref="BW172">SUMPRODUCT(($AN$5:$AN$19=$BQ172)*(AT$5:AT$19)*(L$40:L$54))*SUMIFS(L$74:L$103,$F$74:$F$103,$BQ172,$G$74:$G$103,$BR172)</f>
        <v>76.529777600727769</v>
      </c>
      <c r="BX172" s="193" cm="1">
        <f t="array" ref="BX172">SUMPRODUCT(($AN$5:$AN$19=$BQ172)*(AU$5:AU$19)*(M$40:M$54))*SUMIFS(M$74:M$103,$F$74:$F$103,$BQ172,$G$74:$G$103,$BR172)</f>
        <v>3.8328575290789062</v>
      </c>
      <c r="BY172" s="193" cm="1">
        <f t="array" ref="BY172">SUMPRODUCT(($AN$5:$AN$19=$BQ172)*(AV$5:AV$19)*(N$40:N$54))*SUMIFS(N$74:N$103,$F$74:$F$103,$BQ172,$G$74:$G$103,$BR172)</f>
        <v>0</v>
      </c>
      <c r="BZ172" s="193" cm="1">
        <f t="array" ref="BZ172">SUMPRODUCT(($AN$5:$AN$19=$BQ172)*(AW$5:AW$19)*(O$40:O$54))*SUMIFS(O$74:O$103,$F$74:$F$103,$BQ172,$G$74:$G$103,$BR172)</f>
        <v>0</v>
      </c>
      <c r="CA172" s="193" cm="1">
        <f t="array" ref="CA172">SUMPRODUCT(($AN$5:$AN$19=$BQ172)*(AX$5:AX$19)*(P$40:P$54))*SUMIFS(P$74:P$103,$F$74:$F$103,$BQ172,$G$74:$G$103,$BR172)</f>
        <v>9.9348586732296358</v>
      </c>
      <c r="CB172" s="193" cm="1">
        <f t="array" ref="CB172">SUMPRODUCT(($AN$5:$AN$19=$BQ172)*(AY$5:AY$19)*(Q$40:Q$54))*SUMIFS(Q$74:Q$103,$F$74:$F$103,$BQ172,$G$74:$G$103,$BR172)</f>
        <v>7.47463884562403</v>
      </c>
      <c r="CC172" s="193" cm="1">
        <f t="array" ref="CC172">SUMPRODUCT(($AN$5:$AN$19=$BQ172)*(AZ$5:AZ$19)*(R$40:R$54))*SUMIFS(R$74:R$103,$F$74:$F$103,$BQ172,$G$74:$G$103,$BR172)</f>
        <v>0</v>
      </c>
      <c r="CD172" s="193" cm="1">
        <f t="array" ref="CD172">SUMPRODUCT(($AN$5:$AN$19=$BQ172)*(BA$5:BA$19)*(S$40:S$54))*SUMIFS(S$74:S$103,$F$74:$F$103,$BQ172,$G$74:$G$103,$BR172)</f>
        <v>0</v>
      </c>
      <c r="CE172" s="193" cm="1">
        <f t="array" ref="CE172">SUMPRODUCT(($AN$5:$AN$19=$BQ172)*(BB$5:BB$19)*(T$40:T$54))*SUMIFS(T$74:T$103,$F$74:$F$103,$BQ172,$G$74:$G$103,$BR172)</f>
        <v>4.8539877394603215</v>
      </c>
      <c r="CF172" s="193" cm="1">
        <f t="array" ref="CF172">SUMPRODUCT(($AN$5:$AN$19=$BQ172)*(BC$5:BC$19)*(U$40:U$54))*SUMIFS(U$74:U$103,$F$74:$F$103,$BQ172,$G$74:$G$103,$BR172)</f>
        <v>0</v>
      </c>
      <c r="CG172" s="193" cm="1">
        <f t="array" ref="CG172">SUMPRODUCT(($AN$5:$AN$19=$BQ172)*(BD$5:BD$19)*(V$40:V$54))*SUMIFS(V$74:V$103,$F$74:$F$103,$BQ172,$G$74:$G$103,$BR172)</f>
        <v>6.965922635893838</v>
      </c>
      <c r="CH172" s="193" cm="1">
        <f t="array" ref="CH172">SUMPRODUCT(($AN$5:$AN$19=$BQ172)*(BE$5:BE$19)*(W$40:W$54))*SUMIFS(W$74:W$103,$F$74:$F$103,$BQ172,$G$74:$G$103,$BR172)</f>
        <v>23.967575358214006</v>
      </c>
      <c r="CI172" s="193" cm="1">
        <f t="array" ref="CI172">SUMPRODUCT(($AN$5:$AN$19=$BQ172)*(BF$5:BF$19)*(X$40:X$54))*SUMIFS(X$74:X$103,$F$74:$F$103,$BQ172,$G$74:$G$103,$BR172)</f>
        <v>39.719335239703604</v>
      </c>
      <c r="CJ172" s="193" cm="1">
        <f t="array" ref="CJ172">SUMPRODUCT(($AN$5:$AN$19=$BQ172)*(BG$5:BG$19)*(Y$40:Y$54))*SUMIFS(Y$74:Y$103,$F$74:$F$103,$BQ172,$G$74:$G$103,$BR172)</f>
        <v>0</v>
      </c>
      <c r="CK172" s="193" cm="1">
        <f t="array" ref="CK172">SUMPRODUCT(($AN$5:$AN$19=$BQ172)*(BH$5:BH$19)*(Z$40:Z$54))*SUMIFS(Z$74:Z$103,$F$74:$F$103,$BQ172,$G$74:$G$103,$BR172)</f>
        <v>0</v>
      </c>
      <c r="CL172" s="193" cm="1">
        <f t="array" ref="CL172">SUMPRODUCT(($AN$5:$AN$19=$BQ172)*(BI$5:BI$19)*(AA$40:AA$54))*SUMIFS(AA$74:AA$103,$F$74:$F$103,$BQ172,$G$74:$G$103,$BR172)</f>
        <v>10.571793838415593</v>
      </c>
      <c r="CM172" s="193" cm="1">
        <f t="array" ref="CM172">SUMPRODUCT(($AN$5:$AN$19=$BQ172)*(BJ$5:BJ$19)*(AB$40:AB$54))*SUMIFS(AB$74:AB$103,$F$74:$F$103,$BQ172,$G$74:$G$103,$BR172)</f>
        <v>1.106192802796125</v>
      </c>
      <c r="CN172" s="193" cm="1">
        <f t="array" ref="CN172">SUMPRODUCT(($AN$5:$AN$19=$BQ172)*(BK$5:BK$19)*(AC$40:AC$54))*SUMIFS(AC$74:AC$103,$F$74:$F$103,$BQ172,$G$74:$G$103,$BR172)</f>
        <v>8.5419243319710798</v>
      </c>
      <c r="CO172" s="193" cm="1">
        <f t="array" ref="CO172">SUMPRODUCT(($AN$5:$AN$19=$BQ172)*(BL$5:BL$19)*(AD$40:AD$54))*SUMIFS(AD$74:AD$103,$F$74:$F$103,$BQ172,$G$74:$G$103,$BR172)</f>
        <v>0</v>
      </c>
      <c r="CP172" s="193" cm="1">
        <f t="array" ref="CP172">SUMPRODUCT(($AN$5:$AN$19=$BQ172)*(BM$5:BM$19)*(AE$40:AE$54))*SUMIFS(AE$74:AE$103,$F$74:$F$103,$BQ172,$G$74:$G$103,$BR172)</f>
        <v>0</v>
      </c>
      <c r="CQ172" s="193" cm="1">
        <f t="array" ref="CQ172">SUMPRODUCT(($AN$5:$AN$19=$BQ172)*(BN$5:BN$19)*(AF$40:AF$54))*SUMIFS(AF$74:AF$103,$F$74:$F$103,$BQ172,$G$74:$G$103,$BR172)</f>
        <v>0</v>
      </c>
      <c r="CR172" s="193" cm="1">
        <f t="array" ref="CR172">SUMPRODUCT(($AN$5:$AN$19=$BQ172)*(BO$5:BO$19)*(AG$40:AG$54))*SUMIFS(AG$74:AG$103,$F$74:$F$103,$BQ172,$G$74:$G$103,$BR172)</f>
        <v>0</v>
      </c>
      <c r="CS172" s="193" cm="1">
        <f t="array" ref="CS172">SUMPRODUCT(($AN$5:$AN$19=$BQ172)*(BP$5:BP$19)*(AH$40:AH$54))*SUMIFS(AH$74:AH$103,$F$74:$F$103,$BQ172,$G$74:$G$103,$BR172)</f>
        <v>4.1653058157812026</v>
      </c>
      <c r="CT172" s="193" cm="1">
        <f t="array" ref="CT172">SUMPRODUCT(($AN$5:$AN$19=$BQ172)*(BQ$5:BQ$19)*(AI$40:AI$54))*SUMIFS(AI$74:AI$103,$F$74:$F$103,$BQ172,$G$74:$G$103,$BR172)</f>
        <v>106.41564735683902</v>
      </c>
    </row>
    <row r="173" spans="1:98" x14ac:dyDescent="0.25">
      <c r="A173" t="s">
        <v>132</v>
      </c>
      <c r="B173" t="str">
        <f t="shared" si="116"/>
        <v>NO</v>
      </c>
      <c r="F173" t="s">
        <v>1279</v>
      </c>
      <c r="H173" s="193">
        <f>AN172</f>
        <v>0</v>
      </c>
      <c r="I173" s="193">
        <f t="shared" ref="I173:AH173" si="124">AO172</f>
        <v>0</v>
      </c>
      <c r="J173" s="193">
        <f t="shared" si="124"/>
        <v>0</v>
      </c>
      <c r="K173" s="193">
        <f t="shared" si="124"/>
        <v>0</v>
      </c>
      <c r="L173" s="193">
        <f t="shared" si="124"/>
        <v>58.869059692867509</v>
      </c>
      <c r="M173" s="193">
        <f t="shared" si="124"/>
        <v>2.948351945445312</v>
      </c>
      <c r="N173" s="193">
        <f t="shared" si="124"/>
        <v>0</v>
      </c>
      <c r="O173" s="193">
        <f t="shared" si="124"/>
        <v>0</v>
      </c>
      <c r="P173" s="193">
        <f t="shared" si="124"/>
        <v>7.6421989794074117</v>
      </c>
      <c r="Q173" s="193">
        <f t="shared" si="124"/>
        <v>5.7497221889415613</v>
      </c>
      <c r="R173" s="193">
        <f t="shared" si="124"/>
        <v>0</v>
      </c>
      <c r="S173" s="193">
        <f t="shared" si="124"/>
        <v>0</v>
      </c>
      <c r="T173" s="193">
        <f t="shared" si="124"/>
        <v>3.7338367226617852</v>
      </c>
      <c r="U173" s="193">
        <f t="shared" si="124"/>
        <v>0</v>
      </c>
      <c r="V173" s="193">
        <f t="shared" si="124"/>
        <v>5.3584020276106443</v>
      </c>
      <c r="W173" s="193">
        <f t="shared" si="124"/>
        <v>18.436596429395387</v>
      </c>
      <c r="X173" s="193">
        <f t="shared" si="124"/>
        <v>30.553334799771999</v>
      </c>
      <c r="Y173" s="193">
        <f t="shared" si="124"/>
        <v>0</v>
      </c>
      <c r="Z173" s="193">
        <f t="shared" si="124"/>
        <v>0</v>
      </c>
      <c r="AA173" s="193">
        <f t="shared" si="124"/>
        <v>8.1321491064735323</v>
      </c>
      <c r="AB173" s="193">
        <f t="shared" si="124"/>
        <v>0.85091754061240377</v>
      </c>
      <c r="AC173" s="193">
        <f t="shared" si="124"/>
        <v>6.5707110245931375</v>
      </c>
      <c r="AD173" s="193">
        <f t="shared" si="124"/>
        <v>0</v>
      </c>
      <c r="AE173" s="193">
        <f t="shared" si="124"/>
        <v>0</v>
      </c>
      <c r="AF173" s="193">
        <f t="shared" si="124"/>
        <v>0</v>
      </c>
      <c r="AG173" s="193">
        <f t="shared" si="124"/>
        <v>0</v>
      </c>
      <c r="AH173" s="193">
        <f t="shared" si="124"/>
        <v>3.2040813967547708</v>
      </c>
      <c r="AI173" s="193">
        <f>BO172</f>
        <v>81.858190274491548</v>
      </c>
      <c r="AN173" s="193"/>
      <c r="AO173" s="193"/>
      <c r="AP173" s="193"/>
      <c r="AQ173" s="193"/>
      <c r="AR173" s="193"/>
      <c r="AS173" s="193"/>
      <c r="AT173" s="193"/>
      <c r="AU173" s="193"/>
      <c r="AV173" s="193"/>
      <c r="AW173" s="193"/>
      <c r="AX173" s="193"/>
      <c r="AY173" s="193"/>
      <c r="AZ173" s="193"/>
      <c r="BA173" s="193"/>
      <c r="BB173" s="193"/>
      <c r="BC173" s="193"/>
      <c r="BD173" s="193"/>
      <c r="BE173" s="193"/>
      <c r="BF173" s="193"/>
      <c r="BG173" s="193"/>
      <c r="BH173" s="193"/>
      <c r="BI173" s="193"/>
      <c r="BJ173" s="193"/>
      <c r="BK173" s="193"/>
      <c r="BL173" s="193"/>
      <c r="BM173" s="193"/>
      <c r="BN173" s="193"/>
      <c r="BO173" s="193"/>
      <c r="BS173" s="193"/>
      <c r="BT173" s="193"/>
      <c r="BU173" s="193"/>
      <c r="BV173" s="193"/>
      <c r="BW173" s="193"/>
      <c r="BX173" s="193"/>
      <c r="BY173" s="193"/>
      <c r="BZ173" s="193"/>
      <c r="CA173" s="193"/>
      <c r="CB173" s="193"/>
      <c r="CC173" s="193"/>
      <c r="CD173" s="193"/>
      <c r="CE173" s="193"/>
      <c r="CF173" s="193"/>
      <c r="CG173" s="193"/>
      <c r="CH173" s="193"/>
      <c r="CI173" s="193"/>
      <c r="CJ173" s="193"/>
      <c r="CK173" s="193"/>
      <c r="CL173" s="193"/>
      <c r="CM173" s="193"/>
      <c r="CN173" s="193"/>
      <c r="CO173" s="193"/>
      <c r="CP173" s="193"/>
      <c r="CQ173" s="193"/>
      <c r="CR173" s="193"/>
      <c r="CS173" s="193"/>
      <c r="CT173" s="193"/>
    </row>
    <row r="174" spans="1:98" x14ac:dyDescent="0.25">
      <c r="A174" t="s">
        <v>134</v>
      </c>
      <c r="B174" t="str">
        <f t="shared" si="116"/>
        <v>YES</v>
      </c>
      <c r="D174" t="s">
        <v>1144</v>
      </c>
      <c r="E174">
        <v>30</v>
      </c>
      <c r="F174" t="s">
        <v>470</v>
      </c>
      <c r="G174" t="s">
        <v>134</v>
      </c>
      <c r="H174">
        <v>1.3</v>
      </c>
      <c r="I174">
        <v>1.3</v>
      </c>
      <c r="J174">
        <v>1.3</v>
      </c>
      <c r="K174">
        <v>1.3</v>
      </c>
      <c r="L174">
        <v>1.3</v>
      </c>
      <c r="M174">
        <v>1.3</v>
      </c>
      <c r="N174">
        <v>1.3</v>
      </c>
      <c r="O174">
        <v>1.3</v>
      </c>
      <c r="P174">
        <v>1.3</v>
      </c>
      <c r="Q174">
        <v>1.3</v>
      </c>
      <c r="R174">
        <v>1.3</v>
      </c>
      <c r="S174">
        <v>1.3</v>
      </c>
      <c r="T174">
        <v>1.3</v>
      </c>
      <c r="U174">
        <v>1.3</v>
      </c>
      <c r="V174">
        <v>1.3</v>
      </c>
      <c r="W174">
        <v>1.3</v>
      </c>
      <c r="X174">
        <v>1.3</v>
      </c>
      <c r="Y174">
        <v>1.3</v>
      </c>
      <c r="Z174">
        <v>1.3</v>
      </c>
      <c r="AA174">
        <v>1.3</v>
      </c>
      <c r="AB174">
        <v>1.3</v>
      </c>
      <c r="AC174">
        <v>1.3</v>
      </c>
      <c r="AD174">
        <v>1.3</v>
      </c>
      <c r="AE174">
        <v>1.3</v>
      </c>
      <c r="AF174">
        <v>1.3</v>
      </c>
      <c r="AG174">
        <v>1.3</v>
      </c>
      <c r="AH174">
        <v>1.3</v>
      </c>
      <c r="AI174">
        <v>1.3</v>
      </c>
      <c r="AN174" s="193"/>
      <c r="AO174" s="193"/>
      <c r="AP174" s="193"/>
      <c r="AQ174" s="193"/>
      <c r="AR174" s="193"/>
      <c r="AS174" s="193"/>
      <c r="AT174" s="193"/>
      <c r="AU174" s="193"/>
      <c r="AV174" s="193"/>
      <c r="AW174" s="193"/>
      <c r="AX174" s="193"/>
      <c r="AY174" s="193"/>
      <c r="AZ174" s="193"/>
      <c r="BA174" s="193"/>
      <c r="BB174" s="193"/>
      <c r="BC174" s="193"/>
      <c r="BD174" s="193"/>
      <c r="BE174" s="193"/>
      <c r="BF174" s="193"/>
      <c r="BG174" s="193"/>
      <c r="BH174" s="193"/>
      <c r="BI174" s="193"/>
      <c r="BJ174" s="193"/>
      <c r="BK174" s="193"/>
      <c r="BL174" s="193"/>
      <c r="BM174" s="193"/>
      <c r="BN174" s="193"/>
      <c r="BO174" s="193"/>
      <c r="BS174" s="193"/>
      <c r="BT174" s="193"/>
      <c r="BU174" s="193"/>
      <c r="BV174" s="193"/>
      <c r="BW174" s="193"/>
      <c r="BX174" s="193"/>
      <c r="BY174" s="193"/>
      <c r="BZ174" s="193"/>
      <c r="CA174" s="193"/>
      <c r="CB174" s="193"/>
      <c r="CC174" s="193"/>
      <c r="CD174" s="193"/>
      <c r="CE174" s="193"/>
      <c r="CF174" s="193"/>
      <c r="CG174" s="193"/>
      <c r="CH174" s="193"/>
      <c r="CI174" s="193"/>
      <c r="CJ174" s="193"/>
      <c r="CK174" s="193"/>
      <c r="CL174" s="193"/>
      <c r="CM174" s="193"/>
      <c r="CN174" s="193"/>
      <c r="CO174" s="193"/>
      <c r="CP174" s="193"/>
      <c r="CQ174" s="193"/>
      <c r="CR174" s="193"/>
      <c r="CS174" s="193"/>
      <c r="CT174" s="193"/>
    </row>
    <row r="175" spans="1:98" x14ac:dyDescent="0.25">
      <c r="A175" t="s">
        <v>1701</v>
      </c>
      <c r="B175" t="str">
        <f t="shared" si="116"/>
        <v>NO</v>
      </c>
      <c r="F175" t="s">
        <v>472</v>
      </c>
      <c r="G175" t="s">
        <v>1254</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c r="AD175">
        <v>1</v>
      </c>
      <c r="AE175">
        <v>1</v>
      </c>
      <c r="AF175">
        <v>1</v>
      </c>
      <c r="AG175">
        <v>1</v>
      </c>
      <c r="AH175">
        <v>1</v>
      </c>
      <c r="AI175">
        <v>1</v>
      </c>
      <c r="AM175" t="s">
        <v>1254</v>
      </c>
      <c r="AN175" s="193">
        <f>(H175/H174)*BS175</f>
        <v>0</v>
      </c>
      <c r="AO175" s="193">
        <f t="shared" ref="AO175:BO175" si="125">(I175/I174)*BT175</f>
        <v>0.80307692307692302</v>
      </c>
      <c r="AP175" s="193">
        <f t="shared" si="125"/>
        <v>0.17908996093195287</v>
      </c>
      <c r="AQ175" s="193">
        <f t="shared" si="125"/>
        <v>0</v>
      </c>
      <c r="AR175" s="193">
        <f t="shared" si="125"/>
        <v>6.8400000000000007</v>
      </c>
      <c r="AS175" s="193">
        <f t="shared" si="125"/>
        <v>1.7328967845879764</v>
      </c>
      <c r="AT175" s="193">
        <f t="shared" si="125"/>
        <v>0</v>
      </c>
      <c r="AU175" s="193">
        <f t="shared" si="125"/>
        <v>0</v>
      </c>
      <c r="AV175" s="193">
        <f t="shared" si="125"/>
        <v>25.629966817616342</v>
      </c>
      <c r="AW175" s="193">
        <f t="shared" si="125"/>
        <v>1.6806153846153846</v>
      </c>
      <c r="AX175" s="193">
        <f t="shared" si="125"/>
        <v>0</v>
      </c>
      <c r="AY175" s="193">
        <f t="shared" si="125"/>
        <v>36.963858599309717</v>
      </c>
      <c r="AZ175" s="193">
        <f t="shared" si="125"/>
        <v>0.9316923076923076</v>
      </c>
      <c r="BA175" s="193">
        <f t="shared" si="125"/>
        <v>0.36861538461538457</v>
      </c>
      <c r="BB175" s="193">
        <f t="shared" si="125"/>
        <v>0.69846153846153847</v>
      </c>
      <c r="BC175" s="193">
        <f t="shared" si="125"/>
        <v>4.7821538461538458</v>
      </c>
      <c r="BD175" s="193">
        <f t="shared" si="125"/>
        <v>2.1267692307692307</v>
      </c>
      <c r="BE175" s="193">
        <f t="shared" si="125"/>
        <v>0</v>
      </c>
      <c r="BF175" s="193">
        <f t="shared" si="125"/>
        <v>0</v>
      </c>
      <c r="BG175" s="193">
        <f t="shared" si="125"/>
        <v>7.9101538461538459</v>
      </c>
      <c r="BH175" s="193">
        <f t="shared" si="125"/>
        <v>0</v>
      </c>
      <c r="BI175" s="193">
        <f t="shared" si="125"/>
        <v>0</v>
      </c>
      <c r="BJ175" s="193">
        <f t="shared" si="125"/>
        <v>0</v>
      </c>
      <c r="BK175" s="193">
        <f t="shared" si="125"/>
        <v>0</v>
      </c>
      <c r="BL175" s="193">
        <f t="shared" si="125"/>
        <v>0</v>
      </c>
      <c r="BM175" s="193">
        <f t="shared" si="125"/>
        <v>0</v>
      </c>
      <c r="BN175" s="193">
        <f t="shared" si="125"/>
        <v>0.57538461538461538</v>
      </c>
      <c r="BO175" s="193">
        <f t="shared" si="125"/>
        <v>5.3519999999999994</v>
      </c>
      <c r="BQ175" t="s">
        <v>134</v>
      </c>
      <c r="BR175" t="s">
        <v>1254</v>
      </c>
      <c r="BS175" s="193" cm="1">
        <f t="array" ref="BS175">SUMPRODUCT(($AN$5:$AN$19=$BQ175)*(AP$5:AP$19)*(H$40:H$54))*SUMIFS(H$74:H$103,$F$74:$F$103,$BQ175,$G$74:$G$103,$BR175)</f>
        <v>0</v>
      </c>
      <c r="BT175" s="193" cm="1">
        <f t="array" ref="BT175">SUMPRODUCT(($AN$5:$AN$19=$BQ175)*(AQ$5:AQ$19)*(I$40:I$54))*SUMIFS(I$74:I$103,$F$74:$F$103,$BQ175,$G$74:$G$103,$BR175)</f>
        <v>1.044</v>
      </c>
      <c r="BU175" s="193" cm="1">
        <f t="array" ref="BU175">SUMPRODUCT(($AN$5:$AN$19=$BQ175)*(AR$5:AR$19)*(J$40:J$54))*SUMIFS(J$74:J$103,$F$74:$F$103,$BQ175,$G$74:$G$103,$BR175)</f>
        <v>0.23281694921153875</v>
      </c>
      <c r="BV175" s="193" cm="1">
        <f t="array" ref="BV175">SUMPRODUCT(($AN$5:$AN$19=$BQ175)*(AS$5:AS$19)*(K$40:K$54))*SUMIFS(K$74:K$103,$F$74:$F$103,$BQ175,$G$74:$G$103,$BR175)</f>
        <v>0</v>
      </c>
      <c r="BW175" s="193" cm="1">
        <f t="array" ref="BW175">SUMPRODUCT(($AN$5:$AN$19=$BQ175)*(AT$5:AT$19)*(L$40:L$54))*SUMIFS(L$74:L$103,$F$74:$F$103,$BQ175,$G$74:$G$103,$BR175)</f>
        <v>8.8920000000000012</v>
      </c>
      <c r="BX175" s="193" cm="1">
        <f t="array" ref="BX175">SUMPRODUCT(($AN$5:$AN$19=$BQ175)*(AU$5:AU$19)*(M$40:M$54))*SUMIFS(M$74:M$103,$F$74:$F$103,$BQ175,$G$74:$G$103,$BR175)</f>
        <v>2.2527658199643694</v>
      </c>
      <c r="BY175" s="193" cm="1">
        <f t="array" ref="BY175">SUMPRODUCT(($AN$5:$AN$19=$BQ175)*(AV$5:AV$19)*(N$40:N$54))*SUMIFS(N$74:N$103,$F$74:$F$103,$BQ175,$G$74:$G$103,$BR175)</f>
        <v>0</v>
      </c>
      <c r="BZ175" s="193" cm="1">
        <f t="array" ref="BZ175">SUMPRODUCT(($AN$5:$AN$19=$BQ175)*(AW$5:AW$19)*(O$40:O$54))*SUMIFS(O$74:O$103,$F$74:$F$103,$BQ175,$G$74:$G$103,$BR175)</f>
        <v>0</v>
      </c>
      <c r="CA175" s="193" cm="1">
        <f t="array" ref="CA175">SUMPRODUCT(($AN$5:$AN$19=$BQ175)*(AX$5:AX$19)*(P$40:P$54))*SUMIFS(P$74:P$103,$F$74:$F$103,$BQ175,$G$74:$G$103,$BR175)</f>
        <v>33.318956862901246</v>
      </c>
      <c r="CB175" s="193" cm="1">
        <f t="array" ref="CB175">SUMPRODUCT(($AN$5:$AN$19=$BQ175)*(AY$5:AY$19)*(Q$40:Q$54))*SUMIFS(Q$74:Q$103,$F$74:$F$103,$BQ175,$G$74:$G$103,$BR175)</f>
        <v>2.1848000000000001</v>
      </c>
      <c r="CC175" s="193" cm="1">
        <f t="array" ref="CC175">SUMPRODUCT(($AN$5:$AN$19=$BQ175)*(AZ$5:AZ$19)*(R$40:R$54))*SUMIFS(R$74:R$103,$F$74:$F$103,$BQ175,$G$74:$G$103,$BR175)</f>
        <v>0</v>
      </c>
      <c r="CD175" s="193" cm="1">
        <f t="array" ref="CD175">SUMPRODUCT(($AN$5:$AN$19=$BQ175)*(BA$5:BA$19)*(S$40:S$54))*SUMIFS(S$74:S$103,$F$74:$F$103,$BQ175,$G$74:$G$103,$BR175)</f>
        <v>48.053016179102634</v>
      </c>
      <c r="CE175" s="193" cm="1">
        <f t="array" ref="CE175">SUMPRODUCT(($AN$5:$AN$19=$BQ175)*(BB$5:BB$19)*(T$40:T$54))*SUMIFS(T$74:T$103,$F$74:$F$103,$BQ175,$G$74:$G$103,$BR175)</f>
        <v>1.2112000000000001</v>
      </c>
      <c r="CF175" s="193" cm="1">
        <f t="array" ref="CF175">SUMPRODUCT(($AN$5:$AN$19=$BQ175)*(BC$5:BC$19)*(U$40:U$54))*SUMIFS(U$74:U$103,$F$74:$F$103,$BQ175,$G$74:$G$103,$BR175)</f>
        <v>0.47920000000000001</v>
      </c>
      <c r="CG175" s="193" cm="1">
        <f t="array" ref="CG175">SUMPRODUCT(($AN$5:$AN$19=$BQ175)*(BD$5:BD$19)*(V$40:V$54))*SUMIFS(V$74:V$103,$F$74:$F$103,$BQ175,$G$74:$G$103,$BR175)</f>
        <v>0.90800000000000003</v>
      </c>
      <c r="CH175" s="193" cm="1">
        <f t="array" ref="CH175">SUMPRODUCT(($AN$5:$AN$19=$BQ175)*(BE$5:BE$19)*(W$40:W$54))*SUMIFS(W$74:W$103,$F$74:$F$103,$BQ175,$G$74:$G$103,$BR175)</f>
        <v>6.2168000000000001</v>
      </c>
      <c r="CI175" s="193" cm="1">
        <f t="array" ref="CI175">SUMPRODUCT(($AN$5:$AN$19=$BQ175)*(BF$5:BF$19)*(X$40:X$54))*SUMIFS(X$74:X$103,$F$74:$F$103,$BQ175,$G$74:$G$103,$BR175)</f>
        <v>2.7648000000000001</v>
      </c>
      <c r="CJ175" s="193" cm="1">
        <f t="array" ref="CJ175">SUMPRODUCT(($AN$5:$AN$19=$BQ175)*(BG$5:BG$19)*(Y$40:Y$54))*SUMIFS(Y$74:Y$103,$F$74:$F$103,$BQ175,$G$74:$G$103,$BR175)</f>
        <v>0</v>
      </c>
      <c r="CK175" s="193" cm="1">
        <f t="array" ref="CK175">SUMPRODUCT(($AN$5:$AN$19=$BQ175)*(BH$5:BH$19)*(Z$40:Z$54))*SUMIFS(Z$74:Z$103,$F$74:$F$103,$BQ175,$G$74:$G$103,$BR175)</f>
        <v>0</v>
      </c>
      <c r="CL175" s="193" cm="1">
        <f t="array" ref="CL175">SUMPRODUCT(($AN$5:$AN$19=$BQ175)*(BI$5:BI$19)*(AA$40:AA$54))*SUMIFS(AA$74:AA$103,$F$74:$F$103,$BQ175,$G$74:$G$103,$BR175)</f>
        <v>10.283200000000001</v>
      </c>
      <c r="CM175" s="193" cm="1">
        <f t="array" ref="CM175">SUMPRODUCT(($AN$5:$AN$19=$BQ175)*(BJ$5:BJ$19)*(AB$40:AB$54))*SUMIFS(AB$74:AB$103,$F$74:$F$103,$BQ175,$G$74:$G$103,$BR175)</f>
        <v>0</v>
      </c>
      <c r="CN175" s="193" cm="1">
        <f t="array" ref="CN175">SUMPRODUCT(($AN$5:$AN$19=$BQ175)*(BK$5:BK$19)*(AC$40:AC$54))*SUMIFS(AC$74:AC$103,$F$74:$F$103,$BQ175,$G$74:$G$103,$BR175)</f>
        <v>0</v>
      </c>
      <c r="CO175" s="193" cm="1">
        <f t="array" ref="CO175">SUMPRODUCT(($AN$5:$AN$19=$BQ175)*(BL$5:BL$19)*(AD$40:AD$54))*SUMIFS(AD$74:AD$103,$F$74:$F$103,$BQ175,$G$74:$G$103,$BR175)</f>
        <v>0</v>
      </c>
      <c r="CP175" s="193" cm="1">
        <f t="array" ref="CP175">SUMPRODUCT(($AN$5:$AN$19=$BQ175)*(BM$5:BM$19)*(AE$40:AE$54))*SUMIFS(AE$74:AE$103,$F$74:$F$103,$BQ175,$G$74:$G$103,$BR175)</f>
        <v>0</v>
      </c>
      <c r="CQ175" s="193" cm="1">
        <f t="array" ref="CQ175">SUMPRODUCT(($AN$5:$AN$19=$BQ175)*(BN$5:BN$19)*(AF$40:AF$54))*SUMIFS(AF$74:AF$103,$F$74:$F$103,$BQ175,$G$74:$G$103,$BR175)</f>
        <v>0</v>
      </c>
      <c r="CR175" s="193" cm="1">
        <f t="array" ref="CR175">SUMPRODUCT(($AN$5:$AN$19=$BQ175)*(BO$5:BO$19)*(AG$40:AG$54))*SUMIFS(AG$74:AG$103,$F$74:$F$103,$BQ175,$G$74:$G$103,$BR175)</f>
        <v>0</v>
      </c>
      <c r="CS175" s="193" cm="1">
        <f t="array" ref="CS175">SUMPRODUCT(($AN$5:$AN$19=$BQ175)*(BP$5:BP$19)*(AH$40:AH$54))*SUMIFS(AH$74:AH$103,$F$74:$F$103,$BQ175,$G$74:$G$103,$BR175)</f>
        <v>0.74800000000000011</v>
      </c>
      <c r="CT175" s="193" cm="1">
        <f t="array" ref="CT175">SUMPRODUCT(($AN$5:$AN$19=$BQ175)*(BQ$5:BQ$19)*(AI$40:AI$54))*SUMIFS(AI$74:AI$103,$F$74:$F$103,$BQ175,$G$74:$G$103,$BR175)</f>
        <v>6.9575999999999993</v>
      </c>
    </row>
    <row r="176" spans="1:98" x14ac:dyDescent="0.25">
      <c r="A176" t="s">
        <v>137</v>
      </c>
      <c r="B176" t="str">
        <f t="shared" si="116"/>
        <v>NO</v>
      </c>
      <c r="F176" t="s">
        <v>1279</v>
      </c>
      <c r="H176" s="193">
        <f>AN175</f>
        <v>0</v>
      </c>
      <c r="I176" s="193">
        <f t="shared" ref="I176:AH176" si="126">AO175</f>
        <v>0.80307692307692302</v>
      </c>
      <c r="J176" s="193">
        <f t="shared" si="126"/>
        <v>0.17908996093195287</v>
      </c>
      <c r="K176" s="193">
        <f t="shared" si="126"/>
        <v>0</v>
      </c>
      <c r="L176" s="193">
        <f t="shared" si="126"/>
        <v>6.8400000000000007</v>
      </c>
      <c r="M176" s="193">
        <f t="shared" si="126"/>
        <v>1.7328967845879764</v>
      </c>
      <c r="N176" s="193">
        <f t="shared" si="126"/>
        <v>0</v>
      </c>
      <c r="O176" s="193">
        <f t="shared" si="126"/>
        <v>0</v>
      </c>
      <c r="P176" s="193">
        <f t="shared" si="126"/>
        <v>25.629966817616342</v>
      </c>
      <c r="Q176" s="193">
        <f t="shared" si="126"/>
        <v>1.6806153846153846</v>
      </c>
      <c r="R176" s="193">
        <f t="shared" si="126"/>
        <v>0</v>
      </c>
      <c r="S176" s="193">
        <f t="shared" si="126"/>
        <v>36.963858599309717</v>
      </c>
      <c r="T176" s="193">
        <f t="shared" si="126"/>
        <v>0.9316923076923076</v>
      </c>
      <c r="U176" s="193">
        <f t="shared" si="126"/>
        <v>0.36861538461538457</v>
      </c>
      <c r="V176" s="193">
        <f t="shared" si="126"/>
        <v>0.69846153846153847</v>
      </c>
      <c r="W176" s="193">
        <f t="shared" si="126"/>
        <v>4.7821538461538458</v>
      </c>
      <c r="X176" s="193">
        <f t="shared" si="126"/>
        <v>2.1267692307692307</v>
      </c>
      <c r="Y176" s="193">
        <f t="shared" si="126"/>
        <v>0</v>
      </c>
      <c r="Z176" s="193">
        <f t="shared" si="126"/>
        <v>0</v>
      </c>
      <c r="AA176" s="193">
        <f t="shared" si="126"/>
        <v>7.9101538461538459</v>
      </c>
      <c r="AB176" s="193">
        <f t="shared" si="126"/>
        <v>0</v>
      </c>
      <c r="AC176" s="193">
        <f t="shared" si="126"/>
        <v>0</v>
      </c>
      <c r="AD176" s="193">
        <f t="shared" si="126"/>
        <v>0</v>
      </c>
      <c r="AE176" s="193">
        <f t="shared" si="126"/>
        <v>0</v>
      </c>
      <c r="AF176" s="193">
        <f t="shared" si="126"/>
        <v>0</v>
      </c>
      <c r="AG176" s="193">
        <f t="shared" si="126"/>
        <v>0</v>
      </c>
      <c r="AH176" s="193">
        <f t="shared" si="126"/>
        <v>0.57538461538461538</v>
      </c>
      <c r="AI176" s="193">
        <f>BO175</f>
        <v>5.3519999999999994</v>
      </c>
      <c r="AN176" s="193"/>
      <c r="AO176" s="193"/>
      <c r="AP176" s="193"/>
      <c r="AQ176" s="193"/>
      <c r="AR176" s="193"/>
      <c r="AS176" s="193"/>
      <c r="AT176" s="193"/>
      <c r="AU176" s="193"/>
      <c r="AV176" s="193"/>
      <c r="AW176" s="193"/>
      <c r="AX176" s="193"/>
      <c r="AY176" s="193"/>
      <c r="AZ176" s="193"/>
      <c r="BA176" s="193"/>
      <c r="BB176" s="193"/>
      <c r="BC176" s="193"/>
      <c r="BD176" s="193"/>
      <c r="BE176" s="193"/>
      <c r="BF176" s="193"/>
      <c r="BG176" s="193"/>
      <c r="BH176" s="193"/>
      <c r="BI176" s="193"/>
      <c r="BJ176" s="193"/>
      <c r="BK176" s="193"/>
      <c r="BL176" s="193"/>
      <c r="BM176" s="193"/>
      <c r="BN176" s="193"/>
      <c r="BO176" s="193"/>
      <c r="BS176" s="193"/>
      <c r="BT176" s="193"/>
      <c r="BU176" s="193"/>
      <c r="BV176" s="193"/>
      <c r="BW176" s="193"/>
      <c r="BX176" s="193"/>
      <c r="BY176" s="193"/>
      <c r="BZ176" s="193"/>
      <c r="CA176" s="193"/>
      <c r="CB176" s="193"/>
      <c r="CC176" s="193"/>
      <c r="CD176" s="193"/>
      <c r="CE176" s="193"/>
      <c r="CF176" s="193"/>
      <c r="CG176" s="193"/>
      <c r="CH176" s="193"/>
      <c r="CI176" s="193"/>
      <c r="CJ176" s="193"/>
      <c r="CK176" s="193"/>
      <c r="CL176" s="193"/>
      <c r="CM176" s="193"/>
      <c r="CN176" s="193"/>
      <c r="CO176" s="193"/>
      <c r="CP176" s="193"/>
      <c r="CQ176" s="193"/>
      <c r="CR176" s="193"/>
      <c r="CS176" s="193"/>
      <c r="CT176" s="193"/>
    </row>
    <row r="177" spans="1:98" x14ac:dyDescent="0.25">
      <c r="A177" t="s">
        <v>139</v>
      </c>
      <c r="B177" t="str">
        <f t="shared" si="116"/>
        <v>NO</v>
      </c>
      <c r="D177" t="s">
        <v>575</v>
      </c>
      <c r="AM177" t="s">
        <v>466</v>
      </c>
      <c r="AN177" s="193">
        <f>SUM(AN163:AN175)</f>
        <v>0</v>
      </c>
      <c r="AO177" s="193">
        <f t="shared" ref="AO177:BO177" si="127">SUM(AO163:AO175)</f>
        <v>0.86399999999999988</v>
      </c>
      <c r="AP177" s="193">
        <f t="shared" si="127"/>
        <v>0.17908996093195287</v>
      </c>
      <c r="AQ177" s="193">
        <f t="shared" si="127"/>
        <v>38.614598693758701</v>
      </c>
      <c r="AR177" s="193">
        <f t="shared" si="127"/>
        <v>116.96379039603666</v>
      </c>
      <c r="AS177" s="193">
        <f t="shared" si="127"/>
        <v>82.943627972822028</v>
      </c>
      <c r="AT177" s="193">
        <f t="shared" si="127"/>
        <v>0</v>
      </c>
      <c r="AU177" s="193">
        <f t="shared" si="127"/>
        <v>0</v>
      </c>
      <c r="AV177" s="193">
        <f t="shared" si="127"/>
        <v>99.965074613601985</v>
      </c>
      <c r="AW177" s="193">
        <f t="shared" si="127"/>
        <v>52.916298203034081</v>
      </c>
      <c r="AX177" s="193">
        <f t="shared" si="127"/>
        <v>0</v>
      </c>
      <c r="AY177" s="193">
        <f t="shared" si="127"/>
        <v>36.963858599309717</v>
      </c>
      <c r="AZ177" s="193">
        <f t="shared" si="127"/>
        <v>14.97437104987211</v>
      </c>
      <c r="BA177" s="193">
        <f t="shared" si="127"/>
        <v>11.689307209713144</v>
      </c>
      <c r="BB177" s="193">
        <f t="shared" si="127"/>
        <v>13.897747264581959</v>
      </c>
      <c r="BC177" s="193">
        <f t="shared" si="127"/>
        <v>51.889410366393115</v>
      </c>
      <c r="BD177" s="193">
        <f t="shared" si="127"/>
        <v>73.322156262559886</v>
      </c>
      <c r="BE177" s="193">
        <f t="shared" si="127"/>
        <v>0</v>
      </c>
      <c r="BF177" s="193">
        <f t="shared" si="127"/>
        <v>0</v>
      </c>
      <c r="BG177" s="193">
        <f t="shared" si="127"/>
        <v>53.381706720189584</v>
      </c>
      <c r="BH177" s="193">
        <f t="shared" si="127"/>
        <v>0.85168677138163451</v>
      </c>
      <c r="BI177" s="193">
        <f t="shared" si="127"/>
        <v>16.58091983925214</v>
      </c>
      <c r="BJ177" s="193">
        <f t="shared" si="127"/>
        <v>0</v>
      </c>
      <c r="BK177" s="193">
        <f t="shared" si="127"/>
        <v>2.217015529707639</v>
      </c>
      <c r="BL177" s="193">
        <f t="shared" si="127"/>
        <v>0</v>
      </c>
      <c r="BM177" s="193">
        <f t="shared" si="127"/>
        <v>94.075756431104594</v>
      </c>
      <c r="BN177" s="193">
        <f t="shared" si="127"/>
        <v>28.100171953667207</v>
      </c>
      <c r="BO177" s="193">
        <f t="shared" si="127"/>
        <v>149.89860081748444</v>
      </c>
      <c r="BS177" s="193"/>
      <c r="BT177" s="193"/>
      <c r="BU177" s="193"/>
      <c r="BV177" s="193"/>
      <c r="BW177" s="193"/>
      <c r="BX177" s="193"/>
      <c r="BY177" s="193"/>
      <c r="BZ177" s="193"/>
      <c r="CA177" s="193"/>
      <c r="CB177" s="193"/>
      <c r="CC177" s="193"/>
      <c r="CD177" s="193"/>
      <c r="CE177" s="193"/>
      <c r="CF177" s="193"/>
      <c r="CG177" s="193"/>
      <c r="CH177" s="193"/>
      <c r="CI177" s="193"/>
      <c r="CJ177" s="193"/>
      <c r="CK177" s="193"/>
      <c r="CL177" s="193"/>
      <c r="CM177" s="193"/>
      <c r="CN177" s="193"/>
      <c r="CO177" s="193"/>
      <c r="CP177" s="193"/>
      <c r="CQ177" s="193"/>
      <c r="CR177" s="193"/>
      <c r="CS177" s="193"/>
      <c r="CT177" s="193"/>
    </row>
    <row r="178" spans="1:98" x14ac:dyDescent="0.25">
      <c r="D178" t="s">
        <v>575</v>
      </c>
      <c r="AN178" s="193"/>
      <c r="AO178" s="193"/>
      <c r="AP178" s="193"/>
      <c r="AQ178" s="193"/>
      <c r="AR178" s="193"/>
      <c r="AS178" s="193"/>
      <c r="AT178" s="193"/>
      <c r="AU178" s="193"/>
      <c r="AV178" s="193"/>
      <c r="AW178" s="193"/>
      <c r="AX178" s="193"/>
      <c r="AY178" s="193"/>
      <c r="AZ178" s="193"/>
      <c r="BA178" s="193"/>
      <c r="BB178" s="193"/>
      <c r="BC178" s="193"/>
      <c r="BD178" s="193"/>
      <c r="BE178" s="193"/>
      <c r="BF178" s="193"/>
      <c r="BG178" s="193"/>
      <c r="BH178" s="193"/>
      <c r="BI178" s="193"/>
      <c r="BJ178" s="193"/>
      <c r="BK178" s="193"/>
      <c r="BL178" s="193"/>
      <c r="BM178" s="193"/>
      <c r="BN178" s="193"/>
      <c r="BO178" s="193"/>
      <c r="BS178" s="193"/>
      <c r="BT178" s="193"/>
      <c r="BU178" s="193"/>
      <c r="BV178" s="193"/>
      <c r="BW178" s="193"/>
      <c r="BX178" s="193"/>
      <c r="BY178" s="193"/>
      <c r="BZ178" s="193"/>
      <c r="CA178" s="193"/>
      <c r="CB178" s="193"/>
      <c r="CC178" s="193"/>
      <c r="CD178" s="193"/>
      <c r="CE178" s="193"/>
      <c r="CF178" s="193"/>
      <c r="CG178" s="193"/>
      <c r="CH178" s="193"/>
      <c r="CI178" s="193"/>
      <c r="CJ178" s="193"/>
      <c r="CK178" s="193"/>
      <c r="CL178" s="193"/>
      <c r="CM178" s="193"/>
      <c r="CN178" s="193"/>
      <c r="CO178" s="193"/>
      <c r="CP178" s="193"/>
      <c r="CQ178" s="193"/>
      <c r="CR178" s="193"/>
      <c r="CS178" s="193"/>
      <c r="CT178" s="193"/>
    </row>
    <row r="179" spans="1:98" x14ac:dyDescent="0.25">
      <c r="D179" t="s">
        <v>1284</v>
      </c>
      <c r="AN179" s="193"/>
      <c r="AO179" s="193"/>
      <c r="AP179" s="193"/>
      <c r="AQ179" s="193"/>
      <c r="AR179" s="193"/>
      <c r="AS179" s="193"/>
      <c r="AT179" s="193"/>
      <c r="AU179" s="193"/>
      <c r="AV179" s="193"/>
      <c r="AW179" s="193"/>
      <c r="AX179" s="193"/>
      <c r="AY179" s="193"/>
      <c r="AZ179" s="193"/>
      <c r="BA179" s="193"/>
      <c r="BB179" s="193"/>
      <c r="BC179" s="193"/>
      <c r="BD179" s="193"/>
      <c r="BE179" s="193"/>
      <c r="BF179" s="193"/>
      <c r="BG179" s="193"/>
      <c r="BH179" s="193"/>
      <c r="BI179" s="193"/>
      <c r="BJ179" s="193"/>
      <c r="BK179" s="193"/>
      <c r="BL179" s="193"/>
      <c r="BM179" s="193"/>
      <c r="BN179" s="193"/>
      <c r="BO179" s="193"/>
      <c r="BS179" s="193"/>
      <c r="BT179" s="193"/>
      <c r="BU179" s="193"/>
      <c r="BV179" s="193"/>
      <c r="BW179" s="193"/>
      <c r="BX179" s="193"/>
      <c r="BY179" s="193"/>
      <c r="BZ179" s="193"/>
      <c r="CA179" s="193"/>
      <c r="CB179" s="193"/>
      <c r="CC179" s="193"/>
      <c r="CD179" s="193"/>
      <c r="CE179" s="193"/>
      <c r="CF179" s="193"/>
      <c r="CG179" s="193"/>
      <c r="CH179" s="193"/>
      <c r="CI179" s="193"/>
      <c r="CJ179" s="193"/>
      <c r="CK179" s="193"/>
      <c r="CL179" s="193"/>
      <c r="CM179" s="193"/>
      <c r="CN179" s="193"/>
      <c r="CO179" s="193"/>
      <c r="CP179" s="193"/>
      <c r="CQ179" s="193"/>
      <c r="CR179" s="193"/>
      <c r="CS179" s="193"/>
      <c r="CT179" s="193"/>
    </row>
    <row r="180" spans="1:98" x14ac:dyDescent="0.25">
      <c r="B180" t="s">
        <v>108</v>
      </c>
      <c r="D180" t="s">
        <v>1146</v>
      </c>
      <c r="E180">
        <v>30</v>
      </c>
      <c r="F180" t="s">
        <v>470</v>
      </c>
      <c r="G180" t="s">
        <v>120</v>
      </c>
      <c r="H180">
        <v>2</v>
      </c>
      <c r="I180">
        <v>2</v>
      </c>
      <c r="J180">
        <v>2</v>
      </c>
      <c r="K180">
        <v>2</v>
      </c>
      <c r="L180">
        <v>2</v>
      </c>
      <c r="M180">
        <v>2</v>
      </c>
      <c r="N180">
        <v>2</v>
      </c>
      <c r="O180">
        <v>2</v>
      </c>
      <c r="P180">
        <v>2</v>
      </c>
      <c r="Q180">
        <v>2</v>
      </c>
      <c r="R180">
        <v>2</v>
      </c>
      <c r="S180">
        <v>2</v>
      </c>
      <c r="T180">
        <v>2</v>
      </c>
      <c r="U180">
        <v>2</v>
      </c>
      <c r="V180">
        <v>2</v>
      </c>
      <c r="W180">
        <v>2</v>
      </c>
      <c r="X180">
        <v>2</v>
      </c>
      <c r="Y180">
        <v>2</v>
      </c>
      <c r="Z180">
        <v>2</v>
      </c>
      <c r="AA180">
        <v>2</v>
      </c>
      <c r="AB180">
        <v>2</v>
      </c>
      <c r="AC180">
        <v>2</v>
      </c>
      <c r="AD180">
        <v>2</v>
      </c>
      <c r="AE180">
        <v>2</v>
      </c>
      <c r="AF180">
        <v>2</v>
      </c>
      <c r="AG180">
        <v>2</v>
      </c>
      <c r="AH180">
        <v>2</v>
      </c>
      <c r="AI180">
        <v>2</v>
      </c>
      <c r="AN180" s="193"/>
      <c r="AO180" s="193"/>
      <c r="AP180" s="193"/>
      <c r="AQ180" s="193"/>
      <c r="AR180" s="193"/>
      <c r="AS180" s="193"/>
      <c r="AT180" s="193"/>
      <c r="AU180" s="193"/>
      <c r="AV180" s="193"/>
      <c r="AW180" s="193"/>
      <c r="AX180" s="193"/>
      <c r="AY180" s="193"/>
      <c r="AZ180" s="193"/>
      <c r="BA180" s="193"/>
      <c r="BB180" s="193"/>
      <c r="BC180" s="193"/>
      <c r="BD180" s="193"/>
      <c r="BE180" s="193"/>
      <c r="BF180" s="193"/>
      <c r="BG180" s="193"/>
      <c r="BH180" s="193"/>
      <c r="BI180" s="193"/>
      <c r="BJ180" s="193"/>
      <c r="BK180" s="193"/>
      <c r="BL180" s="193"/>
      <c r="BM180" s="193"/>
      <c r="BN180" s="193"/>
      <c r="BO180" s="193"/>
      <c r="BS180" s="193"/>
      <c r="BT180" s="193"/>
      <c r="BU180" s="193"/>
      <c r="BV180" s="193"/>
      <c r="BW180" s="193"/>
      <c r="BX180" s="193"/>
      <c r="BY180" s="193"/>
      <c r="BZ180" s="193"/>
      <c r="CA180" s="193"/>
      <c r="CB180" s="193"/>
      <c r="CC180" s="193"/>
      <c r="CD180" s="193"/>
      <c r="CE180" s="193"/>
      <c r="CF180" s="193"/>
      <c r="CG180" s="193"/>
      <c r="CH180" s="193"/>
      <c r="CI180" s="193"/>
      <c r="CJ180" s="193"/>
      <c r="CK180" s="193"/>
      <c r="CL180" s="193"/>
      <c r="CM180" s="193"/>
      <c r="CN180" s="193"/>
      <c r="CO180" s="193"/>
      <c r="CP180" s="193"/>
      <c r="CQ180" s="193"/>
      <c r="CR180" s="193"/>
      <c r="CS180" s="193"/>
      <c r="CT180" s="193"/>
    </row>
    <row r="181" spans="1:98" x14ac:dyDescent="0.25">
      <c r="A181" t="s">
        <v>113</v>
      </c>
      <c r="B181" t="str">
        <f t="shared" ref="B181:B195" si="128">IF(ISNUMBER(MATCH(A181,$G$180:$G$194,0)),"YES","NO")</f>
        <v>NO</v>
      </c>
      <c r="F181" t="s">
        <v>472</v>
      </c>
      <c r="G181" t="s">
        <v>1256</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c r="AD181">
        <v>1</v>
      </c>
      <c r="AE181">
        <v>1</v>
      </c>
      <c r="AF181">
        <v>1</v>
      </c>
      <c r="AG181">
        <v>1</v>
      </c>
      <c r="AH181">
        <v>1</v>
      </c>
      <c r="AI181">
        <v>1</v>
      </c>
      <c r="AM181" t="s">
        <v>1256</v>
      </c>
      <c r="AN181" s="193">
        <f>(H181/H180)*BS181</f>
        <v>0</v>
      </c>
      <c r="AO181" s="193">
        <f t="shared" ref="AO181:BO181" si="129">(I181/I180)*BT181</f>
        <v>0</v>
      </c>
      <c r="AP181" s="193">
        <f t="shared" si="129"/>
        <v>0</v>
      </c>
      <c r="AQ181" s="193">
        <f t="shared" si="129"/>
        <v>0</v>
      </c>
      <c r="AR181" s="193">
        <f t="shared" si="129"/>
        <v>0</v>
      </c>
      <c r="AS181" s="193">
        <f t="shared" si="129"/>
        <v>0</v>
      </c>
      <c r="AT181" s="193">
        <f t="shared" si="129"/>
        <v>0</v>
      </c>
      <c r="AU181" s="193">
        <f t="shared" si="129"/>
        <v>0</v>
      </c>
      <c r="AV181" s="193">
        <f t="shared" si="129"/>
        <v>0</v>
      </c>
      <c r="AW181" s="193">
        <f t="shared" si="129"/>
        <v>0</v>
      </c>
      <c r="AX181" s="193">
        <f t="shared" si="129"/>
        <v>0</v>
      </c>
      <c r="AY181" s="193">
        <f t="shared" si="129"/>
        <v>0</v>
      </c>
      <c r="AZ181" s="193">
        <f t="shared" si="129"/>
        <v>0</v>
      </c>
      <c r="BA181" s="193">
        <f t="shared" si="129"/>
        <v>0</v>
      </c>
      <c r="BB181" s="193">
        <f t="shared" si="129"/>
        <v>0</v>
      </c>
      <c r="BC181" s="193">
        <f t="shared" si="129"/>
        <v>0</v>
      </c>
      <c r="BD181" s="193">
        <f t="shared" si="129"/>
        <v>0</v>
      </c>
      <c r="BE181" s="193">
        <f t="shared" si="129"/>
        <v>0</v>
      </c>
      <c r="BF181" s="193">
        <f t="shared" si="129"/>
        <v>0</v>
      </c>
      <c r="BG181" s="193">
        <f t="shared" si="129"/>
        <v>0</v>
      </c>
      <c r="BH181" s="193">
        <f t="shared" si="129"/>
        <v>0</v>
      </c>
      <c r="BI181" s="193">
        <f t="shared" si="129"/>
        <v>0</v>
      </c>
      <c r="BJ181" s="193">
        <f t="shared" si="129"/>
        <v>0</v>
      </c>
      <c r="BK181" s="193">
        <f t="shared" si="129"/>
        <v>0</v>
      </c>
      <c r="BL181" s="193">
        <f t="shared" si="129"/>
        <v>0</v>
      </c>
      <c r="BM181" s="193">
        <f t="shared" si="129"/>
        <v>0</v>
      </c>
      <c r="BN181" s="193">
        <f t="shared" si="129"/>
        <v>0</v>
      </c>
      <c r="BO181" s="193">
        <f t="shared" si="129"/>
        <v>0</v>
      </c>
      <c r="BQ181" t="s">
        <v>120</v>
      </c>
      <c r="BR181" t="s">
        <v>1256</v>
      </c>
      <c r="BS181" s="193" cm="1">
        <f t="array" ref="BS181">SUMPRODUCT(($AN$5:$AN$19=$BQ181)*(AP$5:AP$19)*(H$40:H$54))*SUMIFS(H$74:H$103,$F$74:$F$103,$BQ181,$G$74:$G$103,$BR181)</f>
        <v>0</v>
      </c>
      <c r="BT181" s="193" cm="1">
        <f t="array" ref="BT181">SUMPRODUCT(($AN$5:$AN$19=$BQ181)*(AQ$5:AQ$19)*(I$40:I$54))*SUMIFS(I$74:I$103,$F$74:$F$103,$BQ181,$G$74:$G$103,$BR181)</f>
        <v>0</v>
      </c>
      <c r="BU181" s="193" cm="1">
        <f t="array" ref="BU181">SUMPRODUCT(($AN$5:$AN$19=$BQ181)*(AR$5:AR$19)*(J$40:J$54))*SUMIFS(J$74:J$103,$F$74:$F$103,$BQ181,$G$74:$G$103,$BR181)</f>
        <v>0</v>
      </c>
      <c r="BV181" s="193" cm="1">
        <f t="array" ref="BV181">SUMPRODUCT(($AN$5:$AN$19=$BQ181)*(AS$5:AS$19)*(K$40:K$54))*SUMIFS(K$74:K$103,$F$74:$F$103,$BQ181,$G$74:$G$103,$BR181)</f>
        <v>0</v>
      </c>
      <c r="BW181" s="193" cm="1">
        <f t="array" ref="BW181">SUMPRODUCT(($AN$5:$AN$19=$BQ181)*(AT$5:AT$19)*(L$40:L$54))*SUMIFS(L$74:L$103,$F$74:$F$103,$BQ181,$G$74:$G$103,$BR181)</f>
        <v>0</v>
      </c>
      <c r="BX181" s="193" cm="1">
        <f t="array" ref="BX181">SUMPRODUCT(($AN$5:$AN$19=$BQ181)*(AU$5:AU$19)*(M$40:M$54))*SUMIFS(M$74:M$103,$F$74:$F$103,$BQ181,$G$74:$G$103,$BR181)</f>
        <v>0</v>
      </c>
      <c r="BY181" s="193" cm="1">
        <f t="array" ref="BY181">SUMPRODUCT(($AN$5:$AN$19=$BQ181)*(AV$5:AV$19)*(N$40:N$54))*SUMIFS(N$74:N$103,$F$74:$F$103,$BQ181,$G$74:$G$103,$BR181)</f>
        <v>0</v>
      </c>
      <c r="BZ181" s="193" cm="1">
        <f t="array" ref="BZ181">SUMPRODUCT(($AN$5:$AN$19=$BQ181)*(AW$5:AW$19)*(O$40:O$54))*SUMIFS(O$74:O$103,$F$74:$F$103,$BQ181,$G$74:$G$103,$BR181)</f>
        <v>0</v>
      </c>
      <c r="CA181" s="193" cm="1">
        <f t="array" ref="CA181">SUMPRODUCT(($AN$5:$AN$19=$BQ181)*(AX$5:AX$19)*(P$40:P$54))*SUMIFS(P$74:P$103,$F$74:$F$103,$BQ181,$G$74:$G$103,$BR181)</f>
        <v>0</v>
      </c>
      <c r="CB181" s="193" cm="1">
        <f t="array" ref="CB181">SUMPRODUCT(($AN$5:$AN$19=$BQ181)*(AY$5:AY$19)*(Q$40:Q$54))*SUMIFS(Q$74:Q$103,$F$74:$F$103,$BQ181,$G$74:$G$103,$BR181)</f>
        <v>0</v>
      </c>
      <c r="CC181" s="193" cm="1">
        <f t="array" ref="CC181">SUMPRODUCT(($AN$5:$AN$19=$BQ181)*(AZ$5:AZ$19)*(R$40:R$54))*SUMIFS(R$74:R$103,$F$74:$F$103,$BQ181,$G$74:$G$103,$BR181)</f>
        <v>0</v>
      </c>
      <c r="CD181" s="193" cm="1">
        <f t="array" ref="CD181">SUMPRODUCT(($AN$5:$AN$19=$BQ181)*(BA$5:BA$19)*(S$40:S$54))*SUMIFS(S$74:S$103,$F$74:$F$103,$BQ181,$G$74:$G$103,$BR181)</f>
        <v>0</v>
      </c>
      <c r="CE181" s="193" cm="1">
        <f t="array" ref="CE181">SUMPRODUCT(($AN$5:$AN$19=$BQ181)*(BB$5:BB$19)*(T$40:T$54))*SUMIFS(T$74:T$103,$F$74:$F$103,$BQ181,$G$74:$G$103,$BR181)</f>
        <v>0</v>
      </c>
      <c r="CF181" s="193" cm="1">
        <f t="array" ref="CF181">SUMPRODUCT(($AN$5:$AN$19=$BQ181)*(BC$5:BC$19)*(U$40:U$54))*SUMIFS(U$74:U$103,$F$74:$F$103,$BQ181,$G$74:$G$103,$BR181)</f>
        <v>0</v>
      </c>
      <c r="CG181" s="193" cm="1">
        <f t="array" ref="CG181">SUMPRODUCT(($AN$5:$AN$19=$BQ181)*(BD$5:BD$19)*(V$40:V$54))*SUMIFS(V$74:V$103,$F$74:$F$103,$BQ181,$G$74:$G$103,$BR181)</f>
        <v>0</v>
      </c>
      <c r="CH181" s="193" cm="1">
        <f t="array" ref="CH181">SUMPRODUCT(($AN$5:$AN$19=$BQ181)*(BE$5:BE$19)*(W$40:W$54))*SUMIFS(W$74:W$103,$F$74:$F$103,$BQ181,$G$74:$G$103,$BR181)</f>
        <v>0</v>
      </c>
      <c r="CI181" s="193" cm="1">
        <f t="array" ref="CI181">SUMPRODUCT(($AN$5:$AN$19=$BQ181)*(BF$5:BF$19)*(X$40:X$54))*SUMIFS(X$74:X$103,$F$74:$F$103,$BQ181,$G$74:$G$103,$BR181)</f>
        <v>0</v>
      </c>
      <c r="CJ181" s="193" cm="1">
        <f t="array" ref="CJ181">SUMPRODUCT(($AN$5:$AN$19=$BQ181)*(BG$5:BG$19)*(Y$40:Y$54))*SUMIFS(Y$74:Y$103,$F$74:$F$103,$BQ181,$G$74:$G$103,$BR181)</f>
        <v>0</v>
      </c>
      <c r="CK181" s="193" cm="1">
        <f t="array" ref="CK181">SUMPRODUCT(($AN$5:$AN$19=$BQ181)*(BH$5:BH$19)*(Z$40:Z$54))*SUMIFS(Z$74:Z$103,$F$74:$F$103,$BQ181,$G$74:$G$103,$BR181)</f>
        <v>0</v>
      </c>
      <c r="CL181" s="193" cm="1">
        <f t="array" ref="CL181">SUMPRODUCT(($AN$5:$AN$19=$BQ181)*(BI$5:BI$19)*(AA$40:AA$54))*SUMIFS(AA$74:AA$103,$F$74:$F$103,$BQ181,$G$74:$G$103,$BR181)</f>
        <v>0</v>
      </c>
      <c r="CM181" s="193" cm="1">
        <f t="array" ref="CM181">SUMPRODUCT(($AN$5:$AN$19=$BQ181)*(BJ$5:BJ$19)*(AB$40:AB$54))*SUMIFS(AB$74:AB$103,$F$74:$F$103,$BQ181,$G$74:$G$103,$BR181)</f>
        <v>0</v>
      </c>
      <c r="CN181" s="193" cm="1">
        <f t="array" ref="CN181">SUMPRODUCT(($AN$5:$AN$19=$BQ181)*(BK$5:BK$19)*(AC$40:AC$54))*SUMIFS(AC$74:AC$103,$F$74:$F$103,$BQ181,$G$74:$G$103,$BR181)</f>
        <v>0</v>
      </c>
      <c r="CO181" s="193" cm="1">
        <f t="array" ref="CO181">SUMPRODUCT(($AN$5:$AN$19=$BQ181)*(BL$5:BL$19)*(AD$40:AD$54))*SUMIFS(AD$74:AD$103,$F$74:$F$103,$BQ181,$G$74:$G$103,$BR181)</f>
        <v>0</v>
      </c>
      <c r="CP181" s="193" cm="1">
        <f t="array" ref="CP181">SUMPRODUCT(($AN$5:$AN$19=$BQ181)*(BM$5:BM$19)*(AE$40:AE$54))*SUMIFS(AE$74:AE$103,$F$74:$F$103,$BQ181,$G$74:$G$103,$BR181)</f>
        <v>0</v>
      </c>
      <c r="CQ181" s="193" cm="1">
        <f t="array" ref="CQ181">SUMPRODUCT(($AN$5:$AN$19=$BQ181)*(BN$5:BN$19)*(AF$40:AF$54))*SUMIFS(AF$74:AF$103,$F$74:$F$103,$BQ181,$G$74:$G$103,$BR181)</f>
        <v>0</v>
      </c>
      <c r="CR181" s="193" cm="1">
        <f t="array" ref="CR181">SUMPRODUCT(($AN$5:$AN$19=$BQ181)*(BO$5:BO$19)*(AG$40:AG$54))*SUMIFS(AG$74:AG$103,$F$74:$F$103,$BQ181,$G$74:$G$103,$BR181)</f>
        <v>0</v>
      </c>
      <c r="CS181" s="193" cm="1">
        <f t="array" ref="CS181">SUMPRODUCT(($AN$5:$AN$19=$BQ181)*(BP$5:BP$19)*(AH$40:AH$54))*SUMIFS(AH$74:AH$103,$F$74:$F$103,$BQ181,$G$74:$G$103,$BR181)</f>
        <v>0</v>
      </c>
      <c r="CT181" s="193" cm="1">
        <f t="array" ref="CT181">SUMPRODUCT(($AN$5:$AN$19=$BQ181)*(BQ$5:BQ$19)*(AI$40:AI$54))*SUMIFS(AI$74:AI$103,$F$74:$F$103,$BQ181,$G$74:$G$103,$BR181)</f>
        <v>0</v>
      </c>
    </row>
    <row r="182" spans="1:98" x14ac:dyDescent="0.25">
      <c r="A182" t="s">
        <v>115</v>
      </c>
      <c r="B182" t="str">
        <f t="shared" si="128"/>
        <v>NO</v>
      </c>
      <c r="F182" t="s">
        <v>1279</v>
      </c>
      <c r="H182" s="193">
        <f>AN181</f>
        <v>0</v>
      </c>
      <c r="I182" s="193">
        <f t="shared" ref="I182:AI182" si="130">AO181</f>
        <v>0</v>
      </c>
      <c r="J182" s="193">
        <f t="shared" si="130"/>
        <v>0</v>
      </c>
      <c r="K182" s="193">
        <f t="shared" si="130"/>
        <v>0</v>
      </c>
      <c r="L182" s="193">
        <f t="shared" si="130"/>
        <v>0</v>
      </c>
      <c r="M182" s="193">
        <f t="shared" si="130"/>
        <v>0</v>
      </c>
      <c r="N182" s="193">
        <f t="shared" si="130"/>
        <v>0</v>
      </c>
      <c r="O182" s="193">
        <f t="shared" si="130"/>
        <v>0</v>
      </c>
      <c r="P182" s="193">
        <f t="shared" si="130"/>
        <v>0</v>
      </c>
      <c r="Q182" s="193">
        <f t="shared" si="130"/>
        <v>0</v>
      </c>
      <c r="R182" s="193">
        <f t="shared" si="130"/>
        <v>0</v>
      </c>
      <c r="S182" s="193">
        <f t="shared" si="130"/>
        <v>0</v>
      </c>
      <c r="T182" s="193">
        <f t="shared" si="130"/>
        <v>0</v>
      </c>
      <c r="U182" s="193">
        <f t="shared" si="130"/>
        <v>0</v>
      </c>
      <c r="V182" s="193">
        <f t="shared" si="130"/>
        <v>0</v>
      </c>
      <c r="W182" s="193">
        <f t="shared" si="130"/>
        <v>0</v>
      </c>
      <c r="X182" s="193">
        <f t="shared" si="130"/>
        <v>0</v>
      </c>
      <c r="Y182" s="193">
        <f t="shared" si="130"/>
        <v>0</v>
      </c>
      <c r="Z182" s="193">
        <f t="shared" si="130"/>
        <v>0</v>
      </c>
      <c r="AA182" s="193">
        <f t="shared" si="130"/>
        <v>0</v>
      </c>
      <c r="AB182" s="193">
        <f t="shared" si="130"/>
        <v>0</v>
      </c>
      <c r="AC182" s="193">
        <f t="shared" si="130"/>
        <v>0</v>
      </c>
      <c r="AD182" s="193">
        <f t="shared" si="130"/>
        <v>0</v>
      </c>
      <c r="AE182" s="193">
        <f t="shared" si="130"/>
        <v>0</v>
      </c>
      <c r="AF182" s="193">
        <f t="shared" si="130"/>
        <v>0</v>
      </c>
      <c r="AG182" s="193">
        <f t="shared" si="130"/>
        <v>0</v>
      </c>
      <c r="AH182" s="193">
        <f t="shared" si="130"/>
        <v>0</v>
      </c>
      <c r="AI182" s="193">
        <f t="shared" si="130"/>
        <v>0</v>
      </c>
      <c r="AN182" s="193"/>
      <c r="AO182" s="193"/>
      <c r="AP182" s="193"/>
      <c r="AQ182" s="193"/>
      <c r="AR182" s="193"/>
      <c r="AS182" s="193"/>
      <c r="AT182" s="193"/>
      <c r="AU182" s="193"/>
      <c r="AV182" s="193"/>
      <c r="AW182" s="193"/>
      <c r="AX182" s="193"/>
      <c r="AY182" s="193"/>
      <c r="AZ182" s="193"/>
      <c r="BA182" s="193"/>
      <c r="BB182" s="193"/>
      <c r="BC182" s="193"/>
      <c r="BD182" s="193"/>
      <c r="BE182" s="193"/>
      <c r="BF182" s="193"/>
      <c r="BG182" s="193"/>
      <c r="BH182" s="193"/>
      <c r="BI182" s="193"/>
      <c r="BJ182" s="193"/>
      <c r="BK182" s="193"/>
      <c r="BL182" s="193"/>
      <c r="BM182" s="193"/>
      <c r="BN182" s="193"/>
      <c r="BO182" s="193"/>
      <c r="BS182" s="193"/>
      <c r="BT182" s="193"/>
      <c r="BU182" s="193"/>
      <c r="BV182" s="193"/>
      <c r="BW182" s="193"/>
      <c r="BX182" s="193"/>
      <c r="BY182" s="193"/>
      <c r="BZ182" s="193"/>
      <c r="CA182" s="193"/>
      <c r="CB182" s="193"/>
      <c r="CC182" s="193"/>
      <c r="CD182" s="193"/>
      <c r="CE182" s="193"/>
      <c r="CF182" s="193"/>
      <c r="CG182" s="193"/>
      <c r="CH182" s="193"/>
      <c r="CI182" s="193"/>
      <c r="CJ182" s="193"/>
      <c r="CK182" s="193"/>
      <c r="CL182" s="193"/>
      <c r="CM182" s="193"/>
      <c r="CN182" s="193"/>
      <c r="CO182" s="193"/>
      <c r="CP182" s="193"/>
      <c r="CQ182" s="193"/>
      <c r="CR182" s="193"/>
      <c r="CS182" s="193"/>
      <c r="CT182" s="193"/>
    </row>
    <row r="183" spans="1:98" x14ac:dyDescent="0.25">
      <c r="A183" t="s">
        <v>117</v>
      </c>
      <c r="B183" t="str">
        <f t="shared" si="128"/>
        <v>NO</v>
      </c>
      <c r="D183" t="s">
        <v>1148</v>
      </c>
      <c r="E183">
        <v>30</v>
      </c>
      <c r="F183" t="s">
        <v>470</v>
      </c>
      <c r="G183" t="s">
        <v>124</v>
      </c>
      <c r="H183">
        <v>2</v>
      </c>
      <c r="I183">
        <v>2</v>
      </c>
      <c r="J183">
        <v>2</v>
      </c>
      <c r="K183">
        <v>2</v>
      </c>
      <c r="L183">
        <v>2</v>
      </c>
      <c r="M183">
        <v>2</v>
      </c>
      <c r="N183">
        <v>2</v>
      </c>
      <c r="O183">
        <v>2</v>
      </c>
      <c r="P183">
        <v>2</v>
      </c>
      <c r="Q183">
        <v>2</v>
      </c>
      <c r="R183">
        <v>2</v>
      </c>
      <c r="S183">
        <v>2</v>
      </c>
      <c r="T183">
        <v>2</v>
      </c>
      <c r="U183">
        <v>2</v>
      </c>
      <c r="V183">
        <v>2</v>
      </c>
      <c r="W183">
        <v>2</v>
      </c>
      <c r="X183">
        <v>2</v>
      </c>
      <c r="Y183">
        <v>2</v>
      </c>
      <c r="Z183">
        <v>2</v>
      </c>
      <c r="AA183">
        <v>2</v>
      </c>
      <c r="AB183">
        <v>2</v>
      </c>
      <c r="AC183">
        <v>2</v>
      </c>
      <c r="AD183">
        <v>2</v>
      </c>
      <c r="AE183">
        <v>2</v>
      </c>
      <c r="AF183">
        <v>2</v>
      </c>
      <c r="AG183">
        <v>2</v>
      </c>
      <c r="AH183">
        <v>2</v>
      </c>
      <c r="AI183">
        <v>2</v>
      </c>
      <c r="AN183" s="193"/>
      <c r="AO183" s="193"/>
      <c r="AP183" s="193"/>
      <c r="AQ183" s="193"/>
      <c r="AR183" s="193"/>
      <c r="AS183" s="193"/>
      <c r="AT183" s="193"/>
      <c r="AU183" s="193"/>
      <c r="AV183" s="193"/>
      <c r="AW183" s="193"/>
      <c r="AX183" s="193"/>
      <c r="AY183" s="193"/>
      <c r="AZ183" s="193"/>
      <c r="BA183" s="193"/>
      <c r="BB183" s="193"/>
      <c r="BC183" s="193"/>
      <c r="BD183" s="193"/>
      <c r="BE183" s="193"/>
      <c r="BF183" s="193"/>
      <c r="BG183" s="193"/>
      <c r="BH183" s="193"/>
      <c r="BI183" s="193"/>
      <c r="BJ183" s="193"/>
      <c r="BK183" s="193"/>
      <c r="BL183" s="193"/>
      <c r="BM183" s="193"/>
      <c r="BN183" s="193"/>
      <c r="BO183" s="193"/>
      <c r="BS183" s="193"/>
      <c r="BT183" s="193"/>
      <c r="BU183" s="193"/>
      <c r="BV183" s="193"/>
      <c r="BW183" s="193"/>
      <c r="BX183" s="193"/>
      <c r="BY183" s="193"/>
      <c r="BZ183" s="193"/>
      <c r="CA183" s="193"/>
      <c r="CB183" s="193"/>
      <c r="CC183" s="193"/>
      <c r="CD183" s="193"/>
      <c r="CE183" s="193"/>
      <c r="CF183" s="193"/>
      <c r="CG183" s="193"/>
      <c r="CH183" s="193"/>
      <c r="CI183" s="193"/>
      <c r="CJ183" s="193"/>
      <c r="CK183" s="193"/>
      <c r="CL183" s="193"/>
      <c r="CM183" s="193"/>
      <c r="CN183" s="193"/>
      <c r="CO183" s="193"/>
      <c r="CP183" s="193"/>
      <c r="CQ183" s="193"/>
      <c r="CR183" s="193"/>
      <c r="CS183" s="193"/>
      <c r="CT183" s="193"/>
    </row>
    <row r="184" spans="1:98" x14ac:dyDescent="0.25">
      <c r="A184" t="s">
        <v>119</v>
      </c>
      <c r="B184" t="str">
        <f t="shared" si="128"/>
        <v>NO</v>
      </c>
      <c r="F184" t="s">
        <v>472</v>
      </c>
      <c r="G184" t="s">
        <v>1256</v>
      </c>
      <c r="H184">
        <v>1</v>
      </c>
      <c r="I184">
        <v>1</v>
      </c>
      <c r="J184">
        <v>1</v>
      </c>
      <c r="K184">
        <v>1</v>
      </c>
      <c r="L184">
        <v>1</v>
      </c>
      <c r="M184">
        <v>1</v>
      </c>
      <c r="N184">
        <v>1</v>
      </c>
      <c r="O184">
        <v>1</v>
      </c>
      <c r="P184">
        <v>1</v>
      </c>
      <c r="Q184">
        <v>1</v>
      </c>
      <c r="R184">
        <v>1</v>
      </c>
      <c r="S184">
        <v>1</v>
      </c>
      <c r="T184">
        <v>1</v>
      </c>
      <c r="U184">
        <v>1</v>
      </c>
      <c r="V184">
        <v>1</v>
      </c>
      <c r="W184">
        <v>1</v>
      </c>
      <c r="X184">
        <v>1</v>
      </c>
      <c r="Y184">
        <v>1</v>
      </c>
      <c r="Z184">
        <v>1</v>
      </c>
      <c r="AA184">
        <v>1</v>
      </c>
      <c r="AB184">
        <v>1</v>
      </c>
      <c r="AC184">
        <v>1</v>
      </c>
      <c r="AD184">
        <v>1</v>
      </c>
      <c r="AE184">
        <v>1</v>
      </c>
      <c r="AF184">
        <v>1</v>
      </c>
      <c r="AG184">
        <v>1</v>
      </c>
      <c r="AH184">
        <v>1</v>
      </c>
      <c r="AI184">
        <v>1</v>
      </c>
      <c r="AM184" t="s">
        <v>1256</v>
      </c>
      <c r="AN184" s="193">
        <f>(H184/H183)*BS184</f>
        <v>0</v>
      </c>
      <c r="AO184" s="193">
        <f t="shared" ref="AO184:BO184" si="131">(I184/I183)*BT184</f>
        <v>0</v>
      </c>
      <c r="AP184" s="193">
        <f t="shared" si="131"/>
        <v>0</v>
      </c>
      <c r="AQ184" s="193">
        <f t="shared" si="131"/>
        <v>0</v>
      </c>
      <c r="AR184" s="193">
        <f t="shared" si="131"/>
        <v>0</v>
      </c>
      <c r="AS184" s="193">
        <f t="shared" si="131"/>
        <v>0</v>
      </c>
      <c r="AT184" s="193">
        <f t="shared" si="131"/>
        <v>0</v>
      </c>
      <c r="AU184" s="193">
        <f t="shared" si="131"/>
        <v>0</v>
      </c>
      <c r="AV184" s="193">
        <f t="shared" si="131"/>
        <v>0</v>
      </c>
      <c r="AW184" s="193">
        <f t="shared" si="131"/>
        <v>0</v>
      </c>
      <c r="AX184" s="193">
        <f t="shared" si="131"/>
        <v>0</v>
      </c>
      <c r="AY184" s="193">
        <f t="shared" si="131"/>
        <v>0</v>
      </c>
      <c r="AZ184" s="193">
        <f t="shared" si="131"/>
        <v>0</v>
      </c>
      <c r="BA184" s="193">
        <f t="shared" si="131"/>
        <v>0</v>
      </c>
      <c r="BB184" s="193">
        <f t="shared" si="131"/>
        <v>0</v>
      </c>
      <c r="BC184" s="193">
        <f t="shared" si="131"/>
        <v>0</v>
      </c>
      <c r="BD184" s="193">
        <f t="shared" si="131"/>
        <v>0</v>
      </c>
      <c r="BE184" s="193">
        <f t="shared" si="131"/>
        <v>0</v>
      </c>
      <c r="BF184" s="193">
        <f t="shared" si="131"/>
        <v>0</v>
      </c>
      <c r="BG184" s="193">
        <f t="shared" si="131"/>
        <v>0</v>
      </c>
      <c r="BH184" s="193">
        <f t="shared" si="131"/>
        <v>0</v>
      </c>
      <c r="BI184" s="193">
        <f t="shared" si="131"/>
        <v>0</v>
      </c>
      <c r="BJ184" s="193">
        <f t="shared" si="131"/>
        <v>0</v>
      </c>
      <c r="BK184" s="193">
        <f t="shared" si="131"/>
        <v>0</v>
      </c>
      <c r="BL184" s="193">
        <f t="shared" si="131"/>
        <v>0</v>
      </c>
      <c r="BM184" s="193">
        <f t="shared" si="131"/>
        <v>0</v>
      </c>
      <c r="BN184" s="193">
        <f t="shared" si="131"/>
        <v>0</v>
      </c>
      <c r="BO184" s="193">
        <f t="shared" si="131"/>
        <v>0</v>
      </c>
      <c r="BQ184" t="s">
        <v>124</v>
      </c>
      <c r="BR184" t="s">
        <v>1256</v>
      </c>
      <c r="BS184" s="193" cm="1">
        <f t="array" ref="BS184">SUMPRODUCT(($AN$5:$AN$19=$BQ184)*(AP$5:AP$19)*(H$40:H$54))*SUMIFS(H$74:H$103,$F$74:$F$103,$BQ184,$G$74:$G$103,$BR184)</f>
        <v>0</v>
      </c>
      <c r="BT184" s="193" cm="1">
        <f t="array" ref="BT184">SUMPRODUCT(($AN$5:$AN$19=$BQ184)*(AQ$5:AQ$19)*(I$40:I$54))*SUMIFS(I$74:I$103,$F$74:$F$103,$BQ184,$G$74:$G$103,$BR184)</f>
        <v>0</v>
      </c>
      <c r="BU184" s="193" cm="1">
        <f t="array" ref="BU184">SUMPRODUCT(($AN$5:$AN$19=$BQ184)*(AR$5:AR$19)*(J$40:J$54))*SUMIFS(J$74:J$103,$F$74:$F$103,$BQ184,$G$74:$G$103,$BR184)</f>
        <v>0</v>
      </c>
      <c r="BV184" s="193" cm="1">
        <f t="array" ref="BV184">SUMPRODUCT(($AN$5:$AN$19=$BQ184)*(AS$5:AS$19)*(K$40:K$54))*SUMIFS(K$74:K$103,$F$74:$F$103,$BQ184,$G$74:$G$103,$BR184)</f>
        <v>0</v>
      </c>
      <c r="BW184" s="193" cm="1">
        <f t="array" ref="BW184">SUMPRODUCT(($AN$5:$AN$19=$BQ184)*(AT$5:AT$19)*(L$40:L$54))*SUMIFS(L$74:L$103,$F$74:$F$103,$BQ184,$G$74:$G$103,$BR184)</f>
        <v>0</v>
      </c>
      <c r="BX184" s="193" cm="1">
        <f t="array" ref="BX184">SUMPRODUCT(($AN$5:$AN$19=$BQ184)*(AU$5:AU$19)*(M$40:M$54))*SUMIFS(M$74:M$103,$F$74:$F$103,$BQ184,$G$74:$G$103,$BR184)</f>
        <v>0</v>
      </c>
      <c r="BY184" s="193" cm="1">
        <f t="array" ref="BY184">SUMPRODUCT(($AN$5:$AN$19=$BQ184)*(AV$5:AV$19)*(N$40:N$54))*SUMIFS(N$74:N$103,$F$74:$F$103,$BQ184,$G$74:$G$103,$BR184)</f>
        <v>0</v>
      </c>
      <c r="BZ184" s="193" cm="1">
        <f t="array" ref="BZ184">SUMPRODUCT(($AN$5:$AN$19=$BQ184)*(AW$5:AW$19)*(O$40:O$54))*SUMIFS(O$74:O$103,$F$74:$F$103,$BQ184,$G$74:$G$103,$BR184)</f>
        <v>0</v>
      </c>
      <c r="CA184" s="193" cm="1">
        <f t="array" ref="CA184">SUMPRODUCT(($AN$5:$AN$19=$BQ184)*(AX$5:AX$19)*(P$40:P$54))*SUMIFS(P$74:P$103,$F$74:$F$103,$BQ184,$G$74:$G$103,$BR184)</f>
        <v>0</v>
      </c>
      <c r="CB184" s="193" cm="1">
        <f t="array" ref="CB184">SUMPRODUCT(($AN$5:$AN$19=$BQ184)*(AY$5:AY$19)*(Q$40:Q$54))*SUMIFS(Q$74:Q$103,$F$74:$F$103,$BQ184,$G$74:$G$103,$BR184)</f>
        <v>0</v>
      </c>
      <c r="CC184" s="193" cm="1">
        <f t="array" ref="CC184">SUMPRODUCT(($AN$5:$AN$19=$BQ184)*(AZ$5:AZ$19)*(R$40:R$54))*SUMIFS(R$74:R$103,$F$74:$F$103,$BQ184,$G$74:$G$103,$BR184)</f>
        <v>0</v>
      </c>
      <c r="CD184" s="193" cm="1">
        <f t="array" ref="CD184">SUMPRODUCT(($AN$5:$AN$19=$BQ184)*(BA$5:BA$19)*(S$40:S$54))*SUMIFS(S$74:S$103,$F$74:$F$103,$BQ184,$G$74:$G$103,$BR184)</f>
        <v>0</v>
      </c>
      <c r="CE184" s="193" cm="1">
        <f t="array" ref="CE184">SUMPRODUCT(($AN$5:$AN$19=$BQ184)*(BB$5:BB$19)*(T$40:T$54))*SUMIFS(T$74:T$103,$F$74:$F$103,$BQ184,$G$74:$G$103,$BR184)</f>
        <v>0</v>
      </c>
      <c r="CF184" s="193" cm="1">
        <f t="array" ref="CF184">SUMPRODUCT(($AN$5:$AN$19=$BQ184)*(BC$5:BC$19)*(U$40:U$54))*SUMIFS(U$74:U$103,$F$74:$F$103,$BQ184,$G$74:$G$103,$BR184)</f>
        <v>0</v>
      </c>
      <c r="CG184" s="193" cm="1">
        <f t="array" ref="CG184">SUMPRODUCT(($AN$5:$AN$19=$BQ184)*(BD$5:BD$19)*(V$40:V$54))*SUMIFS(V$74:V$103,$F$74:$F$103,$BQ184,$G$74:$G$103,$BR184)</f>
        <v>0</v>
      </c>
      <c r="CH184" s="193" cm="1">
        <f t="array" ref="CH184">SUMPRODUCT(($AN$5:$AN$19=$BQ184)*(BE$5:BE$19)*(W$40:W$54))*SUMIFS(W$74:W$103,$F$74:$F$103,$BQ184,$G$74:$G$103,$BR184)</f>
        <v>0</v>
      </c>
      <c r="CI184" s="193" cm="1">
        <f t="array" ref="CI184">SUMPRODUCT(($AN$5:$AN$19=$BQ184)*(BF$5:BF$19)*(X$40:X$54))*SUMIFS(X$74:X$103,$F$74:$F$103,$BQ184,$G$74:$G$103,$BR184)</f>
        <v>0</v>
      </c>
      <c r="CJ184" s="193" cm="1">
        <f t="array" ref="CJ184">SUMPRODUCT(($AN$5:$AN$19=$BQ184)*(BG$5:BG$19)*(Y$40:Y$54))*SUMIFS(Y$74:Y$103,$F$74:$F$103,$BQ184,$G$74:$G$103,$BR184)</f>
        <v>0</v>
      </c>
      <c r="CK184" s="193" cm="1">
        <f t="array" ref="CK184">SUMPRODUCT(($AN$5:$AN$19=$BQ184)*(BH$5:BH$19)*(Z$40:Z$54))*SUMIFS(Z$74:Z$103,$F$74:$F$103,$BQ184,$G$74:$G$103,$BR184)</f>
        <v>0</v>
      </c>
      <c r="CL184" s="193" cm="1">
        <f t="array" ref="CL184">SUMPRODUCT(($AN$5:$AN$19=$BQ184)*(BI$5:BI$19)*(AA$40:AA$54))*SUMIFS(AA$74:AA$103,$F$74:$F$103,$BQ184,$G$74:$G$103,$BR184)</f>
        <v>0</v>
      </c>
      <c r="CM184" s="193" cm="1">
        <f t="array" ref="CM184">SUMPRODUCT(($AN$5:$AN$19=$BQ184)*(BJ$5:BJ$19)*(AB$40:AB$54))*SUMIFS(AB$74:AB$103,$F$74:$F$103,$BQ184,$G$74:$G$103,$BR184)</f>
        <v>0</v>
      </c>
      <c r="CN184" s="193" cm="1">
        <f t="array" ref="CN184">SUMPRODUCT(($AN$5:$AN$19=$BQ184)*(BK$5:BK$19)*(AC$40:AC$54))*SUMIFS(AC$74:AC$103,$F$74:$F$103,$BQ184,$G$74:$G$103,$BR184)</f>
        <v>0</v>
      </c>
      <c r="CO184" s="193" cm="1">
        <f t="array" ref="CO184">SUMPRODUCT(($AN$5:$AN$19=$BQ184)*(BL$5:BL$19)*(AD$40:AD$54))*SUMIFS(AD$74:AD$103,$F$74:$F$103,$BQ184,$G$74:$G$103,$BR184)</f>
        <v>0</v>
      </c>
      <c r="CP184" s="193" cm="1">
        <f t="array" ref="CP184">SUMPRODUCT(($AN$5:$AN$19=$BQ184)*(BM$5:BM$19)*(AE$40:AE$54))*SUMIFS(AE$74:AE$103,$F$74:$F$103,$BQ184,$G$74:$G$103,$BR184)</f>
        <v>0</v>
      </c>
      <c r="CQ184" s="193" cm="1">
        <f t="array" ref="CQ184">SUMPRODUCT(($AN$5:$AN$19=$BQ184)*(BN$5:BN$19)*(AF$40:AF$54))*SUMIFS(AF$74:AF$103,$F$74:$F$103,$BQ184,$G$74:$G$103,$BR184)</f>
        <v>0</v>
      </c>
      <c r="CR184" s="193" cm="1">
        <f t="array" ref="CR184">SUMPRODUCT(($AN$5:$AN$19=$BQ184)*(BO$5:BO$19)*(AG$40:AG$54))*SUMIFS(AG$74:AG$103,$F$74:$F$103,$BQ184,$G$74:$G$103,$BR184)</f>
        <v>0</v>
      </c>
      <c r="CS184" s="193" cm="1">
        <f t="array" ref="CS184">SUMPRODUCT(($AN$5:$AN$19=$BQ184)*(BP$5:BP$19)*(AH$40:AH$54))*SUMIFS(AH$74:AH$103,$F$74:$F$103,$BQ184,$G$74:$G$103,$BR184)</f>
        <v>0</v>
      </c>
      <c r="CT184" s="193" cm="1">
        <f t="array" ref="CT184">SUMPRODUCT(($AN$5:$AN$19=$BQ184)*(BQ$5:BQ$19)*(AI$40:AI$54))*SUMIFS(AI$74:AI$103,$F$74:$F$103,$BQ184,$G$74:$G$103,$BR184)</f>
        <v>0</v>
      </c>
    </row>
    <row r="185" spans="1:98" x14ac:dyDescent="0.25">
      <c r="A185" t="s">
        <v>120</v>
      </c>
      <c r="B185" t="str">
        <f t="shared" si="128"/>
        <v>YES</v>
      </c>
      <c r="F185" t="s">
        <v>1279</v>
      </c>
      <c r="H185" s="193">
        <f>AN184</f>
        <v>0</v>
      </c>
      <c r="I185" s="193">
        <f t="shared" ref="I185:AI185" si="132">AO184</f>
        <v>0</v>
      </c>
      <c r="J185" s="193">
        <f t="shared" si="132"/>
        <v>0</v>
      </c>
      <c r="K185" s="193">
        <f t="shared" si="132"/>
        <v>0</v>
      </c>
      <c r="L185" s="193">
        <f t="shared" si="132"/>
        <v>0</v>
      </c>
      <c r="M185" s="193">
        <f t="shared" si="132"/>
        <v>0</v>
      </c>
      <c r="N185" s="193">
        <f t="shared" si="132"/>
        <v>0</v>
      </c>
      <c r="O185" s="193">
        <f t="shared" si="132"/>
        <v>0</v>
      </c>
      <c r="P185" s="193">
        <f t="shared" si="132"/>
        <v>0</v>
      </c>
      <c r="Q185" s="193">
        <f t="shared" si="132"/>
        <v>0</v>
      </c>
      <c r="R185" s="193">
        <f t="shared" si="132"/>
        <v>0</v>
      </c>
      <c r="S185" s="193">
        <f t="shared" si="132"/>
        <v>0</v>
      </c>
      <c r="T185" s="193">
        <f t="shared" si="132"/>
        <v>0</v>
      </c>
      <c r="U185" s="193">
        <f t="shared" si="132"/>
        <v>0</v>
      </c>
      <c r="V185" s="193">
        <f t="shared" si="132"/>
        <v>0</v>
      </c>
      <c r="W185" s="193">
        <f t="shared" si="132"/>
        <v>0</v>
      </c>
      <c r="X185" s="193">
        <f t="shared" si="132"/>
        <v>0</v>
      </c>
      <c r="Y185" s="193">
        <f t="shared" si="132"/>
        <v>0</v>
      </c>
      <c r="Z185" s="193">
        <f t="shared" si="132"/>
        <v>0</v>
      </c>
      <c r="AA185" s="193">
        <f t="shared" si="132"/>
        <v>0</v>
      </c>
      <c r="AB185" s="193">
        <f t="shared" si="132"/>
        <v>0</v>
      </c>
      <c r="AC185" s="193">
        <f t="shared" si="132"/>
        <v>0</v>
      </c>
      <c r="AD185" s="193">
        <f t="shared" si="132"/>
        <v>0</v>
      </c>
      <c r="AE185" s="193">
        <f t="shared" si="132"/>
        <v>0</v>
      </c>
      <c r="AF185" s="193">
        <f t="shared" si="132"/>
        <v>0</v>
      </c>
      <c r="AG185" s="193">
        <f t="shared" si="132"/>
        <v>0</v>
      </c>
      <c r="AH185" s="193">
        <f t="shared" si="132"/>
        <v>0</v>
      </c>
      <c r="AI185" s="193">
        <f t="shared" si="132"/>
        <v>0</v>
      </c>
      <c r="AN185" s="193"/>
      <c r="AO185" s="193"/>
      <c r="AP185" s="193"/>
      <c r="AQ185" s="193"/>
      <c r="AR185" s="193"/>
      <c r="AS185" s="193"/>
      <c r="AT185" s="193"/>
      <c r="AU185" s="193"/>
      <c r="AV185" s="193"/>
      <c r="AW185" s="193"/>
      <c r="AX185" s="193"/>
      <c r="AY185" s="193"/>
      <c r="AZ185" s="193"/>
      <c r="BA185" s="193"/>
      <c r="BB185" s="193"/>
      <c r="BC185" s="193"/>
      <c r="BD185" s="193"/>
      <c r="BE185" s="193"/>
      <c r="BF185" s="193"/>
      <c r="BG185" s="193"/>
      <c r="BH185" s="193"/>
      <c r="BI185" s="193"/>
      <c r="BJ185" s="193"/>
      <c r="BK185" s="193"/>
      <c r="BL185" s="193"/>
      <c r="BM185" s="193"/>
      <c r="BN185" s="193"/>
      <c r="BO185" s="193"/>
      <c r="BS185" s="193"/>
      <c r="BT185" s="193"/>
      <c r="BU185" s="193"/>
      <c r="BV185" s="193"/>
      <c r="BW185" s="193"/>
      <c r="BX185" s="193"/>
      <c r="BY185" s="193"/>
      <c r="BZ185" s="193"/>
      <c r="CA185" s="193"/>
      <c r="CB185" s="193"/>
      <c r="CC185" s="193"/>
      <c r="CD185" s="193"/>
      <c r="CE185" s="193"/>
      <c r="CF185" s="193"/>
      <c r="CG185" s="193"/>
      <c r="CH185" s="193"/>
      <c r="CI185" s="193"/>
      <c r="CJ185" s="193"/>
      <c r="CK185" s="193"/>
      <c r="CL185" s="193"/>
      <c r="CM185" s="193"/>
      <c r="CN185" s="193"/>
      <c r="CO185" s="193"/>
      <c r="CP185" s="193"/>
      <c r="CQ185" s="193"/>
      <c r="CR185" s="193"/>
      <c r="CS185" s="193"/>
      <c r="CT185" s="193"/>
    </row>
    <row r="186" spans="1:98" x14ac:dyDescent="0.25">
      <c r="A186" t="s">
        <v>122</v>
      </c>
      <c r="B186" t="str">
        <f t="shared" si="128"/>
        <v>NO</v>
      </c>
      <c r="D186" t="s">
        <v>1150</v>
      </c>
      <c r="E186">
        <v>30</v>
      </c>
      <c r="F186" t="s">
        <v>470</v>
      </c>
      <c r="G186" t="s">
        <v>128</v>
      </c>
      <c r="H186">
        <v>2</v>
      </c>
      <c r="I186">
        <v>2</v>
      </c>
      <c r="J186">
        <v>2</v>
      </c>
      <c r="K186">
        <v>2</v>
      </c>
      <c r="L186">
        <v>2</v>
      </c>
      <c r="M186">
        <v>2</v>
      </c>
      <c r="N186">
        <v>2</v>
      </c>
      <c r="O186">
        <v>2</v>
      </c>
      <c r="P186">
        <v>2</v>
      </c>
      <c r="Q186">
        <v>2</v>
      </c>
      <c r="R186">
        <v>2</v>
      </c>
      <c r="S186">
        <v>2</v>
      </c>
      <c r="T186">
        <v>2</v>
      </c>
      <c r="U186">
        <v>2</v>
      </c>
      <c r="V186">
        <v>2</v>
      </c>
      <c r="W186">
        <v>2</v>
      </c>
      <c r="X186">
        <v>2</v>
      </c>
      <c r="Y186">
        <v>2</v>
      </c>
      <c r="Z186">
        <v>2</v>
      </c>
      <c r="AA186">
        <v>2</v>
      </c>
      <c r="AB186">
        <v>2</v>
      </c>
      <c r="AC186">
        <v>2</v>
      </c>
      <c r="AD186">
        <v>2</v>
      </c>
      <c r="AE186">
        <v>2</v>
      </c>
      <c r="AF186">
        <v>2</v>
      </c>
      <c r="AG186">
        <v>2</v>
      </c>
      <c r="AH186">
        <v>2</v>
      </c>
      <c r="AI186">
        <v>2</v>
      </c>
      <c r="AN186" s="193"/>
      <c r="AO186" s="193"/>
      <c r="AP186" s="193"/>
      <c r="AQ186" s="193"/>
      <c r="AR186" s="193"/>
      <c r="AS186" s="193"/>
      <c r="AT186" s="193"/>
      <c r="AU186" s="193"/>
      <c r="AV186" s="193"/>
      <c r="AW186" s="193"/>
      <c r="AX186" s="193"/>
      <c r="AY186" s="193"/>
      <c r="AZ186" s="193"/>
      <c r="BA186" s="193"/>
      <c r="BB186" s="193"/>
      <c r="BC186" s="193"/>
      <c r="BD186" s="193"/>
      <c r="BE186" s="193"/>
      <c r="BF186" s="193"/>
      <c r="BG186" s="193"/>
      <c r="BH186" s="193"/>
      <c r="BI186" s="193"/>
      <c r="BJ186" s="193"/>
      <c r="BK186" s="193"/>
      <c r="BL186" s="193"/>
      <c r="BM186" s="193"/>
      <c r="BN186" s="193"/>
      <c r="BO186" s="193"/>
      <c r="BS186" s="193"/>
      <c r="BT186" s="193"/>
      <c r="BU186" s="193"/>
      <c r="BV186" s="193"/>
      <c r="BW186" s="193"/>
      <c r="BX186" s="193"/>
      <c r="BY186" s="193"/>
      <c r="BZ186" s="193"/>
      <c r="CA186" s="193"/>
      <c r="CB186" s="193"/>
      <c r="CC186" s="193"/>
      <c r="CD186" s="193"/>
      <c r="CE186" s="193"/>
      <c r="CF186" s="193"/>
      <c r="CG186" s="193"/>
      <c r="CH186" s="193"/>
      <c r="CI186" s="193"/>
      <c r="CJ186" s="193"/>
      <c r="CK186" s="193"/>
      <c r="CL186" s="193"/>
      <c r="CM186" s="193"/>
      <c r="CN186" s="193"/>
      <c r="CO186" s="193"/>
      <c r="CP186" s="193"/>
      <c r="CQ186" s="193"/>
      <c r="CR186" s="193"/>
      <c r="CS186" s="193"/>
      <c r="CT186" s="193"/>
    </row>
    <row r="187" spans="1:98" x14ac:dyDescent="0.25">
      <c r="A187" t="s">
        <v>124</v>
      </c>
      <c r="B187" t="str">
        <f t="shared" si="128"/>
        <v>YES</v>
      </c>
      <c r="F187" t="s">
        <v>472</v>
      </c>
      <c r="G187" t="s">
        <v>1256</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v>1</v>
      </c>
      <c r="AH187">
        <v>1</v>
      </c>
      <c r="AI187">
        <v>1</v>
      </c>
      <c r="AM187" t="s">
        <v>1256</v>
      </c>
      <c r="AN187" s="193">
        <f>(H187/H186)*BS190</f>
        <v>0</v>
      </c>
      <c r="AO187" s="193">
        <f t="shared" ref="AO187:BO187" si="133">(I187/I186)*BT190</f>
        <v>0</v>
      </c>
      <c r="AP187" s="193">
        <f t="shared" si="133"/>
        <v>0</v>
      </c>
      <c r="AQ187" s="193">
        <f t="shared" si="133"/>
        <v>0</v>
      </c>
      <c r="AR187" s="193">
        <f t="shared" si="133"/>
        <v>0</v>
      </c>
      <c r="AS187" s="193">
        <f t="shared" si="133"/>
        <v>0</v>
      </c>
      <c r="AT187" s="193">
        <f t="shared" si="133"/>
        <v>0</v>
      </c>
      <c r="AU187" s="193">
        <f t="shared" si="133"/>
        <v>0</v>
      </c>
      <c r="AV187" s="193">
        <f t="shared" si="133"/>
        <v>0</v>
      </c>
      <c r="AW187" s="193">
        <f t="shared" si="133"/>
        <v>0</v>
      </c>
      <c r="AX187" s="193">
        <f t="shared" si="133"/>
        <v>0</v>
      </c>
      <c r="AY187" s="193">
        <f t="shared" si="133"/>
        <v>0</v>
      </c>
      <c r="AZ187" s="193">
        <f t="shared" si="133"/>
        <v>0</v>
      </c>
      <c r="BA187" s="193">
        <f t="shared" si="133"/>
        <v>0</v>
      </c>
      <c r="BB187" s="193">
        <f t="shared" si="133"/>
        <v>0</v>
      </c>
      <c r="BC187" s="193">
        <f t="shared" si="133"/>
        <v>0</v>
      </c>
      <c r="BD187" s="193">
        <f t="shared" si="133"/>
        <v>0</v>
      </c>
      <c r="BE187" s="193">
        <f t="shared" si="133"/>
        <v>0</v>
      </c>
      <c r="BF187" s="193">
        <f t="shared" si="133"/>
        <v>0</v>
      </c>
      <c r="BG187" s="193">
        <f t="shared" si="133"/>
        <v>0</v>
      </c>
      <c r="BH187" s="193">
        <f t="shared" si="133"/>
        <v>0</v>
      </c>
      <c r="BI187" s="193">
        <f t="shared" si="133"/>
        <v>0</v>
      </c>
      <c r="BJ187" s="193">
        <f t="shared" si="133"/>
        <v>0</v>
      </c>
      <c r="BK187" s="193">
        <f t="shared" si="133"/>
        <v>0</v>
      </c>
      <c r="BL187" s="193">
        <f t="shared" si="133"/>
        <v>0</v>
      </c>
      <c r="BM187" s="193">
        <f t="shared" si="133"/>
        <v>0</v>
      </c>
      <c r="BN187" s="193">
        <f t="shared" si="133"/>
        <v>0</v>
      </c>
      <c r="BO187" s="193">
        <f t="shared" si="133"/>
        <v>0</v>
      </c>
      <c r="BQ187" t="s">
        <v>126</v>
      </c>
      <c r="BR187" t="s">
        <v>1256</v>
      </c>
      <c r="BS187" s="193" cm="1">
        <f t="array" ref="BS187">SUMPRODUCT(($AN$5:$AN$19=$BQ187)*(AP$5:AP$19)*(H$40:H$54))*SUMIFS(H$74:H$103,$F$74:$F$103,$BQ187,$G$74:$G$103,$BR187)</f>
        <v>0</v>
      </c>
      <c r="BT187" s="193" cm="1">
        <f t="array" ref="BT187">SUMPRODUCT(($AN$5:$AN$19=$BQ187)*(AQ$5:AQ$19)*(I$40:I$54))*SUMIFS(I$74:I$103,$F$74:$F$103,$BQ187,$G$74:$G$103,$BR187)</f>
        <v>0</v>
      </c>
      <c r="BU187" s="193" cm="1">
        <f t="array" ref="BU187">SUMPRODUCT(($AN$5:$AN$19=$BQ187)*(AR$5:AR$19)*(J$40:J$54))*SUMIFS(J$74:J$103,$F$74:$F$103,$BQ187,$G$74:$G$103,$BR187)</f>
        <v>0</v>
      </c>
      <c r="BV187" s="193" cm="1">
        <f t="array" ref="BV187">SUMPRODUCT(($AN$5:$AN$19=$BQ187)*(AS$5:AS$19)*(K$40:K$54))*SUMIFS(K$74:K$103,$F$74:$F$103,$BQ187,$G$74:$G$103,$BR187)</f>
        <v>3.7053505494490526</v>
      </c>
      <c r="BW187" s="193" cm="1">
        <f t="array" ref="BW187">SUMPRODUCT(($AN$5:$AN$19=$BQ187)*(AT$5:AT$19)*(L$40:L$54))*SUMIFS(L$74:L$103,$F$74:$F$103,$BQ187,$G$74:$G$103,$BR187)</f>
        <v>3.0049292374600678</v>
      </c>
      <c r="BX187" s="193" cm="1">
        <f t="array" ref="BX187">SUMPRODUCT(($AN$5:$AN$19=$BQ187)*(AU$5:AU$19)*(M$40:M$54))*SUMIFS(M$74:M$103,$F$74:$F$103,$BQ187,$G$74:$G$103,$BR187)</f>
        <v>4.1507993064825719</v>
      </c>
      <c r="BY187" s="193" cm="1">
        <f t="array" ref="BY187">SUMPRODUCT(($AN$5:$AN$19=$BQ187)*(AV$5:AV$19)*(N$40:N$54))*SUMIFS(N$74:N$103,$F$74:$F$103,$BQ187,$G$74:$G$103,$BR187)</f>
        <v>0</v>
      </c>
      <c r="BZ187" s="193" cm="1">
        <f t="array" ref="BZ187">SUMPRODUCT(($AN$5:$AN$19=$BQ187)*(AW$5:AW$19)*(O$40:O$54))*SUMIFS(O$74:O$103,$F$74:$F$103,$BQ187,$G$74:$G$103,$BR187)</f>
        <v>0</v>
      </c>
      <c r="CA187" s="193" cm="1">
        <f t="array" ref="CA187">SUMPRODUCT(($AN$5:$AN$19=$BQ187)*(AX$5:AX$19)*(P$40:P$54))*SUMIFS(P$74:P$103,$F$74:$F$103,$BQ187,$G$74:$G$103,$BR187)</f>
        <v>5.1333680883787522</v>
      </c>
      <c r="CB187" s="193" cm="1">
        <f t="array" ref="CB187">SUMPRODUCT(($AN$5:$AN$19=$BQ187)*(AY$5:AY$19)*(Q$40:Q$54))*SUMIFS(Q$74:Q$103,$F$74:$F$103,$BQ187,$G$74:$G$103,$BR187)</f>
        <v>4.9449662325307955</v>
      </c>
      <c r="CC187" s="193" cm="1">
        <f t="array" ref="CC187">SUMPRODUCT(($AN$5:$AN$19=$BQ187)*(AZ$5:AZ$19)*(R$40:R$54))*SUMIFS(R$74:R$103,$F$74:$F$103,$BQ187,$G$74:$G$103,$BR187)</f>
        <v>0</v>
      </c>
      <c r="CD187" s="193" cm="1">
        <f t="array" ref="CD187">SUMPRODUCT(($AN$5:$AN$19=$BQ187)*(BA$5:BA$19)*(S$40:S$54))*SUMIFS(S$74:S$103,$F$74:$F$103,$BQ187,$G$74:$G$103,$BR187)</f>
        <v>0</v>
      </c>
      <c r="CE187" s="193" cm="1">
        <f t="array" ref="CE187">SUMPRODUCT(($AN$5:$AN$19=$BQ187)*(BB$5:BB$19)*(T$40:T$54))*SUMIFS(T$74:T$103,$F$74:$F$103,$BQ187,$G$74:$G$103,$BR187)</f>
        <v>0.66924948320898292</v>
      </c>
      <c r="CF187" s="193" cm="1">
        <f t="array" ref="CF187">SUMPRODUCT(($AN$5:$AN$19=$BQ187)*(BC$5:BC$19)*(U$40:U$54))*SUMIFS(U$74:U$103,$F$74:$F$103,$BQ187,$G$74:$G$103,$BR187)</f>
        <v>1.3521730165987584</v>
      </c>
      <c r="CG187" s="193" cm="1">
        <f t="array" ref="CG187">SUMPRODUCT(($AN$5:$AN$19=$BQ187)*(BD$5:BD$19)*(V$40:V$54))*SUMIFS(V$74:V$103,$F$74:$F$103,$BQ187,$G$74:$G$103,$BR187)</f>
        <v>0.69965853923679899</v>
      </c>
      <c r="CH187" s="193" cm="1">
        <f t="array" ref="CH187">SUMPRODUCT(($AN$5:$AN$19=$BQ187)*(BE$5:BE$19)*(W$40:W$54))*SUMIFS(W$74:W$103,$F$74:$F$103,$BQ187,$G$74:$G$103,$BR187)</f>
        <v>3.0168709728939467</v>
      </c>
      <c r="CI187" s="193" cm="1">
        <f t="array" ref="CI187">SUMPRODUCT(($AN$5:$AN$19=$BQ187)*(BF$5:BF$19)*(X$40:X$54))*SUMIFS(X$74:X$103,$F$74:$F$103,$BQ187,$G$74:$G$103,$BR187)</f>
        <v>4.8295353751561789</v>
      </c>
      <c r="CJ187" s="193" cm="1">
        <f t="array" ref="CJ187">SUMPRODUCT(($AN$5:$AN$19=$BQ187)*(BG$5:BG$19)*(Y$40:Y$54))*SUMIFS(Y$74:Y$103,$F$74:$F$103,$BQ187,$G$74:$G$103,$BR187)</f>
        <v>0</v>
      </c>
      <c r="CK187" s="193" cm="1">
        <f t="array" ref="CK187">SUMPRODUCT(($AN$5:$AN$19=$BQ187)*(BH$5:BH$19)*(Z$40:Z$54))*SUMIFS(Z$74:Z$103,$F$74:$F$103,$BQ187,$G$74:$G$103,$BR187)</f>
        <v>0</v>
      </c>
      <c r="CL187" s="193" cm="1">
        <f t="array" ref="CL187">SUMPRODUCT(($AN$5:$AN$19=$BQ187)*(BI$5:BI$19)*(AA$40:AA$54))*SUMIFS(AA$74:AA$103,$F$74:$F$103,$BQ187,$G$74:$G$103,$BR187)</f>
        <v>4.0221562401760451</v>
      </c>
      <c r="CM187" s="193" cm="1">
        <f t="array" ref="CM187">SUMPRODUCT(($AN$5:$AN$19=$BQ187)*(BJ$5:BJ$19)*(AB$40:AB$54))*SUMIFS(AB$74:AB$103,$F$74:$F$103,$BQ187,$G$74:$G$103,$BR187)</f>
        <v>0</v>
      </c>
      <c r="CN187" s="193" cm="1">
        <f t="array" ref="CN187">SUMPRODUCT(($AN$5:$AN$19=$BQ187)*(BK$5:BK$19)*(AC$40:AC$54))*SUMIFS(AC$74:AC$103,$F$74:$F$103,$BQ187,$G$74:$G$103,$BR187)</f>
        <v>0.88370166040260778</v>
      </c>
      <c r="CO187" s="193" cm="1">
        <f t="array" ref="CO187">SUMPRODUCT(($AN$5:$AN$19=$BQ187)*(BL$5:BL$19)*(AD$40:AD$54))*SUMIFS(AD$74:AD$103,$F$74:$F$103,$BQ187,$G$74:$G$103,$BR187)</f>
        <v>0</v>
      </c>
      <c r="CP187" s="193" cm="1">
        <f t="array" ref="CP187">SUMPRODUCT(($AN$5:$AN$19=$BQ187)*(BM$5:BM$19)*(AE$40:AE$54))*SUMIFS(AE$74:AE$103,$F$74:$F$103,$BQ187,$G$74:$G$103,$BR187)</f>
        <v>0.27712694121345488</v>
      </c>
      <c r="CQ187" s="193" cm="1">
        <f t="array" ref="CQ187">SUMPRODUCT(($AN$5:$AN$19=$BQ187)*(BN$5:BN$19)*(AF$40:AF$54))*SUMIFS(AF$74:AF$103,$F$74:$F$103,$BQ187,$G$74:$G$103,$BR187)</f>
        <v>0</v>
      </c>
      <c r="CR187" s="193" cm="1">
        <f t="array" ref="CR187">SUMPRODUCT(($AN$5:$AN$19=$BQ187)*(BO$5:BO$19)*(AG$40:AG$54))*SUMIFS(AG$74:AG$103,$F$74:$F$103,$BQ187,$G$74:$G$103,$BR187)</f>
        <v>11.759469553888074</v>
      </c>
      <c r="CS187" s="193" cm="1">
        <f t="array" ref="CS187">SUMPRODUCT(($AN$5:$AN$19=$BQ187)*(BP$5:BP$19)*(AH$40:AH$54))*SUMIFS(AH$74:AH$103,$F$74:$F$103,$BQ187,$G$74:$G$103,$BR187)</f>
        <v>3.0400882426909779</v>
      </c>
      <c r="CT187" s="193" cm="1">
        <f t="array" ref="CT187">SUMPRODUCT(($AN$5:$AN$19=$BQ187)*(BQ$5:BQ$19)*(AI$40:AI$54))*SUMIFS(AI$74:AI$103,$F$74:$F$103,$BQ187,$G$74:$G$103,$BR187)</f>
        <v>7.8360513178741122</v>
      </c>
    </row>
    <row r="188" spans="1:98" x14ac:dyDescent="0.25">
      <c r="A188" t="s">
        <v>126</v>
      </c>
      <c r="B188" t="str">
        <f t="shared" si="128"/>
        <v>YES</v>
      </c>
      <c r="F188" t="s">
        <v>1279</v>
      </c>
      <c r="H188" s="193">
        <f>AN187</f>
        <v>0</v>
      </c>
      <c r="I188" s="193">
        <f t="shared" ref="I188:AH188" si="134">AO187</f>
        <v>0</v>
      </c>
      <c r="J188" s="193">
        <f t="shared" si="134"/>
        <v>0</v>
      </c>
      <c r="K188" s="193">
        <f t="shared" si="134"/>
        <v>0</v>
      </c>
      <c r="L188" s="193">
        <f t="shared" si="134"/>
        <v>0</v>
      </c>
      <c r="M188" s="193">
        <f t="shared" si="134"/>
        <v>0</v>
      </c>
      <c r="N188" s="193">
        <f t="shared" si="134"/>
        <v>0</v>
      </c>
      <c r="O188" s="193">
        <f t="shared" si="134"/>
        <v>0</v>
      </c>
      <c r="P188" s="193">
        <f t="shared" si="134"/>
        <v>0</v>
      </c>
      <c r="Q188" s="193">
        <f t="shared" si="134"/>
        <v>0</v>
      </c>
      <c r="R188" s="193">
        <f t="shared" si="134"/>
        <v>0</v>
      </c>
      <c r="S188" s="193">
        <f t="shared" si="134"/>
        <v>0</v>
      </c>
      <c r="T188" s="193">
        <f t="shared" si="134"/>
        <v>0</v>
      </c>
      <c r="U188" s="193">
        <f t="shared" si="134"/>
        <v>0</v>
      </c>
      <c r="V188" s="193">
        <f t="shared" si="134"/>
        <v>0</v>
      </c>
      <c r="W188" s="193">
        <f t="shared" si="134"/>
        <v>0</v>
      </c>
      <c r="X188" s="193">
        <f t="shared" si="134"/>
        <v>0</v>
      </c>
      <c r="Y188" s="193">
        <f t="shared" si="134"/>
        <v>0</v>
      </c>
      <c r="Z188" s="193">
        <f t="shared" si="134"/>
        <v>0</v>
      </c>
      <c r="AA188" s="193">
        <f t="shared" si="134"/>
        <v>0</v>
      </c>
      <c r="AB188" s="193">
        <f t="shared" si="134"/>
        <v>0</v>
      </c>
      <c r="AC188" s="193">
        <f t="shared" si="134"/>
        <v>0</v>
      </c>
      <c r="AD188" s="193">
        <f t="shared" si="134"/>
        <v>0</v>
      </c>
      <c r="AE188" s="193">
        <f t="shared" si="134"/>
        <v>0</v>
      </c>
      <c r="AF188" s="193">
        <f t="shared" si="134"/>
        <v>0</v>
      </c>
      <c r="AG188" s="193">
        <f t="shared" si="134"/>
        <v>0</v>
      </c>
      <c r="AH188" s="193">
        <f t="shared" si="134"/>
        <v>0</v>
      </c>
      <c r="AI188" s="193">
        <f>BO187</f>
        <v>0</v>
      </c>
      <c r="AN188" s="193"/>
      <c r="AO188" s="193"/>
      <c r="AP188" s="193"/>
      <c r="AQ188" s="193"/>
      <c r="AR188" s="193"/>
      <c r="AS188" s="193"/>
      <c r="AT188" s="193"/>
      <c r="AU188" s="193"/>
      <c r="AV188" s="193"/>
      <c r="AW188" s="193"/>
      <c r="AX188" s="193"/>
      <c r="AY188" s="193"/>
      <c r="AZ188" s="193"/>
      <c r="BA188" s="193"/>
      <c r="BB188" s="193"/>
      <c r="BC188" s="193"/>
      <c r="BD188" s="193"/>
      <c r="BE188" s="193"/>
      <c r="BF188" s="193"/>
      <c r="BG188" s="193"/>
      <c r="BH188" s="193"/>
      <c r="BI188" s="193"/>
      <c r="BJ188" s="193"/>
      <c r="BK188" s="193"/>
      <c r="BL188" s="193"/>
      <c r="BM188" s="193"/>
      <c r="BN188" s="193"/>
      <c r="BO188" s="193"/>
      <c r="BS188" s="193"/>
      <c r="BT188" s="193"/>
      <c r="BU188" s="193"/>
      <c r="BV188" s="193"/>
      <c r="BW188" s="193"/>
      <c r="BX188" s="193"/>
      <c r="BY188" s="193"/>
      <c r="BZ188" s="193"/>
      <c r="CA188" s="193"/>
      <c r="CB188" s="193"/>
      <c r="CC188" s="193"/>
      <c r="CD188" s="193"/>
      <c r="CE188" s="193"/>
      <c r="CF188" s="193"/>
      <c r="CG188" s="193"/>
      <c r="CH188" s="193"/>
      <c r="CI188" s="193"/>
      <c r="CJ188" s="193"/>
      <c r="CK188" s="193"/>
      <c r="CL188" s="193"/>
      <c r="CM188" s="193"/>
      <c r="CN188" s="193"/>
      <c r="CO188" s="193"/>
      <c r="CP188" s="193"/>
      <c r="CQ188" s="193"/>
      <c r="CR188" s="193"/>
      <c r="CS188" s="193"/>
      <c r="CT188" s="193"/>
    </row>
    <row r="189" spans="1:98" x14ac:dyDescent="0.25">
      <c r="A189" t="s">
        <v>128</v>
      </c>
      <c r="B189" t="str">
        <f t="shared" si="128"/>
        <v>YES</v>
      </c>
      <c r="D189" t="s">
        <v>1152</v>
      </c>
      <c r="E189">
        <v>30</v>
      </c>
      <c r="F189" t="s">
        <v>470</v>
      </c>
      <c r="G189" t="s">
        <v>126</v>
      </c>
      <c r="H189">
        <v>1.1000000000000001</v>
      </c>
      <c r="I189">
        <v>1.1000000000000001</v>
      </c>
      <c r="J189">
        <v>1.1000000000000001</v>
      </c>
      <c r="K189">
        <v>1.1000000000000001</v>
      </c>
      <c r="L189">
        <v>1.1000000000000001</v>
      </c>
      <c r="M189">
        <v>1.1000000000000001</v>
      </c>
      <c r="N189">
        <v>1.1000000000000001</v>
      </c>
      <c r="O189">
        <v>1.1000000000000001</v>
      </c>
      <c r="P189">
        <v>1.1000000000000001</v>
      </c>
      <c r="Q189">
        <v>1.1000000000000001</v>
      </c>
      <c r="R189">
        <v>1.1000000000000001</v>
      </c>
      <c r="S189">
        <v>1.1000000000000001</v>
      </c>
      <c r="T189">
        <v>1.1000000000000001</v>
      </c>
      <c r="U189">
        <v>1.1000000000000001</v>
      </c>
      <c r="V189">
        <v>1.1000000000000001</v>
      </c>
      <c r="W189">
        <v>1.1000000000000001</v>
      </c>
      <c r="X189">
        <v>1.1000000000000001</v>
      </c>
      <c r="Y189">
        <v>1.1000000000000001</v>
      </c>
      <c r="Z189">
        <v>1.1000000000000001</v>
      </c>
      <c r="AA189">
        <v>1.1000000000000001</v>
      </c>
      <c r="AB189">
        <v>1.1000000000000001</v>
      </c>
      <c r="AC189">
        <v>1.1000000000000001</v>
      </c>
      <c r="AD189">
        <v>1.1000000000000001</v>
      </c>
      <c r="AE189">
        <v>1.1000000000000001</v>
      </c>
      <c r="AF189">
        <v>1.1000000000000001</v>
      </c>
      <c r="AG189">
        <v>1.1000000000000001</v>
      </c>
      <c r="AH189">
        <v>1.1000000000000001</v>
      </c>
      <c r="AI189">
        <v>1.1000000000000001</v>
      </c>
      <c r="AN189" s="193"/>
      <c r="AO189" s="193"/>
      <c r="AP189" s="193"/>
      <c r="AQ189" s="193"/>
      <c r="AR189" s="193"/>
      <c r="AS189" s="193"/>
      <c r="AT189" s="193"/>
      <c r="AU189" s="193"/>
      <c r="AV189" s="193"/>
      <c r="AW189" s="193"/>
      <c r="AX189" s="193"/>
      <c r="AY189" s="193"/>
      <c r="AZ189" s="193"/>
      <c r="BA189" s="193"/>
      <c r="BB189" s="193"/>
      <c r="BC189" s="193"/>
      <c r="BD189" s="193"/>
      <c r="BE189" s="193"/>
      <c r="BF189" s="193"/>
      <c r="BG189" s="193"/>
      <c r="BH189" s="193"/>
      <c r="BI189" s="193"/>
      <c r="BJ189" s="193"/>
      <c r="BK189" s="193"/>
      <c r="BL189" s="193"/>
      <c r="BM189" s="193"/>
      <c r="BN189" s="193"/>
      <c r="BO189" s="193"/>
      <c r="BS189" s="193"/>
      <c r="BT189" s="193"/>
      <c r="BU189" s="193"/>
      <c r="BV189" s="193"/>
      <c r="BW189" s="193"/>
      <c r="BX189" s="193"/>
      <c r="BY189" s="193"/>
      <c r="BZ189" s="193"/>
      <c r="CA189" s="193"/>
      <c r="CB189" s="193"/>
      <c r="CC189" s="193"/>
      <c r="CD189" s="193"/>
      <c r="CE189" s="193"/>
      <c r="CF189" s="193"/>
      <c r="CG189" s="193"/>
      <c r="CH189" s="193"/>
      <c r="CI189" s="193"/>
      <c r="CJ189" s="193"/>
      <c r="CK189" s="193"/>
      <c r="CL189" s="193"/>
      <c r="CM189" s="193"/>
      <c r="CN189" s="193"/>
      <c r="CO189" s="193"/>
      <c r="CP189" s="193"/>
      <c r="CQ189" s="193"/>
      <c r="CR189" s="193"/>
      <c r="CS189" s="193"/>
      <c r="CT189" s="193"/>
    </row>
    <row r="190" spans="1:98" x14ac:dyDescent="0.25">
      <c r="A190" t="s">
        <v>130</v>
      </c>
      <c r="B190" t="str">
        <f t="shared" si="128"/>
        <v>NO</v>
      </c>
      <c r="F190" t="s">
        <v>472</v>
      </c>
      <c r="G190" t="s">
        <v>1256</v>
      </c>
      <c r="H190">
        <v>1</v>
      </c>
      <c r="I190">
        <v>1</v>
      </c>
      <c r="J190">
        <v>1</v>
      </c>
      <c r="K190">
        <v>1</v>
      </c>
      <c r="L190">
        <v>1</v>
      </c>
      <c r="M190">
        <v>1</v>
      </c>
      <c r="N190">
        <v>1</v>
      </c>
      <c r="O190">
        <v>1</v>
      </c>
      <c r="P190">
        <v>1</v>
      </c>
      <c r="Q190">
        <v>1</v>
      </c>
      <c r="R190">
        <v>1</v>
      </c>
      <c r="S190">
        <v>1</v>
      </c>
      <c r="T190">
        <v>1</v>
      </c>
      <c r="U190">
        <v>1</v>
      </c>
      <c r="V190">
        <v>1</v>
      </c>
      <c r="W190">
        <v>1</v>
      </c>
      <c r="X190">
        <v>1</v>
      </c>
      <c r="Y190">
        <v>1</v>
      </c>
      <c r="Z190">
        <v>1</v>
      </c>
      <c r="AA190">
        <v>1</v>
      </c>
      <c r="AB190">
        <v>1</v>
      </c>
      <c r="AC190">
        <v>1</v>
      </c>
      <c r="AD190">
        <v>1</v>
      </c>
      <c r="AE190">
        <v>1</v>
      </c>
      <c r="AF190">
        <v>1</v>
      </c>
      <c r="AG190">
        <v>1</v>
      </c>
      <c r="AH190">
        <v>1</v>
      </c>
      <c r="AI190">
        <v>1</v>
      </c>
      <c r="AM190" t="s">
        <v>1256</v>
      </c>
      <c r="AN190" s="193">
        <f>(H190/H189)*BS187</f>
        <v>0</v>
      </c>
      <c r="AO190" s="193">
        <f t="shared" ref="AO190:BO190" si="135">(I190/I189)*BT187</f>
        <v>0</v>
      </c>
      <c r="AP190" s="193">
        <f t="shared" si="135"/>
        <v>0</v>
      </c>
      <c r="AQ190" s="193">
        <f t="shared" si="135"/>
        <v>3.3685004994991385</v>
      </c>
      <c r="AR190" s="193">
        <f t="shared" si="135"/>
        <v>2.7317538522364253</v>
      </c>
      <c r="AS190" s="193">
        <f t="shared" si="135"/>
        <v>3.7734539149841559</v>
      </c>
      <c r="AT190" s="193">
        <f t="shared" si="135"/>
        <v>0</v>
      </c>
      <c r="AU190" s="193">
        <f t="shared" si="135"/>
        <v>0</v>
      </c>
      <c r="AV190" s="193">
        <f t="shared" si="135"/>
        <v>4.6666982621625017</v>
      </c>
      <c r="AW190" s="193">
        <f t="shared" si="135"/>
        <v>4.4954238477552684</v>
      </c>
      <c r="AX190" s="193">
        <f t="shared" si="135"/>
        <v>0</v>
      </c>
      <c r="AY190" s="193">
        <f t="shared" si="135"/>
        <v>0</v>
      </c>
      <c r="AZ190" s="193">
        <f t="shared" si="135"/>
        <v>0.60840862109907534</v>
      </c>
      <c r="BA190" s="193">
        <f t="shared" si="135"/>
        <v>1.2292481969079623</v>
      </c>
      <c r="BB190" s="193">
        <f t="shared" si="135"/>
        <v>0.63605321748799903</v>
      </c>
      <c r="BC190" s="193">
        <f t="shared" si="135"/>
        <v>2.7426099753581332</v>
      </c>
      <c r="BD190" s="193">
        <f t="shared" si="135"/>
        <v>4.3904867046874356</v>
      </c>
      <c r="BE190" s="193">
        <f t="shared" si="135"/>
        <v>0</v>
      </c>
      <c r="BF190" s="193">
        <f t="shared" si="135"/>
        <v>0</v>
      </c>
      <c r="BG190" s="193">
        <f t="shared" si="135"/>
        <v>3.6565056728873135</v>
      </c>
      <c r="BH190" s="193">
        <f t="shared" si="135"/>
        <v>0</v>
      </c>
      <c r="BI190" s="193">
        <f t="shared" si="135"/>
        <v>0.80336514582055252</v>
      </c>
      <c r="BJ190" s="193">
        <f t="shared" si="135"/>
        <v>0</v>
      </c>
      <c r="BK190" s="193">
        <f t="shared" si="135"/>
        <v>0.25193358292132262</v>
      </c>
      <c r="BL190" s="193">
        <f t="shared" si="135"/>
        <v>0</v>
      </c>
      <c r="BM190" s="193">
        <f t="shared" si="135"/>
        <v>10.690426867170975</v>
      </c>
      <c r="BN190" s="193">
        <f t="shared" si="135"/>
        <v>2.7637165842645253</v>
      </c>
      <c r="BO190" s="193">
        <f t="shared" si="135"/>
        <v>7.1236830162491929</v>
      </c>
      <c r="BQ190" t="s">
        <v>128</v>
      </c>
      <c r="BR190" t="s">
        <v>1256</v>
      </c>
      <c r="BS190" s="193" cm="1">
        <f t="array" ref="BS190">SUMPRODUCT(($AN$5:$AN$19=$BQ190)*(AP$5:AP$19)*(H$40:H$54))*SUMIFS(H$74:H$103,$F$74:$F$103,$BQ190,$G$74:$G$103,$BR190)</f>
        <v>0</v>
      </c>
      <c r="BT190" s="193" cm="1">
        <f t="array" ref="BT190">SUMPRODUCT(($AN$5:$AN$19=$BQ190)*(AQ$5:AQ$19)*(I$40:I$54))*SUMIFS(I$74:I$103,$F$74:$F$103,$BQ190,$G$74:$G$103,$BR190)</f>
        <v>0</v>
      </c>
      <c r="BU190" s="193" cm="1">
        <f t="array" ref="BU190">SUMPRODUCT(($AN$5:$AN$19=$BQ190)*(AR$5:AR$19)*(J$40:J$54))*SUMIFS(J$74:J$103,$F$74:$F$103,$BQ190,$G$74:$G$103,$BR190)</f>
        <v>0</v>
      </c>
      <c r="BV190" s="193" cm="1">
        <f t="array" ref="BV190">SUMPRODUCT(($AN$5:$AN$19=$BQ190)*(AS$5:AS$19)*(K$40:K$54))*SUMIFS(K$74:K$103,$F$74:$F$103,$BQ190,$G$74:$G$103,$BR190)</f>
        <v>0</v>
      </c>
      <c r="BW190" s="193" cm="1">
        <f t="array" ref="BW190">SUMPRODUCT(($AN$5:$AN$19=$BQ190)*(AT$5:AT$19)*(L$40:L$54))*SUMIFS(L$74:L$103,$F$74:$F$103,$BQ190,$G$74:$G$103,$BR190)</f>
        <v>0</v>
      </c>
      <c r="BX190" s="193" cm="1">
        <f t="array" ref="BX190">SUMPRODUCT(($AN$5:$AN$19=$BQ190)*(AU$5:AU$19)*(M$40:M$54))*SUMIFS(M$74:M$103,$F$74:$F$103,$BQ190,$G$74:$G$103,$BR190)</f>
        <v>0</v>
      </c>
      <c r="BY190" s="193" cm="1">
        <f t="array" ref="BY190">SUMPRODUCT(($AN$5:$AN$19=$BQ190)*(AV$5:AV$19)*(N$40:N$54))*SUMIFS(N$74:N$103,$F$74:$F$103,$BQ190,$G$74:$G$103,$BR190)</f>
        <v>0</v>
      </c>
      <c r="BZ190" s="193" cm="1">
        <f t="array" ref="BZ190">SUMPRODUCT(($AN$5:$AN$19=$BQ190)*(AW$5:AW$19)*(O$40:O$54))*SUMIFS(O$74:O$103,$F$74:$F$103,$BQ190,$G$74:$G$103,$BR190)</f>
        <v>0</v>
      </c>
      <c r="CA190" s="193" cm="1">
        <f t="array" ref="CA190">SUMPRODUCT(($AN$5:$AN$19=$BQ190)*(AX$5:AX$19)*(P$40:P$54))*SUMIFS(P$74:P$103,$F$74:$F$103,$BQ190,$G$74:$G$103,$BR190)</f>
        <v>0</v>
      </c>
      <c r="CB190" s="193" cm="1">
        <f t="array" ref="CB190">SUMPRODUCT(($AN$5:$AN$19=$BQ190)*(AY$5:AY$19)*(Q$40:Q$54))*SUMIFS(Q$74:Q$103,$F$74:$F$103,$BQ190,$G$74:$G$103,$BR190)</f>
        <v>0</v>
      </c>
      <c r="CC190" s="193" cm="1">
        <f t="array" ref="CC190">SUMPRODUCT(($AN$5:$AN$19=$BQ190)*(AZ$5:AZ$19)*(R$40:R$54))*SUMIFS(R$74:R$103,$F$74:$F$103,$BQ190,$G$74:$G$103,$BR190)</f>
        <v>0</v>
      </c>
      <c r="CD190" s="193" cm="1">
        <f t="array" ref="CD190">SUMPRODUCT(($AN$5:$AN$19=$BQ190)*(BA$5:BA$19)*(S$40:S$54))*SUMIFS(S$74:S$103,$F$74:$F$103,$BQ190,$G$74:$G$103,$BR190)</f>
        <v>0</v>
      </c>
      <c r="CE190" s="193" cm="1">
        <f t="array" ref="CE190">SUMPRODUCT(($AN$5:$AN$19=$BQ190)*(BB$5:BB$19)*(T$40:T$54))*SUMIFS(T$74:T$103,$F$74:$F$103,$BQ190,$G$74:$G$103,$BR190)</f>
        <v>0</v>
      </c>
      <c r="CF190" s="193" cm="1">
        <f t="array" ref="CF190">SUMPRODUCT(($AN$5:$AN$19=$BQ190)*(BC$5:BC$19)*(U$40:U$54))*SUMIFS(U$74:U$103,$F$74:$F$103,$BQ190,$G$74:$G$103,$BR190)</f>
        <v>0</v>
      </c>
      <c r="CG190" s="193" cm="1">
        <f t="array" ref="CG190">SUMPRODUCT(($AN$5:$AN$19=$BQ190)*(BD$5:BD$19)*(V$40:V$54))*SUMIFS(V$74:V$103,$F$74:$F$103,$BQ190,$G$74:$G$103,$BR190)</f>
        <v>0</v>
      </c>
      <c r="CH190" s="193" cm="1">
        <f t="array" ref="CH190">SUMPRODUCT(($AN$5:$AN$19=$BQ190)*(BE$5:BE$19)*(W$40:W$54))*SUMIFS(W$74:W$103,$F$74:$F$103,$BQ190,$G$74:$G$103,$BR190)</f>
        <v>0</v>
      </c>
      <c r="CI190" s="193" cm="1">
        <f t="array" ref="CI190">SUMPRODUCT(($AN$5:$AN$19=$BQ190)*(BF$5:BF$19)*(X$40:X$54))*SUMIFS(X$74:X$103,$F$74:$F$103,$BQ190,$G$74:$G$103,$BR190)</f>
        <v>0</v>
      </c>
      <c r="CJ190" s="193" cm="1">
        <f t="array" ref="CJ190">SUMPRODUCT(($AN$5:$AN$19=$BQ190)*(BG$5:BG$19)*(Y$40:Y$54))*SUMIFS(Y$74:Y$103,$F$74:$F$103,$BQ190,$G$74:$G$103,$BR190)</f>
        <v>0</v>
      </c>
      <c r="CK190" s="193" cm="1">
        <f t="array" ref="CK190">SUMPRODUCT(($AN$5:$AN$19=$BQ190)*(BH$5:BH$19)*(Z$40:Z$54))*SUMIFS(Z$74:Z$103,$F$74:$F$103,$BQ190,$G$74:$G$103,$BR190)</f>
        <v>0</v>
      </c>
      <c r="CL190" s="193" cm="1">
        <f t="array" ref="CL190">SUMPRODUCT(($AN$5:$AN$19=$BQ190)*(BI$5:BI$19)*(AA$40:AA$54))*SUMIFS(AA$74:AA$103,$F$74:$F$103,$BQ190,$G$74:$G$103,$BR190)</f>
        <v>0</v>
      </c>
      <c r="CM190" s="193" cm="1">
        <f t="array" ref="CM190">SUMPRODUCT(($AN$5:$AN$19=$BQ190)*(BJ$5:BJ$19)*(AB$40:AB$54))*SUMIFS(AB$74:AB$103,$F$74:$F$103,$BQ190,$G$74:$G$103,$BR190)</f>
        <v>0</v>
      </c>
      <c r="CN190" s="193" cm="1">
        <f t="array" ref="CN190">SUMPRODUCT(($AN$5:$AN$19=$BQ190)*(BK$5:BK$19)*(AC$40:AC$54))*SUMIFS(AC$74:AC$103,$F$74:$F$103,$BQ190,$G$74:$G$103,$BR190)</f>
        <v>0</v>
      </c>
      <c r="CO190" s="193" cm="1">
        <f t="array" ref="CO190">SUMPRODUCT(($AN$5:$AN$19=$BQ190)*(BL$5:BL$19)*(AD$40:AD$54))*SUMIFS(AD$74:AD$103,$F$74:$F$103,$BQ190,$G$74:$G$103,$BR190)</f>
        <v>0</v>
      </c>
      <c r="CP190" s="193" cm="1">
        <f t="array" ref="CP190">SUMPRODUCT(($AN$5:$AN$19=$BQ190)*(BM$5:BM$19)*(AE$40:AE$54))*SUMIFS(AE$74:AE$103,$F$74:$F$103,$BQ190,$G$74:$G$103,$BR190)</f>
        <v>0</v>
      </c>
      <c r="CQ190" s="193" cm="1">
        <f t="array" ref="CQ190">SUMPRODUCT(($AN$5:$AN$19=$BQ190)*(BN$5:BN$19)*(AF$40:AF$54))*SUMIFS(AF$74:AF$103,$F$74:$F$103,$BQ190,$G$74:$G$103,$BR190)</f>
        <v>0</v>
      </c>
      <c r="CR190" s="193" cm="1">
        <f t="array" ref="CR190">SUMPRODUCT(($AN$5:$AN$19=$BQ190)*(BO$5:BO$19)*(AG$40:AG$54))*SUMIFS(AG$74:AG$103,$F$74:$F$103,$BQ190,$G$74:$G$103,$BR190)</f>
        <v>0</v>
      </c>
      <c r="CS190" s="193" cm="1">
        <f t="array" ref="CS190">SUMPRODUCT(($AN$5:$AN$19=$BQ190)*(BP$5:BP$19)*(AH$40:AH$54))*SUMIFS(AH$74:AH$103,$F$74:$F$103,$BQ190,$G$74:$G$103,$BR190)</f>
        <v>0</v>
      </c>
      <c r="CT190" s="193" cm="1">
        <f t="array" ref="CT190">SUMPRODUCT(($AN$5:$AN$19=$BQ190)*(BQ$5:BQ$19)*(AI$40:AI$54))*SUMIFS(AI$74:AI$103,$F$74:$F$103,$BQ190,$G$74:$G$103,$BR190)</f>
        <v>0</v>
      </c>
    </row>
    <row r="191" spans="1:98" x14ac:dyDescent="0.25">
      <c r="A191" t="s">
        <v>132</v>
      </c>
      <c r="B191" t="str">
        <f t="shared" si="128"/>
        <v>NO</v>
      </c>
      <c r="F191" t="s">
        <v>1279</v>
      </c>
      <c r="H191" s="193">
        <f>AN190</f>
        <v>0</v>
      </c>
      <c r="I191" s="193">
        <f t="shared" ref="I191:AH191" si="136">AO190</f>
        <v>0</v>
      </c>
      <c r="J191" s="193">
        <f t="shared" si="136"/>
        <v>0</v>
      </c>
      <c r="K191" s="193">
        <f t="shared" si="136"/>
        <v>3.3685004994991385</v>
      </c>
      <c r="L191" s="193">
        <f t="shared" si="136"/>
        <v>2.7317538522364253</v>
      </c>
      <c r="M191" s="193">
        <f t="shared" si="136"/>
        <v>3.7734539149841559</v>
      </c>
      <c r="N191" s="193">
        <f t="shared" si="136"/>
        <v>0</v>
      </c>
      <c r="O191" s="193">
        <f t="shared" si="136"/>
        <v>0</v>
      </c>
      <c r="P191" s="193">
        <f t="shared" si="136"/>
        <v>4.6666982621625017</v>
      </c>
      <c r="Q191" s="193">
        <f t="shared" si="136"/>
        <v>4.4954238477552684</v>
      </c>
      <c r="R191" s="193">
        <f t="shared" si="136"/>
        <v>0</v>
      </c>
      <c r="S191" s="193">
        <f t="shared" si="136"/>
        <v>0</v>
      </c>
      <c r="T191" s="193">
        <f t="shared" si="136"/>
        <v>0.60840862109907534</v>
      </c>
      <c r="U191" s="193">
        <f t="shared" si="136"/>
        <v>1.2292481969079623</v>
      </c>
      <c r="V191" s="193">
        <f t="shared" si="136"/>
        <v>0.63605321748799903</v>
      </c>
      <c r="W191" s="193">
        <f t="shared" si="136"/>
        <v>2.7426099753581332</v>
      </c>
      <c r="X191" s="193">
        <f t="shared" si="136"/>
        <v>4.3904867046874356</v>
      </c>
      <c r="Y191" s="193">
        <f t="shared" si="136"/>
        <v>0</v>
      </c>
      <c r="Z191" s="193">
        <f t="shared" si="136"/>
        <v>0</v>
      </c>
      <c r="AA191" s="193">
        <f t="shared" si="136"/>
        <v>3.6565056728873135</v>
      </c>
      <c r="AB191" s="193">
        <f t="shared" si="136"/>
        <v>0</v>
      </c>
      <c r="AC191" s="193">
        <f t="shared" si="136"/>
        <v>0.80336514582055252</v>
      </c>
      <c r="AD191" s="193">
        <f t="shared" si="136"/>
        <v>0</v>
      </c>
      <c r="AE191" s="193">
        <f t="shared" si="136"/>
        <v>0.25193358292132262</v>
      </c>
      <c r="AF191" s="193">
        <f t="shared" si="136"/>
        <v>0</v>
      </c>
      <c r="AG191" s="193">
        <f t="shared" si="136"/>
        <v>10.690426867170975</v>
      </c>
      <c r="AH191" s="193">
        <f t="shared" si="136"/>
        <v>2.7637165842645253</v>
      </c>
      <c r="AI191" s="193">
        <f>BO190</f>
        <v>7.1236830162491929</v>
      </c>
      <c r="AN191" s="193"/>
      <c r="AO191" s="193"/>
      <c r="AP191" s="193"/>
      <c r="AQ191" s="193"/>
      <c r="AR191" s="193"/>
      <c r="AS191" s="193"/>
      <c r="AT191" s="193"/>
      <c r="AU191" s="193"/>
      <c r="AV191" s="193"/>
      <c r="AW191" s="193"/>
      <c r="AX191" s="193"/>
      <c r="AY191" s="193"/>
      <c r="AZ191" s="193"/>
      <c r="BA191" s="193"/>
      <c r="BB191" s="193"/>
      <c r="BC191" s="193"/>
      <c r="BD191" s="193"/>
      <c r="BE191" s="193"/>
      <c r="BF191" s="193"/>
      <c r="BG191" s="193"/>
      <c r="BH191" s="193"/>
      <c r="BI191" s="193"/>
      <c r="BJ191" s="193"/>
      <c r="BK191" s="193"/>
      <c r="BL191" s="193"/>
      <c r="BM191" s="193"/>
      <c r="BN191" s="193"/>
      <c r="BO191" s="193"/>
      <c r="BS191" s="193"/>
      <c r="BT191" s="193"/>
      <c r="BU191" s="193"/>
      <c r="BV191" s="193"/>
      <c r="BW191" s="193"/>
      <c r="BX191" s="193"/>
      <c r="BY191" s="193"/>
      <c r="BZ191" s="193"/>
      <c r="CA191" s="193"/>
      <c r="CB191" s="193"/>
      <c r="CC191" s="193"/>
      <c r="CD191" s="193"/>
      <c r="CE191" s="193"/>
      <c r="CF191" s="193"/>
      <c r="CG191" s="193"/>
      <c r="CH191" s="193"/>
      <c r="CI191" s="193"/>
      <c r="CJ191" s="193"/>
      <c r="CK191" s="193"/>
      <c r="CL191" s="193"/>
      <c r="CM191" s="193"/>
      <c r="CN191" s="193"/>
      <c r="CO191" s="193"/>
      <c r="CP191" s="193"/>
      <c r="CQ191" s="193"/>
      <c r="CR191" s="193"/>
      <c r="CS191" s="193"/>
      <c r="CT191" s="193"/>
    </row>
    <row r="192" spans="1:98" x14ac:dyDescent="0.25">
      <c r="A192" t="s">
        <v>134</v>
      </c>
      <c r="B192" t="str">
        <f t="shared" si="128"/>
        <v>YES</v>
      </c>
      <c r="D192" t="s">
        <v>1154</v>
      </c>
      <c r="E192">
        <v>30</v>
      </c>
      <c r="F192" t="s">
        <v>470</v>
      </c>
      <c r="G192" t="s">
        <v>134</v>
      </c>
      <c r="H192">
        <v>2</v>
      </c>
      <c r="I192">
        <v>2</v>
      </c>
      <c r="J192">
        <v>2</v>
      </c>
      <c r="K192">
        <v>2</v>
      </c>
      <c r="L192">
        <v>2</v>
      </c>
      <c r="M192">
        <v>2</v>
      </c>
      <c r="N192">
        <v>2</v>
      </c>
      <c r="O192">
        <v>2</v>
      </c>
      <c r="P192">
        <v>2</v>
      </c>
      <c r="Q192">
        <v>2</v>
      </c>
      <c r="R192">
        <v>2</v>
      </c>
      <c r="S192">
        <v>2</v>
      </c>
      <c r="T192">
        <v>2</v>
      </c>
      <c r="U192">
        <v>2</v>
      </c>
      <c r="V192">
        <v>2</v>
      </c>
      <c r="W192">
        <v>2</v>
      </c>
      <c r="X192">
        <v>2</v>
      </c>
      <c r="Y192">
        <v>2</v>
      </c>
      <c r="Z192">
        <v>2</v>
      </c>
      <c r="AA192">
        <v>2</v>
      </c>
      <c r="AB192">
        <v>2</v>
      </c>
      <c r="AC192">
        <v>2</v>
      </c>
      <c r="AD192">
        <v>2</v>
      </c>
      <c r="AE192">
        <v>2</v>
      </c>
      <c r="AF192">
        <v>2</v>
      </c>
      <c r="AG192">
        <v>2</v>
      </c>
      <c r="AH192">
        <v>2</v>
      </c>
      <c r="AI192">
        <v>2</v>
      </c>
      <c r="AN192" s="193"/>
      <c r="AO192" s="193"/>
      <c r="AP192" s="193"/>
      <c r="AQ192" s="193"/>
      <c r="AR192" s="193"/>
      <c r="AS192" s="193"/>
      <c r="AT192" s="193"/>
      <c r="AU192" s="193"/>
      <c r="AV192" s="193"/>
      <c r="AW192" s="193"/>
      <c r="AX192" s="193"/>
      <c r="AY192" s="193"/>
      <c r="AZ192" s="193"/>
      <c r="BA192" s="193"/>
      <c r="BB192" s="193"/>
      <c r="BC192" s="193"/>
      <c r="BD192" s="193"/>
      <c r="BE192" s="193"/>
      <c r="BF192" s="193"/>
      <c r="BG192" s="193"/>
      <c r="BH192" s="193"/>
      <c r="BI192" s="193"/>
      <c r="BJ192" s="193"/>
      <c r="BK192" s="193"/>
      <c r="BL192" s="193"/>
      <c r="BM192" s="193"/>
      <c r="BN192" s="193"/>
      <c r="BO192" s="193"/>
      <c r="BS192" s="193"/>
      <c r="BT192" s="193"/>
      <c r="BU192" s="193"/>
      <c r="BV192" s="193"/>
      <c r="BW192" s="193"/>
      <c r="BX192" s="193"/>
      <c r="BY192" s="193"/>
      <c r="BZ192" s="193"/>
      <c r="CA192" s="193"/>
      <c r="CB192" s="193"/>
      <c r="CC192" s="193"/>
      <c r="CD192" s="193"/>
      <c r="CE192" s="193"/>
      <c r="CF192" s="193"/>
      <c r="CG192" s="193"/>
      <c r="CH192" s="193"/>
      <c r="CI192" s="193"/>
      <c r="CJ192" s="193"/>
      <c r="CK192" s="193"/>
      <c r="CL192" s="193"/>
      <c r="CM192" s="193"/>
      <c r="CN192" s="193"/>
      <c r="CO192" s="193"/>
      <c r="CP192" s="193"/>
      <c r="CQ192" s="193"/>
      <c r="CR192" s="193"/>
      <c r="CS192" s="193"/>
      <c r="CT192" s="193"/>
    </row>
    <row r="193" spans="1:98" x14ac:dyDescent="0.25">
      <c r="A193" t="s">
        <v>1701</v>
      </c>
      <c r="B193" t="str">
        <f t="shared" si="128"/>
        <v>NO</v>
      </c>
      <c r="F193" t="s">
        <v>472</v>
      </c>
      <c r="G193" t="s">
        <v>1256</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c r="AD193">
        <v>1</v>
      </c>
      <c r="AE193">
        <v>1</v>
      </c>
      <c r="AF193">
        <v>1</v>
      </c>
      <c r="AG193">
        <v>1</v>
      </c>
      <c r="AH193">
        <v>1</v>
      </c>
      <c r="AI193">
        <v>1</v>
      </c>
      <c r="AM193" t="s">
        <v>1256</v>
      </c>
      <c r="AN193" s="193">
        <f>(H193/H192)*BS193</f>
        <v>0</v>
      </c>
      <c r="AO193" s="193">
        <f t="shared" ref="AO193:BO193" si="137">(I193/I192)*BT193</f>
        <v>6.5250000000000002E-2</v>
      </c>
      <c r="AP193" s="193">
        <f t="shared" si="137"/>
        <v>1.4551059325721172E-2</v>
      </c>
      <c r="AQ193" s="193">
        <f t="shared" si="137"/>
        <v>0</v>
      </c>
      <c r="AR193" s="193">
        <f t="shared" si="137"/>
        <v>0.55575000000000008</v>
      </c>
      <c r="AS193" s="193">
        <f t="shared" si="137"/>
        <v>0.14079786374777309</v>
      </c>
      <c r="AT193" s="193">
        <f t="shared" si="137"/>
        <v>0</v>
      </c>
      <c r="AU193" s="193">
        <f t="shared" si="137"/>
        <v>0</v>
      </c>
      <c r="AV193" s="193">
        <f t="shared" si="137"/>
        <v>2.0824348039313278</v>
      </c>
      <c r="AW193" s="193">
        <f t="shared" si="137"/>
        <v>0.13655</v>
      </c>
      <c r="AX193" s="193">
        <f t="shared" si="137"/>
        <v>0</v>
      </c>
      <c r="AY193" s="193">
        <f t="shared" si="137"/>
        <v>3.0033135111939147</v>
      </c>
      <c r="AZ193" s="193">
        <f t="shared" si="137"/>
        <v>7.5700000000000003E-2</v>
      </c>
      <c r="BA193" s="193">
        <f t="shared" si="137"/>
        <v>2.9950000000000001E-2</v>
      </c>
      <c r="BB193" s="193">
        <f t="shared" si="137"/>
        <v>5.6750000000000002E-2</v>
      </c>
      <c r="BC193" s="193">
        <f t="shared" si="137"/>
        <v>0.38855000000000001</v>
      </c>
      <c r="BD193" s="193">
        <f t="shared" si="137"/>
        <v>0.17280000000000001</v>
      </c>
      <c r="BE193" s="193">
        <f t="shared" si="137"/>
        <v>0</v>
      </c>
      <c r="BF193" s="193">
        <f t="shared" si="137"/>
        <v>0</v>
      </c>
      <c r="BG193" s="193">
        <f t="shared" si="137"/>
        <v>0.64270000000000005</v>
      </c>
      <c r="BH193" s="193">
        <f t="shared" si="137"/>
        <v>0</v>
      </c>
      <c r="BI193" s="193">
        <f t="shared" si="137"/>
        <v>0</v>
      </c>
      <c r="BJ193" s="193">
        <f t="shared" si="137"/>
        <v>0</v>
      </c>
      <c r="BK193" s="193">
        <f t="shared" si="137"/>
        <v>0</v>
      </c>
      <c r="BL193" s="193">
        <f t="shared" si="137"/>
        <v>0</v>
      </c>
      <c r="BM193" s="193">
        <f t="shared" si="137"/>
        <v>0</v>
      </c>
      <c r="BN193" s="193">
        <f t="shared" si="137"/>
        <v>4.6750000000000007E-2</v>
      </c>
      <c r="BO193" s="193">
        <f t="shared" si="137"/>
        <v>0.43484999999999996</v>
      </c>
      <c r="BQ193" t="s">
        <v>134</v>
      </c>
      <c r="BR193" t="s">
        <v>1256</v>
      </c>
      <c r="BS193" s="193" cm="1">
        <f t="array" ref="BS193">SUMPRODUCT(($AN$5:$AN$19=$BQ193)*(AP$5:AP$19)*(H$40:H$54))*SUMIFS(H$74:H$103,$F$74:$F$103,$BQ193,$G$74:$G$103,$BR193)</f>
        <v>0</v>
      </c>
      <c r="BT193" s="193" cm="1">
        <f t="array" ref="BT193">SUMPRODUCT(($AN$5:$AN$19=$BQ193)*(AQ$5:AQ$19)*(I$40:I$54))*SUMIFS(I$74:I$103,$F$74:$F$103,$BQ193,$G$74:$G$103,$BR193)</f>
        <v>0.1305</v>
      </c>
      <c r="BU193" s="193" cm="1">
        <f t="array" ref="BU193">SUMPRODUCT(($AN$5:$AN$19=$BQ193)*(AR$5:AR$19)*(J$40:J$54))*SUMIFS(J$74:J$103,$F$74:$F$103,$BQ193,$G$74:$G$103,$BR193)</f>
        <v>2.9102118651442344E-2</v>
      </c>
      <c r="BV193" s="193" cm="1">
        <f t="array" ref="BV193">SUMPRODUCT(($AN$5:$AN$19=$BQ193)*(AS$5:AS$19)*(K$40:K$54))*SUMIFS(K$74:K$103,$F$74:$F$103,$BQ193,$G$74:$G$103,$BR193)</f>
        <v>0</v>
      </c>
      <c r="BW193" s="193" cm="1">
        <f t="array" ref="BW193">SUMPRODUCT(($AN$5:$AN$19=$BQ193)*(AT$5:AT$19)*(L$40:L$54))*SUMIFS(L$74:L$103,$F$74:$F$103,$BQ193,$G$74:$G$103,$BR193)</f>
        <v>1.1115000000000002</v>
      </c>
      <c r="BX193" s="193" cm="1">
        <f t="array" ref="BX193">SUMPRODUCT(($AN$5:$AN$19=$BQ193)*(AU$5:AU$19)*(M$40:M$54))*SUMIFS(M$74:M$103,$F$74:$F$103,$BQ193,$G$74:$G$103,$BR193)</f>
        <v>0.28159572749554618</v>
      </c>
      <c r="BY193" s="193" cm="1">
        <f t="array" ref="BY193">SUMPRODUCT(($AN$5:$AN$19=$BQ193)*(AV$5:AV$19)*(N$40:N$54))*SUMIFS(N$74:N$103,$F$74:$F$103,$BQ193,$G$74:$G$103,$BR193)</f>
        <v>0</v>
      </c>
      <c r="BZ193" s="193" cm="1">
        <f t="array" ref="BZ193">SUMPRODUCT(($AN$5:$AN$19=$BQ193)*(AW$5:AW$19)*(O$40:O$54))*SUMIFS(O$74:O$103,$F$74:$F$103,$BQ193,$G$74:$G$103,$BR193)</f>
        <v>0</v>
      </c>
      <c r="CA193" s="193" cm="1">
        <f t="array" ref="CA193">SUMPRODUCT(($AN$5:$AN$19=$BQ193)*(AX$5:AX$19)*(P$40:P$54))*SUMIFS(P$74:P$103,$F$74:$F$103,$BQ193,$G$74:$G$103,$BR193)</f>
        <v>4.1648696078626557</v>
      </c>
      <c r="CB193" s="193" cm="1">
        <f t="array" ref="CB193">SUMPRODUCT(($AN$5:$AN$19=$BQ193)*(AY$5:AY$19)*(Q$40:Q$54))*SUMIFS(Q$74:Q$103,$F$74:$F$103,$BQ193,$G$74:$G$103,$BR193)</f>
        <v>0.27310000000000001</v>
      </c>
      <c r="CC193" s="193" cm="1">
        <f t="array" ref="CC193">SUMPRODUCT(($AN$5:$AN$19=$BQ193)*(AZ$5:AZ$19)*(R$40:R$54))*SUMIFS(R$74:R$103,$F$74:$F$103,$BQ193,$G$74:$G$103,$BR193)</f>
        <v>0</v>
      </c>
      <c r="CD193" s="193" cm="1">
        <f t="array" ref="CD193">SUMPRODUCT(($AN$5:$AN$19=$BQ193)*(BA$5:BA$19)*(S$40:S$54))*SUMIFS(S$74:S$103,$F$74:$F$103,$BQ193,$G$74:$G$103,$BR193)</f>
        <v>6.0066270223878293</v>
      </c>
      <c r="CE193" s="193" cm="1">
        <f t="array" ref="CE193">SUMPRODUCT(($AN$5:$AN$19=$BQ193)*(BB$5:BB$19)*(T$40:T$54))*SUMIFS(T$74:T$103,$F$74:$F$103,$BQ193,$G$74:$G$103,$BR193)</f>
        <v>0.15140000000000001</v>
      </c>
      <c r="CF193" s="193" cm="1">
        <f t="array" ref="CF193">SUMPRODUCT(($AN$5:$AN$19=$BQ193)*(BC$5:BC$19)*(U$40:U$54))*SUMIFS(U$74:U$103,$F$74:$F$103,$BQ193,$G$74:$G$103,$BR193)</f>
        <v>5.9900000000000002E-2</v>
      </c>
      <c r="CG193" s="193" cm="1">
        <f t="array" ref="CG193">SUMPRODUCT(($AN$5:$AN$19=$BQ193)*(BD$5:BD$19)*(V$40:V$54))*SUMIFS(V$74:V$103,$F$74:$F$103,$BQ193,$G$74:$G$103,$BR193)</f>
        <v>0.1135</v>
      </c>
      <c r="CH193" s="193" cm="1">
        <f t="array" ref="CH193">SUMPRODUCT(($AN$5:$AN$19=$BQ193)*(BE$5:BE$19)*(W$40:W$54))*SUMIFS(W$74:W$103,$F$74:$F$103,$BQ193,$G$74:$G$103,$BR193)</f>
        <v>0.77710000000000001</v>
      </c>
      <c r="CI193" s="193" cm="1">
        <f t="array" ref="CI193">SUMPRODUCT(($AN$5:$AN$19=$BQ193)*(BF$5:BF$19)*(X$40:X$54))*SUMIFS(X$74:X$103,$F$74:$F$103,$BQ193,$G$74:$G$103,$BR193)</f>
        <v>0.34560000000000002</v>
      </c>
      <c r="CJ193" s="193" cm="1">
        <f t="array" ref="CJ193">SUMPRODUCT(($AN$5:$AN$19=$BQ193)*(BG$5:BG$19)*(Y$40:Y$54))*SUMIFS(Y$74:Y$103,$F$74:$F$103,$BQ193,$G$74:$G$103,$BR193)</f>
        <v>0</v>
      </c>
      <c r="CK193" s="193" cm="1">
        <f t="array" ref="CK193">SUMPRODUCT(($AN$5:$AN$19=$BQ193)*(BH$5:BH$19)*(Z$40:Z$54))*SUMIFS(Z$74:Z$103,$F$74:$F$103,$BQ193,$G$74:$G$103,$BR193)</f>
        <v>0</v>
      </c>
      <c r="CL193" s="193" cm="1">
        <f t="array" ref="CL193">SUMPRODUCT(($AN$5:$AN$19=$BQ193)*(BI$5:BI$19)*(AA$40:AA$54))*SUMIFS(AA$74:AA$103,$F$74:$F$103,$BQ193,$G$74:$G$103,$BR193)</f>
        <v>1.2854000000000001</v>
      </c>
      <c r="CM193" s="193" cm="1">
        <f t="array" ref="CM193">SUMPRODUCT(($AN$5:$AN$19=$BQ193)*(BJ$5:BJ$19)*(AB$40:AB$54))*SUMIFS(AB$74:AB$103,$F$74:$F$103,$BQ193,$G$74:$G$103,$BR193)</f>
        <v>0</v>
      </c>
      <c r="CN193" s="193" cm="1">
        <f t="array" ref="CN193">SUMPRODUCT(($AN$5:$AN$19=$BQ193)*(BK$5:BK$19)*(AC$40:AC$54))*SUMIFS(AC$74:AC$103,$F$74:$F$103,$BQ193,$G$74:$G$103,$BR193)</f>
        <v>0</v>
      </c>
      <c r="CO193" s="193" cm="1">
        <f t="array" ref="CO193">SUMPRODUCT(($AN$5:$AN$19=$BQ193)*(BL$5:BL$19)*(AD$40:AD$54))*SUMIFS(AD$74:AD$103,$F$74:$F$103,$BQ193,$G$74:$G$103,$BR193)</f>
        <v>0</v>
      </c>
      <c r="CP193" s="193" cm="1">
        <f t="array" ref="CP193">SUMPRODUCT(($AN$5:$AN$19=$BQ193)*(BM$5:BM$19)*(AE$40:AE$54))*SUMIFS(AE$74:AE$103,$F$74:$F$103,$BQ193,$G$74:$G$103,$BR193)</f>
        <v>0</v>
      </c>
      <c r="CQ193" s="193" cm="1">
        <f t="array" ref="CQ193">SUMPRODUCT(($AN$5:$AN$19=$BQ193)*(BN$5:BN$19)*(AF$40:AF$54))*SUMIFS(AF$74:AF$103,$F$74:$F$103,$BQ193,$G$74:$G$103,$BR193)</f>
        <v>0</v>
      </c>
      <c r="CR193" s="193" cm="1">
        <f t="array" ref="CR193">SUMPRODUCT(($AN$5:$AN$19=$BQ193)*(BO$5:BO$19)*(AG$40:AG$54))*SUMIFS(AG$74:AG$103,$F$74:$F$103,$BQ193,$G$74:$G$103,$BR193)</f>
        <v>0</v>
      </c>
      <c r="CS193" s="193" cm="1">
        <f t="array" ref="CS193">SUMPRODUCT(($AN$5:$AN$19=$BQ193)*(BP$5:BP$19)*(AH$40:AH$54))*SUMIFS(AH$74:AH$103,$F$74:$F$103,$BQ193,$G$74:$G$103,$BR193)</f>
        <v>9.3500000000000014E-2</v>
      </c>
      <c r="CT193" s="193" cm="1">
        <f t="array" ref="CT193">SUMPRODUCT(($AN$5:$AN$19=$BQ193)*(BQ$5:BQ$19)*(AI$40:AI$54))*SUMIFS(AI$74:AI$103,$F$74:$F$103,$BQ193,$G$74:$G$103,$BR193)</f>
        <v>0.86969999999999992</v>
      </c>
    </row>
    <row r="194" spans="1:98" x14ac:dyDescent="0.25">
      <c r="A194" t="s">
        <v>137</v>
      </c>
      <c r="B194" t="str">
        <f t="shared" si="128"/>
        <v>NO</v>
      </c>
      <c r="F194" t="s">
        <v>1279</v>
      </c>
      <c r="H194" s="193">
        <f>AN193</f>
        <v>0</v>
      </c>
      <c r="I194" s="193">
        <f t="shared" ref="I194:AI194" si="138">AO193</f>
        <v>6.5250000000000002E-2</v>
      </c>
      <c r="J194" s="193">
        <f t="shared" si="138"/>
        <v>1.4551059325721172E-2</v>
      </c>
      <c r="K194" s="193">
        <f t="shared" si="138"/>
        <v>0</v>
      </c>
      <c r="L194" s="193">
        <f t="shared" si="138"/>
        <v>0.55575000000000008</v>
      </c>
      <c r="M194" s="193">
        <f t="shared" si="138"/>
        <v>0.14079786374777309</v>
      </c>
      <c r="N194" s="193">
        <f t="shared" si="138"/>
        <v>0</v>
      </c>
      <c r="O194" s="193">
        <f t="shared" si="138"/>
        <v>0</v>
      </c>
      <c r="P194" s="193">
        <f t="shared" si="138"/>
        <v>2.0824348039313278</v>
      </c>
      <c r="Q194" s="193">
        <f t="shared" si="138"/>
        <v>0.13655</v>
      </c>
      <c r="R194" s="193">
        <f t="shared" si="138"/>
        <v>0</v>
      </c>
      <c r="S194" s="193">
        <f t="shared" si="138"/>
        <v>3.0033135111939147</v>
      </c>
      <c r="T194" s="193">
        <f t="shared" si="138"/>
        <v>7.5700000000000003E-2</v>
      </c>
      <c r="U194" s="193">
        <f t="shared" si="138"/>
        <v>2.9950000000000001E-2</v>
      </c>
      <c r="V194" s="193">
        <f t="shared" si="138"/>
        <v>5.6750000000000002E-2</v>
      </c>
      <c r="W194" s="193">
        <f t="shared" si="138"/>
        <v>0.38855000000000001</v>
      </c>
      <c r="X194" s="193">
        <f t="shared" si="138"/>
        <v>0.17280000000000001</v>
      </c>
      <c r="Y194" s="193">
        <f t="shared" si="138"/>
        <v>0</v>
      </c>
      <c r="Z194" s="193">
        <f t="shared" si="138"/>
        <v>0</v>
      </c>
      <c r="AA194" s="193">
        <f t="shared" si="138"/>
        <v>0.64270000000000005</v>
      </c>
      <c r="AB194" s="193">
        <f t="shared" si="138"/>
        <v>0</v>
      </c>
      <c r="AC194" s="193">
        <f t="shared" si="138"/>
        <v>0</v>
      </c>
      <c r="AD194" s="193">
        <f t="shared" si="138"/>
        <v>0</v>
      </c>
      <c r="AE194" s="193">
        <f t="shared" si="138"/>
        <v>0</v>
      </c>
      <c r="AF194" s="193">
        <f t="shared" si="138"/>
        <v>0</v>
      </c>
      <c r="AG194" s="193">
        <f t="shared" si="138"/>
        <v>0</v>
      </c>
      <c r="AH194" s="193">
        <f t="shared" si="138"/>
        <v>4.6750000000000007E-2</v>
      </c>
      <c r="AI194" s="193">
        <f t="shared" si="138"/>
        <v>0.43484999999999996</v>
      </c>
      <c r="AN194" s="193"/>
      <c r="AO194" s="193"/>
      <c r="AP194" s="193"/>
      <c r="AQ194" s="193"/>
      <c r="AR194" s="193"/>
      <c r="AS194" s="193"/>
      <c r="AT194" s="193"/>
      <c r="AU194" s="193"/>
      <c r="AV194" s="193"/>
      <c r="AW194" s="193"/>
      <c r="AX194" s="193"/>
      <c r="AY194" s="193"/>
      <c r="AZ194" s="193"/>
      <c r="BA194" s="193"/>
      <c r="BB194" s="193"/>
      <c r="BC194" s="193"/>
      <c r="BD194" s="193"/>
      <c r="BE194" s="193"/>
      <c r="BF194" s="193"/>
      <c r="BG194" s="193"/>
      <c r="BH194" s="193"/>
      <c r="BI194" s="193"/>
      <c r="BJ194" s="193"/>
      <c r="BK194" s="193"/>
      <c r="BL194" s="193"/>
      <c r="BM194" s="193"/>
      <c r="BN194" s="193"/>
      <c r="BO194" s="193"/>
      <c r="BS194" s="193"/>
      <c r="BT194" s="193"/>
      <c r="BU194" s="193"/>
      <c r="BV194" s="193"/>
      <c r="BW194" s="193"/>
      <c r="BX194" s="193"/>
      <c r="BY194" s="193"/>
      <c r="BZ194" s="193"/>
      <c r="CA194" s="193"/>
      <c r="CB194" s="193"/>
      <c r="CC194" s="193"/>
      <c r="CD194" s="193"/>
      <c r="CE194" s="193"/>
      <c r="CF194" s="193"/>
      <c r="CG194" s="193"/>
      <c r="CH194" s="193"/>
      <c r="CI194" s="193"/>
      <c r="CJ194" s="193"/>
      <c r="CK194" s="193"/>
      <c r="CL194" s="193"/>
      <c r="CM194" s="193"/>
      <c r="CN194" s="193"/>
      <c r="CO194" s="193"/>
      <c r="CP194" s="193"/>
      <c r="CQ194" s="193"/>
      <c r="CR194" s="193"/>
      <c r="CS194" s="193"/>
      <c r="CT194" s="193"/>
    </row>
    <row r="195" spans="1:98" x14ac:dyDescent="0.25">
      <c r="A195" t="s">
        <v>139</v>
      </c>
      <c r="B195" t="str">
        <f t="shared" si="128"/>
        <v>NO</v>
      </c>
      <c r="D195" t="s">
        <v>575</v>
      </c>
      <c r="AM195" t="s">
        <v>466</v>
      </c>
      <c r="AN195" s="193">
        <f>SUM(AN181:AN193)</f>
        <v>0</v>
      </c>
      <c r="AO195" s="193">
        <f t="shared" ref="AO195:BO195" si="139">SUM(AO181:AO193)</f>
        <v>6.5250000000000002E-2</v>
      </c>
      <c r="AP195" s="193">
        <f t="shared" si="139"/>
        <v>1.4551059325721172E-2</v>
      </c>
      <c r="AQ195" s="193">
        <f t="shared" si="139"/>
        <v>3.3685004994991385</v>
      </c>
      <c r="AR195" s="193">
        <f t="shared" si="139"/>
        <v>3.2875038522364255</v>
      </c>
      <c r="AS195" s="193">
        <f t="shared" si="139"/>
        <v>3.9142517787319289</v>
      </c>
      <c r="AT195" s="193">
        <f t="shared" si="139"/>
        <v>0</v>
      </c>
      <c r="AU195" s="193">
        <f t="shared" si="139"/>
        <v>0</v>
      </c>
      <c r="AV195" s="193">
        <f t="shared" si="139"/>
        <v>6.7491330660938296</v>
      </c>
      <c r="AW195" s="193">
        <f t="shared" si="139"/>
        <v>4.6319738477552681</v>
      </c>
      <c r="AX195" s="193">
        <f t="shared" si="139"/>
        <v>0</v>
      </c>
      <c r="AY195" s="193">
        <f t="shared" si="139"/>
        <v>3.0033135111939147</v>
      </c>
      <c r="AZ195" s="193">
        <f t="shared" si="139"/>
        <v>0.68410862109907533</v>
      </c>
      <c r="BA195" s="193">
        <f t="shared" si="139"/>
        <v>1.2591981969079622</v>
      </c>
      <c r="BB195" s="193">
        <f t="shared" si="139"/>
        <v>0.692803217487999</v>
      </c>
      <c r="BC195" s="193">
        <f t="shared" si="139"/>
        <v>3.1311599753581332</v>
      </c>
      <c r="BD195" s="193">
        <f t="shared" si="139"/>
        <v>4.5632867046874352</v>
      </c>
      <c r="BE195" s="193">
        <f t="shared" si="139"/>
        <v>0</v>
      </c>
      <c r="BF195" s="193">
        <f t="shared" si="139"/>
        <v>0</v>
      </c>
      <c r="BG195" s="193">
        <f t="shared" si="139"/>
        <v>4.2992056728873136</v>
      </c>
      <c r="BH195" s="193">
        <f t="shared" si="139"/>
        <v>0</v>
      </c>
      <c r="BI195" s="193">
        <f t="shared" si="139"/>
        <v>0.80336514582055252</v>
      </c>
      <c r="BJ195" s="193">
        <f t="shared" si="139"/>
        <v>0</v>
      </c>
      <c r="BK195" s="193">
        <f t="shared" si="139"/>
        <v>0.25193358292132262</v>
      </c>
      <c r="BL195" s="193">
        <f t="shared" si="139"/>
        <v>0</v>
      </c>
      <c r="BM195" s="193">
        <f t="shared" si="139"/>
        <v>10.690426867170975</v>
      </c>
      <c r="BN195" s="193">
        <f t="shared" si="139"/>
        <v>2.8104665842645251</v>
      </c>
      <c r="BO195" s="193">
        <f t="shared" si="139"/>
        <v>7.5585330162491928</v>
      </c>
      <c r="BS195" s="193"/>
      <c r="BT195" s="193"/>
      <c r="BU195" s="193"/>
      <c r="BV195" s="193"/>
      <c r="BW195" s="193"/>
      <c r="BX195" s="193"/>
      <c r="BY195" s="193"/>
      <c r="BZ195" s="193"/>
      <c r="CA195" s="193"/>
      <c r="CB195" s="193"/>
      <c r="CC195" s="193"/>
      <c r="CD195" s="193"/>
      <c r="CE195" s="193"/>
      <c r="CF195" s="193"/>
      <c r="CG195" s="193"/>
      <c r="CH195" s="193"/>
      <c r="CI195" s="193"/>
      <c r="CJ195" s="193"/>
      <c r="CK195" s="193"/>
      <c r="CL195" s="193"/>
      <c r="CM195" s="193"/>
      <c r="CN195" s="193"/>
      <c r="CO195" s="193"/>
      <c r="CP195" s="193"/>
      <c r="CQ195" s="193"/>
      <c r="CR195" s="193"/>
      <c r="CS195" s="193"/>
      <c r="CT195" s="193"/>
    </row>
    <row r="196" spans="1:98" x14ac:dyDescent="0.25">
      <c r="D196" t="s">
        <v>575</v>
      </c>
      <c r="AN196" s="193"/>
      <c r="AO196" s="193"/>
      <c r="AP196" s="193"/>
      <c r="AQ196" s="193"/>
      <c r="AR196" s="193"/>
      <c r="AS196" s="193"/>
      <c r="AT196" s="193"/>
      <c r="AU196" s="193"/>
      <c r="AV196" s="193"/>
      <c r="AW196" s="193"/>
      <c r="AX196" s="193"/>
      <c r="AY196" s="193"/>
      <c r="AZ196" s="193"/>
      <c r="BA196" s="193"/>
      <c r="BB196" s="193"/>
      <c r="BC196" s="193"/>
      <c r="BD196" s="193"/>
      <c r="BE196" s="193"/>
      <c r="BF196" s="193"/>
      <c r="BG196" s="193"/>
      <c r="BH196" s="193"/>
      <c r="BI196" s="193"/>
      <c r="BJ196" s="193"/>
      <c r="BK196" s="193"/>
      <c r="BL196" s="193"/>
      <c r="BM196" s="193"/>
      <c r="BN196" s="193"/>
      <c r="BO196" s="193"/>
      <c r="BS196" s="193"/>
      <c r="BT196" s="193"/>
      <c r="BU196" s="193"/>
      <c r="BV196" s="193"/>
      <c r="BW196" s="193"/>
      <c r="BX196" s="193"/>
      <c r="BY196" s="193"/>
      <c r="BZ196" s="193"/>
      <c r="CA196" s="193"/>
      <c r="CB196" s="193"/>
      <c r="CC196" s="193"/>
      <c r="CD196" s="193"/>
      <c r="CE196" s="193"/>
      <c r="CF196" s="193"/>
      <c r="CG196" s="193"/>
      <c r="CH196" s="193"/>
      <c r="CI196" s="193"/>
      <c r="CJ196" s="193"/>
      <c r="CK196" s="193"/>
      <c r="CL196" s="193"/>
      <c r="CM196" s="193"/>
      <c r="CN196" s="193"/>
      <c r="CO196" s="193"/>
      <c r="CP196" s="193"/>
      <c r="CQ196" s="193"/>
      <c r="CR196" s="193"/>
      <c r="CS196" s="193"/>
      <c r="CT196" s="193"/>
    </row>
    <row r="197" spans="1:98" x14ac:dyDescent="0.25">
      <c r="D197" t="s">
        <v>1285</v>
      </c>
      <c r="AN197" s="193"/>
      <c r="AO197" s="193"/>
      <c r="AP197" s="193"/>
      <c r="AQ197" s="193"/>
      <c r="AR197" s="193"/>
      <c r="AS197" s="193"/>
      <c r="AT197" s="193"/>
      <c r="AU197" s="193"/>
      <c r="AV197" s="193"/>
      <c r="AW197" s="193"/>
      <c r="AX197" s="193"/>
      <c r="AY197" s="193"/>
      <c r="AZ197" s="193"/>
      <c r="BA197" s="193"/>
      <c r="BB197" s="193"/>
      <c r="BC197" s="193"/>
      <c r="BD197" s="193"/>
      <c r="BE197" s="193"/>
      <c r="BF197" s="193"/>
      <c r="BG197" s="193"/>
      <c r="BH197" s="193"/>
      <c r="BI197" s="193"/>
      <c r="BJ197" s="193"/>
      <c r="BK197" s="193"/>
      <c r="BL197" s="193"/>
      <c r="BM197" s="193"/>
      <c r="BN197" s="193"/>
      <c r="BO197" s="193"/>
      <c r="BS197" s="193"/>
      <c r="BT197" s="193"/>
      <c r="BU197" s="193"/>
      <c r="BV197" s="193"/>
      <c r="BW197" s="193"/>
      <c r="BX197" s="193"/>
      <c r="BY197" s="193"/>
      <c r="BZ197" s="193"/>
      <c r="CA197" s="193"/>
      <c r="CB197" s="193"/>
      <c r="CC197" s="193"/>
      <c r="CD197" s="193"/>
      <c r="CE197" s="193"/>
      <c r="CF197" s="193"/>
      <c r="CG197" s="193"/>
      <c r="CH197" s="193"/>
      <c r="CI197" s="193"/>
      <c r="CJ197" s="193"/>
      <c r="CK197" s="193"/>
      <c r="CL197" s="193"/>
      <c r="CM197" s="193"/>
      <c r="CN197" s="193"/>
      <c r="CO197" s="193"/>
      <c r="CP197" s="193"/>
      <c r="CQ197" s="193"/>
      <c r="CR197" s="193"/>
      <c r="CS197" s="193"/>
      <c r="CT197" s="193"/>
    </row>
    <row r="198" spans="1:98" x14ac:dyDescent="0.25">
      <c r="B198" t="s">
        <v>656</v>
      </c>
      <c r="D198" t="s">
        <v>1156</v>
      </c>
      <c r="E198">
        <v>30</v>
      </c>
      <c r="F198" t="s">
        <v>470</v>
      </c>
      <c r="G198" t="s">
        <v>113</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c r="AD198">
        <v>1</v>
      </c>
      <c r="AE198">
        <v>1</v>
      </c>
      <c r="AF198">
        <v>1</v>
      </c>
      <c r="AG198">
        <v>1</v>
      </c>
      <c r="AH198">
        <v>1</v>
      </c>
      <c r="AI198">
        <v>1</v>
      </c>
      <c r="AN198" s="193"/>
      <c r="AO198" s="193"/>
      <c r="AP198" s="193"/>
      <c r="AQ198" s="193"/>
      <c r="AR198" s="193"/>
      <c r="AS198" s="193"/>
      <c r="AT198" s="193"/>
      <c r="AU198" s="193"/>
      <c r="AV198" s="193"/>
      <c r="AW198" s="193"/>
      <c r="AX198" s="193"/>
      <c r="AY198" s="193"/>
      <c r="AZ198" s="193"/>
      <c r="BA198" s="193"/>
      <c r="BB198" s="193"/>
      <c r="BC198" s="193"/>
      <c r="BD198" s="193"/>
      <c r="BE198" s="193"/>
      <c r="BF198" s="193"/>
      <c r="BG198" s="193"/>
      <c r="BH198" s="193"/>
      <c r="BI198" s="193"/>
      <c r="BJ198" s="193"/>
      <c r="BK198" s="193"/>
      <c r="BL198" s="193"/>
      <c r="BM198" s="193"/>
      <c r="BN198" s="193"/>
      <c r="BO198" s="193"/>
      <c r="BS198" s="193"/>
      <c r="BT198" s="193"/>
      <c r="BU198" s="193"/>
      <c r="BV198" s="193"/>
      <c r="BW198" s="193"/>
      <c r="BX198" s="193"/>
      <c r="BY198" s="193"/>
      <c r="BZ198" s="193"/>
      <c r="CA198" s="193"/>
      <c r="CB198" s="193"/>
      <c r="CC198" s="193"/>
      <c r="CD198" s="193"/>
      <c r="CE198" s="193"/>
      <c r="CF198" s="193"/>
      <c r="CG198" s="193"/>
      <c r="CH198" s="193"/>
      <c r="CI198" s="193"/>
      <c r="CJ198" s="193"/>
      <c r="CK198" s="193"/>
      <c r="CL198" s="193"/>
      <c r="CM198" s="193"/>
      <c r="CN198" s="193"/>
      <c r="CO198" s="193"/>
      <c r="CP198" s="193"/>
      <c r="CQ198" s="193"/>
      <c r="CR198" s="193"/>
      <c r="CS198" s="193"/>
      <c r="CT198" s="193"/>
    </row>
    <row r="199" spans="1:98" x14ac:dyDescent="0.25">
      <c r="A199" t="s">
        <v>113</v>
      </c>
      <c r="B199" t="str">
        <f>IF(ISNUMBER(MATCH(A199,$G$198:$G$242,0)),"YES","NO")</f>
        <v>YES</v>
      </c>
      <c r="F199" t="s">
        <v>472</v>
      </c>
      <c r="G199" t="s">
        <v>1258</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c r="AD199">
        <v>1</v>
      </c>
      <c r="AE199">
        <v>1</v>
      </c>
      <c r="AF199">
        <v>1</v>
      </c>
      <c r="AG199">
        <v>1</v>
      </c>
      <c r="AH199">
        <v>1</v>
      </c>
      <c r="AI199">
        <v>1</v>
      </c>
      <c r="AM199" t="s">
        <v>1258</v>
      </c>
      <c r="AN199" s="193">
        <f>(H199/H198)*BS199</f>
        <v>0</v>
      </c>
      <c r="AO199" s="193">
        <f t="shared" ref="AO199:BO199" si="140">(I199/I198)*BT199</f>
        <v>0</v>
      </c>
      <c r="AP199" s="193">
        <f t="shared" si="140"/>
        <v>0</v>
      </c>
      <c r="AQ199" s="193">
        <f t="shared" si="140"/>
        <v>0</v>
      </c>
      <c r="AR199" s="193">
        <f t="shared" si="140"/>
        <v>0</v>
      </c>
      <c r="AS199" s="193">
        <f t="shared" si="140"/>
        <v>0</v>
      </c>
      <c r="AT199" s="193">
        <f t="shared" si="140"/>
        <v>0</v>
      </c>
      <c r="AU199" s="193">
        <f t="shared" si="140"/>
        <v>0</v>
      </c>
      <c r="AV199" s="193">
        <f t="shared" si="140"/>
        <v>0</v>
      </c>
      <c r="AW199" s="193">
        <f t="shared" si="140"/>
        <v>0</v>
      </c>
      <c r="AX199" s="193">
        <f t="shared" si="140"/>
        <v>0</v>
      </c>
      <c r="AY199" s="193">
        <f t="shared" si="140"/>
        <v>0</v>
      </c>
      <c r="AZ199" s="193">
        <f t="shared" si="140"/>
        <v>0</v>
      </c>
      <c r="BA199" s="193">
        <f t="shared" si="140"/>
        <v>0</v>
      </c>
      <c r="BB199" s="193">
        <f t="shared" si="140"/>
        <v>0</v>
      </c>
      <c r="BC199" s="193">
        <f t="shared" si="140"/>
        <v>0</v>
      </c>
      <c r="BD199" s="193">
        <f t="shared" si="140"/>
        <v>0</v>
      </c>
      <c r="BE199" s="193">
        <f t="shared" si="140"/>
        <v>0</v>
      </c>
      <c r="BF199" s="193">
        <f t="shared" si="140"/>
        <v>0</v>
      </c>
      <c r="BG199" s="193">
        <f t="shared" si="140"/>
        <v>1.5669999999999999</v>
      </c>
      <c r="BH199" s="193">
        <f t="shared" si="140"/>
        <v>0</v>
      </c>
      <c r="BI199" s="193">
        <f t="shared" si="140"/>
        <v>0</v>
      </c>
      <c r="BJ199" s="193">
        <f t="shared" si="140"/>
        <v>0</v>
      </c>
      <c r="BK199" s="193">
        <f t="shared" si="140"/>
        <v>0</v>
      </c>
      <c r="BL199" s="193">
        <f t="shared" si="140"/>
        <v>0</v>
      </c>
      <c r="BM199" s="193">
        <f t="shared" si="140"/>
        <v>0</v>
      </c>
      <c r="BN199" s="193">
        <f t="shared" si="140"/>
        <v>0</v>
      </c>
      <c r="BO199" s="193">
        <f t="shared" si="140"/>
        <v>0</v>
      </c>
      <c r="BQ199" t="s">
        <v>113</v>
      </c>
      <c r="BR199" t="s">
        <v>1258</v>
      </c>
      <c r="BS199" s="193" cm="1">
        <f t="array" ref="BS199">SUMPRODUCT(($AN$5:$AN$19=$BQ199)*(AP$5:AP$19)*(H$40:H$54))*SUMIFS(H$74:H$103,$F$74:$F$103,$BQ199,$G$74:$G$103,$BR199)</f>
        <v>0</v>
      </c>
      <c r="BT199" s="193" cm="1">
        <f t="array" ref="BT199">SUMPRODUCT(($AN$5:$AN$19=$BQ199)*(AQ$5:AQ$19)*(I$40:I$54))*SUMIFS(I$74:I$103,$F$74:$F$103,$BQ199,$G$74:$G$103,$BR199)</f>
        <v>0</v>
      </c>
      <c r="BU199" s="193" cm="1">
        <f t="array" ref="BU199">SUMPRODUCT(($AN$5:$AN$19=$BQ199)*(AR$5:AR$19)*(J$40:J$54))*SUMIFS(J$74:J$103,$F$74:$F$103,$BQ199,$G$74:$G$103,$BR199)</f>
        <v>0</v>
      </c>
      <c r="BV199" s="193" cm="1">
        <f t="array" ref="BV199">SUMPRODUCT(($AN$5:$AN$19=$BQ199)*(AS$5:AS$19)*(K$40:K$54))*SUMIFS(K$74:K$103,$F$74:$F$103,$BQ199,$G$74:$G$103,$BR199)</f>
        <v>0</v>
      </c>
      <c r="BW199" s="193" cm="1">
        <f t="array" ref="BW199">SUMPRODUCT(($AN$5:$AN$19=$BQ199)*(AT$5:AT$19)*(L$40:L$54))*SUMIFS(L$74:L$103,$F$74:$F$103,$BQ199,$G$74:$G$103,$BR199)</f>
        <v>0</v>
      </c>
      <c r="BX199" s="193" cm="1">
        <f t="array" ref="BX199">SUMPRODUCT(($AN$5:$AN$19=$BQ199)*(AU$5:AU$19)*(M$40:M$54))*SUMIFS(M$74:M$103,$F$74:$F$103,$BQ199,$G$74:$G$103,$BR199)</f>
        <v>0</v>
      </c>
      <c r="BY199" s="193" cm="1">
        <f t="array" ref="BY199">SUMPRODUCT(($AN$5:$AN$19=$BQ199)*(AV$5:AV$19)*(N$40:N$54))*SUMIFS(N$74:N$103,$F$74:$F$103,$BQ199,$G$74:$G$103,$BR199)</f>
        <v>0</v>
      </c>
      <c r="BZ199" s="193" cm="1">
        <f t="array" ref="BZ199">SUMPRODUCT(($AN$5:$AN$19=$BQ199)*(AW$5:AW$19)*(O$40:O$54))*SUMIFS(O$74:O$103,$F$74:$F$103,$BQ199,$G$74:$G$103,$BR199)</f>
        <v>0</v>
      </c>
      <c r="CA199" s="193" cm="1">
        <f t="array" ref="CA199">SUMPRODUCT(($AN$5:$AN$19=$BQ199)*(AX$5:AX$19)*(P$40:P$54))*SUMIFS(P$74:P$103,$F$74:$F$103,$BQ199,$G$74:$G$103,$BR199)</f>
        <v>0</v>
      </c>
      <c r="CB199" s="193" cm="1">
        <f t="array" ref="CB199">SUMPRODUCT(($AN$5:$AN$19=$BQ199)*(AY$5:AY$19)*(Q$40:Q$54))*SUMIFS(Q$74:Q$103,$F$74:$F$103,$BQ199,$G$74:$G$103,$BR199)</f>
        <v>0</v>
      </c>
      <c r="CC199" s="193" cm="1">
        <f t="array" ref="CC199">SUMPRODUCT(($AN$5:$AN$19=$BQ199)*(AZ$5:AZ$19)*(R$40:R$54))*SUMIFS(R$74:R$103,$F$74:$F$103,$BQ199,$G$74:$G$103,$BR199)</f>
        <v>0</v>
      </c>
      <c r="CD199" s="193" cm="1">
        <f t="array" ref="CD199">SUMPRODUCT(($AN$5:$AN$19=$BQ199)*(BA$5:BA$19)*(S$40:S$54))*SUMIFS(S$74:S$103,$F$74:$F$103,$BQ199,$G$74:$G$103,$BR199)</f>
        <v>0</v>
      </c>
      <c r="CE199" s="193" cm="1">
        <f t="array" ref="CE199">SUMPRODUCT(($AN$5:$AN$19=$BQ199)*(BB$5:BB$19)*(T$40:T$54))*SUMIFS(T$74:T$103,$F$74:$F$103,$BQ199,$G$74:$G$103,$BR199)</f>
        <v>0</v>
      </c>
      <c r="CF199" s="193" cm="1">
        <f t="array" ref="CF199">SUMPRODUCT(($AN$5:$AN$19=$BQ199)*(BC$5:BC$19)*(U$40:U$54))*SUMIFS(U$74:U$103,$F$74:$F$103,$BQ199,$G$74:$G$103,$BR199)</f>
        <v>0</v>
      </c>
      <c r="CG199" s="193" cm="1">
        <f t="array" ref="CG199">SUMPRODUCT(($AN$5:$AN$19=$BQ199)*(BD$5:BD$19)*(V$40:V$54))*SUMIFS(V$74:V$103,$F$74:$F$103,$BQ199,$G$74:$G$103,$BR199)</f>
        <v>0</v>
      </c>
      <c r="CH199" s="193" cm="1">
        <f t="array" ref="CH199">SUMPRODUCT(($AN$5:$AN$19=$BQ199)*(BE$5:BE$19)*(W$40:W$54))*SUMIFS(W$74:W$103,$F$74:$F$103,$BQ199,$G$74:$G$103,$BR199)</f>
        <v>0</v>
      </c>
      <c r="CI199" s="193" cm="1">
        <f t="array" ref="CI199">SUMPRODUCT(($AN$5:$AN$19=$BQ199)*(BF$5:BF$19)*(X$40:X$54))*SUMIFS(X$74:X$103,$F$74:$F$103,$BQ199,$G$74:$G$103,$BR199)</f>
        <v>0</v>
      </c>
      <c r="CJ199" s="193" cm="1">
        <f t="array" ref="CJ199">SUMPRODUCT(($AN$5:$AN$19=$BQ199)*(BG$5:BG$19)*(Y$40:Y$54))*SUMIFS(Y$74:Y$103,$F$74:$F$103,$BQ199,$G$74:$G$103,$BR199)</f>
        <v>0</v>
      </c>
      <c r="CK199" s="193" cm="1">
        <f t="array" ref="CK199">SUMPRODUCT(($AN$5:$AN$19=$BQ199)*(BH$5:BH$19)*(Z$40:Z$54))*SUMIFS(Z$74:Z$103,$F$74:$F$103,$BQ199,$G$74:$G$103,$BR199)</f>
        <v>0</v>
      </c>
      <c r="CL199" s="193" cm="1">
        <f t="array" ref="CL199">SUMPRODUCT(($AN$5:$AN$19=$BQ199)*(BI$5:BI$19)*(AA$40:AA$54))*SUMIFS(AA$74:AA$103,$F$74:$F$103,$BQ199,$G$74:$G$103,$BR199)</f>
        <v>1.5669999999999999</v>
      </c>
      <c r="CM199" s="193" cm="1">
        <f t="array" ref="CM199">SUMPRODUCT(($AN$5:$AN$19=$BQ199)*(BJ$5:BJ$19)*(AB$40:AB$54))*SUMIFS(AB$74:AB$103,$F$74:$F$103,$BQ199,$G$74:$G$103,$BR199)</f>
        <v>0</v>
      </c>
      <c r="CN199" s="193" cm="1">
        <f t="array" ref="CN199">SUMPRODUCT(($AN$5:$AN$19=$BQ199)*(BK$5:BK$19)*(AC$40:AC$54))*SUMIFS(AC$74:AC$103,$F$74:$F$103,$BQ199,$G$74:$G$103,$BR199)</f>
        <v>0</v>
      </c>
      <c r="CO199" s="193" cm="1">
        <f t="array" ref="CO199">SUMPRODUCT(($AN$5:$AN$19=$BQ199)*(BL$5:BL$19)*(AD$40:AD$54))*SUMIFS(AD$74:AD$103,$F$74:$F$103,$BQ199,$G$74:$G$103,$BR199)</f>
        <v>0</v>
      </c>
      <c r="CP199" s="193" cm="1">
        <f t="array" ref="CP199">SUMPRODUCT(($AN$5:$AN$19=$BQ199)*(BM$5:BM$19)*(AE$40:AE$54))*SUMIFS(AE$74:AE$103,$F$74:$F$103,$BQ199,$G$74:$G$103,$BR199)</f>
        <v>0</v>
      </c>
      <c r="CQ199" s="193" cm="1">
        <f t="array" ref="CQ199">SUMPRODUCT(($AN$5:$AN$19=$BQ199)*(BN$5:BN$19)*(AF$40:AF$54))*SUMIFS(AF$74:AF$103,$F$74:$F$103,$BQ199,$G$74:$G$103,$BR199)</f>
        <v>0</v>
      </c>
      <c r="CR199" s="193" cm="1">
        <f t="array" ref="CR199">SUMPRODUCT(($AN$5:$AN$19=$BQ199)*(BO$5:BO$19)*(AG$40:AG$54))*SUMIFS(AG$74:AG$103,$F$74:$F$103,$BQ199,$G$74:$G$103,$BR199)</f>
        <v>0</v>
      </c>
      <c r="CS199" s="193" cm="1">
        <f t="array" ref="CS199">SUMPRODUCT(($AN$5:$AN$19=$BQ199)*(BP$5:BP$19)*(AH$40:AH$54))*SUMIFS(AH$74:AH$103,$F$74:$F$103,$BQ199,$G$74:$G$103,$BR199)</f>
        <v>0</v>
      </c>
      <c r="CT199" s="193" cm="1">
        <f t="array" ref="CT199">SUMPRODUCT(($AN$5:$AN$19=$BQ199)*(BQ$5:BQ$19)*(AI$40:AI$54))*SUMIFS(AI$74:AI$103,$F$74:$F$103,$BQ199,$G$74:$G$103,$BR199)</f>
        <v>0</v>
      </c>
    </row>
    <row r="200" spans="1:98" x14ac:dyDescent="0.25">
      <c r="A200" t="s">
        <v>115</v>
      </c>
      <c r="B200" t="str">
        <f t="shared" ref="B200:B213" si="141">IF(ISNUMBER(MATCH(A200,$G$198:$G$242,0)),"YES","NO")</f>
        <v>YES</v>
      </c>
      <c r="F200" t="s">
        <v>1279</v>
      </c>
      <c r="H200" s="193">
        <f>AN199</f>
        <v>0</v>
      </c>
      <c r="I200" s="193">
        <f t="shared" ref="I200:AI200" si="142">AO199</f>
        <v>0</v>
      </c>
      <c r="J200" s="193">
        <f t="shared" si="142"/>
        <v>0</v>
      </c>
      <c r="K200" s="193">
        <f t="shared" si="142"/>
        <v>0</v>
      </c>
      <c r="L200" s="193">
        <f t="shared" si="142"/>
        <v>0</v>
      </c>
      <c r="M200" s="193">
        <f t="shared" si="142"/>
        <v>0</v>
      </c>
      <c r="N200" s="193">
        <f t="shared" si="142"/>
        <v>0</v>
      </c>
      <c r="O200" s="193">
        <f t="shared" si="142"/>
        <v>0</v>
      </c>
      <c r="P200" s="193">
        <f t="shared" si="142"/>
        <v>0</v>
      </c>
      <c r="Q200" s="193">
        <f t="shared" si="142"/>
        <v>0</v>
      </c>
      <c r="R200" s="193">
        <f t="shared" si="142"/>
        <v>0</v>
      </c>
      <c r="S200" s="193">
        <f t="shared" si="142"/>
        <v>0</v>
      </c>
      <c r="T200" s="193">
        <f t="shared" si="142"/>
        <v>0</v>
      </c>
      <c r="U200" s="193">
        <f t="shared" si="142"/>
        <v>0</v>
      </c>
      <c r="V200" s="193">
        <f t="shared" si="142"/>
        <v>0</v>
      </c>
      <c r="W200" s="193">
        <f t="shared" si="142"/>
        <v>0</v>
      </c>
      <c r="X200" s="193">
        <f t="shared" si="142"/>
        <v>0</v>
      </c>
      <c r="Y200" s="193">
        <f t="shared" si="142"/>
        <v>0</v>
      </c>
      <c r="Z200" s="193">
        <f t="shared" si="142"/>
        <v>0</v>
      </c>
      <c r="AA200" s="193">
        <f t="shared" si="142"/>
        <v>1.5669999999999999</v>
      </c>
      <c r="AB200" s="193">
        <f t="shared" si="142"/>
        <v>0</v>
      </c>
      <c r="AC200" s="193">
        <f t="shared" si="142"/>
        <v>0</v>
      </c>
      <c r="AD200" s="193">
        <f t="shared" si="142"/>
        <v>0</v>
      </c>
      <c r="AE200" s="193">
        <f t="shared" si="142"/>
        <v>0</v>
      </c>
      <c r="AF200" s="193">
        <f t="shared" si="142"/>
        <v>0</v>
      </c>
      <c r="AG200" s="193">
        <f t="shared" si="142"/>
        <v>0</v>
      </c>
      <c r="AH200" s="193">
        <f t="shared" si="142"/>
        <v>0</v>
      </c>
      <c r="AI200" s="193">
        <f t="shared" si="142"/>
        <v>0</v>
      </c>
      <c r="AN200" s="193"/>
      <c r="AO200" s="193"/>
      <c r="AP200" s="193"/>
      <c r="AQ200" s="193"/>
      <c r="AR200" s="193"/>
      <c r="AS200" s="193"/>
      <c r="AT200" s="193"/>
      <c r="AU200" s="193"/>
      <c r="AV200" s="193"/>
      <c r="AW200" s="193"/>
      <c r="AX200" s="193"/>
      <c r="AY200" s="193"/>
      <c r="AZ200" s="193"/>
      <c r="BA200" s="193"/>
      <c r="BB200" s="193"/>
      <c r="BC200" s="193"/>
      <c r="BD200" s="193"/>
      <c r="BE200" s="193"/>
      <c r="BF200" s="193"/>
      <c r="BG200" s="193"/>
      <c r="BH200" s="193"/>
      <c r="BI200" s="193"/>
      <c r="BJ200" s="193"/>
      <c r="BK200" s="193"/>
      <c r="BL200" s="193"/>
      <c r="BM200" s="193"/>
      <c r="BN200" s="193"/>
      <c r="BO200" s="193"/>
      <c r="BS200" s="193"/>
      <c r="BT200" s="193"/>
      <c r="BU200" s="193"/>
      <c r="BV200" s="193"/>
      <c r="BW200" s="193"/>
      <c r="BX200" s="193"/>
      <c r="BY200" s="193"/>
      <c r="BZ200" s="193"/>
      <c r="CA200" s="193"/>
      <c r="CB200" s="193"/>
      <c r="CC200" s="193"/>
      <c r="CD200" s="193"/>
      <c r="CE200" s="193"/>
      <c r="CF200" s="193"/>
      <c r="CG200" s="193"/>
      <c r="CH200" s="193"/>
      <c r="CI200" s="193"/>
      <c r="CJ200" s="193"/>
      <c r="CK200" s="193"/>
      <c r="CL200" s="193"/>
      <c r="CM200" s="193"/>
      <c r="CN200" s="193"/>
      <c r="CO200" s="193"/>
      <c r="CP200" s="193"/>
      <c r="CQ200" s="193"/>
      <c r="CR200" s="193"/>
      <c r="CS200" s="193"/>
      <c r="CT200" s="193"/>
    </row>
    <row r="201" spans="1:98" x14ac:dyDescent="0.25">
      <c r="A201" t="s">
        <v>117</v>
      </c>
      <c r="B201" t="str">
        <f t="shared" si="141"/>
        <v>YES</v>
      </c>
      <c r="D201" t="s">
        <v>1158</v>
      </c>
      <c r="E201">
        <v>30</v>
      </c>
      <c r="F201" t="s">
        <v>470</v>
      </c>
      <c r="G201" t="s">
        <v>115</v>
      </c>
      <c r="H201">
        <v>1</v>
      </c>
      <c r="I201">
        <v>1</v>
      </c>
      <c r="J201">
        <v>1</v>
      </c>
      <c r="K201">
        <v>1</v>
      </c>
      <c r="L201">
        <v>1</v>
      </c>
      <c r="M201">
        <v>1</v>
      </c>
      <c r="N201">
        <v>1</v>
      </c>
      <c r="O201">
        <v>1</v>
      </c>
      <c r="P201">
        <v>1</v>
      </c>
      <c r="Q201">
        <v>1</v>
      </c>
      <c r="R201">
        <v>1</v>
      </c>
      <c r="S201">
        <v>1</v>
      </c>
      <c r="T201">
        <v>1</v>
      </c>
      <c r="U201">
        <v>1</v>
      </c>
      <c r="V201">
        <v>1</v>
      </c>
      <c r="W201">
        <v>1</v>
      </c>
      <c r="X201">
        <v>1</v>
      </c>
      <c r="Y201">
        <v>1</v>
      </c>
      <c r="Z201">
        <v>1</v>
      </c>
      <c r="AA201">
        <v>1</v>
      </c>
      <c r="AB201">
        <v>1</v>
      </c>
      <c r="AC201">
        <v>1</v>
      </c>
      <c r="AD201">
        <v>1</v>
      </c>
      <c r="AE201">
        <v>1</v>
      </c>
      <c r="AF201">
        <v>1</v>
      </c>
      <c r="AG201">
        <v>1</v>
      </c>
      <c r="AH201">
        <v>1</v>
      </c>
      <c r="AI201">
        <v>1</v>
      </c>
      <c r="AN201" s="193"/>
      <c r="AO201" s="193"/>
      <c r="AP201" s="193"/>
      <c r="AQ201" s="193"/>
      <c r="AR201" s="193"/>
      <c r="AS201" s="193"/>
      <c r="AT201" s="193"/>
      <c r="AU201" s="193"/>
      <c r="AV201" s="193"/>
      <c r="AW201" s="193"/>
      <c r="AX201" s="193"/>
      <c r="AY201" s="193"/>
      <c r="AZ201" s="193"/>
      <c r="BA201" s="193"/>
      <c r="BB201" s="193"/>
      <c r="BC201" s="193"/>
      <c r="BD201" s="193"/>
      <c r="BE201" s="193"/>
      <c r="BF201" s="193"/>
      <c r="BG201" s="193"/>
      <c r="BH201" s="193"/>
      <c r="BI201" s="193"/>
      <c r="BJ201" s="193"/>
      <c r="BK201" s="193"/>
      <c r="BL201" s="193"/>
      <c r="BM201" s="193"/>
      <c r="BN201" s="193"/>
      <c r="BO201" s="193"/>
      <c r="BS201" s="193"/>
      <c r="BT201" s="193"/>
      <c r="BU201" s="193"/>
      <c r="BV201" s="193"/>
      <c r="BW201" s="193"/>
      <c r="BX201" s="193"/>
      <c r="BY201" s="193"/>
      <c r="BZ201" s="193"/>
      <c r="CA201" s="193"/>
      <c r="CB201" s="193"/>
      <c r="CC201" s="193"/>
      <c r="CD201" s="193"/>
      <c r="CE201" s="193"/>
      <c r="CF201" s="193"/>
      <c r="CG201" s="193"/>
      <c r="CH201" s="193"/>
      <c r="CI201" s="193"/>
      <c r="CJ201" s="193"/>
      <c r="CK201" s="193"/>
      <c r="CL201" s="193"/>
      <c r="CM201" s="193"/>
      <c r="CN201" s="193"/>
      <c r="CO201" s="193"/>
      <c r="CP201" s="193"/>
      <c r="CQ201" s="193"/>
      <c r="CR201" s="193"/>
      <c r="CS201" s="193"/>
      <c r="CT201" s="193"/>
    </row>
    <row r="202" spans="1:98" x14ac:dyDescent="0.25">
      <c r="A202" t="s">
        <v>119</v>
      </c>
      <c r="B202" t="str">
        <f t="shared" si="141"/>
        <v>YES</v>
      </c>
      <c r="F202" t="s">
        <v>472</v>
      </c>
      <c r="G202" t="s">
        <v>1258</v>
      </c>
      <c r="H202">
        <v>1</v>
      </c>
      <c r="I202">
        <v>1</v>
      </c>
      <c r="J202">
        <v>1</v>
      </c>
      <c r="K202">
        <v>1</v>
      </c>
      <c r="L202">
        <v>1</v>
      </c>
      <c r="M202">
        <v>1</v>
      </c>
      <c r="N202">
        <v>1</v>
      </c>
      <c r="O202">
        <v>1</v>
      </c>
      <c r="P202">
        <v>1</v>
      </c>
      <c r="Q202">
        <v>1</v>
      </c>
      <c r="R202">
        <v>1</v>
      </c>
      <c r="S202">
        <v>1</v>
      </c>
      <c r="T202">
        <v>1</v>
      </c>
      <c r="U202">
        <v>1</v>
      </c>
      <c r="V202">
        <v>1</v>
      </c>
      <c r="W202">
        <v>1</v>
      </c>
      <c r="X202">
        <v>1</v>
      </c>
      <c r="Y202">
        <v>1</v>
      </c>
      <c r="Z202">
        <v>1</v>
      </c>
      <c r="AA202">
        <v>1</v>
      </c>
      <c r="AB202">
        <v>1</v>
      </c>
      <c r="AC202">
        <v>1</v>
      </c>
      <c r="AD202">
        <v>1</v>
      </c>
      <c r="AE202">
        <v>1</v>
      </c>
      <c r="AF202">
        <v>1</v>
      </c>
      <c r="AG202">
        <v>1</v>
      </c>
      <c r="AH202">
        <v>1</v>
      </c>
      <c r="AI202">
        <v>1</v>
      </c>
      <c r="AM202" t="s">
        <v>1258</v>
      </c>
      <c r="AN202" s="193">
        <f>(H202/H201)*BS202</f>
        <v>0</v>
      </c>
      <c r="AO202" s="193">
        <f t="shared" ref="AO202:BO202" si="143">(I202/I201)*BT202</f>
        <v>0</v>
      </c>
      <c r="AP202" s="193">
        <f t="shared" si="143"/>
        <v>0</v>
      </c>
      <c r="AQ202" s="193">
        <f t="shared" si="143"/>
        <v>0</v>
      </c>
      <c r="AR202" s="193">
        <f t="shared" si="143"/>
        <v>0</v>
      </c>
      <c r="AS202" s="193">
        <f t="shared" si="143"/>
        <v>0</v>
      </c>
      <c r="AT202" s="193">
        <f t="shared" si="143"/>
        <v>0</v>
      </c>
      <c r="AU202" s="193">
        <f t="shared" si="143"/>
        <v>0</v>
      </c>
      <c r="AV202" s="193">
        <f t="shared" si="143"/>
        <v>0</v>
      </c>
      <c r="AW202" s="193">
        <f t="shared" si="143"/>
        <v>0</v>
      </c>
      <c r="AX202" s="193">
        <f t="shared" si="143"/>
        <v>0</v>
      </c>
      <c r="AY202" s="193">
        <f t="shared" si="143"/>
        <v>0</v>
      </c>
      <c r="AZ202" s="193">
        <f t="shared" si="143"/>
        <v>0</v>
      </c>
      <c r="BA202" s="193">
        <f t="shared" si="143"/>
        <v>0</v>
      </c>
      <c r="BB202" s="193">
        <f t="shared" si="143"/>
        <v>0</v>
      </c>
      <c r="BC202" s="193">
        <f t="shared" si="143"/>
        <v>0</v>
      </c>
      <c r="BD202" s="193">
        <f t="shared" si="143"/>
        <v>1.2999999999999999E-2</v>
      </c>
      <c r="BE202" s="193">
        <f t="shared" si="143"/>
        <v>0</v>
      </c>
      <c r="BF202" s="193">
        <f t="shared" si="143"/>
        <v>0</v>
      </c>
      <c r="BG202" s="193">
        <f t="shared" si="143"/>
        <v>0</v>
      </c>
      <c r="BH202" s="193">
        <f t="shared" si="143"/>
        <v>0</v>
      </c>
      <c r="BI202" s="193">
        <f t="shared" si="143"/>
        <v>0</v>
      </c>
      <c r="BJ202" s="193">
        <f t="shared" si="143"/>
        <v>0</v>
      </c>
      <c r="BK202" s="193">
        <f t="shared" si="143"/>
        <v>0</v>
      </c>
      <c r="BL202" s="193">
        <f t="shared" si="143"/>
        <v>0</v>
      </c>
      <c r="BM202" s="193">
        <f t="shared" si="143"/>
        <v>0</v>
      </c>
      <c r="BN202" s="193">
        <f t="shared" si="143"/>
        <v>0</v>
      </c>
      <c r="BO202" s="193">
        <f t="shared" si="143"/>
        <v>0</v>
      </c>
      <c r="BQ202" t="s">
        <v>115</v>
      </c>
      <c r="BR202" t="s">
        <v>1258</v>
      </c>
      <c r="BS202" s="193" cm="1">
        <f t="array" ref="BS202">SUMPRODUCT(($AN$5:$AN$19=$BQ202)*(AP$5:AP$19)*(H$40:H$54))*SUMIFS(H$74:H$103,$F$74:$F$103,$BQ202,$G$74:$G$103,$BR202)</f>
        <v>0</v>
      </c>
      <c r="BT202" s="193" cm="1">
        <f t="array" ref="BT202">SUMPRODUCT(($AN$5:$AN$19=$BQ202)*(AQ$5:AQ$19)*(I$40:I$54))*SUMIFS(I$74:I$103,$F$74:$F$103,$BQ202,$G$74:$G$103,$BR202)</f>
        <v>0</v>
      </c>
      <c r="BU202" s="193" cm="1">
        <f t="array" ref="BU202">SUMPRODUCT(($AN$5:$AN$19=$BQ202)*(AR$5:AR$19)*(J$40:J$54))*SUMIFS(J$74:J$103,$F$74:$F$103,$BQ202,$G$74:$G$103,$BR202)</f>
        <v>0</v>
      </c>
      <c r="BV202" s="193" cm="1">
        <f t="array" ref="BV202">SUMPRODUCT(($AN$5:$AN$19=$BQ202)*(AS$5:AS$19)*(K$40:K$54))*SUMIFS(K$74:K$103,$F$74:$F$103,$BQ202,$G$74:$G$103,$BR202)</f>
        <v>0</v>
      </c>
      <c r="BW202" s="193" cm="1">
        <f t="array" ref="BW202">SUMPRODUCT(($AN$5:$AN$19=$BQ202)*(AT$5:AT$19)*(L$40:L$54))*SUMIFS(L$74:L$103,$F$74:$F$103,$BQ202,$G$74:$G$103,$BR202)</f>
        <v>0</v>
      </c>
      <c r="BX202" s="193" cm="1">
        <f t="array" ref="BX202">SUMPRODUCT(($AN$5:$AN$19=$BQ202)*(AU$5:AU$19)*(M$40:M$54))*SUMIFS(M$74:M$103,$F$74:$F$103,$BQ202,$G$74:$G$103,$BR202)</f>
        <v>0</v>
      </c>
      <c r="BY202" s="193" cm="1">
        <f t="array" ref="BY202">SUMPRODUCT(($AN$5:$AN$19=$BQ202)*(AV$5:AV$19)*(N$40:N$54))*SUMIFS(N$74:N$103,$F$74:$F$103,$BQ202,$G$74:$G$103,$BR202)</f>
        <v>0</v>
      </c>
      <c r="BZ202" s="193" cm="1">
        <f t="array" ref="BZ202">SUMPRODUCT(($AN$5:$AN$19=$BQ202)*(AW$5:AW$19)*(O$40:O$54))*SUMIFS(O$74:O$103,$F$74:$F$103,$BQ202,$G$74:$G$103,$BR202)</f>
        <v>0</v>
      </c>
      <c r="CA202" s="193" cm="1">
        <f t="array" ref="CA202">SUMPRODUCT(($AN$5:$AN$19=$BQ202)*(AX$5:AX$19)*(P$40:P$54))*SUMIFS(P$74:P$103,$F$74:$F$103,$BQ202,$G$74:$G$103,$BR202)</f>
        <v>0</v>
      </c>
      <c r="CB202" s="193" cm="1">
        <f t="array" ref="CB202">SUMPRODUCT(($AN$5:$AN$19=$BQ202)*(AY$5:AY$19)*(Q$40:Q$54))*SUMIFS(Q$74:Q$103,$F$74:$F$103,$BQ202,$G$74:$G$103,$BR202)</f>
        <v>0</v>
      </c>
      <c r="CC202" s="193" cm="1">
        <f t="array" ref="CC202">SUMPRODUCT(($AN$5:$AN$19=$BQ202)*(AZ$5:AZ$19)*(R$40:R$54))*SUMIFS(R$74:R$103,$F$74:$F$103,$BQ202,$G$74:$G$103,$BR202)</f>
        <v>0</v>
      </c>
      <c r="CD202" s="193" cm="1">
        <f t="array" ref="CD202">SUMPRODUCT(($AN$5:$AN$19=$BQ202)*(BA$5:BA$19)*(S$40:S$54))*SUMIFS(S$74:S$103,$F$74:$F$103,$BQ202,$G$74:$G$103,$BR202)</f>
        <v>0</v>
      </c>
      <c r="CE202" s="193" cm="1">
        <f t="array" ref="CE202">SUMPRODUCT(($AN$5:$AN$19=$BQ202)*(BB$5:BB$19)*(T$40:T$54))*SUMIFS(T$74:T$103,$F$74:$F$103,$BQ202,$G$74:$G$103,$BR202)</f>
        <v>0</v>
      </c>
      <c r="CF202" s="193" cm="1">
        <f t="array" ref="CF202">SUMPRODUCT(($AN$5:$AN$19=$BQ202)*(BC$5:BC$19)*(U$40:U$54))*SUMIFS(U$74:U$103,$F$74:$F$103,$BQ202,$G$74:$G$103,$BR202)</f>
        <v>0</v>
      </c>
      <c r="CG202" s="193" cm="1">
        <f t="array" ref="CG202">SUMPRODUCT(($AN$5:$AN$19=$BQ202)*(BD$5:BD$19)*(V$40:V$54))*SUMIFS(V$74:V$103,$F$74:$F$103,$BQ202,$G$74:$G$103,$BR202)</f>
        <v>0</v>
      </c>
      <c r="CH202" s="193" cm="1">
        <f t="array" ref="CH202">SUMPRODUCT(($AN$5:$AN$19=$BQ202)*(BE$5:BE$19)*(W$40:W$54))*SUMIFS(W$74:W$103,$F$74:$F$103,$BQ202,$G$74:$G$103,$BR202)</f>
        <v>0</v>
      </c>
      <c r="CI202" s="193" cm="1">
        <f t="array" ref="CI202">SUMPRODUCT(($AN$5:$AN$19=$BQ202)*(BF$5:BF$19)*(X$40:X$54))*SUMIFS(X$74:X$103,$F$74:$F$103,$BQ202,$G$74:$G$103,$BR202)</f>
        <v>1.2999999999999999E-2</v>
      </c>
      <c r="CJ202" s="193" cm="1">
        <f t="array" ref="CJ202">SUMPRODUCT(($AN$5:$AN$19=$BQ202)*(BG$5:BG$19)*(Y$40:Y$54))*SUMIFS(Y$74:Y$103,$F$74:$F$103,$BQ202,$G$74:$G$103,$BR202)</f>
        <v>0</v>
      </c>
      <c r="CK202" s="193" cm="1">
        <f t="array" ref="CK202">SUMPRODUCT(($AN$5:$AN$19=$BQ202)*(BH$5:BH$19)*(Z$40:Z$54))*SUMIFS(Z$74:Z$103,$F$74:$F$103,$BQ202,$G$74:$G$103,$BR202)</f>
        <v>0</v>
      </c>
      <c r="CL202" s="193" cm="1">
        <f t="array" ref="CL202">SUMPRODUCT(($AN$5:$AN$19=$BQ202)*(BI$5:BI$19)*(AA$40:AA$54))*SUMIFS(AA$74:AA$103,$F$74:$F$103,$BQ202,$G$74:$G$103,$BR202)</f>
        <v>0</v>
      </c>
      <c r="CM202" s="193" cm="1">
        <f t="array" ref="CM202">SUMPRODUCT(($AN$5:$AN$19=$BQ202)*(BJ$5:BJ$19)*(AB$40:AB$54))*SUMIFS(AB$74:AB$103,$F$74:$F$103,$BQ202,$G$74:$G$103,$BR202)</f>
        <v>0</v>
      </c>
      <c r="CN202" s="193" cm="1">
        <f t="array" ref="CN202">SUMPRODUCT(($AN$5:$AN$19=$BQ202)*(BK$5:BK$19)*(AC$40:AC$54))*SUMIFS(AC$74:AC$103,$F$74:$F$103,$BQ202,$G$74:$G$103,$BR202)</f>
        <v>0</v>
      </c>
      <c r="CO202" s="193" cm="1">
        <f t="array" ref="CO202">SUMPRODUCT(($AN$5:$AN$19=$BQ202)*(BL$5:BL$19)*(AD$40:AD$54))*SUMIFS(AD$74:AD$103,$F$74:$F$103,$BQ202,$G$74:$G$103,$BR202)</f>
        <v>0</v>
      </c>
      <c r="CP202" s="193" cm="1">
        <f t="array" ref="CP202">SUMPRODUCT(($AN$5:$AN$19=$BQ202)*(BM$5:BM$19)*(AE$40:AE$54))*SUMIFS(AE$74:AE$103,$F$74:$F$103,$BQ202,$G$74:$G$103,$BR202)</f>
        <v>0</v>
      </c>
      <c r="CQ202" s="193" cm="1">
        <f t="array" ref="CQ202">SUMPRODUCT(($AN$5:$AN$19=$BQ202)*(BN$5:BN$19)*(AF$40:AF$54))*SUMIFS(AF$74:AF$103,$F$74:$F$103,$BQ202,$G$74:$G$103,$BR202)</f>
        <v>0</v>
      </c>
      <c r="CR202" s="193" cm="1">
        <f t="array" ref="CR202">SUMPRODUCT(($AN$5:$AN$19=$BQ202)*(BO$5:BO$19)*(AG$40:AG$54))*SUMIFS(AG$74:AG$103,$F$74:$F$103,$BQ202,$G$74:$G$103,$BR202)</f>
        <v>0</v>
      </c>
      <c r="CS202" s="193" cm="1">
        <f t="array" ref="CS202">SUMPRODUCT(($AN$5:$AN$19=$BQ202)*(BP$5:BP$19)*(AH$40:AH$54))*SUMIFS(AH$74:AH$103,$F$74:$F$103,$BQ202,$G$74:$G$103,$BR202)</f>
        <v>0</v>
      </c>
      <c r="CT202" s="193" cm="1">
        <f t="array" ref="CT202">SUMPRODUCT(($AN$5:$AN$19=$BQ202)*(BQ$5:BQ$19)*(AI$40:AI$54))*SUMIFS(AI$74:AI$103,$F$74:$F$103,$BQ202,$G$74:$G$103,$BR202)</f>
        <v>0</v>
      </c>
    </row>
    <row r="203" spans="1:98" x14ac:dyDescent="0.25">
      <c r="A203" t="s">
        <v>120</v>
      </c>
      <c r="B203" t="str">
        <f t="shared" si="141"/>
        <v>YES</v>
      </c>
      <c r="F203" t="s">
        <v>1279</v>
      </c>
      <c r="H203" s="193">
        <f>AN202</f>
        <v>0</v>
      </c>
      <c r="I203" s="193">
        <f t="shared" ref="I203:AI203" si="144">AO202</f>
        <v>0</v>
      </c>
      <c r="J203" s="193">
        <f t="shared" si="144"/>
        <v>0</v>
      </c>
      <c r="K203" s="193">
        <f t="shared" si="144"/>
        <v>0</v>
      </c>
      <c r="L203" s="193">
        <f t="shared" si="144"/>
        <v>0</v>
      </c>
      <c r="M203" s="193">
        <f t="shared" si="144"/>
        <v>0</v>
      </c>
      <c r="N203" s="193">
        <f t="shared" si="144"/>
        <v>0</v>
      </c>
      <c r="O203" s="193">
        <f t="shared" si="144"/>
        <v>0</v>
      </c>
      <c r="P203" s="193">
        <f t="shared" si="144"/>
        <v>0</v>
      </c>
      <c r="Q203" s="193">
        <f t="shared" si="144"/>
        <v>0</v>
      </c>
      <c r="R203" s="193">
        <f t="shared" si="144"/>
        <v>0</v>
      </c>
      <c r="S203" s="193">
        <f t="shared" si="144"/>
        <v>0</v>
      </c>
      <c r="T203" s="193">
        <f t="shared" si="144"/>
        <v>0</v>
      </c>
      <c r="U203" s="193">
        <f t="shared" si="144"/>
        <v>0</v>
      </c>
      <c r="V203" s="193">
        <f t="shared" si="144"/>
        <v>0</v>
      </c>
      <c r="W203" s="193">
        <f t="shared" si="144"/>
        <v>0</v>
      </c>
      <c r="X203" s="193">
        <f t="shared" si="144"/>
        <v>1.2999999999999999E-2</v>
      </c>
      <c r="Y203" s="193">
        <f t="shared" si="144"/>
        <v>0</v>
      </c>
      <c r="Z203" s="193">
        <f t="shared" si="144"/>
        <v>0</v>
      </c>
      <c r="AA203" s="193">
        <f t="shared" si="144"/>
        <v>0</v>
      </c>
      <c r="AB203" s="193">
        <f t="shared" si="144"/>
        <v>0</v>
      </c>
      <c r="AC203" s="193">
        <f t="shared" si="144"/>
        <v>0</v>
      </c>
      <c r="AD203" s="193">
        <f t="shared" si="144"/>
        <v>0</v>
      </c>
      <c r="AE203" s="193">
        <f t="shared" si="144"/>
        <v>0</v>
      </c>
      <c r="AF203" s="193">
        <f t="shared" si="144"/>
        <v>0</v>
      </c>
      <c r="AG203" s="193">
        <f t="shared" si="144"/>
        <v>0</v>
      </c>
      <c r="AH203" s="193">
        <f t="shared" si="144"/>
        <v>0</v>
      </c>
      <c r="AI203" s="193">
        <f t="shared" si="144"/>
        <v>0</v>
      </c>
      <c r="AN203" s="193"/>
      <c r="AO203" s="193"/>
      <c r="AP203" s="193"/>
      <c r="AQ203" s="193"/>
      <c r="AR203" s="193"/>
      <c r="AS203" s="193"/>
      <c r="AT203" s="193"/>
      <c r="AU203" s="193"/>
      <c r="AV203" s="193"/>
      <c r="AW203" s="193"/>
      <c r="AX203" s="193"/>
      <c r="AY203" s="193"/>
      <c r="AZ203" s="193"/>
      <c r="BA203" s="193"/>
      <c r="BB203" s="193"/>
      <c r="BC203" s="193"/>
      <c r="BD203" s="193"/>
      <c r="BE203" s="193"/>
      <c r="BF203" s="193"/>
      <c r="BG203" s="193"/>
      <c r="BH203" s="193"/>
      <c r="BI203" s="193"/>
      <c r="BJ203" s="193"/>
      <c r="BK203" s="193"/>
      <c r="BL203" s="193"/>
      <c r="BM203" s="193"/>
      <c r="BN203" s="193"/>
      <c r="BO203" s="193"/>
      <c r="BS203" s="193"/>
      <c r="BT203" s="193"/>
      <c r="BU203" s="193"/>
      <c r="BV203" s="193"/>
      <c r="BW203" s="193"/>
      <c r="BX203" s="193"/>
      <c r="BY203" s="193"/>
      <c r="BZ203" s="193"/>
      <c r="CA203" s="193"/>
      <c r="CB203" s="193"/>
      <c r="CC203" s="193"/>
      <c r="CD203" s="193"/>
      <c r="CE203" s="193"/>
      <c r="CF203" s="193"/>
      <c r="CG203" s="193"/>
      <c r="CH203" s="193"/>
      <c r="CI203" s="193"/>
      <c r="CJ203" s="193"/>
      <c r="CK203" s="193"/>
      <c r="CL203" s="193"/>
      <c r="CM203" s="193"/>
      <c r="CN203" s="193"/>
      <c r="CO203" s="193"/>
      <c r="CP203" s="193"/>
      <c r="CQ203" s="193"/>
      <c r="CR203" s="193"/>
      <c r="CS203" s="193"/>
      <c r="CT203" s="193"/>
    </row>
    <row r="204" spans="1:98" x14ac:dyDescent="0.25">
      <c r="A204" t="s">
        <v>122</v>
      </c>
      <c r="B204" t="str">
        <f t="shared" si="141"/>
        <v>YES</v>
      </c>
      <c r="D204" t="s">
        <v>1160</v>
      </c>
      <c r="E204">
        <v>30</v>
      </c>
      <c r="F204" t="s">
        <v>470</v>
      </c>
      <c r="G204" t="s">
        <v>117</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c r="AD204">
        <v>1</v>
      </c>
      <c r="AE204">
        <v>1</v>
      </c>
      <c r="AF204">
        <v>1</v>
      </c>
      <c r="AG204">
        <v>1</v>
      </c>
      <c r="AH204">
        <v>1</v>
      </c>
      <c r="AI204">
        <v>1</v>
      </c>
      <c r="AN204" s="193"/>
      <c r="AO204" s="193"/>
      <c r="AP204" s="193"/>
      <c r="AQ204" s="193"/>
      <c r="AR204" s="193"/>
      <c r="AS204" s="193"/>
      <c r="AT204" s="193"/>
      <c r="AU204" s="193"/>
      <c r="AV204" s="193"/>
      <c r="AW204" s="193"/>
      <c r="AX204" s="193"/>
      <c r="AY204" s="193"/>
      <c r="AZ204" s="193"/>
      <c r="BA204" s="193"/>
      <c r="BB204" s="193"/>
      <c r="BC204" s="193"/>
      <c r="BD204" s="193"/>
      <c r="BE204" s="193"/>
      <c r="BF204" s="193"/>
      <c r="BG204" s="193"/>
      <c r="BH204" s="193"/>
      <c r="BI204" s="193"/>
      <c r="BJ204" s="193"/>
      <c r="BK204" s="193"/>
      <c r="BL204" s="193"/>
      <c r="BM204" s="193"/>
      <c r="BN204" s="193"/>
      <c r="BO204" s="193"/>
      <c r="BS204" s="193"/>
      <c r="BT204" s="193"/>
      <c r="BU204" s="193"/>
      <c r="BV204" s="193"/>
      <c r="BW204" s="193"/>
      <c r="BX204" s="193"/>
      <c r="BY204" s="193"/>
      <c r="BZ204" s="193"/>
      <c r="CA204" s="193"/>
      <c r="CB204" s="193"/>
      <c r="CC204" s="193"/>
      <c r="CD204" s="193"/>
      <c r="CE204" s="193"/>
      <c r="CF204" s="193"/>
      <c r="CG204" s="193"/>
      <c r="CH204" s="193"/>
      <c r="CI204" s="193"/>
      <c r="CJ204" s="193"/>
      <c r="CK204" s="193"/>
      <c r="CL204" s="193"/>
      <c r="CM204" s="193"/>
      <c r="CN204" s="193"/>
      <c r="CO204" s="193"/>
      <c r="CP204" s="193"/>
      <c r="CQ204" s="193"/>
      <c r="CR204" s="193"/>
      <c r="CS204" s="193"/>
      <c r="CT204" s="193"/>
    </row>
    <row r="205" spans="1:98" x14ac:dyDescent="0.25">
      <c r="A205" t="s">
        <v>124</v>
      </c>
      <c r="B205" t="str">
        <f t="shared" si="141"/>
        <v>YES</v>
      </c>
      <c r="F205" t="s">
        <v>472</v>
      </c>
      <c r="G205" t="s">
        <v>1258</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c r="AD205">
        <v>1</v>
      </c>
      <c r="AE205">
        <v>1</v>
      </c>
      <c r="AF205">
        <v>1</v>
      </c>
      <c r="AG205">
        <v>1</v>
      </c>
      <c r="AH205">
        <v>1</v>
      </c>
      <c r="AI205">
        <v>1</v>
      </c>
      <c r="AM205" t="s">
        <v>1258</v>
      </c>
      <c r="AN205" s="193">
        <f>(H205/H204)*BS205</f>
        <v>0</v>
      </c>
      <c r="AO205" s="193">
        <f t="shared" ref="AO205:BO205" si="145">(I205/I204)*BT205</f>
        <v>0</v>
      </c>
      <c r="AP205" s="193">
        <f t="shared" si="145"/>
        <v>0</v>
      </c>
      <c r="AQ205" s="193">
        <f t="shared" si="145"/>
        <v>0</v>
      </c>
      <c r="AR205" s="193">
        <f t="shared" si="145"/>
        <v>1.87</v>
      </c>
      <c r="AS205" s="193">
        <f t="shared" si="145"/>
        <v>0</v>
      </c>
      <c r="AT205" s="193">
        <f t="shared" si="145"/>
        <v>0</v>
      </c>
      <c r="AU205" s="193">
        <f t="shared" si="145"/>
        <v>0</v>
      </c>
      <c r="AV205" s="193">
        <f t="shared" si="145"/>
        <v>0</v>
      </c>
      <c r="AW205" s="193">
        <f t="shared" si="145"/>
        <v>0</v>
      </c>
      <c r="AX205" s="193">
        <f t="shared" si="145"/>
        <v>0</v>
      </c>
      <c r="AY205" s="193">
        <f t="shared" si="145"/>
        <v>3.6779999999999999</v>
      </c>
      <c r="AZ205" s="193">
        <f t="shared" si="145"/>
        <v>5.5E-2</v>
      </c>
      <c r="BA205" s="193">
        <f t="shared" si="145"/>
        <v>0</v>
      </c>
      <c r="BB205" s="193">
        <f t="shared" si="145"/>
        <v>6.0000000000000001E-3</v>
      </c>
      <c r="BC205" s="193">
        <f t="shared" si="145"/>
        <v>3.0000000000000001E-3</v>
      </c>
      <c r="BD205" s="193">
        <f t="shared" si="145"/>
        <v>4.2000000000000003E-2</v>
      </c>
      <c r="BE205" s="193">
        <f t="shared" si="145"/>
        <v>0</v>
      </c>
      <c r="BF205" s="193">
        <f t="shared" si="145"/>
        <v>0</v>
      </c>
      <c r="BG205" s="193">
        <f t="shared" si="145"/>
        <v>0</v>
      </c>
      <c r="BH205" s="193">
        <f t="shared" si="145"/>
        <v>0</v>
      </c>
      <c r="BI205" s="193">
        <f t="shared" si="145"/>
        <v>0</v>
      </c>
      <c r="BJ205" s="193">
        <f t="shared" si="145"/>
        <v>0</v>
      </c>
      <c r="BK205" s="193">
        <f t="shared" si="145"/>
        <v>0</v>
      </c>
      <c r="BL205" s="193">
        <f t="shared" si="145"/>
        <v>0</v>
      </c>
      <c r="BM205" s="193">
        <f t="shared" si="145"/>
        <v>0</v>
      </c>
      <c r="BN205" s="193">
        <f t="shared" si="145"/>
        <v>0</v>
      </c>
      <c r="BO205" s="193">
        <f t="shared" si="145"/>
        <v>0</v>
      </c>
      <c r="BQ205" t="s">
        <v>117</v>
      </c>
      <c r="BR205" t="s">
        <v>1258</v>
      </c>
      <c r="BS205" s="193" cm="1">
        <f t="array" ref="BS205">SUMPRODUCT(($AN$5:$AN$19=$BQ205)*(AP$5:AP$19)*(H$40:H$54))*SUMIFS(H$74:H$103,$F$74:$F$103,$BQ205,$G$74:$G$103,$BR205)</f>
        <v>0</v>
      </c>
      <c r="BT205" s="193" cm="1">
        <f t="array" ref="BT205">SUMPRODUCT(($AN$5:$AN$19=$BQ205)*(AQ$5:AQ$19)*(I$40:I$54))*SUMIFS(I$74:I$103,$F$74:$F$103,$BQ205,$G$74:$G$103,$BR205)</f>
        <v>0</v>
      </c>
      <c r="BU205" s="193" cm="1">
        <f t="array" ref="BU205">SUMPRODUCT(($AN$5:$AN$19=$BQ205)*(AR$5:AR$19)*(J$40:J$54))*SUMIFS(J$74:J$103,$F$74:$F$103,$BQ205,$G$74:$G$103,$BR205)</f>
        <v>0</v>
      </c>
      <c r="BV205" s="193" cm="1">
        <f t="array" ref="BV205">SUMPRODUCT(($AN$5:$AN$19=$BQ205)*(AS$5:AS$19)*(K$40:K$54))*SUMIFS(K$74:K$103,$F$74:$F$103,$BQ205,$G$74:$G$103,$BR205)</f>
        <v>0</v>
      </c>
      <c r="BW205" s="193" cm="1">
        <f t="array" ref="BW205">SUMPRODUCT(($AN$5:$AN$19=$BQ205)*(AT$5:AT$19)*(L$40:L$54))*SUMIFS(L$74:L$103,$F$74:$F$103,$BQ205,$G$74:$G$103,$BR205)</f>
        <v>1.87</v>
      </c>
      <c r="BX205" s="193" cm="1">
        <f t="array" ref="BX205">SUMPRODUCT(($AN$5:$AN$19=$BQ205)*(AU$5:AU$19)*(M$40:M$54))*SUMIFS(M$74:M$103,$F$74:$F$103,$BQ205,$G$74:$G$103,$BR205)</f>
        <v>0</v>
      </c>
      <c r="BY205" s="193" cm="1">
        <f t="array" ref="BY205">SUMPRODUCT(($AN$5:$AN$19=$BQ205)*(AV$5:AV$19)*(N$40:N$54))*SUMIFS(N$74:N$103,$F$74:$F$103,$BQ205,$G$74:$G$103,$BR205)</f>
        <v>0</v>
      </c>
      <c r="BZ205" s="193" cm="1">
        <f t="array" ref="BZ205">SUMPRODUCT(($AN$5:$AN$19=$BQ205)*(AW$5:AW$19)*(O$40:O$54))*SUMIFS(O$74:O$103,$F$74:$F$103,$BQ205,$G$74:$G$103,$BR205)</f>
        <v>0</v>
      </c>
      <c r="CA205" s="193" cm="1">
        <f t="array" ref="CA205">SUMPRODUCT(($AN$5:$AN$19=$BQ205)*(AX$5:AX$19)*(P$40:P$54))*SUMIFS(P$74:P$103,$F$74:$F$103,$BQ205,$G$74:$G$103,$BR205)</f>
        <v>0</v>
      </c>
      <c r="CB205" s="193" cm="1">
        <f t="array" ref="CB205">SUMPRODUCT(($AN$5:$AN$19=$BQ205)*(AY$5:AY$19)*(Q$40:Q$54))*SUMIFS(Q$74:Q$103,$F$74:$F$103,$BQ205,$G$74:$G$103,$BR205)</f>
        <v>0</v>
      </c>
      <c r="CC205" s="193" cm="1">
        <f t="array" ref="CC205">SUMPRODUCT(($AN$5:$AN$19=$BQ205)*(AZ$5:AZ$19)*(R$40:R$54))*SUMIFS(R$74:R$103,$F$74:$F$103,$BQ205,$G$74:$G$103,$BR205)</f>
        <v>0</v>
      </c>
      <c r="CD205" s="193" cm="1">
        <f t="array" ref="CD205">SUMPRODUCT(($AN$5:$AN$19=$BQ205)*(BA$5:BA$19)*(S$40:S$54))*SUMIFS(S$74:S$103,$F$74:$F$103,$BQ205,$G$74:$G$103,$BR205)</f>
        <v>3.6779999999999999</v>
      </c>
      <c r="CE205" s="193" cm="1">
        <f t="array" ref="CE205">SUMPRODUCT(($AN$5:$AN$19=$BQ205)*(BB$5:BB$19)*(T$40:T$54))*SUMIFS(T$74:T$103,$F$74:$F$103,$BQ205,$G$74:$G$103,$BR205)</f>
        <v>5.5E-2</v>
      </c>
      <c r="CF205" s="193" cm="1">
        <f t="array" ref="CF205">SUMPRODUCT(($AN$5:$AN$19=$BQ205)*(BC$5:BC$19)*(U$40:U$54))*SUMIFS(U$74:U$103,$F$74:$F$103,$BQ205,$G$74:$G$103,$BR205)</f>
        <v>0</v>
      </c>
      <c r="CG205" s="193" cm="1">
        <f t="array" ref="CG205">SUMPRODUCT(($AN$5:$AN$19=$BQ205)*(BD$5:BD$19)*(V$40:V$54))*SUMIFS(V$74:V$103,$F$74:$F$103,$BQ205,$G$74:$G$103,$BR205)</f>
        <v>6.0000000000000001E-3</v>
      </c>
      <c r="CH205" s="193" cm="1">
        <f t="array" ref="CH205">SUMPRODUCT(($AN$5:$AN$19=$BQ205)*(BE$5:BE$19)*(W$40:W$54))*SUMIFS(W$74:W$103,$F$74:$F$103,$BQ205,$G$74:$G$103,$BR205)</f>
        <v>3.0000000000000001E-3</v>
      </c>
      <c r="CI205" s="193" cm="1">
        <f t="array" ref="CI205">SUMPRODUCT(($AN$5:$AN$19=$BQ205)*(BF$5:BF$19)*(X$40:X$54))*SUMIFS(X$74:X$103,$F$74:$F$103,$BQ205,$G$74:$G$103,$BR205)</f>
        <v>4.2000000000000003E-2</v>
      </c>
      <c r="CJ205" s="193" cm="1">
        <f t="array" ref="CJ205">SUMPRODUCT(($AN$5:$AN$19=$BQ205)*(BG$5:BG$19)*(Y$40:Y$54))*SUMIFS(Y$74:Y$103,$F$74:$F$103,$BQ205,$G$74:$G$103,$BR205)</f>
        <v>0</v>
      </c>
      <c r="CK205" s="193" cm="1">
        <f t="array" ref="CK205">SUMPRODUCT(($AN$5:$AN$19=$BQ205)*(BH$5:BH$19)*(Z$40:Z$54))*SUMIFS(Z$74:Z$103,$F$74:$F$103,$BQ205,$G$74:$G$103,$BR205)</f>
        <v>0</v>
      </c>
      <c r="CL205" s="193" cm="1">
        <f t="array" ref="CL205">SUMPRODUCT(($AN$5:$AN$19=$BQ205)*(BI$5:BI$19)*(AA$40:AA$54))*SUMIFS(AA$74:AA$103,$F$74:$F$103,$BQ205,$G$74:$G$103,$BR205)</f>
        <v>0</v>
      </c>
      <c r="CM205" s="193" cm="1">
        <f t="array" ref="CM205">SUMPRODUCT(($AN$5:$AN$19=$BQ205)*(BJ$5:BJ$19)*(AB$40:AB$54))*SUMIFS(AB$74:AB$103,$F$74:$F$103,$BQ205,$G$74:$G$103,$BR205)</f>
        <v>0</v>
      </c>
      <c r="CN205" s="193" cm="1">
        <f t="array" ref="CN205">SUMPRODUCT(($AN$5:$AN$19=$BQ205)*(BK$5:BK$19)*(AC$40:AC$54))*SUMIFS(AC$74:AC$103,$F$74:$F$103,$BQ205,$G$74:$G$103,$BR205)</f>
        <v>0</v>
      </c>
      <c r="CO205" s="193" cm="1">
        <f t="array" ref="CO205">SUMPRODUCT(($AN$5:$AN$19=$BQ205)*(BL$5:BL$19)*(AD$40:AD$54))*SUMIFS(AD$74:AD$103,$F$74:$F$103,$BQ205,$G$74:$G$103,$BR205)</f>
        <v>0</v>
      </c>
      <c r="CP205" s="193" cm="1">
        <f t="array" ref="CP205">SUMPRODUCT(($AN$5:$AN$19=$BQ205)*(BM$5:BM$19)*(AE$40:AE$54))*SUMIFS(AE$74:AE$103,$F$74:$F$103,$BQ205,$G$74:$G$103,$BR205)</f>
        <v>0</v>
      </c>
      <c r="CQ205" s="193" cm="1">
        <f t="array" ref="CQ205">SUMPRODUCT(($AN$5:$AN$19=$BQ205)*(BN$5:BN$19)*(AF$40:AF$54))*SUMIFS(AF$74:AF$103,$F$74:$F$103,$BQ205,$G$74:$G$103,$BR205)</f>
        <v>0</v>
      </c>
      <c r="CR205" s="193" cm="1">
        <f t="array" ref="CR205">SUMPRODUCT(($AN$5:$AN$19=$BQ205)*(BO$5:BO$19)*(AG$40:AG$54))*SUMIFS(AG$74:AG$103,$F$74:$F$103,$BQ205,$G$74:$G$103,$BR205)</f>
        <v>0</v>
      </c>
      <c r="CS205" s="193" cm="1">
        <f t="array" ref="CS205">SUMPRODUCT(($AN$5:$AN$19=$BQ205)*(BP$5:BP$19)*(AH$40:AH$54))*SUMIFS(AH$74:AH$103,$F$74:$F$103,$BQ205,$G$74:$G$103,$BR205)</f>
        <v>0</v>
      </c>
      <c r="CT205" s="193" cm="1">
        <f t="array" ref="CT205">SUMPRODUCT(($AN$5:$AN$19=$BQ205)*(BQ$5:BQ$19)*(AI$40:AI$54))*SUMIFS(AI$74:AI$103,$F$74:$F$103,$BQ205,$G$74:$G$103,$BR205)</f>
        <v>0</v>
      </c>
    </row>
    <row r="206" spans="1:98" x14ac:dyDescent="0.25">
      <c r="A206" t="s">
        <v>126</v>
      </c>
      <c r="B206" t="str">
        <f t="shared" si="141"/>
        <v>YES</v>
      </c>
      <c r="F206" t="s">
        <v>1279</v>
      </c>
      <c r="H206" s="193">
        <f>AN205</f>
        <v>0</v>
      </c>
      <c r="I206" s="193">
        <f t="shared" ref="I206:AI206" si="146">AO205</f>
        <v>0</v>
      </c>
      <c r="J206" s="193">
        <f t="shared" si="146"/>
        <v>0</v>
      </c>
      <c r="K206" s="193">
        <f t="shared" si="146"/>
        <v>0</v>
      </c>
      <c r="L206" s="193">
        <f t="shared" si="146"/>
        <v>1.87</v>
      </c>
      <c r="M206" s="193">
        <f t="shared" si="146"/>
        <v>0</v>
      </c>
      <c r="N206" s="193">
        <f t="shared" si="146"/>
        <v>0</v>
      </c>
      <c r="O206" s="193">
        <f t="shared" si="146"/>
        <v>0</v>
      </c>
      <c r="P206" s="193">
        <f t="shared" si="146"/>
        <v>0</v>
      </c>
      <c r="Q206" s="193">
        <f t="shared" si="146"/>
        <v>0</v>
      </c>
      <c r="R206" s="193">
        <f t="shared" si="146"/>
        <v>0</v>
      </c>
      <c r="S206" s="193">
        <f t="shared" si="146"/>
        <v>3.6779999999999999</v>
      </c>
      <c r="T206" s="193">
        <f t="shared" si="146"/>
        <v>5.5E-2</v>
      </c>
      <c r="U206" s="193">
        <f t="shared" si="146"/>
        <v>0</v>
      </c>
      <c r="V206" s="193">
        <f t="shared" si="146"/>
        <v>6.0000000000000001E-3</v>
      </c>
      <c r="W206" s="193">
        <f t="shared" si="146"/>
        <v>3.0000000000000001E-3</v>
      </c>
      <c r="X206" s="193">
        <f t="shared" si="146"/>
        <v>4.2000000000000003E-2</v>
      </c>
      <c r="Y206" s="193">
        <f t="shared" si="146"/>
        <v>0</v>
      </c>
      <c r="Z206" s="193">
        <f t="shared" si="146"/>
        <v>0</v>
      </c>
      <c r="AA206" s="193">
        <f t="shared" si="146"/>
        <v>0</v>
      </c>
      <c r="AB206" s="193">
        <f t="shared" si="146"/>
        <v>0</v>
      </c>
      <c r="AC206" s="193">
        <f t="shared" si="146"/>
        <v>0</v>
      </c>
      <c r="AD206" s="193">
        <f t="shared" si="146"/>
        <v>0</v>
      </c>
      <c r="AE206" s="193">
        <f t="shared" si="146"/>
        <v>0</v>
      </c>
      <c r="AF206" s="193">
        <f t="shared" si="146"/>
        <v>0</v>
      </c>
      <c r="AG206" s="193">
        <f t="shared" si="146"/>
        <v>0</v>
      </c>
      <c r="AH206" s="193">
        <f t="shared" si="146"/>
        <v>0</v>
      </c>
      <c r="AI206" s="193">
        <f t="shared" si="146"/>
        <v>0</v>
      </c>
      <c r="AN206" s="193"/>
      <c r="AO206" s="193"/>
      <c r="AP206" s="193"/>
      <c r="AQ206" s="193"/>
      <c r="AR206" s="193"/>
      <c r="AS206" s="193"/>
      <c r="AT206" s="193"/>
      <c r="AU206" s="193"/>
      <c r="AV206" s="193"/>
      <c r="AW206" s="193"/>
      <c r="AX206" s="193"/>
      <c r="AY206" s="193"/>
      <c r="AZ206" s="193"/>
      <c r="BA206" s="193"/>
      <c r="BB206" s="193"/>
      <c r="BC206" s="193"/>
      <c r="BD206" s="193"/>
      <c r="BE206" s="193"/>
      <c r="BF206" s="193"/>
      <c r="BG206" s="193"/>
      <c r="BH206" s="193"/>
      <c r="BI206" s="193"/>
      <c r="BJ206" s="193"/>
      <c r="BK206" s="193"/>
      <c r="BL206" s="193"/>
      <c r="BM206" s="193"/>
      <c r="BN206" s="193"/>
      <c r="BO206" s="193"/>
      <c r="BS206" s="193"/>
      <c r="BT206" s="193"/>
      <c r="BU206" s="193"/>
      <c r="BV206" s="193"/>
      <c r="BW206" s="193"/>
      <c r="BX206" s="193"/>
      <c r="BY206" s="193"/>
      <c r="BZ206" s="193"/>
      <c r="CA206" s="193"/>
      <c r="CB206" s="193"/>
      <c r="CC206" s="193"/>
      <c r="CD206" s="193"/>
      <c r="CE206" s="193"/>
      <c r="CF206" s="193"/>
      <c r="CG206" s="193"/>
      <c r="CH206" s="193"/>
      <c r="CI206" s="193"/>
      <c r="CJ206" s="193"/>
      <c r="CK206" s="193"/>
      <c r="CL206" s="193"/>
      <c r="CM206" s="193"/>
      <c r="CN206" s="193"/>
      <c r="CO206" s="193"/>
      <c r="CP206" s="193"/>
      <c r="CQ206" s="193"/>
      <c r="CR206" s="193"/>
      <c r="CS206" s="193"/>
      <c r="CT206" s="193"/>
    </row>
    <row r="207" spans="1:98" x14ac:dyDescent="0.25">
      <c r="A207" t="s">
        <v>128</v>
      </c>
      <c r="B207" t="str">
        <f t="shared" si="141"/>
        <v>YES</v>
      </c>
      <c r="D207" t="s">
        <v>1162</v>
      </c>
      <c r="E207">
        <v>30</v>
      </c>
      <c r="F207" t="s">
        <v>470</v>
      </c>
      <c r="G207" t="s">
        <v>119</v>
      </c>
      <c r="H207">
        <v>1</v>
      </c>
      <c r="I207">
        <v>1</v>
      </c>
      <c r="J207">
        <v>1</v>
      </c>
      <c r="K207">
        <v>1</v>
      </c>
      <c r="L207">
        <v>1</v>
      </c>
      <c r="M207">
        <v>1</v>
      </c>
      <c r="N207">
        <v>1</v>
      </c>
      <c r="O207">
        <v>1</v>
      </c>
      <c r="P207">
        <v>1</v>
      </c>
      <c r="Q207">
        <v>1</v>
      </c>
      <c r="R207">
        <v>1</v>
      </c>
      <c r="S207">
        <v>1</v>
      </c>
      <c r="T207">
        <v>1</v>
      </c>
      <c r="U207">
        <v>1</v>
      </c>
      <c r="V207">
        <v>1</v>
      </c>
      <c r="W207">
        <v>1</v>
      </c>
      <c r="X207">
        <v>1</v>
      </c>
      <c r="Y207">
        <v>1</v>
      </c>
      <c r="Z207">
        <v>1</v>
      </c>
      <c r="AA207">
        <v>1</v>
      </c>
      <c r="AB207">
        <v>1</v>
      </c>
      <c r="AC207">
        <v>1</v>
      </c>
      <c r="AD207">
        <v>1</v>
      </c>
      <c r="AE207">
        <v>1</v>
      </c>
      <c r="AF207">
        <v>1</v>
      </c>
      <c r="AG207">
        <v>1</v>
      </c>
      <c r="AH207">
        <v>1</v>
      </c>
      <c r="AI207">
        <v>1</v>
      </c>
      <c r="AN207" s="193"/>
      <c r="AO207" s="193"/>
      <c r="AP207" s="193"/>
      <c r="AQ207" s="193"/>
      <c r="AR207" s="193"/>
      <c r="AS207" s="193"/>
      <c r="AT207" s="193"/>
      <c r="AU207" s="193"/>
      <c r="AV207" s="193"/>
      <c r="AW207" s="193"/>
      <c r="AX207" s="193"/>
      <c r="AY207" s="193"/>
      <c r="AZ207" s="193"/>
      <c r="BA207" s="193"/>
      <c r="BB207" s="193"/>
      <c r="BC207" s="193"/>
      <c r="BD207" s="193"/>
      <c r="BE207" s="193"/>
      <c r="BF207" s="193"/>
      <c r="BG207" s="193"/>
      <c r="BH207" s="193"/>
      <c r="BI207" s="193"/>
      <c r="BJ207" s="193"/>
      <c r="BK207" s="193"/>
      <c r="BL207" s="193"/>
      <c r="BM207" s="193"/>
      <c r="BN207" s="193"/>
      <c r="BO207" s="193"/>
      <c r="BS207" s="193"/>
      <c r="BT207" s="193"/>
      <c r="BU207" s="193"/>
      <c r="BV207" s="193"/>
      <c r="BW207" s="193"/>
      <c r="BX207" s="193"/>
      <c r="BY207" s="193"/>
      <c r="BZ207" s="193"/>
      <c r="CA207" s="193"/>
      <c r="CB207" s="193"/>
      <c r="CC207" s="193"/>
      <c r="CD207" s="193"/>
      <c r="CE207" s="193"/>
      <c r="CF207" s="193"/>
      <c r="CG207" s="193"/>
      <c r="CH207" s="193"/>
      <c r="CI207" s="193"/>
      <c r="CJ207" s="193"/>
      <c r="CK207" s="193"/>
      <c r="CL207" s="193"/>
      <c r="CM207" s="193"/>
      <c r="CN207" s="193"/>
      <c r="CO207" s="193"/>
      <c r="CP207" s="193"/>
      <c r="CQ207" s="193"/>
      <c r="CR207" s="193"/>
      <c r="CS207" s="193"/>
      <c r="CT207" s="193"/>
    </row>
    <row r="208" spans="1:98" x14ac:dyDescent="0.25">
      <c r="A208" t="s">
        <v>130</v>
      </c>
      <c r="B208" t="str">
        <f t="shared" si="141"/>
        <v>YES</v>
      </c>
      <c r="F208" t="s">
        <v>472</v>
      </c>
      <c r="G208" t="s">
        <v>1258</v>
      </c>
      <c r="H208">
        <v>1</v>
      </c>
      <c r="I208">
        <v>1</v>
      </c>
      <c r="J208">
        <v>1</v>
      </c>
      <c r="K208">
        <v>1</v>
      </c>
      <c r="L208">
        <v>1</v>
      </c>
      <c r="M208">
        <v>1</v>
      </c>
      <c r="N208">
        <v>1</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M208" t="s">
        <v>1258</v>
      </c>
      <c r="AN208" s="193">
        <f>(H208/H207)*BS208</f>
        <v>0</v>
      </c>
      <c r="AO208" s="193">
        <f t="shared" ref="AO208:BO208" si="147">(I208/I207)*BT208</f>
        <v>0</v>
      </c>
      <c r="AP208" s="193">
        <f t="shared" si="147"/>
        <v>0</v>
      </c>
      <c r="AQ208" s="193">
        <f t="shared" si="147"/>
        <v>0</v>
      </c>
      <c r="AR208" s="193">
        <f t="shared" si="147"/>
        <v>0</v>
      </c>
      <c r="AS208" s="193">
        <f t="shared" si="147"/>
        <v>0</v>
      </c>
      <c r="AT208" s="193">
        <f t="shared" si="147"/>
        <v>0</v>
      </c>
      <c r="AU208" s="193">
        <f t="shared" si="147"/>
        <v>0</v>
      </c>
      <c r="AV208" s="193">
        <f t="shared" si="147"/>
        <v>6.3E-2</v>
      </c>
      <c r="AW208" s="193">
        <f t="shared" si="147"/>
        <v>0</v>
      </c>
      <c r="AX208" s="193">
        <f t="shared" si="147"/>
        <v>0</v>
      </c>
      <c r="AY208" s="193">
        <f t="shared" si="147"/>
        <v>0</v>
      </c>
      <c r="AZ208" s="193">
        <f t="shared" si="147"/>
        <v>0</v>
      </c>
      <c r="BA208" s="193">
        <f t="shared" si="147"/>
        <v>0</v>
      </c>
      <c r="BB208" s="193">
        <f t="shared" si="147"/>
        <v>0</v>
      </c>
      <c r="BC208" s="193">
        <f t="shared" si="147"/>
        <v>5.0000000000000001E-3</v>
      </c>
      <c r="BD208" s="193">
        <f t="shared" si="147"/>
        <v>1.0999999999999999E-2</v>
      </c>
      <c r="BE208" s="193">
        <f t="shared" si="147"/>
        <v>0</v>
      </c>
      <c r="BF208" s="193">
        <f t="shared" si="147"/>
        <v>0</v>
      </c>
      <c r="BG208" s="193">
        <f t="shared" si="147"/>
        <v>0</v>
      </c>
      <c r="BH208" s="193">
        <f t="shared" si="147"/>
        <v>0</v>
      </c>
      <c r="BI208" s="193">
        <f t="shared" si="147"/>
        <v>0</v>
      </c>
      <c r="BJ208" s="193">
        <f t="shared" si="147"/>
        <v>0</v>
      </c>
      <c r="BK208" s="193">
        <f t="shared" si="147"/>
        <v>0</v>
      </c>
      <c r="BL208" s="193">
        <f t="shared" si="147"/>
        <v>0</v>
      </c>
      <c r="BM208" s="193">
        <f t="shared" si="147"/>
        <v>0</v>
      </c>
      <c r="BN208" s="193">
        <f t="shared" si="147"/>
        <v>0</v>
      </c>
      <c r="BO208" s="193">
        <f t="shared" si="147"/>
        <v>3.6999999999999998E-2</v>
      </c>
      <c r="BQ208" t="s">
        <v>119</v>
      </c>
      <c r="BR208" t="s">
        <v>1258</v>
      </c>
      <c r="BS208" s="193" cm="1">
        <f t="array" ref="BS208">SUMPRODUCT(($AN$5:$AN$19=$BQ208)*(AP$5:AP$19)*(H$40:H$54))*SUMIFS(H$74:H$103,$F$74:$F$103,$BQ208,$G$74:$G$103,$BR208)</f>
        <v>0</v>
      </c>
      <c r="BT208" s="193" cm="1">
        <f t="array" ref="BT208">SUMPRODUCT(($AN$5:$AN$19=$BQ208)*(AQ$5:AQ$19)*(I$40:I$54))*SUMIFS(I$74:I$103,$F$74:$F$103,$BQ208,$G$74:$G$103,$BR208)</f>
        <v>0</v>
      </c>
      <c r="BU208" s="193" cm="1">
        <f t="array" ref="BU208">SUMPRODUCT(($AN$5:$AN$19=$BQ208)*(AR$5:AR$19)*(J$40:J$54))*SUMIFS(J$74:J$103,$F$74:$F$103,$BQ208,$G$74:$G$103,$BR208)</f>
        <v>0</v>
      </c>
      <c r="BV208" s="193" cm="1">
        <f t="array" ref="BV208">SUMPRODUCT(($AN$5:$AN$19=$BQ208)*(AS$5:AS$19)*(K$40:K$54))*SUMIFS(K$74:K$103,$F$74:$F$103,$BQ208,$G$74:$G$103,$BR208)</f>
        <v>0</v>
      </c>
      <c r="BW208" s="193" cm="1">
        <f t="array" ref="BW208">SUMPRODUCT(($AN$5:$AN$19=$BQ208)*(AT$5:AT$19)*(L$40:L$54))*SUMIFS(L$74:L$103,$F$74:$F$103,$BQ208,$G$74:$G$103,$BR208)</f>
        <v>0</v>
      </c>
      <c r="BX208" s="193" cm="1">
        <f t="array" ref="BX208">SUMPRODUCT(($AN$5:$AN$19=$BQ208)*(AU$5:AU$19)*(M$40:M$54))*SUMIFS(M$74:M$103,$F$74:$F$103,$BQ208,$G$74:$G$103,$BR208)</f>
        <v>0</v>
      </c>
      <c r="BY208" s="193" cm="1">
        <f t="array" ref="BY208">SUMPRODUCT(($AN$5:$AN$19=$BQ208)*(AV$5:AV$19)*(N$40:N$54))*SUMIFS(N$74:N$103,$F$74:$F$103,$BQ208,$G$74:$G$103,$BR208)</f>
        <v>0</v>
      </c>
      <c r="BZ208" s="193" cm="1">
        <f t="array" ref="BZ208">SUMPRODUCT(($AN$5:$AN$19=$BQ208)*(AW$5:AW$19)*(O$40:O$54))*SUMIFS(O$74:O$103,$F$74:$F$103,$BQ208,$G$74:$G$103,$BR208)</f>
        <v>0</v>
      </c>
      <c r="CA208" s="193" cm="1">
        <f t="array" ref="CA208">SUMPRODUCT(($AN$5:$AN$19=$BQ208)*(AX$5:AX$19)*(P$40:P$54))*SUMIFS(P$74:P$103,$F$74:$F$103,$BQ208,$G$74:$G$103,$BR208)</f>
        <v>6.3E-2</v>
      </c>
      <c r="CB208" s="193" cm="1">
        <f t="array" ref="CB208">SUMPRODUCT(($AN$5:$AN$19=$BQ208)*(AY$5:AY$19)*(Q$40:Q$54))*SUMIFS(Q$74:Q$103,$F$74:$F$103,$BQ208,$G$74:$G$103,$BR208)</f>
        <v>0</v>
      </c>
      <c r="CC208" s="193" cm="1">
        <f t="array" ref="CC208">SUMPRODUCT(($AN$5:$AN$19=$BQ208)*(AZ$5:AZ$19)*(R$40:R$54))*SUMIFS(R$74:R$103,$F$74:$F$103,$BQ208,$G$74:$G$103,$BR208)</f>
        <v>0</v>
      </c>
      <c r="CD208" s="193" cm="1">
        <f t="array" ref="CD208">SUMPRODUCT(($AN$5:$AN$19=$BQ208)*(BA$5:BA$19)*(S$40:S$54))*SUMIFS(S$74:S$103,$F$74:$F$103,$BQ208,$G$74:$G$103,$BR208)</f>
        <v>0</v>
      </c>
      <c r="CE208" s="193" cm="1">
        <f t="array" ref="CE208">SUMPRODUCT(($AN$5:$AN$19=$BQ208)*(BB$5:BB$19)*(T$40:T$54))*SUMIFS(T$74:T$103,$F$74:$F$103,$BQ208,$G$74:$G$103,$BR208)</f>
        <v>0</v>
      </c>
      <c r="CF208" s="193" cm="1">
        <f t="array" ref="CF208">SUMPRODUCT(($AN$5:$AN$19=$BQ208)*(BC$5:BC$19)*(U$40:U$54))*SUMIFS(U$74:U$103,$F$74:$F$103,$BQ208,$G$74:$G$103,$BR208)</f>
        <v>0</v>
      </c>
      <c r="CG208" s="193" cm="1">
        <f t="array" ref="CG208">SUMPRODUCT(($AN$5:$AN$19=$BQ208)*(BD$5:BD$19)*(V$40:V$54))*SUMIFS(V$74:V$103,$F$74:$F$103,$BQ208,$G$74:$G$103,$BR208)</f>
        <v>0</v>
      </c>
      <c r="CH208" s="193" cm="1">
        <f t="array" ref="CH208">SUMPRODUCT(($AN$5:$AN$19=$BQ208)*(BE$5:BE$19)*(W$40:W$54))*SUMIFS(W$74:W$103,$F$74:$F$103,$BQ208,$G$74:$G$103,$BR208)</f>
        <v>5.0000000000000001E-3</v>
      </c>
      <c r="CI208" s="193" cm="1">
        <f t="array" ref="CI208">SUMPRODUCT(($AN$5:$AN$19=$BQ208)*(BF$5:BF$19)*(X$40:X$54))*SUMIFS(X$74:X$103,$F$74:$F$103,$BQ208,$G$74:$G$103,$BR208)</f>
        <v>1.0999999999999999E-2</v>
      </c>
      <c r="CJ208" s="193" cm="1">
        <f t="array" ref="CJ208">SUMPRODUCT(($AN$5:$AN$19=$BQ208)*(BG$5:BG$19)*(Y$40:Y$54))*SUMIFS(Y$74:Y$103,$F$74:$F$103,$BQ208,$G$74:$G$103,$BR208)</f>
        <v>0</v>
      </c>
      <c r="CK208" s="193" cm="1">
        <f t="array" ref="CK208">SUMPRODUCT(($AN$5:$AN$19=$BQ208)*(BH$5:BH$19)*(Z$40:Z$54))*SUMIFS(Z$74:Z$103,$F$74:$F$103,$BQ208,$G$74:$G$103,$BR208)</f>
        <v>0</v>
      </c>
      <c r="CL208" s="193" cm="1">
        <f t="array" ref="CL208">SUMPRODUCT(($AN$5:$AN$19=$BQ208)*(BI$5:BI$19)*(AA$40:AA$54))*SUMIFS(AA$74:AA$103,$F$74:$F$103,$BQ208,$G$74:$G$103,$BR208)</f>
        <v>0</v>
      </c>
      <c r="CM208" s="193" cm="1">
        <f t="array" ref="CM208">SUMPRODUCT(($AN$5:$AN$19=$BQ208)*(BJ$5:BJ$19)*(AB$40:AB$54))*SUMIFS(AB$74:AB$103,$F$74:$F$103,$BQ208,$G$74:$G$103,$BR208)</f>
        <v>0</v>
      </c>
      <c r="CN208" s="193" cm="1">
        <f t="array" ref="CN208">SUMPRODUCT(($AN$5:$AN$19=$BQ208)*(BK$5:BK$19)*(AC$40:AC$54))*SUMIFS(AC$74:AC$103,$F$74:$F$103,$BQ208,$G$74:$G$103,$BR208)</f>
        <v>0</v>
      </c>
      <c r="CO208" s="193" cm="1">
        <f t="array" ref="CO208">SUMPRODUCT(($AN$5:$AN$19=$BQ208)*(BL$5:BL$19)*(AD$40:AD$54))*SUMIFS(AD$74:AD$103,$F$74:$F$103,$BQ208,$G$74:$G$103,$BR208)</f>
        <v>0</v>
      </c>
      <c r="CP208" s="193" cm="1">
        <f t="array" ref="CP208">SUMPRODUCT(($AN$5:$AN$19=$BQ208)*(BM$5:BM$19)*(AE$40:AE$54))*SUMIFS(AE$74:AE$103,$F$74:$F$103,$BQ208,$G$74:$G$103,$BR208)</f>
        <v>0</v>
      </c>
      <c r="CQ208" s="193" cm="1">
        <f t="array" ref="CQ208">SUMPRODUCT(($AN$5:$AN$19=$BQ208)*(BN$5:BN$19)*(AF$40:AF$54))*SUMIFS(AF$74:AF$103,$F$74:$F$103,$BQ208,$G$74:$G$103,$BR208)</f>
        <v>0</v>
      </c>
      <c r="CR208" s="193" cm="1">
        <f t="array" ref="CR208">SUMPRODUCT(($AN$5:$AN$19=$BQ208)*(BO$5:BO$19)*(AG$40:AG$54))*SUMIFS(AG$74:AG$103,$F$74:$F$103,$BQ208,$G$74:$G$103,$BR208)</f>
        <v>0</v>
      </c>
      <c r="CS208" s="193" cm="1">
        <f t="array" ref="CS208">SUMPRODUCT(($AN$5:$AN$19=$BQ208)*(BP$5:BP$19)*(AH$40:AH$54))*SUMIFS(AH$74:AH$103,$F$74:$F$103,$BQ208,$G$74:$G$103,$BR208)</f>
        <v>0</v>
      </c>
      <c r="CT208" s="193" cm="1">
        <f t="array" ref="CT208">SUMPRODUCT(($AN$5:$AN$19=$BQ208)*(BQ$5:BQ$19)*(AI$40:AI$54))*SUMIFS(AI$74:AI$103,$F$74:$F$103,$BQ208,$G$74:$G$103,$BR208)</f>
        <v>3.6999999999999998E-2</v>
      </c>
    </row>
    <row r="209" spans="1:98" x14ac:dyDescent="0.25">
      <c r="A209" t="s">
        <v>132</v>
      </c>
      <c r="B209" t="str">
        <f t="shared" si="141"/>
        <v>YES</v>
      </c>
      <c r="F209" t="s">
        <v>1279</v>
      </c>
      <c r="H209" s="193">
        <f>AN208</f>
        <v>0</v>
      </c>
      <c r="I209" s="193">
        <f t="shared" ref="I209:AI209" si="148">AO208</f>
        <v>0</v>
      </c>
      <c r="J209" s="193">
        <f t="shared" si="148"/>
        <v>0</v>
      </c>
      <c r="K209" s="193">
        <f t="shared" si="148"/>
        <v>0</v>
      </c>
      <c r="L209" s="193">
        <f t="shared" si="148"/>
        <v>0</v>
      </c>
      <c r="M209" s="193">
        <f t="shared" si="148"/>
        <v>0</v>
      </c>
      <c r="N209" s="193">
        <f t="shared" si="148"/>
        <v>0</v>
      </c>
      <c r="O209" s="193">
        <f t="shared" si="148"/>
        <v>0</v>
      </c>
      <c r="P209" s="193">
        <f t="shared" si="148"/>
        <v>6.3E-2</v>
      </c>
      <c r="Q209" s="193">
        <f t="shared" si="148"/>
        <v>0</v>
      </c>
      <c r="R209" s="193">
        <f t="shared" si="148"/>
        <v>0</v>
      </c>
      <c r="S209" s="193">
        <f t="shared" si="148"/>
        <v>0</v>
      </c>
      <c r="T209" s="193">
        <f t="shared" si="148"/>
        <v>0</v>
      </c>
      <c r="U209" s="193">
        <f t="shared" si="148"/>
        <v>0</v>
      </c>
      <c r="V209" s="193">
        <f t="shared" si="148"/>
        <v>0</v>
      </c>
      <c r="W209" s="193">
        <f t="shared" si="148"/>
        <v>5.0000000000000001E-3</v>
      </c>
      <c r="X209" s="193">
        <f t="shared" si="148"/>
        <v>1.0999999999999999E-2</v>
      </c>
      <c r="Y209" s="193">
        <f t="shared" si="148"/>
        <v>0</v>
      </c>
      <c r="Z209" s="193">
        <f t="shared" si="148"/>
        <v>0</v>
      </c>
      <c r="AA209" s="193">
        <f t="shared" si="148"/>
        <v>0</v>
      </c>
      <c r="AB209" s="193">
        <f t="shared" si="148"/>
        <v>0</v>
      </c>
      <c r="AC209" s="193">
        <f t="shared" si="148"/>
        <v>0</v>
      </c>
      <c r="AD209" s="193">
        <f t="shared" si="148"/>
        <v>0</v>
      </c>
      <c r="AE209" s="193">
        <f t="shared" si="148"/>
        <v>0</v>
      </c>
      <c r="AF209" s="193">
        <f t="shared" si="148"/>
        <v>0</v>
      </c>
      <c r="AG209" s="193">
        <f t="shared" si="148"/>
        <v>0</v>
      </c>
      <c r="AH209" s="193">
        <f t="shared" si="148"/>
        <v>0</v>
      </c>
      <c r="AI209" s="193">
        <f t="shared" si="148"/>
        <v>3.6999999999999998E-2</v>
      </c>
      <c r="AN209" s="193"/>
      <c r="AO209" s="193"/>
      <c r="AP209" s="193"/>
      <c r="AQ209" s="193"/>
      <c r="AR209" s="193"/>
      <c r="AS209" s="193"/>
      <c r="AT209" s="193"/>
      <c r="AU209" s="193"/>
      <c r="AV209" s="193"/>
      <c r="AW209" s="193"/>
      <c r="AX209" s="193"/>
      <c r="AY209" s="193"/>
      <c r="AZ209" s="193"/>
      <c r="BA209" s="193"/>
      <c r="BB209" s="193"/>
      <c r="BC209" s="193"/>
      <c r="BD209" s="193"/>
      <c r="BE209" s="193"/>
      <c r="BF209" s="193"/>
      <c r="BG209" s="193"/>
      <c r="BH209" s="193"/>
      <c r="BI209" s="193"/>
      <c r="BJ209" s="193"/>
      <c r="BK209" s="193"/>
      <c r="BL209" s="193"/>
      <c r="BM209" s="193"/>
      <c r="BN209" s="193"/>
      <c r="BO209" s="193"/>
      <c r="BS209" s="193"/>
      <c r="BT209" s="193"/>
      <c r="BU209" s="193"/>
      <c r="BV209" s="193"/>
      <c r="BW209" s="193"/>
      <c r="BX209" s="193"/>
      <c r="BY209" s="193"/>
      <c r="BZ209" s="193"/>
      <c r="CA209" s="193"/>
      <c r="CB209" s="193"/>
      <c r="CC209" s="193"/>
      <c r="CD209" s="193"/>
      <c r="CE209" s="193"/>
      <c r="CF209" s="193"/>
      <c r="CG209" s="193"/>
      <c r="CH209" s="193"/>
      <c r="CI209" s="193"/>
      <c r="CJ209" s="193"/>
      <c r="CK209" s="193"/>
      <c r="CL209" s="193"/>
      <c r="CM209" s="193"/>
      <c r="CN209" s="193"/>
      <c r="CO209" s="193"/>
      <c r="CP209" s="193"/>
      <c r="CQ209" s="193"/>
      <c r="CR209" s="193"/>
      <c r="CS209" s="193"/>
      <c r="CT209" s="193"/>
    </row>
    <row r="210" spans="1:98" x14ac:dyDescent="0.25">
      <c r="A210" t="s">
        <v>134</v>
      </c>
      <c r="B210" t="str">
        <f t="shared" si="141"/>
        <v>YES</v>
      </c>
      <c r="D210" t="s">
        <v>1164</v>
      </c>
      <c r="E210">
        <v>30</v>
      </c>
      <c r="F210" t="s">
        <v>470</v>
      </c>
      <c r="G210" t="s">
        <v>120</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c r="AD210">
        <v>1</v>
      </c>
      <c r="AE210">
        <v>1</v>
      </c>
      <c r="AF210">
        <v>1</v>
      </c>
      <c r="AG210">
        <v>1</v>
      </c>
      <c r="AH210">
        <v>1</v>
      </c>
      <c r="AI210">
        <v>1</v>
      </c>
      <c r="AN210" s="193"/>
      <c r="AO210" s="193"/>
      <c r="AP210" s="193"/>
      <c r="AQ210" s="193"/>
      <c r="AR210" s="193"/>
      <c r="AS210" s="193"/>
      <c r="AT210" s="193"/>
      <c r="AU210" s="193"/>
      <c r="AV210" s="193"/>
      <c r="AW210" s="193"/>
      <c r="AX210" s="193"/>
      <c r="AY210" s="193"/>
      <c r="AZ210" s="193"/>
      <c r="BA210" s="193"/>
      <c r="BB210" s="193"/>
      <c r="BC210" s="193"/>
      <c r="BD210" s="193"/>
      <c r="BE210" s="193"/>
      <c r="BF210" s="193"/>
      <c r="BG210" s="193"/>
      <c r="BH210" s="193"/>
      <c r="BI210" s="193"/>
      <c r="BJ210" s="193"/>
      <c r="BK210" s="193"/>
      <c r="BL210" s="193"/>
      <c r="BM210" s="193"/>
      <c r="BN210" s="193"/>
      <c r="BO210" s="193"/>
      <c r="BS210" s="193"/>
      <c r="BT210" s="193"/>
      <c r="BU210" s="193"/>
      <c r="BV210" s="193"/>
      <c r="BW210" s="193"/>
      <c r="BX210" s="193"/>
      <c r="BY210" s="193"/>
      <c r="BZ210" s="193"/>
      <c r="CA210" s="193"/>
      <c r="CB210" s="193"/>
      <c r="CC210" s="193"/>
      <c r="CD210" s="193"/>
      <c r="CE210" s="193"/>
      <c r="CF210" s="193"/>
      <c r="CG210" s="193"/>
      <c r="CH210" s="193"/>
      <c r="CI210" s="193"/>
      <c r="CJ210" s="193"/>
      <c r="CK210" s="193"/>
      <c r="CL210" s="193"/>
      <c r="CM210" s="193"/>
      <c r="CN210" s="193"/>
      <c r="CO210" s="193"/>
      <c r="CP210" s="193"/>
      <c r="CQ210" s="193"/>
      <c r="CR210" s="193"/>
      <c r="CS210" s="193"/>
      <c r="CT210" s="193"/>
    </row>
    <row r="211" spans="1:98" x14ac:dyDescent="0.25">
      <c r="A211" t="s">
        <v>1701</v>
      </c>
      <c r="B211" t="str">
        <f t="shared" si="141"/>
        <v>YES</v>
      </c>
      <c r="F211" t="s">
        <v>472</v>
      </c>
      <c r="G211" t="s">
        <v>1258</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c r="AD211">
        <v>1</v>
      </c>
      <c r="AE211">
        <v>1</v>
      </c>
      <c r="AF211">
        <v>1</v>
      </c>
      <c r="AG211">
        <v>1</v>
      </c>
      <c r="AH211">
        <v>1</v>
      </c>
      <c r="AI211">
        <v>1</v>
      </c>
      <c r="AM211" t="s">
        <v>1258</v>
      </c>
      <c r="AN211" s="193">
        <f>(H211/H210)*BS211</f>
        <v>0</v>
      </c>
      <c r="AO211" s="193">
        <f t="shared" ref="AO211:BO211" si="149">(I211/I210)*BT211</f>
        <v>8.8000000000000005E-3</v>
      </c>
      <c r="AP211" s="193">
        <f t="shared" si="149"/>
        <v>0</v>
      </c>
      <c r="AQ211" s="193">
        <f t="shared" si="149"/>
        <v>1.2959258430684626</v>
      </c>
      <c r="AR211" s="193">
        <f t="shared" si="149"/>
        <v>3.5015428716150208</v>
      </c>
      <c r="AS211" s="193">
        <f t="shared" si="149"/>
        <v>6.1704200253562895</v>
      </c>
      <c r="AT211" s="193">
        <f t="shared" si="149"/>
        <v>0</v>
      </c>
      <c r="AU211" s="193">
        <f t="shared" si="149"/>
        <v>0</v>
      </c>
      <c r="AV211" s="193">
        <f t="shared" si="149"/>
        <v>2.4849725936014107</v>
      </c>
      <c r="AW211" s="193">
        <f t="shared" si="149"/>
        <v>0.81790000000000007</v>
      </c>
      <c r="AX211" s="193">
        <f t="shared" si="149"/>
        <v>0</v>
      </c>
      <c r="AY211" s="193">
        <f t="shared" si="149"/>
        <v>0</v>
      </c>
      <c r="AZ211" s="193">
        <f t="shared" si="149"/>
        <v>0.7157</v>
      </c>
      <c r="BA211" s="193">
        <f t="shared" si="149"/>
        <v>7.2700000000000001E-2</v>
      </c>
      <c r="BB211" s="193">
        <f t="shared" si="149"/>
        <v>0.21429999999999999</v>
      </c>
      <c r="BC211" s="193">
        <f t="shared" si="149"/>
        <v>0.64260000000000006</v>
      </c>
      <c r="BD211" s="193">
        <f t="shared" si="149"/>
        <v>0.21450000000000002</v>
      </c>
      <c r="BE211" s="193">
        <f t="shared" si="149"/>
        <v>0</v>
      </c>
      <c r="BF211" s="193">
        <f t="shared" si="149"/>
        <v>0</v>
      </c>
      <c r="BG211" s="193">
        <f t="shared" si="149"/>
        <v>0.13420000000000001</v>
      </c>
      <c r="BH211" s="193">
        <f t="shared" si="149"/>
        <v>0</v>
      </c>
      <c r="BI211" s="193">
        <f t="shared" si="149"/>
        <v>0.40975268787439784</v>
      </c>
      <c r="BJ211" s="193">
        <f t="shared" si="149"/>
        <v>0</v>
      </c>
      <c r="BK211" s="193">
        <f t="shared" si="149"/>
        <v>0</v>
      </c>
      <c r="BL211" s="193">
        <f t="shared" si="149"/>
        <v>0</v>
      </c>
      <c r="BM211" s="193">
        <f t="shared" si="149"/>
        <v>0</v>
      </c>
      <c r="BN211" s="193">
        <f t="shared" si="149"/>
        <v>0</v>
      </c>
      <c r="BO211" s="193">
        <f t="shared" si="149"/>
        <v>0</v>
      </c>
      <c r="BQ211" t="s">
        <v>120</v>
      </c>
      <c r="BR211" t="s">
        <v>1258</v>
      </c>
      <c r="BS211" s="193" cm="1">
        <f t="array" ref="BS211">SUMPRODUCT(($AN$5:$AN$19=$BQ211)*(AP$5:AP$19)*(H$40:H$54))*SUMIFS(H$74:H$103,$F$74:$F$103,$BQ211,$G$74:$G$103,$BR211)</f>
        <v>0</v>
      </c>
      <c r="BT211" s="193" cm="1">
        <f t="array" ref="BT211">SUMPRODUCT(($AN$5:$AN$19=$BQ211)*(AQ$5:AQ$19)*(I$40:I$54))*SUMIFS(I$74:I$103,$F$74:$F$103,$BQ211,$G$74:$G$103,$BR211)</f>
        <v>8.8000000000000005E-3</v>
      </c>
      <c r="BU211" s="193" cm="1">
        <f t="array" ref="BU211">SUMPRODUCT(($AN$5:$AN$19=$BQ211)*(AR$5:AR$19)*(J$40:J$54))*SUMIFS(J$74:J$103,$F$74:$F$103,$BQ211,$G$74:$G$103,$BR211)</f>
        <v>0</v>
      </c>
      <c r="BV211" s="193" cm="1">
        <f t="array" ref="BV211">SUMPRODUCT(($AN$5:$AN$19=$BQ211)*(AS$5:AS$19)*(K$40:K$54))*SUMIFS(K$74:K$103,$F$74:$F$103,$BQ211,$G$74:$G$103,$BR211)</f>
        <v>1.2959258430684626</v>
      </c>
      <c r="BW211" s="193" cm="1">
        <f t="array" ref="BW211">SUMPRODUCT(($AN$5:$AN$19=$BQ211)*(AT$5:AT$19)*(L$40:L$54))*SUMIFS(L$74:L$103,$F$74:$F$103,$BQ211,$G$74:$G$103,$BR211)</f>
        <v>3.5015428716150208</v>
      </c>
      <c r="BX211" s="193" cm="1">
        <f t="array" ref="BX211">SUMPRODUCT(($AN$5:$AN$19=$BQ211)*(AU$5:AU$19)*(M$40:M$54))*SUMIFS(M$74:M$103,$F$74:$F$103,$BQ211,$G$74:$G$103,$BR211)</f>
        <v>6.1704200253562895</v>
      </c>
      <c r="BY211" s="193" cm="1">
        <f t="array" ref="BY211">SUMPRODUCT(($AN$5:$AN$19=$BQ211)*(AV$5:AV$19)*(N$40:N$54))*SUMIFS(N$74:N$103,$F$74:$F$103,$BQ211,$G$74:$G$103,$BR211)</f>
        <v>0</v>
      </c>
      <c r="BZ211" s="193" cm="1">
        <f t="array" ref="BZ211">SUMPRODUCT(($AN$5:$AN$19=$BQ211)*(AW$5:AW$19)*(O$40:O$54))*SUMIFS(O$74:O$103,$F$74:$F$103,$BQ211,$G$74:$G$103,$BR211)</f>
        <v>0</v>
      </c>
      <c r="CA211" s="193" cm="1">
        <f t="array" ref="CA211">SUMPRODUCT(($AN$5:$AN$19=$BQ211)*(AX$5:AX$19)*(P$40:P$54))*SUMIFS(P$74:P$103,$F$74:$F$103,$BQ211,$G$74:$G$103,$BR211)</f>
        <v>2.4849725936014107</v>
      </c>
      <c r="CB211" s="193" cm="1">
        <f t="array" ref="CB211">SUMPRODUCT(($AN$5:$AN$19=$BQ211)*(AY$5:AY$19)*(Q$40:Q$54))*SUMIFS(Q$74:Q$103,$F$74:$F$103,$BQ211,$G$74:$G$103,$BR211)</f>
        <v>0.81790000000000007</v>
      </c>
      <c r="CC211" s="193" cm="1">
        <f t="array" ref="CC211">SUMPRODUCT(($AN$5:$AN$19=$BQ211)*(AZ$5:AZ$19)*(R$40:R$54))*SUMIFS(R$74:R$103,$F$74:$F$103,$BQ211,$G$74:$G$103,$BR211)</f>
        <v>0</v>
      </c>
      <c r="CD211" s="193" cm="1">
        <f t="array" ref="CD211">SUMPRODUCT(($AN$5:$AN$19=$BQ211)*(BA$5:BA$19)*(S$40:S$54))*SUMIFS(S$74:S$103,$F$74:$F$103,$BQ211,$G$74:$G$103,$BR211)</f>
        <v>0</v>
      </c>
      <c r="CE211" s="193" cm="1">
        <f t="array" ref="CE211">SUMPRODUCT(($AN$5:$AN$19=$BQ211)*(BB$5:BB$19)*(T$40:T$54))*SUMIFS(T$74:T$103,$F$74:$F$103,$BQ211,$G$74:$G$103,$BR211)</f>
        <v>0.7157</v>
      </c>
      <c r="CF211" s="193" cm="1">
        <f t="array" ref="CF211">SUMPRODUCT(($AN$5:$AN$19=$BQ211)*(BC$5:BC$19)*(U$40:U$54))*SUMIFS(U$74:U$103,$F$74:$F$103,$BQ211,$G$74:$G$103,$BR211)</f>
        <v>7.2700000000000001E-2</v>
      </c>
      <c r="CG211" s="193" cm="1">
        <f t="array" ref="CG211">SUMPRODUCT(($AN$5:$AN$19=$BQ211)*(BD$5:BD$19)*(V$40:V$54))*SUMIFS(V$74:V$103,$F$74:$F$103,$BQ211,$G$74:$G$103,$BR211)</f>
        <v>0.21429999999999999</v>
      </c>
      <c r="CH211" s="193" cm="1">
        <f t="array" ref="CH211">SUMPRODUCT(($AN$5:$AN$19=$BQ211)*(BE$5:BE$19)*(W$40:W$54))*SUMIFS(W$74:W$103,$F$74:$F$103,$BQ211,$G$74:$G$103,$BR211)</f>
        <v>0.64260000000000006</v>
      </c>
      <c r="CI211" s="193" cm="1">
        <f t="array" ref="CI211">SUMPRODUCT(($AN$5:$AN$19=$BQ211)*(BF$5:BF$19)*(X$40:X$54))*SUMIFS(X$74:X$103,$F$74:$F$103,$BQ211,$G$74:$G$103,$BR211)</f>
        <v>0.21450000000000002</v>
      </c>
      <c r="CJ211" s="193" cm="1">
        <f t="array" ref="CJ211">SUMPRODUCT(($AN$5:$AN$19=$BQ211)*(BG$5:BG$19)*(Y$40:Y$54))*SUMIFS(Y$74:Y$103,$F$74:$F$103,$BQ211,$G$74:$G$103,$BR211)</f>
        <v>0</v>
      </c>
      <c r="CK211" s="193" cm="1">
        <f t="array" ref="CK211">SUMPRODUCT(($AN$5:$AN$19=$BQ211)*(BH$5:BH$19)*(Z$40:Z$54))*SUMIFS(Z$74:Z$103,$F$74:$F$103,$BQ211,$G$74:$G$103,$BR211)</f>
        <v>0</v>
      </c>
      <c r="CL211" s="193" cm="1">
        <f t="array" ref="CL211">SUMPRODUCT(($AN$5:$AN$19=$BQ211)*(BI$5:BI$19)*(AA$40:AA$54))*SUMIFS(AA$74:AA$103,$F$74:$F$103,$BQ211,$G$74:$G$103,$BR211)</f>
        <v>0.13420000000000001</v>
      </c>
      <c r="CM211" s="193" cm="1">
        <f t="array" ref="CM211">SUMPRODUCT(($AN$5:$AN$19=$BQ211)*(BJ$5:BJ$19)*(AB$40:AB$54))*SUMIFS(AB$74:AB$103,$F$74:$F$103,$BQ211,$G$74:$G$103,$BR211)</f>
        <v>0</v>
      </c>
      <c r="CN211" s="193" cm="1">
        <f t="array" ref="CN211">SUMPRODUCT(($AN$5:$AN$19=$BQ211)*(BK$5:BK$19)*(AC$40:AC$54))*SUMIFS(AC$74:AC$103,$F$74:$F$103,$BQ211,$G$74:$G$103,$BR211)</f>
        <v>0.40975268787439784</v>
      </c>
      <c r="CO211" s="193" cm="1">
        <f t="array" ref="CO211">SUMPRODUCT(($AN$5:$AN$19=$BQ211)*(BL$5:BL$19)*(AD$40:AD$54))*SUMIFS(AD$74:AD$103,$F$74:$F$103,$BQ211,$G$74:$G$103,$BR211)</f>
        <v>0</v>
      </c>
      <c r="CP211" s="193" cm="1">
        <f t="array" ref="CP211">SUMPRODUCT(($AN$5:$AN$19=$BQ211)*(BM$5:BM$19)*(AE$40:AE$54))*SUMIFS(AE$74:AE$103,$F$74:$F$103,$BQ211,$G$74:$G$103,$BR211)</f>
        <v>0</v>
      </c>
      <c r="CQ211" s="193" cm="1">
        <f t="array" ref="CQ211">SUMPRODUCT(($AN$5:$AN$19=$BQ211)*(BN$5:BN$19)*(AF$40:AF$54))*SUMIFS(AF$74:AF$103,$F$74:$F$103,$BQ211,$G$74:$G$103,$BR211)</f>
        <v>0</v>
      </c>
      <c r="CR211" s="193" cm="1">
        <f t="array" ref="CR211">SUMPRODUCT(($AN$5:$AN$19=$BQ211)*(BO$5:BO$19)*(AG$40:AG$54))*SUMIFS(AG$74:AG$103,$F$74:$F$103,$BQ211,$G$74:$G$103,$BR211)</f>
        <v>0</v>
      </c>
      <c r="CS211" s="193" cm="1">
        <f t="array" ref="CS211">SUMPRODUCT(($AN$5:$AN$19=$BQ211)*(BP$5:BP$19)*(AH$40:AH$54))*SUMIFS(AH$74:AH$103,$F$74:$F$103,$BQ211,$G$74:$G$103,$BR211)</f>
        <v>0</v>
      </c>
      <c r="CT211" s="193" cm="1">
        <f t="array" ref="CT211">SUMPRODUCT(($AN$5:$AN$19=$BQ211)*(BQ$5:BQ$19)*(AI$40:AI$54))*SUMIFS(AI$74:AI$103,$F$74:$F$103,$BQ211,$G$74:$G$103,$BR211)</f>
        <v>0</v>
      </c>
    </row>
    <row r="212" spans="1:98" x14ac:dyDescent="0.25">
      <c r="A212" t="s">
        <v>137</v>
      </c>
      <c r="B212" t="str">
        <f t="shared" si="141"/>
        <v>YES</v>
      </c>
      <c r="F212" t="s">
        <v>1279</v>
      </c>
      <c r="H212" s="193">
        <f>AN211</f>
        <v>0</v>
      </c>
      <c r="I212" s="193">
        <f t="shared" ref="I212:AI212" si="150">AO211</f>
        <v>8.8000000000000005E-3</v>
      </c>
      <c r="J212" s="193">
        <f t="shared" si="150"/>
        <v>0</v>
      </c>
      <c r="K212" s="193">
        <f t="shared" si="150"/>
        <v>1.2959258430684626</v>
      </c>
      <c r="L212" s="193">
        <f t="shared" si="150"/>
        <v>3.5015428716150208</v>
      </c>
      <c r="M212" s="193">
        <f t="shared" si="150"/>
        <v>6.1704200253562895</v>
      </c>
      <c r="N212" s="193">
        <f t="shared" si="150"/>
        <v>0</v>
      </c>
      <c r="O212" s="193">
        <f t="shared" si="150"/>
        <v>0</v>
      </c>
      <c r="P212" s="193">
        <f t="shared" si="150"/>
        <v>2.4849725936014107</v>
      </c>
      <c r="Q212" s="193">
        <f t="shared" si="150"/>
        <v>0.81790000000000007</v>
      </c>
      <c r="R212" s="193">
        <f t="shared" si="150"/>
        <v>0</v>
      </c>
      <c r="S212" s="193">
        <f t="shared" si="150"/>
        <v>0</v>
      </c>
      <c r="T212" s="193">
        <f t="shared" si="150"/>
        <v>0.7157</v>
      </c>
      <c r="U212" s="193">
        <f t="shared" si="150"/>
        <v>7.2700000000000001E-2</v>
      </c>
      <c r="V212" s="193">
        <f t="shared" si="150"/>
        <v>0.21429999999999999</v>
      </c>
      <c r="W212" s="193">
        <f t="shared" si="150"/>
        <v>0.64260000000000006</v>
      </c>
      <c r="X212" s="193">
        <f t="shared" si="150"/>
        <v>0.21450000000000002</v>
      </c>
      <c r="Y212" s="193">
        <f t="shared" si="150"/>
        <v>0</v>
      </c>
      <c r="Z212" s="193">
        <f t="shared" si="150"/>
        <v>0</v>
      </c>
      <c r="AA212" s="193">
        <f t="shared" si="150"/>
        <v>0.13420000000000001</v>
      </c>
      <c r="AB212" s="193">
        <f t="shared" si="150"/>
        <v>0</v>
      </c>
      <c r="AC212" s="193">
        <f t="shared" si="150"/>
        <v>0.40975268787439784</v>
      </c>
      <c r="AD212" s="193">
        <f t="shared" si="150"/>
        <v>0</v>
      </c>
      <c r="AE212" s="193">
        <f t="shared" si="150"/>
        <v>0</v>
      </c>
      <c r="AF212" s="193">
        <f t="shared" si="150"/>
        <v>0</v>
      </c>
      <c r="AG212" s="193">
        <f t="shared" si="150"/>
        <v>0</v>
      </c>
      <c r="AH212" s="193">
        <f t="shared" si="150"/>
        <v>0</v>
      </c>
      <c r="AI212" s="193">
        <f t="shared" si="150"/>
        <v>0</v>
      </c>
      <c r="AN212" s="193"/>
      <c r="AO212" s="193"/>
      <c r="AP212" s="193"/>
      <c r="AQ212" s="193"/>
      <c r="AR212" s="193"/>
      <c r="AS212" s="193"/>
      <c r="AT212" s="193"/>
      <c r="AU212" s="193"/>
      <c r="AV212" s="193"/>
      <c r="AW212" s="193"/>
      <c r="AX212" s="193"/>
      <c r="AY212" s="193"/>
      <c r="AZ212" s="193"/>
      <c r="BA212" s="193"/>
      <c r="BB212" s="193"/>
      <c r="BC212" s="193"/>
      <c r="BD212" s="193"/>
      <c r="BE212" s="193"/>
      <c r="BF212" s="193"/>
      <c r="BG212" s="193"/>
      <c r="BH212" s="193"/>
      <c r="BI212" s="193"/>
      <c r="BJ212" s="193"/>
      <c r="BK212" s="193"/>
      <c r="BL212" s="193"/>
      <c r="BM212" s="193"/>
      <c r="BN212" s="193"/>
      <c r="BO212" s="193"/>
      <c r="BS212" s="193"/>
      <c r="BT212" s="193"/>
      <c r="BU212" s="193"/>
      <c r="BV212" s="193"/>
      <c r="BW212" s="193"/>
      <c r="BX212" s="193"/>
      <c r="BY212" s="193"/>
      <c r="BZ212" s="193"/>
      <c r="CA212" s="193"/>
      <c r="CB212" s="193"/>
      <c r="CC212" s="193"/>
      <c r="CD212" s="193"/>
      <c r="CE212" s="193"/>
      <c r="CF212" s="193"/>
      <c r="CG212" s="193"/>
      <c r="CH212" s="193"/>
      <c r="CI212" s="193"/>
      <c r="CJ212" s="193"/>
      <c r="CK212" s="193"/>
      <c r="CL212" s="193"/>
      <c r="CM212" s="193"/>
      <c r="CN212" s="193"/>
      <c r="CO212" s="193"/>
      <c r="CP212" s="193"/>
      <c r="CQ212" s="193"/>
      <c r="CR212" s="193"/>
      <c r="CS212" s="193"/>
      <c r="CT212" s="193"/>
    </row>
    <row r="213" spans="1:98" x14ac:dyDescent="0.25">
      <c r="A213" t="s">
        <v>139</v>
      </c>
      <c r="B213" t="str">
        <f t="shared" si="141"/>
        <v>YES</v>
      </c>
      <c r="D213" t="s">
        <v>1166</v>
      </c>
      <c r="E213">
        <v>30</v>
      </c>
      <c r="F213" t="s">
        <v>470</v>
      </c>
      <c r="G213" t="s">
        <v>122</v>
      </c>
      <c r="H213">
        <v>1</v>
      </c>
      <c r="I213">
        <v>1</v>
      </c>
      <c r="J213">
        <v>1</v>
      </c>
      <c r="K213">
        <v>1</v>
      </c>
      <c r="L213">
        <v>1</v>
      </c>
      <c r="M213">
        <v>1</v>
      </c>
      <c r="N213">
        <v>1</v>
      </c>
      <c r="O213">
        <v>1</v>
      </c>
      <c r="P213">
        <v>1</v>
      </c>
      <c r="Q213">
        <v>1</v>
      </c>
      <c r="R213">
        <v>1</v>
      </c>
      <c r="S213">
        <v>1</v>
      </c>
      <c r="T213">
        <v>1</v>
      </c>
      <c r="U213">
        <v>1</v>
      </c>
      <c r="V213">
        <v>1</v>
      </c>
      <c r="W213">
        <v>1</v>
      </c>
      <c r="X213">
        <v>1</v>
      </c>
      <c r="Y213">
        <v>1</v>
      </c>
      <c r="Z213">
        <v>1</v>
      </c>
      <c r="AA213">
        <v>1</v>
      </c>
      <c r="AB213">
        <v>1</v>
      </c>
      <c r="AC213">
        <v>1</v>
      </c>
      <c r="AD213">
        <v>1</v>
      </c>
      <c r="AE213">
        <v>1</v>
      </c>
      <c r="AF213">
        <v>1</v>
      </c>
      <c r="AG213">
        <v>1</v>
      </c>
      <c r="AH213">
        <v>1</v>
      </c>
      <c r="AI213">
        <v>1</v>
      </c>
      <c r="AN213" s="193"/>
      <c r="AO213" s="193"/>
      <c r="AP213" s="193"/>
      <c r="AQ213" s="193"/>
      <c r="AR213" s="193"/>
      <c r="AS213" s="193"/>
      <c r="AT213" s="193"/>
      <c r="AU213" s="193"/>
      <c r="AV213" s="193"/>
      <c r="AW213" s="193"/>
      <c r="AX213" s="193"/>
      <c r="AY213" s="193"/>
      <c r="AZ213" s="193"/>
      <c r="BA213" s="193"/>
      <c r="BB213" s="193"/>
      <c r="BC213" s="193"/>
      <c r="BD213" s="193"/>
      <c r="BE213" s="193"/>
      <c r="BF213" s="193"/>
      <c r="BG213" s="193"/>
      <c r="BH213" s="193"/>
      <c r="BI213" s="193"/>
      <c r="BJ213" s="193"/>
      <c r="BK213" s="193"/>
      <c r="BL213" s="193"/>
      <c r="BM213" s="193"/>
      <c r="BN213" s="193"/>
      <c r="BO213" s="193"/>
      <c r="BS213" s="193"/>
      <c r="BT213" s="193"/>
      <c r="BU213" s="193"/>
      <c r="BV213" s="193"/>
      <c r="BW213" s="193"/>
      <c r="BX213" s="193"/>
      <c r="BY213" s="193"/>
      <c r="BZ213" s="193"/>
      <c r="CA213" s="193"/>
      <c r="CB213" s="193"/>
      <c r="CC213" s="193"/>
      <c r="CD213" s="193"/>
      <c r="CE213" s="193"/>
      <c r="CF213" s="193"/>
      <c r="CG213" s="193"/>
      <c r="CH213" s="193"/>
      <c r="CI213" s="193"/>
      <c r="CJ213" s="193"/>
      <c r="CK213" s="193"/>
      <c r="CL213" s="193"/>
      <c r="CM213" s="193"/>
      <c r="CN213" s="193"/>
      <c r="CO213" s="193"/>
      <c r="CP213" s="193"/>
      <c r="CQ213" s="193"/>
      <c r="CR213" s="193"/>
      <c r="CS213" s="193"/>
      <c r="CT213" s="193"/>
    </row>
    <row r="214" spans="1:98" x14ac:dyDescent="0.25">
      <c r="F214" t="s">
        <v>472</v>
      </c>
      <c r="G214" t="s">
        <v>1258</v>
      </c>
      <c r="H214">
        <v>1</v>
      </c>
      <c r="I214">
        <v>1</v>
      </c>
      <c r="J214">
        <v>1</v>
      </c>
      <c r="K214">
        <v>1</v>
      </c>
      <c r="L214">
        <v>1</v>
      </c>
      <c r="M214">
        <v>1</v>
      </c>
      <c r="N214">
        <v>1</v>
      </c>
      <c r="O214">
        <v>1</v>
      </c>
      <c r="P214">
        <v>1</v>
      </c>
      <c r="Q214">
        <v>1</v>
      </c>
      <c r="R214">
        <v>1</v>
      </c>
      <c r="S214">
        <v>1</v>
      </c>
      <c r="T214">
        <v>1</v>
      </c>
      <c r="U214">
        <v>1</v>
      </c>
      <c r="V214">
        <v>1</v>
      </c>
      <c r="W214">
        <v>1</v>
      </c>
      <c r="X214">
        <v>1</v>
      </c>
      <c r="Y214">
        <v>1</v>
      </c>
      <c r="Z214">
        <v>1</v>
      </c>
      <c r="AA214">
        <v>1</v>
      </c>
      <c r="AB214">
        <v>1</v>
      </c>
      <c r="AC214">
        <v>1</v>
      </c>
      <c r="AD214">
        <v>1</v>
      </c>
      <c r="AE214">
        <v>1</v>
      </c>
      <c r="AF214">
        <v>1</v>
      </c>
      <c r="AG214">
        <v>1</v>
      </c>
      <c r="AH214">
        <v>1</v>
      </c>
      <c r="AI214">
        <v>1</v>
      </c>
      <c r="AM214" t="s">
        <v>1258</v>
      </c>
      <c r="AN214" s="193">
        <f>(H214/H213)*BS214</f>
        <v>0</v>
      </c>
      <c r="AO214" s="193">
        <f t="shared" ref="AO214:BO214" si="151">(I214/I213)*BT214</f>
        <v>0</v>
      </c>
      <c r="AP214" s="193">
        <f t="shared" si="151"/>
        <v>0</v>
      </c>
      <c r="AQ214" s="193">
        <f t="shared" si="151"/>
        <v>0</v>
      </c>
      <c r="AR214" s="193">
        <f t="shared" si="151"/>
        <v>0</v>
      </c>
      <c r="AS214" s="193">
        <f t="shared" si="151"/>
        <v>0</v>
      </c>
      <c r="AT214" s="193">
        <f t="shared" si="151"/>
        <v>0</v>
      </c>
      <c r="AU214" s="193">
        <f t="shared" si="151"/>
        <v>0</v>
      </c>
      <c r="AV214" s="193">
        <f t="shared" si="151"/>
        <v>0</v>
      </c>
      <c r="AW214" s="193">
        <f t="shared" si="151"/>
        <v>0</v>
      </c>
      <c r="AX214" s="193">
        <f t="shared" si="151"/>
        <v>0</v>
      </c>
      <c r="AY214" s="193">
        <f t="shared" si="151"/>
        <v>0</v>
      </c>
      <c r="AZ214" s="193">
        <f t="shared" si="151"/>
        <v>0</v>
      </c>
      <c r="BA214" s="193">
        <f t="shared" si="151"/>
        <v>0</v>
      </c>
      <c r="BB214" s="193">
        <f t="shared" si="151"/>
        <v>7.9000000000000001E-2</v>
      </c>
      <c r="BC214" s="193">
        <f t="shared" si="151"/>
        <v>0</v>
      </c>
      <c r="BD214" s="193">
        <f t="shared" si="151"/>
        <v>0</v>
      </c>
      <c r="BE214" s="193">
        <f t="shared" si="151"/>
        <v>0</v>
      </c>
      <c r="BF214" s="193">
        <f t="shared" si="151"/>
        <v>0</v>
      </c>
      <c r="BG214" s="193">
        <f t="shared" si="151"/>
        <v>0</v>
      </c>
      <c r="BH214" s="193">
        <f t="shared" si="151"/>
        <v>0</v>
      </c>
      <c r="BI214" s="193">
        <f t="shared" si="151"/>
        <v>0</v>
      </c>
      <c r="BJ214" s="193">
        <f t="shared" si="151"/>
        <v>0</v>
      </c>
      <c r="BK214" s="193">
        <f t="shared" si="151"/>
        <v>0</v>
      </c>
      <c r="BL214" s="193">
        <f t="shared" si="151"/>
        <v>0</v>
      </c>
      <c r="BM214" s="193">
        <f t="shared" si="151"/>
        <v>0</v>
      </c>
      <c r="BN214" s="193">
        <f t="shared" si="151"/>
        <v>0</v>
      </c>
      <c r="BO214" s="193">
        <f t="shared" si="151"/>
        <v>0</v>
      </c>
      <c r="BQ214" t="s">
        <v>122</v>
      </c>
      <c r="BR214" t="s">
        <v>1258</v>
      </c>
      <c r="BS214" s="193" cm="1">
        <f t="array" ref="BS214">SUMPRODUCT(($AN$5:$AN$19=$BQ214)*(AP$5:AP$19)*(H$40:H$54))*SUMIFS(H$74:H$103,$F$74:$F$103,$BQ214,$G$74:$G$103,$BR214)</f>
        <v>0</v>
      </c>
      <c r="BT214" s="193" cm="1">
        <f t="array" ref="BT214">SUMPRODUCT(($AN$5:$AN$19=$BQ214)*(AQ$5:AQ$19)*(I$40:I$54))*SUMIFS(I$74:I$103,$F$74:$F$103,$BQ214,$G$74:$G$103,$BR214)</f>
        <v>0</v>
      </c>
      <c r="BU214" s="193" cm="1">
        <f t="array" ref="BU214">SUMPRODUCT(($AN$5:$AN$19=$BQ214)*(AR$5:AR$19)*(J$40:J$54))*SUMIFS(J$74:J$103,$F$74:$F$103,$BQ214,$G$74:$G$103,$BR214)</f>
        <v>0</v>
      </c>
      <c r="BV214" s="193" cm="1">
        <f t="array" ref="BV214">SUMPRODUCT(($AN$5:$AN$19=$BQ214)*(AS$5:AS$19)*(K$40:K$54))*SUMIFS(K$74:K$103,$F$74:$F$103,$BQ214,$G$74:$G$103,$BR214)</f>
        <v>0</v>
      </c>
      <c r="BW214" s="193" cm="1">
        <f t="array" ref="BW214">SUMPRODUCT(($AN$5:$AN$19=$BQ214)*(AT$5:AT$19)*(L$40:L$54))*SUMIFS(L$74:L$103,$F$74:$F$103,$BQ214,$G$74:$G$103,$BR214)</f>
        <v>0</v>
      </c>
      <c r="BX214" s="193" cm="1">
        <f t="array" ref="BX214">SUMPRODUCT(($AN$5:$AN$19=$BQ214)*(AU$5:AU$19)*(M$40:M$54))*SUMIFS(M$74:M$103,$F$74:$F$103,$BQ214,$G$74:$G$103,$BR214)</f>
        <v>0</v>
      </c>
      <c r="BY214" s="193" cm="1">
        <f t="array" ref="BY214">SUMPRODUCT(($AN$5:$AN$19=$BQ214)*(AV$5:AV$19)*(N$40:N$54))*SUMIFS(N$74:N$103,$F$74:$F$103,$BQ214,$G$74:$G$103,$BR214)</f>
        <v>0</v>
      </c>
      <c r="BZ214" s="193" cm="1">
        <f t="array" ref="BZ214">SUMPRODUCT(($AN$5:$AN$19=$BQ214)*(AW$5:AW$19)*(O$40:O$54))*SUMIFS(O$74:O$103,$F$74:$F$103,$BQ214,$G$74:$G$103,$BR214)</f>
        <v>0</v>
      </c>
      <c r="CA214" s="193" cm="1">
        <f t="array" ref="CA214">SUMPRODUCT(($AN$5:$AN$19=$BQ214)*(AX$5:AX$19)*(P$40:P$54))*SUMIFS(P$74:P$103,$F$74:$F$103,$BQ214,$G$74:$G$103,$BR214)</f>
        <v>0</v>
      </c>
      <c r="CB214" s="193" cm="1">
        <f t="array" ref="CB214">SUMPRODUCT(($AN$5:$AN$19=$BQ214)*(AY$5:AY$19)*(Q$40:Q$54))*SUMIFS(Q$74:Q$103,$F$74:$F$103,$BQ214,$G$74:$G$103,$BR214)</f>
        <v>0</v>
      </c>
      <c r="CC214" s="193" cm="1">
        <f t="array" ref="CC214">SUMPRODUCT(($AN$5:$AN$19=$BQ214)*(AZ$5:AZ$19)*(R$40:R$54))*SUMIFS(R$74:R$103,$F$74:$F$103,$BQ214,$G$74:$G$103,$BR214)</f>
        <v>0</v>
      </c>
      <c r="CD214" s="193" cm="1">
        <f t="array" ref="CD214">SUMPRODUCT(($AN$5:$AN$19=$BQ214)*(BA$5:BA$19)*(S$40:S$54))*SUMIFS(S$74:S$103,$F$74:$F$103,$BQ214,$G$74:$G$103,$BR214)</f>
        <v>0</v>
      </c>
      <c r="CE214" s="193" cm="1">
        <f t="array" ref="CE214">SUMPRODUCT(($AN$5:$AN$19=$BQ214)*(BB$5:BB$19)*(T$40:T$54))*SUMIFS(T$74:T$103,$F$74:$F$103,$BQ214,$G$74:$G$103,$BR214)</f>
        <v>0</v>
      </c>
      <c r="CF214" s="193" cm="1">
        <f t="array" ref="CF214">SUMPRODUCT(($AN$5:$AN$19=$BQ214)*(BC$5:BC$19)*(U$40:U$54))*SUMIFS(U$74:U$103,$F$74:$F$103,$BQ214,$G$74:$G$103,$BR214)</f>
        <v>0</v>
      </c>
      <c r="CG214" s="193" cm="1">
        <f t="array" ref="CG214">SUMPRODUCT(($AN$5:$AN$19=$BQ214)*(BD$5:BD$19)*(V$40:V$54))*SUMIFS(V$74:V$103,$F$74:$F$103,$BQ214,$G$74:$G$103,$BR214)</f>
        <v>7.9000000000000001E-2</v>
      </c>
      <c r="CH214" s="193" cm="1">
        <f t="array" ref="CH214">SUMPRODUCT(($AN$5:$AN$19=$BQ214)*(BE$5:BE$19)*(W$40:W$54))*SUMIFS(W$74:W$103,$F$74:$F$103,$BQ214,$G$74:$G$103,$BR214)</f>
        <v>0</v>
      </c>
      <c r="CI214" s="193" cm="1">
        <f t="array" ref="CI214">SUMPRODUCT(($AN$5:$AN$19=$BQ214)*(BF$5:BF$19)*(X$40:X$54))*SUMIFS(X$74:X$103,$F$74:$F$103,$BQ214,$G$74:$G$103,$BR214)</f>
        <v>0</v>
      </c>
      <c r="CJ214" s="193" cm="1">
        <f t="array" ref="CJ214">SUMPRODUCT(($AN$5:$AN$19=$BQ214)*(BG$5:BG$19)*(Y$40:Y$54))*SUMIFS(Y$74:Y$103,$F$74:$F$103,$BQ214,$G$74:$G$103,$BR214)</f>
        <v>0</v>
      </c>
      <c r="CK214" s="193" cm="1">
        <f t="array" ref="CK214">SUMPRODUCT(($AN$5:$AN$19=$BQ214)*(BH$5:BH$19)*(Z$40:Z$54))*SUMIFS(Z$74:Z$103,$F$74:$F$103,$BQ214,$G$74:$G$103,$BR214)</f>
        <v>0</v>
      </c>
      <c r="CL214" s="193" cm="1">
        <f t="array" ref="CL214">SUMPRODUCT(($AN$5:$AN$19=$BQ214)*(BI$5:BI$19)*(AA$40:AA$54))*SUMIFS(AA$74:AA$103,$F$74:$F$103,$BQ214,$G$74:$G$103,$BR214)</f>
        <v>0</v>
      </c>
      <c r="CM214" s="193" cm="1">
        <f t="array" ref="CM214">SUMPRODUCT(($AN$5:$AN$19=$BQ214)*(BJ$5:BJ$19)*(AB$40:AB$54))*SUMIFS(AB$74:AB$103,$F$74:$F$103,$BQ214,$G$74:$G$103,$BR214)</f>
        <v>0</v>
      </c>
      <c r="CN214" s="193" cm="1">
        <f t="array" ref="CN214">SUMPRODUCT(($AN$5:$AN$19=$BQ214)*(BK$5:BK$19)*(AC$40:AC$54))*SUMIFS(AC$74:AC$103,$F$74:$F$103,$BQ214,$G$74:$G$103,$BR214)</f>
        <v>0</v>
      </c>
      <c r="CO214" s="193" cm="1">
        <f t="array" ref="CO214">SUMPRODUCT(($AN$5:$AN$19=$BQ214)*(BL$5:BL$19)*(AD$40:AD$54))*SUMIFS(AD$74:AD$103,$F$74:$F$103,$BQ214,$G$74:$G$103,$BR214)</f>
        <v>0</v>
      </c>
      <c r="CP214" s="193" cm="1">
        <f t="array" ref="CP214">SUMPRODUCT(($AN$5:$AN$19=$BQ214)*(BM$5:BM$19)*(AE$40:AE$54))*SUMIFS(AE$74:AE$103,$F$74:$F$103,$BQ214,$G$74:$G$103,$BR214)</f>
        <v>0</v>
      </c>
      <c r="CQ214" s="193" cm="1">
        <f t="array" ref="CQ214">SUMPRODUCT(($AN$5:$AN$19=$BQ214)*(BN$5:BN$19)*(AF$40:AF$54))*SUMIFS(AF$74:AF$103,$F$74:$F$103,$BQ214,$G$74:$G$103,$BR214)</f>
        <v>0</v>
      </c>
      <c r="CR214" s="193" cm="1">
        <f t="array" ref="CR214">SUMPRODUCT(($AN$5:$AN$19=$BQ214)*(BO$5:BO$19)*(AG$40:AG$54))*SUMIFS(AG$74:AG$103,$F$74:$F$103,$BQ214,$G$74:$G$103,$BR214)</f>
        <v>0</v>
      </c>
      <c r="CS214" s="193" cm="1">
        <f t="array" ref="CS214">SUMPRODUCT(($AN$5:$AN$19=$BQ214)*(BP$5:BP$19)*(AH$40:AH$54))*SUMIFS(AH$74:AH$103,$F$74:$F$103,$BQ214,$G$74:$G$103,$BR214)</f>
        <v>0</v>
      </c>
      <c r="CT214" s="193" cm="1">
        <f t="array" ref="CT214">SUMPRODUCT(($AN$5:$AN$19=$BQ214)*(BQ$5:BQ$19)*(AI$40:AI$54))*SUMIFS(AI$74:AI$103,$F$74:$F$103,$BQ214,$G$74:$G$103,$BR214)</f>
        <v>0</v>
      </c>
    </row>
    <row r="215" spans="1:98" x14ac:dyDescent="0.25">
      <c r="F215" t="s">
        <v>1279</v>
      </c>
      <c r="H215" s="193">
        <f>AN214</f>
        <v>0</v>
      </c>
      <c r="I215" s="193">
        <f t="shared" ref="I215:AI215" si="152">AO214</f>
        <v>0</v>
      </c>
      <c r="J215" s="193">
        <f t="shared" si="152"/>
        <v>0</v>
      </c>
      <c r="K215" s="193">
        <f t="shared" si="152"/>
        <v>0</v>
      </c>
      <c r="L215" s="193">
        <f t="shared" si="152"/>
        <v>0</v>
      </c>
      <c r="M215" s="193">
        <f t="shared" si="152"/>
        <v>0</v>
      </c>
      <c r="N215" s="193">
        <f t="shared" si="152"/>
        <v>0</v>
      </c>
      <c r="O215" s="193">
        <f t="shared" si="152"/>
        <v>0</v>
      </c>
      <c r="P215" s="193">
        <f t="shared" si="152"/>
        <v>0</v>
      </c>
      <c r="Q215" s="193">
        <f t="shared" si="152"/>
        <v>0</v>
      </c>
      <c r="R215" s="193">
        <f t="shared" si="152"/>
        <v>0</v>
      </c>
      <c r="S215" s="193">
        <f t="shared" si="152"/>
        <v>0</v>
      </c>
      <c r="T215" s="193">
        <f t="shared" si="152"/>
        <v>0</v>
      </c>
      <c r="U215" s="193">
        <f t="shared" si="152"/>
        <v>0</v>
      </c>
      <c r="V215" s="193">
        <f t="shared" si="152"/>
        <v>7.9000000000000001E-2</v>
      </c>
      <c r="W215" s="193">
        <f t="shared" si="152"/>
        <v>0</v>
      </c>
      <c r="X215" s="193">
        <f t="shared" si="152"/>
        <v>0</v>
      </c>
      <c r="Y215" s="193">
        <f t="shared" si="152"/>
        <v>0</v>
      </c>
      <c r="Z215" s="193">
        <f t="shared" si="152"/>
        <v>0</v>
      </c>
      <c r="AA215" s="193">
        <f t="shared" si="152"/>
        <v>0</v>
      </c>
      <c r="AB215" s="193">
        <f t="shared" si="152"/>
        <v>0</v>
      </c>
      <c r="AC215" s="193">
        <f t="shared" si="152"/>
        <v>0</v>
      </c>
      <c r="AD215" s="193">
        <f t="shared" si="152"/>
        <v>0</v>
      </c>
      <c r="AE215" s="193">
        <f t="shared" si="152"/>
        <v>0</v>
      </c>
      <c r="AF215" s="193">
        <f t="shared" si="152"/>
        <v>0</v>
      </c>
      <c r="AG215" s="193">
        <f t="shared" si="152"/>
        <v>0</v>
      </c>
      <c r="AH215" s="193">
        <f t="shared" si="152"/>
        <v>0</v>
      </c>
      <c r="AI215" s="193">
        <f t="shared" si="152"/>
        <v>0</v>
      </c>
      <c r="AN215" s="193"/>
      <c r="AO215" s="193"/>
      <c r="AP215" s="193"/>
      <c r="AQ215" s="193"/>
      <c r="AR215" s="193"/>
      <c r="AS215" s="193"/>
      <c r="AT215" s="193"/>
      <c r="AU215" s="193"/>
      <c r="AV215" s="193"/>
      <c r="AW215" s="193"/>
      <c r="AX215" s="193"/>
      <c r="AY215" s="193"/>
      <c r="AZ215" s="193"/>
      <c r="BA215" s="193"/>
      <c r="BB215" s="193"/>
      <c r="BC215" s="193"/>
      <c r="BD215" s="193"/>
      <c r="BE215" s="193"/>
      <c r="BF215" s="193"/>
      <c r="BG215" s="193"/>
      <c r="BH215" s="193"/>
      <c r="BI215" s="193"/>
      <c r="BJ215" s="193"/>
      <c r="BK215" s="193"/>
      <c r="BL215" s="193"/>
      <c r="BM215" s="193"/>
      <c r="BN215" s="193"/>
      <c r="BO215" s="193"/>
      <c r="BS215" s="193"/>
      <c r="BT215" s="193"/>
      <c r="BU215" s="193"/>
      <c r="BV215" s="193"/>
      <c r="BW215" s="193"/>
      <c r="BX215" s="193"/>
      <c r="BY215" s="193"/>
      <c r="BZ215" s="193"/>
      <c r="CA215" s="193"/>
      <c r="CB215" s="193"/>
      <c r="CC215" s="193"/>
      <c r="CD215" s="193"/>
      <c r="CE215" s="193"/>
      <c r="CF215" s="193"/>
      <c r="CG215" s="193"/>
      <c r="CH215" s="193"/>
      <c r="CI215" s="193"/>
      <c r="CJ215" s="193"/>
      <c r="CK215" s="193"/>
      <c r="CL215" s="193"/>
      <c r="CM215" s="193"/>
      <c r="CN215" s="193"/>
      <c r="CO215" s="193"/>
      <c r="CP215" s="193"/>
      <c r="CQ215" s="193"/>
      <c r="CR215" s="193"/>
      <c r="CS215" s="193"/>
      <c r="CT215" s="193"/>
    </row>
    <row r="216" spans="1:98" x14ac:dyDescent="0.25">
      <c r="D216" t="s">
        <v>1168</v>
      </c>
      <c r="E216">
        <v>30</v>
      </c>
      <c r="F216" t="s">
        <v>470</v>
      </c>
      <c r="G216" t="s">
        <v>124</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c r="AD216">
        <v>1</v>
      </c>
      <c r="AE216">
        <v>1</v>
      </c>
      <c r="AF216">
        <v>1</v>
      </c>
      <c r="AG216">
        <v>1</v>
      </c>
      <c r="AH216">
        <v>1</v>
      </c>
      <c r="AI216">
        <v>1</v>
      </c>
      <c r="AN216" s="193"/>
      <c r="AO216" s="193"/>
      <c r="AP216" s="193"/>
      <c r="AQ216" s="193"/>
      <c r="AR216" s="193"/>
      <c r="AS216" s="193"/>
      <c r="AT216" s="193"/>
      <c r="AU216" s="193"/>
      <c r="AV216" s="193"/>
      <c r="AW216" s="193"/>
      <c r="AX216" s="193"/>
      <c r="AY216" s="193"/>
      <c r="AZ216" s="193"/>
      <c r="BA216" s="193"/>
      <c r="BB216" s="193"/>
      <c r="BC216" s="193"/>
      <c r="BD216" s="193"/>
      <c r="BE216" s="193"/>
      <c r="BF216" s="193"/>
      <c r="BG216" s="193"/>
      <c r="BH216" s="193"/>
      <c r="BI216" s="193"/>
      <c r="BJ216" s="193"/>
      <c r="BK216" s="193"/>
      <c r="BL216" s="193"/>
      <c r="BM216" s="193"/>
      <c r="BN216" s="193"/>
      <c r="BO216" s="193"/>
      <c r="BS216" s="193"/>
      <c r="BT216" s="193"/>
      <c r="BU216" s="193"/>
      <c r="BV216" s="193"/>
      <c r="BW216" s="193"/>
      <c r="BX216" s="193"/>
      <c r="BY216" s="193"/>
      <c r="BZ216" s="193"/>
      <c r="CA216" s="193"/>
      <c r="CB216" s="193"/>
      <c r="CC216" s="193"/>
      <c r="CD216" s="193"/>
      <c r="CE216" s="193"/>
      <c r="CF216" s="193"/>
      <c r="CG216" s="193"/>
      <c r="CH216" s="193"/>
      <c r="CI216" s="193"/>
      <c r="CJ216" s="193"/>
      <c r="CK216" s="193"/>
      <c r="CL216" s="193"/>
      <c r="CM216" s="193"/>
      <c r="CN216" s="193"/>
      <c r="CO216" s="193"/>
      <c r="CP216" s="193"/>
      <c r="CQ216" s="193"/>
      <c r="CR216" s="193"/>
      <c r="CS216" s="193"/>
      <c r="CT216" s="193"/>
    </row>
    <row r="217" spans="1:98" x14ac:dyDescent="0.25">
      <c r="F217" t="s">
        <v>472</v>
      </c>
      <c r="G217" t="s">
        <v>1258</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c r="AD217">
        <v>1</v>
      </c>
      <c r="AE217">
        <v>1</v>
      </c>
      <c r="AF217">
        <v>1</v>
      </c>
      <c r="AG217">
        <v>1</v>
      </c>
      <c r="AH217">
        <v>1</v>
      </c>
      <c r="AI217">
        <v>1</v>
      </c>
      <c r="AM217" t="s">
        <v>1258</v>
      </c>
      <c r="AN217" s="193">
        <f>(H217/H216)*BS217</f>
        <v>0</v>
      </c>
      <c r="AO217" s="193">
        <f t="shared" ref="AO217:BO217" si="153">(I217/I216)*BT217</f>
        <v>0</v>
      </c>
      <c r="AP217" s="193">
        <f t="shared" si="153"/>
        <v>0</v>
      </c>
      <c r="AQ217" s="193">
        <f t="shared" si="153"/>
        <v>0</v>
      </c>
      <c r="AR217" s="193">
        <f t="shared" si="153"/>
        <v>0</v>
      </c>
      <c r="AS217" s="193">
        <f t="shared" si="153"/>
        <v>0</v>
      </c>
      <c r="AT217" s="193">
        <f t="shared" si="153"/>
        <v>0</v>
      </c>
      <c r="AU217" s="193">
        <f t="shared" si="153"/>
        <v>0</v>
      </c>
      <c r="AV217" s="193">
        <f t="shared" si="153"/>
        <v>0</v>
      </c>
      <c r="AW217" s="193">
        <f t="shared" si="153"/>
        <v>0</v>
      </c>
      <c r="AX217" s="193">
        <f t="shared" si="153"/>
        <v>0</v>
      </c>
      <c r="AY217" s="193">
        <f t="shared" si="153"/>
        <v>0</v>
      </c>
      <c r="AZ217" s="193">
        <f t="shared" si="153"/>
        <v>0</v>
      </c>
      <c r="BA217" s="193">
        <f t="shared" si="153"/>
        <v>0</v>
      </c>
      <c r="BB217" s="193">
        <f t="shared" si="153"/>
        <v>0</v>
      </c>
      <c r="BC217" s="193">
        <f t="shared" si="153"/>
        <v>0</v>
      </c>
      <c r="BD217" s="193">
        <f t="shared" si="153"/>
        <v>0</v>
      </c>
      <c r="BE217" s="193">
        <f t="shared" si="153"/>
        <v>0</v>
      </c>
      <c r="BF217" s="193">
        <f t="shared" si="153"/>
        <v>0</v>
      </c>
      <c r="BG217" s="193">
        <f t="shared" si="153"/>
        <v>0</v>
      </c>
      <c r="BH217" s="193">
        <f t="shared" si="153"/>
        <v>0</v>
      </c>
      <c r="BI217" s="193">
        <f t="shared" si="153"/>
        <v>0</v>
      </c>
      <c r="BJ217" s="193">
        <f t="shared" si="153"/>
        <v>0</v>
      </c>
      <c r="BK217" s="193">
        <f t="shared" si="153"/>
        <v>0</v>
      </c>
      <c r="BL217" s="193">
        <f t="shared" si="153"/>
        <v>0</v>
      </c>
      <c r="BM217" s="193">
        <f t="shared" si="153"/>
        <v>0</v>
      </c>
      <c r="BN217" s="193">
        <f t="shared" si="153"/>
        <v>0</v>
      </c>
      <c r="BO217" s="193">
        <f t="shared" si="153"/>
        <v>0</v>
      </c>
      <c r="BQ217" t="s">
        <v>124</v>
      </c>
      <c r="BR217" t="s">
        <v>1258</v>
      </c>
      <c r="BS217" s="193" cm="1">
        <f t="array" ref="BS217">SUMPRODUCT(($AN$5:$AN$19=$BQ217)*(AP$5:AP$19)*(H$40:H$54))*SUMIFS(H$74:H$103,$F$74:$F$103,$BQ217,$G$74:$G$103,$BR217)</f>
        <v>0</v>
      </c>
      <c r="BT217" s="193" cm="1">
        <f t="array" ref="BT217">SUMPRODUCT(($AN$5:$AN$19=$BQ217)*(AQ$5:AQ$19)*(I$40:I$54))*SUMIFS(I$74:I$103,$F$74:$F$103,$BQ217,$G$74:$G$103,$BR217)</f>
        <v>0</v>
      </c>
      <c r="BU217" s="193" cm="1">
        <f t="array" ref="BU217">SUMPRODUCT(($AN$5:$AN$19=$BQ217)*(AR$5:AR$19)*(J$40:J$54))*SUMIFS(J$74:J$103,$F$74:$F$103,$BQ217,$G$74:$G$103,$BR217)</f>
        <v>0</v>
      </c>
      <c r="BV217" s="193" cm="1">
        <f t="array" ref="BV217">SUMPRODUCT(($AN$5:$AN$19=$BQ217)*(AS$5:AS$19)*(K$40:K$54))*SUMIFS(K$74:K$103,$F$74:$F$103,$BQ217,$G$74:$G$103,$BR217)</f>
        <v>0</v>
      </c>
      <c r="BW217" s="193" cm="1">
        <f t="array" ref="BW217">SUMPRODUCT(($AN$5:$AN$19=$BQ217)*(AT$5:AT$19)*(L$40:L$54))*SUMIFS(L$74:L$103,$F$74:$F$103,$BQ217,$G$74:$G$103,$BR217)</f>
        <v>0</v>
      </c>
      <c r="BX217" s="193" cm="1">
        <f t="array" ref="BX217">SUMPRODUCT(($AN$5:$AN$19=$BQ217)*(AU$5:AU$19)*(M$40:M$54))*SUMIFS(M$74:M$103,$F$74:$F$103,$BQ217,$G$74:$G$103,$BR217)</f>
        <v>0</v>
      </c>
      <c r="BY217" s="193" cm="1">
        <f t="array" ref="BY217">SUMPRODUCT(($AN$5:$AN$19=$BQ217)*(AV$5:AV$19)*(N$40:N$54))*SUMIFS(N$74:N$103,$F$74:$F$103,$BQ217,$G$74:$G$103,$BR217)</f>
        <v>0</v>
      </c>
      <c r="BZ217" s="193" cm="1">
        <f t="array" ref="BZ217">SUMPRODUCT(($AN$5:$AN$19=$BQ217)*(AW$5:AW$19)*(O$40:O$54))*SUMIFS(O$74:O$103,$F$74:$F$103,$BQ217,$G$74:$G$103,$BR217)</f>
        <v>0</v>
      </c>
      <c r="CA217" s="193" cm="1">
        <f t="array" ref="CA217">SUMPRODUCT(($AN$5:$AN$19=$BQ217)*(AX$5:AX$19)*(P$40:P$54))*SUMIFS(P$74:P$103,$F$74:$F$103,$BQ217,$G$74:$G$103,$BR217)</f>
        <v>0</v>
      </c>
      <c r="CB217" s="193" cm="1">
        <f t="array" ref="CB217">SUMPRODUCT(($AN$5:$AN$19=$BQ217)*(AY$5:AY$19)*(Q$40:Q$54))*SUMIFS(Q$74:Q$103,$F$74:$F$103,$BQ217,$G$74:$G$103,$BR217)</f>
        <v>0</v>
      </c>
      <c r="CC217" s="193" cm="1">
        <f t="array" ref="CC217">SUMPRODUCT(($AN$5:$AN$19=$BQ217)*(AZ$5:AZ$19)*(R$40:R$54))*SUMIFS(R$74:R$103,$F$74:$F$103,$BQ217,$G$74:$G$103,$BR217)</f>
        <v>0</v>
      </c>
      <c r="CD217" s="193" cm="1">
        <f t="array" ref="CD217">SUMPRODUCT(($AN$5:$AN$19=$BQ217)*(BA$5:BA$19)*(S$40:S$54))*SUMIFS(S$74:S$103,$F$74:$F$103,$BQ217,$G$74:$G$103,$BR217)</f>
        <v>0</v>
      </c>
      <c r="CE217" s="193" cm="1">
        <f t="array" ref="CE217">SUMPRODUCT(($AN$5:$AN$19=$BQ217)*(BB$5:BB$19)*(T$40:T$54))*SUMIFS(T$74:T$103,$F$74:$F$103,$BQ217,$G$74:$G$103,$BR217)</f>
        <v>0</v>
      </c>
      <c r="CF217" s="193" cm="1">
        <f t="array" ref="CF217">SUMPRODUCT(($AN$5:$AN$19=$BQ217)*(BC$5:BC$19)*(U$40:U$54))*SUMIFS(U$74:U$103,$F$74:$F$103,$BQ217,$G$74:$G$103,$BR217)</f>
        <v>0</v>
      </c>
      <c r="CG217" s="193" cm="1">
        <f t="array" ref="CG217">SUMPRODUCT(($AN$5:$AN$19=$BQ217)*(BD$5:BD$19)*(V$40:V$54))*SUMIFS(V$74:V$103,$F$74:$F$103,$BQ217,$G$74:$G$103,$BR217)</f>
        <v>0</v>
      </c>
      <c r="CH217" s="193" cm="1">
        <f t="array" ref="CH217">SUMPRODUCT(($AN$5:$AN$19=$BQ217)*(BE$5:BE$19)*(W$40:W$54))*SUMIFS(W$74:W$103,$F$74:$F$103,$BQ217,$G$74:$G$103,$BR217)</f>
        <v>0</v>
      </c>
      <c r="CI217" s="193" cm="1">
        <f t="array" ref="CI217">SUMPRODUCT(($AN$5:$AN$19=$BQ217)*(BF$5:BF$19)*(X$40:X$54))*SUMIFS(X$74:X$103,$F$74:$F$103,$BQ217,$G$74:$G$103,$BR217)</f>
        <v>0</v>
      </c>
      <c r="CJ217" s="193" cm="1">
        <f t="array" ref="CJ217">SUMPRODUCT(($AN$5:$AN$19=$BQ217)*(BG$5:BG$19)*(Y$40:Y$54))*SUMIFS(Y$74:Y$103,$F$74:$F$103,$BQ217,$G$74:$G$103,$BR217)</f>
        <v>0</v>
      </c>
      <c r="CK217" s="193" cm="1">
        <f t="array" ref="CK217">SUMPRODUCT(($AN$5:$AN$19=$BQ217)*(BH$5:BH$19)*(Z$40:Z$54))*SUMIFS(Z$74:Z$103,$F$74:$F$103,$BQ217,$G$74:$G$103,$BR217)</f>
        <v>0</v>
      </c>
      <c r="CL217" s="193" cm="1">
        <f t="array" ref="CL217">SUMPRODUCT(($AN$5:$AN$19=$BQ217)*(BI$5:BI$19)*(AA$40:AA$54))*SUMIFS(AA$74:AA$103,$F$74:$F$103,$BQ217,$G$74:$G$103,$BR217)</f>
        <v>0</v>
      </c>
      <c r="CM217" s="193" cm="1">
        <f t="array" ref="CM217">SUMPRODUCT(($AN$5:$AN$19=$BQ217)*(BJ$5:BJ$19)*(AB$40:AB$54))*SUMIFS(AB$74:AB$103,$F$74:$F$103,$BQ217,$G$74:$G$103,$BR217)</f>
        <v>0</v>
      </c>
      <c r="CN217" s="193" cm="1">
        <f t="array" ref="CN217">SUMPRODUCT(($AN$5:$AN$19=$BQ217)*(BK$5:BK$19)*(AC$40:AC$54))*SUMIFS(AC$74:AC$103,$F$74:$F$103,$BQ217,$G$74:$G$103,$BR217)</f>
        <v>0</v>
      </c>
      <c r="CO217" s="193" cm="1">
        <f t="array" ref="CO217">SUMPRODUCT(($AN$5:$AN$19=$BQ217)*(BL$5:BL$19)*(AD$40:AD$54))*SUMIFS(AD$74:AD$103,$F$74:$F$103,$BQ217,$G$74:$G$103,$BR217)</f>
        <v>0</v>
      </c>
      <c r="CP217" s="193" cm="1">
        <f t="array" ref="CP217">SUMPRODUCT(($AN$5:$AN$19=$BQ217)*(BM$5:BM$19)*(AE$40:AE$54))*SUMIFS(AE$74:AE$103,$F$74:$F$103,$BQ217,$G$74:$G$103,$BR217)</f>
        <v>0</v>
      </c>
      <c r="CQ217" s="193" cm="1">
        <f t="array" ref="CQ217">SUMPRODUCT(($AN$5:$AN$19=$BQ217)*(BN$5:BN$19)*(AF$40:AF$54))*SUMIFS(AF$74:AF$103,$F$74:$F$103,$BQ217,$G$74:$G$103,$BR217)</f>
        <v>0</v>
      </c>
      <c r="CR217" s="193" cm="1">
        <f t="array" ref="CR217">SUMPRODUCT(($AN$5:$AN$19=$BQ217)*(BO$5:BO$19)*(AG$40:AG$54))*SUMIFS(AG$74:AG$103,$F$74:$F$103,$BQ217,$G$74:$G$103,$BR217)</f>
        <v>0</v>
      </c>
      <c r="CS217" s="193" cm="1">
        <f t="array" ref="CS217">SUMPRODUCT(($AN$5:$AN$19=$BQ217)*(BP$5:BP$19)*(AH$40:AH$54))*SUMIFS(AH$74:AH$103,$F$74:$F$103,$BQ217,$G$74:$G$103,$BR217)</f>
        <v>0</v>
      </c>
      <c r="CT217" s="193" cm="1">
        <f t="array" ref="CT217">SUMPRODUCT(($AN$5:$AN$19=$BQ217)*(BQ$5:BQ$19)*(AI$40:AI$54))*SUMIFS(AI$74:AI$103,$F$74:$F$103,$BQ217,$G$74:$G$103,$BR217)</f>
        <v>0</v>
      </c>
    </row>
    <row r="218" spans="1:98" x14ac:dyDescent="0.25">
      <c r="F218" t="s">
        <v>1279</v>
      </c>
      <c r="H218" s="193">
        <f>AN217</f>
        <v>0</v>
      </c>
      <c r="I218" s="193">
        <f t="shared" ref="I218:AI218" si="154">AO217</f>
        <v>0</v>
      </c>
      <c r="J218" s="193">
        <f t="shared" si="154"/>
        <v>0</v>
      </c>
      <c r="K218" s="193">
        <f t="shared" si="154"/>
        <v>0</v>
      </c>
      <c r="L218" s="193">
        <f t="shared" si="154"/>
        <v>0</v>
      </c>
      <c r="M218" s="193">
        <f t="shared" si="154"/>
        <v>0</v>
      </c>
      <c r="N218" s="193">
        <f t="shared" si="154"/>
        <v>0</v>
      </c>
      <c r="O218" s="193">
        <f t="shared" si="154"/>
        <v>0</v>
      </c>
      <c r="P218" s="193">
        <f t="shared" si="154"/>
        <v>0</v>
      </c>
      <c r="Q218" s="193">
        <f t="shared" si="154"/>
        <v>0</v>
      </c>
      <c r="R218" s="193">
        <f t="shared" si="154"/>
        <v>0</v>
      </c>
      <c r="S218" s="193">
        <f t="shared" si="154"/>
        <v>0</v>
      </c>
      <c r="T218" s="193">
        <f t="shared" si="154"/>
        <v>0</v>
      </c>
      <c r="U218" s="193">
        <f t="shared" si="154"/>
        <v>0</v>
      </c>
      <c r="V218" s="193">
        <f t="shared" si="154"/>
        <v>0</v>
      </c>
      <c r="W218" s="193">
        <f t="shared" si="154"/>
        <v>0</v>
      </c>
      <c r="X218" s="193">
        <f t="shared" si="154"/>
        <v>0</v>
      </c>
      <c r="Y218" s="193">
        <f t="shared" si="154"/>
        <v>0</v>
      </c>
      <c r="Z218" s="193">
        <f t="shared" si="154"/>
        <v>0</v>
      </c>
      <c r="AA218" s="193">
        <f t="shared" si="154"/>
        <v>0</v>
      </c>
      <c r="AB218" s="193">
        <f t="shared" si="154"/>
        <v>0</v>
      </c>
      <c r="AC218" s="193">
        <f t="shared" si="154"/>
        <v>0</v>
      </c>
      <c r="AD218" s="193">
        <f t="shared" si="154"/>
        <v>0</v>
      </c>
      <c r="AE218" s="193">
        <f t="shared" si="154"/>
        <v>0</v>
      </c>
      <c r="AF218" s="193">
        <f t="shared" si="154"/>
        <v>0</v>
      </c>
      <c r="AG218" s="193">
        <f t="shared" si="154"/>
        <v>0</v>
      </c>
      <c r="AH218" s="193">
        <f t="shared" si="154"/>
        <v>0</v>
      </c>
      <c r="AI218" s="193">
        <f t="shared" si="154"/>
        <v>0</v>
      </c>
      <c r="AN218" s="193"/>
      <c r="AO218" s="193"/>
      <c r="AP218" s="193"/>
      <c r="AQ218" s="193"/>
      <c r="AR218" s="193"/>
      <c r="AS218" s="193"/>
      <c r="AT218" s="193"/>
      <c r="AU218" s="193"/>
      <c r="AV218" s="193"/>
      <c r="AW218" s="193"/>
      <c r="AX218" s="193"/>
      <c r="AY218" s="193"/>
      <c r="AZ218" s="193"/>
      <c r="BA218" s="193"/>
      <c r="BB218" s="193"/>
      <c r="BC218" s="193"/>
      <c r="BD218" s="193"/>
      <c r="BE218" s="193"/>
      <c r="BF218" s="193"/>
      <c r="BG218" s="193"/>
      <c r="BH218" s="193"/>
      <c r="BI218" s="193"/>
      <c r="BJ218" s="193"/>
      <c r="BK218" s="193"/>
      <c r="BL218" s="193"/>
      <c r="BM218" s="193"/>
      <c r="BN218" s="193"/>
      <c r="BO218" s="193"/>
      <c r="BS218" s="193"/>
      <c r="BT218" s="193"/>
      <c r="BU218" s="193"/>
      <c r="BV218" s="193"/>
      <c r="BW218" s="193"/>
      <c r="BX218" s="193"/>
      <c r="BY218" s="193"/>
      <c r="BZ218" s="193"/>
      <c r="CA218" s="193"/>
      <c r="CB218" s="193"/>
      <c r="CC218" s="193"/>
      <c r="CD218" s="193"/>
      <c r="CE218" s="193"/>
      <c r="CF218" s="193"/>
      <c r="CG218" s="193"/>
      <c r="CH218" s="193"/>
      <c r="CI218" s="193"/>
      <c r="CJ218" s="193"/>
      <c r="CK218" s="193"/>
      <c r="CL218" s="193"/>
      <c r="CM218" s="193"/>
      <c r="CN218" s="193"/>
      <c r="CO218" s="193"/>
      <c r="CP218" s="193"/>
      <c r="CQ218" s="193"/>
      <c r="CR218" s="193"/>
      <c r="CS218" s="193"/>
      <c r="CT218" s="193"/>
    </row>
    <row r="219" spans="1:98" x14ac:dyDescent="0.25">
      <c r="D219" t="s">
        <v>1170</v>
      </c>
      <c r="E219">
        <v>30</v>
      </c>
      <c r="F219" t="s">
        <v>470</v>
      </c>
      <c r="G219" t="s">
        <v>126</v>
      </c>
      <c r="H219">
        <v>1</v>
      </c>
      <c r="I219">
        <v>1</v>
      </c>
      <c r="J219">
        <v>1</v>
      </c>
      <c r="K219">
        <v>1</v>
      </c>
      <c r="L219">
        <v>1</v>
      </c>
      <c r="M219">
        <v>1</v>
      </c>
      <c r="N219">
        <v>1</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N219" s="193"/>
      <c r="AO219" s="193"/>
      <c r="AP219" s="193"/>
      <c r="AQ219" s="193"/>
      <c r="AR219" s="193"/>
      <c r="AS219" s="193"/>
      <c r="AT219" s="193"/>
      <c r="AU219" s="193"/>
      <c r="AV219" s="193"/>
      <c r="AW219" s="193"/>
      <c r="AX219" s="193"/>
      <c r="AY219" s="193"/>
      <c r="AZ219" s="193"/>
      <c r="BA219" s="193"/>
      <c r="BB219" s="193"/>
      <c r="BC219" s="193"/>
      <c r="BD219" s="193"/>
      <c r="BE219" s="193"/>
      <c r="BF219" s="193"/>
      <c r="BG219" s="193"/>
      <c r="BH219" s="193"/>
      <c r="BI219" s="193"/>
      <c r="BJ219" s="193"/>
      <c r="BK219" s="193"/>
      <c r="BL219" s="193"/>
      <c r="BM219" s="193"/>
      <c r="BN219" s="193"/>
      <c r="BO219" s="193"/>
      <c r="BS219" s="193"/>
      <c r="BT219" s="193"/>
      <c r="BU219" s="193"/>
      <c r="BV219" s="193"/>
      <c r="BW219" s="193"/>
      <c r="BX219" s="193"/>
      <c r="BY219" s="193"/>
      <c r="BZ219" s="193"/>
      <c r="CA219" s="193"/>
      <c r="CB219" s="193"/>
      <c r="CC219" s="193"/>
      <c r="CD219" s="193"/>
      <c r="CE219" s="193"/>
      <c r="CF219" s="193"/>
      <c r="CG219" s="193"/>
      <c r="CH219" s="193"/>
      <c r="CI219" s="193"/>
      <c r="CJ219" s="193"/>
      <c r="CK219" s="193"/>
      <c r="CL219" s="193"/>
      <c r="CM219" s="193"/>
      <c r="CN219" s="193"/>
      <c r="CO219" s="193"/>
      <c r="CP219" s="193"/>
      <c r="CQ219" s="193"/>
      <c r="CR219" s="193"/>
      <c r="CS219" s="193"/>
      <c r="CT219" s="193"/>
    </row>
    <row r="220" spans="1:98" x14ac:dyDescent="0.25">
      <c r="F220" t="s">
        <v>472</v>
      </c>
      <c r="G220" t="s">
        <v>1258</v>
      </c>
      <c r="H220">
        <v>1</v>
      </c>
      <c r="I220">
        <v>1</v>
      </c>
      <c r="J220">
        <v>1</v>
      </c>
      <c r="K220">
        <v>1</v>
      </c>
      <c r="L220">
        <v>1</v>
      </c>
      <c r="M220">
        <v>1</v>
      </c>
      <c r="N220">
        <v>1</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M220" t="s">
        <v>1258</v>
      </c>
      <c r="AN220" s="193">
        <f>(H220/H219)*BS220</f>
        <v>0</v>
      </c>
      <c r="AO220" s="193">
        <f t="shared" ref="AO220:BO220" si="155">(I220/I219)*BT220</f>
        <v>0</v>
      </c>
      <c r="AP220" s="193">
        <f t="shared" si="155"/>
        <v>0</v>
      </c>
      <c r="AQ220" s="193">
        <f t="shared" si="155"/>
        <v>3.7053505494490526</v>
      </c>
      <c r="AR220" s="193">
        <f t="shared" si="155"/>
        <v>3.0049292374600678</v>
      </c>
      <c r="AS220" s="193">
        <f t="shared" si="155"/>
        <v>4.1507993064825719</v>
      </c>
      <c r="AT220" s="193">
        <f t="shared" si="155"/>
        <v>0</v>
      </c>
      <c r="AU220" s="193">
        <f t="shared" si="155"/>
        <v>0</v>
      </c>
      <c r="AV220" s="193">
        <f t="shared" si="155"/>
        <v>5.1333680883787522</v>
      </c>
      <c r="AW220" s="193">
        <f t="shared" si="155"/>
        <v>4.9449662325307955</v>
      </c>
      <c r="AX220" s="193">
        <f t="shared" si="155"/>
        <v>0</v>
      </c>
      <c r="AY220" s="193">
        <f t="shared" si="155"/>
        <v>0</v>
      </c>
      <c r="AZ220" s="193">
        <f t="shared" si="155"/>
        <v>0.66924948320898292</v>
      </c>
      <c r="BA220" s="193">
        <f t="shared" si="155"/>
        <v>1.3521730165987584</v>
      </c>
      <c r="BB220" s="193">
        <f t="shared" si="155"/>
        <v>0.69965853923679899</v>
      </c>
      <c r="BC220" s="193">
        <f t="shared" si="155"/>
        <v>3.0168709728939467</v>
      </c>
      <c r="BD220" s="193">
        <f t="shared" si="155"/>
        <v>4.8295353751561789</v>
      </c>
      <c r="BE220" s="193">
        <f t="shared" si="155"/>
        <v>0</v>
      </c>
      <c r="BF220" s="193">
        <f t="shared" si="155"/>
        <v>0</v>
      </c>
      <c r="BG220" s="193">
        <f t="shared" si="155"/>
        <v>4.0221562401760451</v>
      </c>
      <c r="BH220" s="193">
        <f t="shared" si="155"/>
        <v>0</v>
      </c>
      <c r="BI220" s="193">
        <f t="shared" si="155"/>
        <v>0.88370166040260778</v>
      </c>
      <c r="BJ220" s="193">
        <f t="shared" si="155"/>
        <v>0</v>
      </c>
      <c r="BK220" s="193">
        <f t="shared" si="155"/>
        <v>0.27712694121345488</v>
      </c>
      <c r="BL220" s="193">
        <f t="shared" si="155"/>
        <v>0</v>
      </c>
      <c r="BM220" s="193">
        <f t="shared" si="155"/>
        <v>11.759469553888074</v>
      </c>
      <c r="BN220" s="193">
        <f t="shared" si="155"/>
        <v>3.0400882426909779</v>
      </c>
      <c r="BO220" s="193">
        <f t="shared" si="155"/>
        <v>7.8360513178741122</v>
      </c>
      <c r="BQ220" t="s">
        <v>126</v>
      </c>
      <c r="BR220" t="s">
        <v>1258</v>
      </c>
      <c r="BS220" s="193" cm="1">
        <f t="array" ref="BS220">SUMPRODUCT(($AN$5:$AN$19=$BQ220)*(AP$5:AP$19)*(H$40:H$54))*SUMIFS(H$74:H$103,$F$74:$F$103,$BQ220,$G$74:$G$103,$BR220)</f>
        <v>0</v>
      </c>
      <c r="BT220" s="193" cm="1">
        <f t="array" ref="BT220">SUMPRODUCT(($AN$5:$AN$19=$BQ220)*(AQ$5:AQ$19)*(I$40:I$54))*SUMIFS(I$74:I$103,$F$74:$F$103,$BQ220,$G$74:$G$103,$BR220)</f>
        <v>0</v>
      </c>
      <c r="BU220" s="193" cm="1">
        <f t="array" ref="BU220">SUMPRODUCT(($AN$5:$AN$19=$BQ220)*(AR$5:AR$19)*(J$40:J$54))*SUMIFS(J$74:J$103,$F$74:$F$103,$BQ220,$G$74:$G$103,$BR220)</f>
        <v>0</v>
      </c>
      <c r="BV220" s="193" cm="1">
        <f t="array" ref="BV220">SUMPRODUCT(($AN$5:$AN$19=$BQ220)*(AS$5:AS$19)*(K$40:K$54))*SUMIFS(K$74:K$103,$F$74:$F$103,$BQ220,$G$74:$G$103,$BR220)</f>
        <v>3.7053505494490526</v>
      </c>
      <c r="BW220" s="193" cm="1">
        <f t="array" ref="BW220">SUMPRODUCT(($AN$5:$AN$19=$BQ220)*(AT$5:AT$19)*(L$40:L$54))*SUMIFS(L$74:L$103,$F$74:$F$103,$BQ220,$G$74:$G$103,$BR220)</f>
        <v>3.0049292374600678</v>
      </c>
      <c r="BX220" s="193" cm="1">
        <f t="array" ref="BX220">SUMPRODUCT(($AN$5:$AN$19=$BQ220)*(AU$5:AU$19)*(M$40:M$54))*SUMIFS(M$74:M$103,$F$74:$F$103,$BQ220,$G$74:$G$103,$BR220)</f>
        <v>4.1507993064825719</v>
      </c>
      <c r="BY220" s="193" cm="1">
        <f t="array" ref="BY220">SUMPRODUCT(($AN$5:$AN$19=$BQ220)*(AV$5:AV$19)*(N$40:N$54))*SUMIFS(N$74:N$103,$F$74:$F$103,$BQ220,$G$74:$G$103,$BR220)</f>
        <v>0</v>
      </c>
      <c r="BZ220" s="193" cm="1">
        <f t="array" ref="BZ220">SUMPRODUCT(($AN$5:$AN$19=$BQ220)*(AW$5:AW$19)*(O$40:O$54))*SUMIFS(O$74:O$103,$F$74:$F$103,$BQ220,$G$74:$G$103,$BR220)</f>
        <v>0</v>
      </c>
      <c r="CA220" s="193" cm="1">
        <f t="array" ref="CA220">SUMPRODUCT(($AN$5:$AN$19=$BQ220)*(AX$5:AX$19)*(P$40:P$54))*SUMIFS(P$74:P$103,$F$74:$F$103,$BQ220,$G$74:$G$103,$BR220)</f>
        <v>5.1333680883787522</v>
      </c>
      <c r="CB220" s="193" cm="1">
        <f t="array" ref="CB220">SUMPRODUCT(($AN$5:$AN$19=$BQ220)*(AY$5:AY$19)*(Q$40:Q$54))*SUMIFS(Q$74:Q$103,$F$74:$F$103,$BQ220,$G$74:$G$103,$BR220)</f>
        <v>4.9449662325307955</v>
      </c>
      <c r="CC220" s="193" cm="1">
        <f t="array" ref="CC220">SUMPRODUCT(($AN$5:$AN$19=$BQ220)*(AZ$5:AZ$19)*(R$40:R$54))*SUMIFS(R$74:R$103,$F$74:$F$103,$BQ220,$G$74:$G$103,$BR220)</f>
        <v>0</v>
      </c>
      <c r="CD220" s="193" cm="1">
        <f t="array" ref="CD220">SUMPRODUCT(($AN$5:$AN$19=$BQ220)*(BA$5:BA$19)*(S$40:S$54))*SUMIFS(S$74:S$103,$F$74:$F$103,$BQ220,$G$74:$G$103,$BR220)</f>
        <v>0</v>
      </c>
      <c r="CE220" s="193" cm="1">
        <f t="array" ref="CE220">SUMPRODUCT(($AN$5:$AN$19=$BQ220)*(BB$5:BB$19)*(T$40:T$54))*SUMIFS(T$74:T$103,$F$74:$F$103,$BQ220,$G$74:$G$103,$BR220)</f>
        <v>0.66924948320898292</v>
      </c>
      <c r="CF220" s="193" cm="1">
        <f t="array" ref="CF220">SUMPRODUCT(($AN$5:$AN$19=$BQ220)*(BC$5:BC$19)*(U$40:U$54))*SUMIFS(U$74:U$103,$F$74:$F$103,$BQ220,$G$74:$G$103,$BR220)</f>
        <v>1.3521730165987584</v>
      </c>
      <c r="CG220" s="193" cm="1">
        <f t="array" ref="CG220">SUMPRODUCT(($AN$5:$AN$19=$BQ220)*(BD$5:BD$19)*(V$40:V$54))*SUMIFS(V$74:V$103,$F$74:$F$103,$BQ220,$G$74:$G$103,$BR220)</f>
        <v>0.69965853923679899</v>
      </c>
      <c r="CH220" s="193" cm="1">
        <f t="array" ref="CH220">SUMPRODUCT(($AN$5:$AN$19=$BQ220)*(BE$5:BE$19)*(W$40:W$54))*SUMIFS(W$74:W$103,$F$74:$F$103,$BQ220,$G$74:$G$103,$BR220)</f>
        <v>3.0168709728939467</v>
      </c>
      <c r="CI220" s="193" cm="1">
        <f t="array" ref="CI220">SUMPRODUCT(($AN$5:$AN$19=$BQ220)*(BF$5:BF$19)*(X$40:X$54))*SUMIFS(X$74:X$103,$F$74:$F$103,$BQ220,$G$74:$G$103,$BR220)</f>
        <v>4.8295353751561789</v>
      </c>
      <c r="CJ220" s="193" cm="1">
        <f t="array" ref="CJ220">SUMPRODUCT(($AN$5:$AN$19=$BQ220)*(BG$5:BG$19)*(Y$40:Y$54))*SUMIFS(Y$74:Y$103,$F$74:$F$103,$BQ220,$G$74:$G$103,$BR220)</f>
        <v>0</v>
      </c>
      <c r="CK220" s="193" cm="1">
        <f t="array" ref="CK220">SUMPRODUCT(($AN$5:$AN$19=$BQ220)*(BH$5:BH$19)*(Z$40:Z$54))*SUMIFS(Z$74:Z$103,$F$74:$F$103,$BQ220,$G$74:$G$103,$BR220)</f>
        <v>0</v>
      </c>
      <c r="CL220" s="193" cm="1">
        <f t="array" ref="CL220">SUMPRODUCT(($AN$5:$AN$19=$BQ220)*(BI$5:BI$19)*(AA$40:AA$54))*SUMIFS(AA$74:AA$103,$F$74:$F$103,$BQ220,$G$74:$G$103,$BR220)</f>
        <v>4.0221562401760451</v>
      </c>
      <c r="CM220" s="193" cm="1">
        <f t="array" ref="CM220">SUMPRODUCT(($AN$5:$AN$19=$BQ220)*(BJ$5:BJ$19)*(AB$40:AB$54))*SUMIFS(AB$74:AB$103,$F$74:$F$103,$BQ220,$G$74:$G$103,$BR220)</f>
        <v>0</v>
      </c>
      <c r="CN220" s="193" cm="1">
        <f t="array" ref="CN220">SUMPRODUCT(($AN$5:$AN$19=$BQ220)*(BK$5:BK$19)*(AC$40:AC$54))*SUMIFS(AC$74:AC$103,$F$74:$F$103,$BQ220,$G$74:$G$103,$BR220)</f>
        <v>0.88370166040260778</v>
      </c>
      <c r="CO220" s="193" cm="1">
        <f t="array" ref="CO220">SUMPRODUCT(($AN$5:$AN$19=$BQ220)*(BL$5:BL$19)*(AD$40:AD$54))*SUMIFS(AD$74:AD$103,$F$74:$F$103,$BQ220,$G$74:$G$103,$BR220)</f>
        <v>0</v>
      </c>
      <c r="CP220" s="193" cm="1">
        <f t="array" ref="CP220">SUMPRODUCT(($AN$5:$AN$19=$BQ220)*(BM$5:BM$19)*(AE$40:AE$54))*SUMIFS(AE$74:AE$103,$F$74:$F$103,$BQ220,$G$74:$G$103,$BR220)</f>
        <v>0.27712694121345488</v>
      </c>
      <c r="CQ220" s="193" cm="1">
        <f t="array" ref="CQ220">SUMPRODUCT(($AN$5:$AN$19=$BQ220)*(BN$5:BN$19)*(AF$40:AF$54))*SUMIFS(AF$74:AF$103,$F$74:$F$103,$BQ220,$G$74:$G$103,$BR220)</f>
        <v>0</v>
      </c>
      <c r="CR220" s="193" cm="1">
        <f t="array" ref="CR220">SUMPRODUCT(($AN$5:$AN$19=$BQ220)*(BO$5:BO$19)*(AG$40:AG$54))*SUMIFS(AG$74:AG$103,$F$74:$F$103,$BQ220,$G$74:$G$103,$BR220)</f>
        <v>11.759469553888074</v>
      </c>
      <c r="CS220" s="193" cm="1">
        <f t="array" ref="CS220">SUMPRODUCT(($AN$5:$AN$19=$BQ220)*(BP$5:BP$19)*(AH$40:AH$54))*SUMIFS(AH$74:AH$103,$F$74:$F$103,$BQ220,$G$74:$G$103,$BR220)</f>
        <v>3.0400882426909779</v>
      </c>
      <c r="CT220" s="193" cm="1">
        <f t="array" ref="CT220">SUMPRODUCT(($AN$5:$AN$19=$BQ220)*(BQ$5:BQ$19)*(AI$40:AI$54))*SUMIFS(AI$74:AI$103,$F$74:$F$103,$BQ220,$G$74:$G$103,$BR220)</f>
        <v>7.8360513178741122</v>
      </c>
    </row>
    <row r="221" spans="1:98" x14ac:dyDescent="0.25">
      <c r="F221" t="s">
        <v>1279</v>
      </c>
      <c r="H221" s="193">
        <f>AN220</f>
        <v>0</v>
      </c>
      <c r="I221" s="193">
        <f t="shared" ref="I221:AI221" si="156">AO220</f>
        <v>0</v>
      </c>
      <c r="J221" s="193">
        <f t="shared" si="156"/>
        <v>0</v>
      </c>
      <c r="K221" s="193">
        <f t="shared" si="156"/>
        <v>3.7053505494490526</v>
      </c>
      <c r="L221" s="193">
        <f t="shared" si="156"/>
        <v>3.0049292374600678</v>
      </c>
      <c r="M221" s="193">
        <f t="shared" si="156"/>
        <v>4.1507993064825719</v>
      </c>
      <c r="N221" s="193">
        <f t="shared" si="156"/>
        <v>0</v>
      </c>
      <c r="O221" s="193">
        <f t="shared" si="156"/>
        <v>0</v>
      </c>
      <c r="P221" s="193">
        <f t="shared" si="156"/>
        <v>5.1333680883787522</v>
      </c>
      <c r="Q221" s="193">
        <f t="shared" si="156"/>
        <v>4.9449662325307955</v>
      </c>
      <c r="R221" s="193">
        <f t="shared" si="156"/>
        <v>0</v>
      </c>
      <c r="S221" s="193">
        <f t="shared" si="156"/>
        <v>0</v>
      </c>
      <c r="T221" s="193">
        <f t="shared" si="156"/>
        <v>0.66924948320898292</v>
      </c>
      <c r="U221" s="193">
        <f t="shared" si="156"/>
        <v>1.3521730165987584</v>
      </c>
      <c r="V221" s="193">
        <f t="shared" si="156"/>
        <v>0.69965853923679899</v>
      </c>
      <c r="W221" s="193">
        <f t="shared" si="156"/>
        <v>3.0168709728939467</v>
      </c>
      <c r="X221" s="193">
        <f t="shared" si="156"/>
        <v>4.8295353751561789</v>
      </c>
      <c r="Y221" s="193">
        <f t="shared" si="156"/>
        <v>0</v>
      </c>
      <c r="Z221" s="193">
        <f t="shared" si="156"/>
        <v>0</v>
      </c>
      <c r="AA221" s="193">
        <f t="shared" si="156"/>
        <v>4.0221562401760451</v>
      </c>
      <c r="AB221" s="193">
        <f t="shared" si="156"/>
        <v>0</v>
      </c>
      <c r="AC221" s="193">
        <f t="shared" si="156"/>
        <v>0.88370166040260778</v>
      </c>
      <c r="AD221" s="193">
        <f t="shared" si="156"/>
        <v>0</v>
      </c>
      <c r="AE221" s="193">
        <f t="shared" si="156"/>
        <v>0.27712694121345488</v>
      </c>
      <c r="AF221" s="193">
        <f t="shared" si="156"/>
        <v>0</v>
      </c>
      <c r="AG221" s="193">
        <f t="shared" si="156"/>
        <v>11.759469553888074</v>
      </c>
      <c r="AH221" s="193">
        <f t="shared" si="156"/>
        <v>3.0400882426909779</v>
      </c>
      <c r="AI221" s="193">
        <f t="shared" si="156"/>
        <v>7.8360513178741122</v>
      </c>
      <c r="AN221" s="193"/>
      <c r="AO221" s="193"/>
      <c r="AP221" s="193"/>
      <c r="AQ221" s="193"/>
      <c r="AR221" s="193"/>
      <c r="AS221" s="193"/>
      <c r="AT221" s="193"/>
      <c r="AU221" s="193"/>
      <c r="AV221" s="193"/>
      <c r="AW221" s="193"/>
      <c r="AX221" s="193"/>
      <c r="AY221" s="193"/>
      <c r="AZ221" s="193"/>
      <c r="BA221" s="193"/>
      <c r="BB221" s="193"/>
      <c r="BC221" s="193"/>
      <c r="BD221" s="193"/>
      <c r="BE221" s="193"/>
      <c r="BF221" s="193"/>
      <c r="BG221" s="193"/>
      <c r="BH221" s="193"/>
      <c r="BI221" s="193"/>
      <c r="BJ221" s="193"/>
      <c r="BK221" s="193"/>
      <c r="BL221" s="193"/>
      <c r="BM221" s="193"/>
      <c r="BN221" s="193"/>
      <c r="BO221" s="193"/>
      <c r="BS221" s="193"/>
      <c r="BT221" s="193"/>
      <c r="BU221" s="193"/>
      <c r="BV221" s="193"/>
      <c r="BW221" s="193"/>
      <c r="BX221" s="193"/>
      <c r="BY221" s="193"/>
      <c r="BZ221" s="193"/>
      <c r="CA221" s="193"/>
      <c r="CB221" s="193"/>
      <c r="CC221" s="193"/>
      <c r="CD221" s="193"/>
      <c r="CE221" s="193"/>
      <c r="CF221" s="193"/>
      <c r="CG221" s="193"/>
      <c r="CH221" s="193"/>
      <c r="CI221" s="193"/>
      <c r="CJ221" s="193"/>
      <c r="CK221" s="193"/>
      <c r="CL221" s="193"/>
      <c r="CM221" s="193"/>
      <c r="CN221" s="193"/>
      <c r="CO221" s="193"/>
      <c r="CP221" s="193"/>
      <c r="CQ221" s="193"/>
      <c r="CR221" s="193"/>
      <c r="CS221" s="193"/>
      <c r="CT221" s="193"/>
    </row>
    <row r="222" spans="1:98" x14ac:dyDescent="0.25">
      <c r="D222" t="s">
        <v>1172</v>
      </c>
      <c r="E222">
        <v>30</v>
      </c>
      <c r="F222" t="s">
        <v>470</v>
      </c>
      <c r="G222" t="s">
        <v>128</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c r="AD222">
        <v>1</v>
      </c>
      <c r="AE222">
        <v>1</v>
      </c>
      <c r="AF222">
        <v>1</v>
      </c>
      <c r="AG222">
        <v>1</v>
      </c>
      <c r="AH222">
        <v>1</v>
      </c>
      <c r="AI222">
        <v>1</v>
      </c>
      <c r="AN222" s="193"/>
      <c r="AO222" s="193"/>
      <c r="AP222" s="193"/>
      <c r="AQ222" s="193"/>
      <c r="AR222" s="193"/>
      <c r="AS222" s="193"/>
      <c r="AT222" s="193"/>
      <c r="AU222" s="193"/>
      <c r="AV222" s="193"/>
      <c r="AW222" s="193"/>
      <c r="AX222" s="193"/>
      <c r="AY222" s="193"/>
      <c r="AZ222" s="193"/>
      <c r="BA222" s="193"/>
      <c r="BB222" s="193"/>
      <c r="BC222" s="193"/>
      <c r="BD222" s="193"/>
      <c r="BE222" s="193"/>
      <c r="BF222" s="193"/>
      <c r="BG222" s="193"/>
      <c r="BH222" s="193"/>
      <c r="BI222" s="193"/>
      <c r="BJ222" s="193"/>
      <c r="BK222" s="193"/>
      <c r="BL222" s="193"/>
      <c r="BM222" s="193"/>
      <c r="BN222" s="193"/>
      <c r="BO222" s="193"/>
      <c r="BS222" s="193"/>
      <c r="BT222" s="193"/>
      <c r="BU222" s="193"/>
      <c r="BV222" s="193"/>
      <c r="BW222" s="193"/>
      <c r="BX222" s="193"/>
      <c r="BY222" s="193"/>
      <c r="BZ222" s="193"/>
      <c r="CA222" s="193"/>
      <c r="CB222" s="193"/>
      <c r="CC222" s="193"/>
      <c r="CD222" s="193"/>
      <c r="CE222" s="193"/>
      <c r="CF222" s="193"/>
      <c r="CG222" s="193"/>
      <c r="CH222" s="193"/>
      <c r="CI222" s="193"/>
      <c r="CJ222" s="193"/>
      <c r="CK222" s="193"/>
      <c r="CL222" s="193"/>
      <c r="CM222" s="193"/>
      <c r="CN222" s="193"/>
      <c r="CO222" s="193"/>
      <c r="CP222" s="193"/>
      <c r="CQ222" s="193"/>
      <c r="CR222" s="193"/>
      <c r="CS222" s="193"/>
      <c r="CT222" s="193"/>
    </row>
    <row r="223" spans="1:98" x14ac:dyDescent="0.25">
      <c r="F223" t="s">
        <v>472</v>
      </c>
      <c r="G223" t="s">
        <v>1258</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c r="AD223">
        <v>1</v>
      </c>
      <c r="AE223">
        <v>1</v>
      </c>
      <c r="AF223">
        <v>1</v>
      </c>
      <c r="AG223">
        <v>1</v>
      </c>
      <c r="AH223">
        <v>1</v>
      </c>
      <c r="AI223">
        <v>1</v>
      </c>
      <c r="AM223" t="s">
        <v>1258</v>
      </c>
      <c r="AN223" s="193">
        <f>(H223/H222)*BS223</f>
        <v>0</v>
      </c>
      <c r="AO223" s="193">
        <f t="shared" ref="AO223:BO223" si="157">(I223/I222)*BT223</f>
        <v>0</v>
      </c>
      <c r="AP223" s="193">
        <f t="shared" si="157"/>
        <v>0</v>
      </c>
      <c r="AQ223" s="193">
        <f t="shared" si="157"/>
        <v>0</v>
      </c>
      <c r="AR223" s="193">
        <f t="shared" si="157"/>
        <v>8.503308622303086</v>
      </c>
      <c r="AS223" s="193">
        <f t="shared" si="157"/>
        <v>0.42587305878654513</v>
      </c>
      <c r="AT223" s="193">
        <f t="shared" si="157"/>
        <v>0</v>
      </c>
      <c r="AU223" s="193">
        <f t="shared" si="157"/>
        <v>0</v>
      </c>
      <c r="AV223" s="193">
        <f t="shared" si="157"/>
        <v>1.103873185914404</v>
      </c>
      <c r="AW223" s="193">
        <f t="shared" si="157"/>
        <v>0.83051542729155892</v>
      </c>
      <c r="AX223" s="193">
        <f t="shared" si="157"/>
        <v>0</v>
      </c>
      <c r="AY223" s="193">
        <f t="shared" si="157"/>
        <v>0</v>
      </c>
      <c r="AZ223" s="193">
        <f t="shared" si="157"/>
        <v>0.53933197105114683</v>
      </c>
      <c r="BA223" s="193">
        <f t="shared" si="157"/>
        <v>0</v>
      </c>
      <c r="BB223" s="193">
        <f t="shared" si="157"/>
        <v>0.77399140398820432</v>
      </c>
      <c r="BC223" s="193">
        <f t="shared" si="157"/>
        <v>2.6630639286904452</v>
      </c>
      <c r="BD223" s="193">
        <f t="shared" si="157"/>
        <v>4.4132594710781783</v>
      </c>
      <c r="BE223" s="193">
        <f t="shared" si="157"/>
        <v>0</v>
      </c>
      <c r="BF223" s="193">
        <f t="shared" si="157"/>
        <v>0</v>
      </c>
      <c r="BG223" s="193">
        <f t="shared" si="157"/>
        <v>1.1746437598239547</v>
      </c>
      <c r="BH223" s="193">
        <f t="shared" si="157"/>
        <v>0.12291031142179165</v>
      </c>
      <c r="BI223" s="193">
        <f t="shared" si="157"/>
        <v>0.94910270355234216</v>
      </c>
      <c r="BJ223" s="193">
        <f t="shared" si="157"/>
        <v>0</v>
      </c>
      <c r="BK223" s="193">
        <f t="shared" si="157"/>
        <v>0</v>
      </c>
      <c r="BL223" s="193">
        <f t="shared" si="157"/>
        <v>0</v>
      </c>
      <c r="BM223" s="193">
        <f t="shared" si="157"/>
        <v>0</v>
      </c>
      <c r="BN223" s="193">
        <f t="shared" si="157"/>
        <v>0.46281175730902246</v>
      </c>
      <c r="BO223" s="193">
        <f t="shared" si="157"/>
        <v>11.823960817426558</v>
      </c>
      <c r="BQ223" t="s">
        <v>128</v>
      </c>
      <c r="BR223" t="s">
        <v>1258</v>
      </c>
      <c r="BS223" s="193" cm="1">
        <f t="array" ref="BS223">SUMPRODUCT(($AN$5:$AN$19=$BQ223)*(AP$5:AP$19)*(H$40:H$54))*SUMIFS(H$74:H$103,$F$74:$F$103,$BQ223,$G$74:$G$103,$BR223)</f>
        <v>0</v>
      </c>
      <c r="BT223" s="193" cm="1">
        <f t="array" ref="BT223">SUMPRODUCT(($AN$5:$AN$19=$BQ223)*(AQ$5:AQ$19)*(I$40:I$54))*SUMIFS(I$74:I$103,$F$74:$F$103,$BQ223,$G$74:$G$103,$BR223)</f>
        <v>0</v>
      </c>
      <c r="BU223" s="193" cm="1">
        <f t="array" ref="BU223">SUMPRODUCT(($AN$5:$AN$19=$BQ223)*(AR$5:AR$19)*(J$40:J$54))*SUMIFS(J$74:J$103,$F$74:$F$103,$BQ223,$G$74:$G$103,$BR223)</f>
        <v>0</v>
      </c>
      <c r="BV223" s="193" cm="1">
        <f t="array" ref="BV223">SUMPRODUCT(($AN$5:$AN$19=$BQ223)*(AS$5:AS$19)*(K$40:K$54))*SUMIFS(K$74:K$103,$F$74:$F$103,$BQ223,$G$74:$G$103,$BR223)</f>
        <v>0</v>
      </c>
      <c r="BW223" s="193" cm="1">
        <f t="array" ref="BW223">SUMPRODUCT(($AN$5:$AN$19=$BQ223)*(AT$5:AT$19)*(L$40:L$54))*SUMIFS(L$74:L$103,$F$74:$F$103,$BQ223,$G$74:$G$103,$BR223)</f>
        <v>8.503308622303086</v>
      </c>
      <c r="BX223" s="193" cm="1">
        <f t="array" ref="BX223">SUMPRODUCT(($AN$5:$AN$19=$BQ223)*(AU$5:AU$19)*(M$40:M$54))*SUMIFS(M$74:M$103,$F$74:$F$103,$BQ223,$G$74:$G$103,$BR223)</f>
        <v>0.42587305878654513</v>
      </c>
      <c r="BY223" s="193" cm="1">
        <f t="array" ref="BY223">SUMPRODUCT(($AN$5:$AN$19=$BQ223)*(AV$5:AV$19)*(N$40:N$54))*SUMIFS(N$74:N$103,$F$74:$F$103,$BQ223,$G$74:$G$103,$BR223)</f>
        <v>0</v>
      </c>
      <c r="BZ223" s="193" cm="1">
        <f t="array" ref="BZ223">SUMPRODUCT(($AN$5:$AN$19=$BQ223)*(AW$5:AW$19)*(O$40:O$54))*SUMIFS(O$74:O$103,$F$74:$F$103,$BQ223,$G$74:$G$103,$BR223)</f>
        <v>0</v>
      </c>
      <c r="CA223" s="193" cm="1">
        <f t="array" ref="CA223">SUMPRODUCT(($AN$5:$AN$19=$BQ223)*(AX$5:AX$19)*(P$40:P$54))*SUMIFS(P$74:P$103,$F$74:$F$103,$BQ223,$G$74:$G$103,$BR223)</f>
        <v>1.103873185914404</v>
      </c>
      <c r="CB223" s="193" cm="1">
        <f t="array" ref="CB223">SUMPRODUCT(($AN$5:$AN$19=$BQ223)*(AY$5:AY$19)*(Q$40:Q$54))*SUMIFS(Q$74:Q$103,$F$74:$F$103,$BQ223,$G$74:$G$103,$BR223)</f>
        <v>0.83051542729155892</v>
      </c>
      <c r="CC223" s="193" cm="1">
        <f t="array" ref="CC223">SUMPRODUCT(($AN$5:$AN$19=$BQ223)*(AZ$5:AZ$19)*(R$40:R$54))*SUMIFS(R$74:R$103,$F$74:$F$103,$BQ223,$G$74:$G$103,$BR223)</f>
        <v>0</v>
      </c>
      <c r="CD223" s="193" cm="1">
        <f t="array" ref="CD223">SUMPRODUCT(($AN$5:$AN$19=$BQ223)*(BA$5:BA$19)*(S$40:S$54))*SUMIFS(S$74:S$103,$F$74:$F$103,$BQ223,$G$74:$G$103,$BR223)</f>
        <v>0</v>
      </c>
      <c r="CE223" s="193" cm="1">
        <f t="array" ref="CE223">SUMPRODUCT(($AN$5:$AN$19=$BQ223)*(BB$5:BB$19)*(T$40:T$54))*SUMIFS(T$74:T$103,$F$74:$F$103,$BQ223,$G$74:$G$103,$BR223)</f>
        <v>0.53933197105114683</v>
      </c>
      <c r="CF223" s="193" cm="1">
        <f t="array" ref="CF223">SUMPRODUCT(($AN$5:$AN$19=$BQ223)*(BC$5:BC$19)*(U$40:U$54))*SUMIFS(U$74:U$103,$F$74:$F$103,$BQ223,$G$74:$G$103,$BR223)</f>
        <v>0</v>
      </c>
      <c r="CG223" s="193" cm="1">
        <f t="array" ref="CG223">SUMPRODUCT(($AN$5:$AN$19=$BQ223)*(BD$5:BD$19)*(V$40:V$54))*SUMIFS(V$74:V$103,$F$74:$F$103,$BQ223,$G$74:$G$103,$BR223)</f>
        <v>0.77399140398820432</v>
      </c>
      <c r="CH223" s="193" cm="1">
        <f t="array" ref="CH223">SUMPRODUCT(($AN$5:$AN$19=$BQ223)*(BE$5:BE$19)*(W$40:W$54))*SUMIFS(W$74:W$103,$F$74:$F$103,$BQ223,$G$74:$G$103,$BR223)</f>
        <v>2.6630639286904452</v>
      </c>
      <c r="CI223" s="193" cm="1">
        <f t="array" ref="CI223">SUMPRODUCT(($AN$5:$AN$19=$BQ223)*(BF$5:BF$19)*(X$40:X$54))*SUMIFS(X$74:X$103,$F$74:$F$103,$BQ223,$G$74:$G$103,$BR223)</f>
        <v>4.4132594710781783</v>
      </c>
      <c r="CJ223" s="193" cm="1">
        <f t="array" ref="CJ223">SUMPRODUCT(($AN$5:$AN$19=$BQ223)*(BG$5:BG$19)*(Y$40:Y$54))*SUMIFS(Y$74:Y$103,$F$74:$F$103,$BQ223,$G$74:$G$103,$BR223)</f>
        <v>0</v>
      </c>
      <c r="CK223" s="193" cm="1">
        <f t="array" ref="CK223">SUMPRODUCT(($AN$5:$AN$19=$BQ223)*(BH$5:BH$19)*(Z$40:Z$54))*SUMIFS(Z$74:Z$103,$F$74:$F$103,$BQ223,$G$74:$G$103,$BR223)</f>
        <v>0</v>
      </c>
      <c r="CL223" s="193" cm="1">
        <f t="array" ref="CL223">SUMPRODUCT(($AN$5:$AN$19=$BQ223)*(BI$5:BI$19)*(AA$40:AA$54))*SUMIFS(AA$74:AA$103,$F$74:$F$103,$BQ223,$G$74:$G$103,$BR223)</f>
        <v>1.1746437598239547</v>
      </c>
      <c r="CM223" s="193" cm="1">
        <f t="array" ref="CM223">SUMPRODUCT(($AN$5:$AN$19=$BQ223)*(BJ$5:BJ$19)*(AB$40:AB$54))*SUMIFS(AB$74:AB$103,$F$74:$F$103,$BQ223,$G$74:$G$103,$BR223)</f>
        <v>0.12291031142179165</v>
      </c>
      <c r="CN223" s="193" cm="1">
        <f t="array" ref="CN223">SUMPRODUCT(($AN$5:$AN$19=$BQ223)*(BK$5:BK$19)*(AC$40:AC$54))*SUMIFS(AC$74:AC$103,$F$74:$F$103,$BQ223,$G$74:$G$103,$BR223)</f>
        <v>0.94910270355234216</v>
      </c>
      <c r="CO223" s="193" cm="1">
        <f t="array" ref="CO223">SUMPRODUCT(($AN$5:$AN$19=$BQ223)*(BL$5:BL$19)*(AD$40:AD$54))*SUMIFS(AD$74:AD$103,$F$74:$F$103,$BQ223,$G$74:$G$103,$BR223)</f>
        <v>0</v>
      </c>
      <c r="CP223" s="193" cm="1">
        <f t="array" ref="CP223">SUMPRODUCT(($AN$5:$AN$19=$BQ223)*(BM$5:BM$19)*(AE$40:AE$54))*SUMIFS(AE$74:AE$103,$F$74:$F$103,$BQ223,$G$74:$G$103,$BR223)</f>
        <v>0</v>
      </c>
      <c r="CQ223" s="193" cm="1">
        <f t="array" ref="CQ223">SUMPRODUCT(($AN$5:$AN$19=$BQ223)*(BN$5:BN$19)*(AF$40:AF$54))*SUMIFS(AF$74:AF$103,$F$74:$F$103,$BQ223,$G$74:$G$103,$BR223)</f>
        <v>0</v>
      </c>
      <c r="CR223" s="193" cm="1">
        <f t="array" ref="CR223">SUMPRODUCT(($AN$5:$AN$19=$BQ223)*(BO$5:BO$19)*(AG$40:AG$54))*SUMIFS(AG$74:AG$103,$F$74:$F$103,$BQ223,$G$74:$G$103,$BR223)</f>
        <v>0</v>
      </c>
      <c r="CS223" s="193" cm="1">
        <f t="array" ref="CS223">SUMPRODUCT(($AN$5:$AN$19=$BQ223)*(BP$5:BP$19)*(AH$40:AH$54))*SUMIFS(AH$74:AH$103,$F$74:$F$103,$BQ223,$G$74:$G$103,$BR223)</f>
        <v>0.46281175730902246</v>
      </c>
      <c r="CT223" s="193" cm="1">
        <f t="array" ref="CT223">SUMPRODUCT(($AN$5:$AN$19=$BQ223)*(BQ$5:BQ$19)*(AI$40:AI$54))*SUMIFS(AI$74:AI$103,$F$74:$F$103,$BQ223,$G$74:$G$103,$BR223)</f>
        <v>11.823960817426558</v>
      </c>
    </row>
    <row r="224" spans="1:98" x14ac:dyDescent="0.25">
      <c r="F224" t="s">
        <v>1279</v>
      </c>
      <c r="H224" s="193">
        <f>AN223</f>
        <v>0</v>
      </c>
      <c r="I224" s="193">
        <f t="shared" ref="I224:AI224" si="158">AO223</f>
        <v>0</v>
      </c>
      <c r="J224" s="193">
        <f t="shared" si="158"/>
        <v>0</v>
      </c>
      <c r="K224" s="193">
        <f t="shared" si="158"/>
        <v>0</v>
      </c>
      <c r="L224" s="193">
        <f t="shared" si="158"/>
        <v>8.503308622303086</v>
      </c>
      <c r="M224" s="193">
        <f t="shared" si="158"/>
        <v>0.42587305878654513</v>
      </c>
      <c r="N224" s="193">
        <f t="shared" si="158"/>
        <v>0</v>
      </c>
      <c r="O224" s="193">
        <f t="shared" si="158"/>
        <v>0</v>
      </c>
      <c r="P224" s="193">
        <f t="shared" si="158"/>
        <v>1.103873185914404</v>
      </c>
      <c r="Q224" s="193">
        <f t="shared" si="158"/>
        <v>0.83051542729155892</v>
      </c>
      <c r="R224" s="193">
        <f t="shared" si="158"/>
        <v>0</v>
      </c>
      <c r="S224" s="193">
        <f t="shared" si="158"/>
        <v>0</v>
      </c>
      <c r="T224" s="193">
        <f t="shared" si="158"/>
        <v>0.53933197105114683</v>
      </c>
      <c r="U224" s="193">
        <f t="shared" si="158"/>
        <v>0</v>
      </c>
      <c r="V224" s="193">
        <f t="shared" si="158"/>
        <v>0.77399140398820432</v>
      </c>
      <c r="W224" s="193">
        <f t="shared" si="158"/>
        <v>2.6630639286904452</v>
      </c>
      <c r="X224" s="193">
        <f t="shared" si="158"/>
        <v>4.4132594710781783</v>
      </c>
      <c r="Y224" s="193">
        <f t="shared" si="158"/>
        <v>0</v>
      </c>
      <c r="Z224" s="193">
        <f t="shared" si="158"/>
        <v>0</v>
      </c>
      <c r="AA224" s="193">
        <f t="shared" si="158"/>
        <v>1.1746437598239547</v>
      </c>
      <c r="AB224" s="193">
        <f t="shared" si="158"/>
        <v>0.12291031142179165</v>
      </c>
      <c r="AC224" s="193">
        <f t="shared" si="158"/>
        <v>0.94910270355234216</v>
      </c>
      <c r="AD224" s="193">
        <f t="shared" si="158"/>
        <v>0</v>
      </c>
      <c r="AE224" s="193">
        <f t="shared" si="158"/>
        <v>0</v>
      </c>
      <c r="AF224" s="193">
        <f t="shared" si="158"/>
        <v>0</v>
      </c>
      <c r="AG224" s="193">
        <f t="shared" si="158"/>
        <v>0</v>
      </c>
      <c r="AH224" s="193">
        <f t="shared" si="158"/>
        <v>0.46281175730902246</v>
      </c>
      <c r="AI224" s="193">
        <f t="shared" si="158"/>
        <v>11.823960817426558</v>
      </c>
      <c r="AN224" s="193"/>
      <c r="AO224" s="193"/>
      <c r="AP224" s="193"/>
      <c r="AQ224" s="193"/>
      <c r="AR224" s="193"/>
      <c r="AS224" s="193"/>
      <c r="AT224" s="193"/>
      <c r="AU224" s="193"/>
      <c r="AV224" s="193"/>
      <c r="AW224" s="193"/>
      <c r="AX224" s="193"/>
      <c r="AY224" s="193"/>
      <c r="AZ224" s="193"/>
      <c r="BA224" s="193"/>
      <c r="BB224" s="193"/>
      <c r="BC224" s="193"/>
      <c r="BD224" s="193"/>
      <c r="BE224" s="193"/>
      <c r="BF224" s="193"/>
      <c r="BG224" s="193"/>
      <c r="BH224" s="193"/>
      <c r="BI224" s="193"/>
      <c r="BJ224" s="193"/>
      <c r="BK224" s="193"/>
      <c r="BL224" s="193"/>
      <c r="BM224" s="193"/>
      <c r="BN224" s="193"/>
      <c r="BO224" s="193"/>
      <c r="BS224" s="193"/>
      <c r="BT224" s="193"/>
      <c r="BU224" s="193"/>
      <c r="BV224" s="193"/>
      <c r="BW224" s="193"/>
      <c r="BX224" s="193"/>
      <c r="BY224" s="193"/>
      <c r="BZ224" s="193"/>
      <c r="CA224" s="193"/>
      <c r="CB224" s="193"/>
      <c r="CC224" s="193"/>
      <c r="CD224" s="193"/>
      <c r="CE224" s="193"/>
      <c r="CF224" s="193"/>
      <c r="CG224" s="193"/>
      <c r="CH224" s="193"/>
      <c r="CI224" s="193"/>
      <c r="CJ224" s="193"/>
      <c r="CK224" s="193"/>
      <c r="CL224" s="193"/>
      <c r="CM224" s="193"/>
      <c r="CN224" s="193"/>
      <c r="CO224" s="193"/>
      <c r="CP224" s="193"/>
      <c r="CQ224" s="193"/>
      <c r="CR224" s="193"/>
      <c r="CS224" s="193"/>
      <c r="CT224" s="193"/>
    </row>
    <row r="225" spans="4:98" x14ac:dyDescent="0.25">
      <c r="D225" t="s">
        <v>1174</v>
      </c>
      <c r="E225">
        <v>30</v>
      </c>
      <c r="F225" t="s">
        <v>470</v>
      </c>
      <c r="G225" t="s">
        <v>130</v>
      </c>
      <c r="H225">
        <v>1</v>
      </c>
      <c r="I225">
        <v>1</v>
      </c>
      <c r="J225">
        <v>1</v>
      </c>
      <c r="K225">
        <v>1</v>
      </c>
      <c r="L225">
        <v>1</v>
      </c>
      <c r="M225">
        <v>1</v>
      </c>
      <c r="N225">
        <v>1</v>
      </c>
      <c r="O225">
        <v>1</v>
      </c>
      <c r="P225">
        <v>1</v>
      </c>
      <c r="Q225">
        <v>1</v>
      </c>
      <c r="R225">
        <v>1</v>
      </c>
      <c r="S225">
        <v>1</v>
      </c>
      <c r="T225">
        <v>1</v>
      </c>
      <c r="U225">
        <v>1</v>
      </c>
      <c r="V225">
        <v>1</v>
      </c>
      <c r="W225">
        <v>1</v>
      </c>
      <c r="X225">
        <v>1</v>
      </c>
      <c r="Y225">
        <v>1</v>
      </c>
      <c r="Z225">
        <v>1</v>
      </c>
      <c r="AA225">
        <v>1</v>
      </c>
      <c r="AB225">
        <v>1</v>
      </c>
      <c r="AC225">
        <v>1</v>
      </c>
      <c r="AD225">
        <v>1</v>
      </c>
      <c r="AE225">
        <v>1</v>
      </c>
      <c r="AF225">
        <v>1</v>
      </c>
      <c r="AG225">
        <v>1</v>
      </c>
      <c r="AH225">
        <v>1</v>
      </c>
      <c r="AI225">
        <v>1</v>
      </c>
      <c r="AN225" s="193"/>
      <c r="AO225" s="193"/>
      <c r="AP225" s="193"/>
      <c r="AQ225" s="193"/>
      <c r="AR225" s="193"/>
      <c r="AS225" s="193"/>
      <c r="AT225" s="193"/>
      <c r="AU225" s="193"/>
      <c r="AV225" s="193"/>
      <c r="AW225" s="193"/>
      <c r="AX225" s="193"/>
      <c r="AY225" s="193"/>
      <c r="AZ225" s="193"/>
      <c r="BA225" s="193"/>
      <c r="BB225" s="193"/>
      <c r="BC225" s="193"/>
      <c r="BD225" s="193"/>
      <c r="BE225" s="193"/>
      <c r="BF225" s="193"/>
      <c r="BG225" s="193"/>
      <c r="BH225" s="193"/>
      <c r="BI225" s="193"/>
      <c r="BJ225" s="193"/>
      <c r="BK225" s="193"/>
      <c r="BL225" s="193"/>
      <c r="BM225" s="193"/>
      <c r="BN225" s="193"/>
      <c r="BO225" s="193"/>
      <c r="BS225" s="193"/>
      <c r="BT225" s="193"/>
      <c r="BU225" s="193"/>
      <c r="BV225" s="193"/>
      <c r="BW225" s="193"/>
      <c r="BX225" s="193"/>
      <c r="BY225" s="193"/>
      <c r="BZ225" s="193"/>
      <c r="CA225" s="193"/>
      <c r="CB225" s="193"/>
      <c r="CC225" s="193"/>
      <c r="CD225" s="193"/>
      <c r="CE225" s="193"/>
      <c r="CF225" s="193"/>
      <c r="CG225" s="193"/>
      <c r="CH225" s="193"/>
      <c r="CI225" s="193"/>
      <c r="CJ225" s="193"/>
      <c r="CK225" s="193"/>
      <c r="CL225" s="193"/>
      <c r="CM225" s="193"/>
      <c r="CN225" s="193"/>
      <c r="CO225" s="193"/>
      <c r="CP225" s="193"/>
      <c r="CQ225" s="193"/>
      <c r="CR225" s="193"/>
      <c r="CS225" s="193"/>
      <c r="CT225" s="193"/>
    </row>
    <row r="226" spans="4:98" x14ac:dyDescent="0.25">
      <c r="F226" t="s">
        <v>472</v>
      </c>
      <c r="G226" t="s">
        <v>1258</v>
      </c>
      <c r="H226">
        <v>1</v>
      </c>
      <c r="I226">
        <v>1</v>
      </c>
      <c r="J226">
        <v>1</v>
      </c>
      <c r="K226">
        <v>1</v>
      </c>
      <c r="L226">
        <v>1</v>
      </c>
      <c r="M226">
        <v>1</v>
      </c>
      <c r="N226">
        <v>1</v>
      </c>
      <c r="O226">
        <v>1</v>
      </c>
      <c r="P226">
        <v>1</v>
      </c>
      <c r="Q226">
        <v>1</v>
      </c>
      <c r="R226">
        <v>1</v>
      </c>
      <c r="S226">
        <v>1</v>
      </c>
      <c r="T226">
        <v>1</v>
      </c>
      <c r="U226">
        <v>1</v>
      </c>
      <c r="V226">
        <v>1</v>
      </c>
      <c r="W226">
        <v>1</v>
      </c>
      <c r="X226">
        <v>1</v>
      </c>
      <c r="Y226">
        <v>1</v>
      </c>
      <c r="Z226">
        <v>1</v>
      </c>
      <c r="AA226">
        <v>1</v>
      </c>
      <c r="AB226">
        <v>1</v>
      </c>
      <c r="AC226">
        <v>1</v>
      </c>
      <c r="AD226">
        <v>1</v>
      </c>
      <c r="AE226">
        <v>1</v>
      </c>
      <c r="AF226">
        <v>1</v>
      </c>
      <c r="AG226">
        <v>1</v>
      </c>
      <c r="AH226">
        <v>1</v>
      </c>
      <c r="AI226">
        <v>1</v>
      </c>
      <c r="AM226" t="s">
        <v>1258</v>
      </c>
      <c r="AN226" s="193">
        <f>(H226/H225)*BS226</f>
        <v>0</v>
      </c>
      <c r="AO226" s="193">
        <f t="shared" ref="AO226:BO226" si="159">(I226/I225)*BT226</f>
        <v>0</v>
      </c>
      <c r="AP226" s="193">
        <f t="shared" si="159"/>
        <v>0</v>
      </c>
      <c r="AQ226" s="193">
        <f t="shared" si="159"/>
        <v>0</v>
      </c>
      <c r="AR226" s="193">
        <f t="shared" si="159"/>
        <v>0</v>
      </c>
      <c r="AS226" s="193">
        <f t="shared" si="159"/>
        <v>0.61799999999999999</v>
      </c>
      <c r="AT226" s="193">
        <f t="shared" si="159"/>
        <v>0</v>
      </c>
      <c r="AU226" s="193">
        <f t="shared" si="159"/>
        <v>0</v>
      </c>
      <c r="AV226" s="193">
        <f t="shared" si="159"/>
        <v>0</v>
      </c>
      <c r="AW226" s="193">
        <f t="shared" si="159"/>
        <v>0</v>
      </c>
      <c r="AX226" s="193">
        <f t="shared" si="159"/>
        <v>0</v>
      </c>
      <c r="AY226" s="193">
        <f t="shared" si="159"/>
        <v>0</v>
      </c>
      <c r="AZ226" s="193">
        <f t="shared" si="159"/>
        <v>12.266999999999999</v>
      </c>
      <c r="BA226" s="193">
        <f t="shared" si="159"/>
        <v>3.5999999999999997E-2</v>
      </c>
      <c r="BB226" s="193">
        <f t="shared" si="159"/>
        <v>1.9370000000000001</v>
      </c>
      <c r="BC226" s="193">
        <f t="shared" si="159"/>
        <v>0.82699999999999996</v>
      </c>
      <c r="BD226" s="193">
        <f t="shared" si="159"/>
        <v>3.1779999999999999</v>
      </c>
      <c r="BE226" s="193">
        <f t="shared" si="159"/>
        <v>0</v>
      </c>
      <c r="BF226" s="193">
        <f t="shared" si="159"/>
        <v>0</v>
      </c>
      <c r="BG226" s="193">
        <f t="shared" si="159"/>
        <v>0</v>
      </c>
      <c r="BH226" s="193">
        <f t="shared" si="159"/>
        <v>0</v>
      </c>
      <c r="BI226" s="193">
        <f t="shared" si="159"/>
        <v>0</v>
      </c>
      <c r="BJ226" s="193">
        <f t="shared" si="159"/>
        <v>0</v>
      </c>
      <c r="BK226" s="193">
        <f t="shared" si="159"/>
        <v>0</v>
      </c>
      <c r="BL226" s="193">
        <f t="shared" si="159"/>
        <v>0</v>
      </c>
      <c r="BM226" s="193">
        <f t="shared" si="159"/>
        <v>0</v>
      </c>
      <c r="BN226" s="193">
        <f t="shared" si="159"/>
        <v>2E-3</v>
      </c>
      <c r="BO226" s="193">
        <f t="shared" si="159"/>
        <v>3.9129999999999998</v>
      </c>
      <c r="BQ226" t="s">
        <v>130</v>
      </c>
      <c r="BR226" t="s">
        <v>1258</v>
      </c>
      <c r="BS226" s="193" cm="1">
        <f t="array" ref="BS226">SUMPRODUCT(($AN$5:$AN$19=$BQ226)*(AP$5:AP$19)*(H$40:H$54))*SUMIFS(H$74:H$103,$F$74:$F$103,$BQ226,$G$74:$G$103,$BR226)</f>
        <v>0</v>
      </c>
      <c r="BT226" s="193" cm="1">
        <f t="array" ref="BT226">SUMPRODUCT(($AN$5:$AN$19=$BQ226)*(AQ$5:AQ$19)*(I$40:I$54))*SUMIFS(I$74:I$103,$F$74:$F$103,$BQ226,$G$74:$G$103,$BR226)</f>
        <v>0</v>
      </c>
      <c r="BU226" s="193" cm="1">
        <f t="array" ref="BU226">SUMPRODUCT(($AN$5:$AN$19=$BQ226)*(AR$5:AR$19)*(J$40:J$54))*SUMIFS(J$74:J$103,$F$74:$F$103,$BQ226,$G$74:$G$103,$BR226)</f>
        <v>0</v>
      </c>
      <c r="BV226" s="193" cm="1">
        <f t="array" ref="BV226">SUMPRODUCT(($AN$5:$AN$19=$BQ226)*(AS$5:AS$19)*(K$40:K$54))*SUMIFS(K$74:K$103,$F$74:$F$103,$BQ226,$G$74:$G$103,$BR226)</f>
        <v>0</v>
      </c>
      <c r="BW226" s="193" cm="1">
        <f t="array" ref="BW226">SUMPRODUCT(($AN$5:$AN$19=$BQ226)*(AT$5:AT$19)*(L$40:L$54))*SUMIFS(L$74:L$103,$F$74:$F$103,$BQ226,$G$74:$G$103,$BR226)</f>
        <v>0</v>
      </c>
      <c r="BX226" s="193" cm="1">
        <f t="array" ref="BX226">SUMPRODUCT(($AN$5:$AN$19=$BQ226)*(AU$5:AU$19)*(M$40:M$54))*SUMIFS(M$74:M$103,$F$74:$F$103,$BQ226,$G$74:$G$103,$BR226)</f>
        <v>0.61799999999999999</v>
      </c>
      <c r="BY226" s="193" cm="1">
        <f t="array" ref="BY226">SUMPRODUCT(($AN$5:$AN$19=$BQ226)*(AV$5:AV$19)*(N$40:N$54))*SUMIFS(N$74:N$103,$F$74:$F$103,$BQ226,$G$74:$G$103,$BR226)</f>
        <v>0</v>
      </c>
      <c r="BZ226" s="193" cm="1">
        <f t="array" ref="BZ226">SUMPRODUCT(($AN$5:$AN$19=$BQ226)*(AW$5:AW$19)*(O$40:O$54))*SUMIFS(O$74:O$103,$F$74:$F$103,$BQ226,$G$74:$G$103,$BR226)</f>
        <v>0</v>
      </c>
      <c r="CA226" s="193" cm="1">
        <f t="array" ref="CA226">SUMPRODUCT(($AN$5:$AN$19=$BQ226)*(AX$5:AX$19)*(P$40:P$54))*SUMIFS(P$74:P$103,$F$74:$F$103,$BQ226,$G$74:$G$103,$BR226)</f>
        <v>0</v>
      </c>
      <c r="CB226" s="193" cm="1">
        <f t="array" ref="CB226">SUMPRODUCT(($AN$5:$AN$19=$BQ226)*(AY$5:AY$19)*(Q$40:Q$54))*SUMIFS(Q$74:Q$103,$F$74:$F$103,$BQ226,$G$74:$G$103,$BR226)</f>
        <v>0</v>
      </c>
      <c r="CC226" s="193" cm="1">
        <f t="array" ref="CC226">SUMPRODUCT(($AN$5:$AN$19=$BQ226)*(AZ$5:AZ$19)*(R$40:R$54))*SUMIFS(R$74:R$103,$F$74:$F$103,$BQ226,$G$74:$G$103,$BR226)</f>
        <v>0</v>
      </c>
      <c r="CD226" s="193" cm="1">
        <f t="array" ref="CD226">SUMPRODUCT(($AN$5:$AN$19=$BQ226)*(BA$5:BA$19)*(S$40:S$54))*SUMIFS(S$74:S$103,$F$74:$F$103,$BQ226,$G$74:$G$103,$BR226)</f>
        <v>0</v>
      </c>
      <c r="CE226" s="193" cm="1">
        <f t="array" ref="CE226">SUMPRODUCT(($AN$5:$AN$19=$BQ226)*(BB$5:BB$19)*(T$40:T$54))*SUMIFS(T$74:T$103,$F$74:$F$103,$BQ226,$G$74:$G$103,$BR226)</f>
        <v>12.266999999999999</v>
      </c>
      <c r="CF226" s="193" cm="1">
        <f t="array" ref="CF226">SUMPRODUCT(($AN$5:$AN$19=$BQ226)*(BC$5:BC$19)*(U$40:U$54))*SUMIFS(U$74:U$103,$F$74:$F$103,$BQ226,$G$74:$G$103,$BR226)</f>
        <v>3.5999999999999997E-2</v>
      </c>
      <c r="CG226" s="193" cm="1">
        <f t="array" ref="CG226">SUMPRODUCT(($AN$5:$AN$19=$BQ226)*(BD$5:BD$19)*(V$40:V$54))*SUMIFS(V$74:V$103,$F$74:$F$103,$BQ226,$G$74:$G$103,$BR226)</f>
        <v>1.9370000000000001</v>
      </c>
      <c r="CH226" s="193" cm="1">
        <f t="array" ref="CH226">SUMPRODUCT(($AN$5:$AN$19=$BQ226)*(BE$5:BE$19)*(W$40:W$54))*SUMIFS(W$74:W$103,$F$74:$F$103,$BQ226,$G$74:$G$103,$BR226)</f>
        <v>0.82699999999999996</v>
      </c>
      <c r="CI226" s="193" cm="1">
        <f t="array" ref="CI226">SUMPRODUCT(($AN$5:$AN$19=$BQ226)*(BF$5:BF$19)*(X$40:X$54))*SUMIFS(X$74:X$103,$F$74:$F$103,$BQ226,$G$74:$G$103,$BR226)</f>
        <v>3.1779999999999999</v>
      </c>
      <c r="CJ226" s="193" cm="1">
        <f t="array" ref="CJ226">SUMPRODUCT(($AN$5:$AN$19=$BQ226)*(BG$5:BG$19)*(Y$40:Y$54))*SUMIFS(Y$74:Y$103,$F$74:$F$103,$BQ226,$G$74:$G$103,$BR226)</f>
        <v>0</v>
      </c>
      <c r="CK226" s="193" cm="1">
        <f t="array" ref="CK226">SUMPRODUCT(($AN$5:$AN$19=$BQ226)*(BH$5:BH$19)*(Z$40:Z$54))*SUMIFS(Z$74:Z$103,$F$74:$F$103,$BQ226,$G$74:$G$103,$BR226)</f>
        <v>0</v>
      </c>
      <c r="CL226" s="193" cm="1">
        <f t="array" ref="CL226">SUMPRODUCT(($AN$5:$AN$19=$BQ226)*(BI$5:BI$19)*(AA$40:AA$54))*SUMIFS(AA$74:AA$103,$F$74:$F$103,$BQ226,$G$74:$G$103,$BR226)</f>
        <v>0</v>
      </c>
      <c r="CM226" s="193" cm="1">
        <f t="array" ref="CM226">SUMPRODUCT(($AN$5:$AN$19=$BQ226)*(BJ$5:BJ$19)*(AB$40:AB$54))*SUMIFS(AB$74:AB$103,$F$74:$F$103,$BQ226,$G$74:$G$103,$BR226)</f>
        <v>0</v>
      </c>
      <c r="CN226" s="193" cm="1">
        <f t="array" ref="CN226">SUMPRODUCT(($AN$5:$AN$19=$BQ226)*(BK$5:BK$19)*(AC$40:AC$54))*SUMIFS(AC$74:AC$103,$F$74:$F$103,$BQ226,$G$74:$G$103,$BR226)</f>
        <v>0</v>
      </c>
      <c r="CO226" s="193" cm="1">
        <f t="array" ref="CO226">SUMPRODUCT(($AN$5:$AN$19=$BQ226)*(BL$5:BL$19)*(AD$40:AD$54))*SUMIFS(AD$74:AD$103,$F$74:$F$103,$BQ226,$G$74:$G$103,$BR226)</f>
        <v>0</v>
      </c>
      <c r="CP226" s="193" cm="1">
        <f t="array" ref="CP226">SUMPRODUCT(($AN$5:$AN$19=$BQ226)*(BM$5:BM$19)*(AE$40:AE$54))*SUMIFS(AE$74:AE$103,$F$74:$F$103,$BQ226,$G$74:$G$103,$BR226)</f>
        <v>0</v>
      </c>
      <c r="CQ226" s="193" cm="1">
        <f t="array" ref="CQ226">SUMPRODUCT(($AN$5:$AN$19=$BQ226)*(BN$5:BN$19)*(AF$40:AF$54))*SUMIFS(AF$74:AF$103,$F$74:$F$103,$BQ226,$G$74:$G$103,$BR226)</f>
        <v>0</v>
      </c>
      <c r="CR226" s="193" cm="1">
        <f t="array" ref="CR226">SUMPRODUCT(($AN$5:$AN$19=$BQ226)*(BO$5:BO$19)*(AG$40:AG$54))*SUMIFS(AG$74:AG$103,$F$74:$F$103,$BQ226,$G$74:$G$103,$BR226)</f>
        <v>0</v>
      </c>
      <c r="CS226" s="193" cm="1">
        <f t="array" ref="CS226">SUMPRODUCT(($AN$5:$AN$19=$BQ226)*(BP$5:BP$19)*(AH$40:AH$54))*SUMIFS(AH$74:AH$103,$F$74:$F$103,$BQ226,$G$74:$G$103,$BR226)</f>
        <v>2E-3</v>
      </c>
      <c r="CT226" s="193" cm="1">
        <f t="array" ref="CT226">SUMPRODUCT(($AN$5:$AN$19=$BQ226)*(BQ$5:BQ$19)*(AI$40:AI$54))*SUMIFS(AI$74:AI$103,$F$74:$F$103,$BQ226,$G$74:$G$103,$BR226)</f>
        <v>3.9129999999999998</v>
      </c>
    </row>
    <row r="227" spans="4:98" x14ac:dyDescent="0.25">
      <c r="F227" t="s">
        <v>1279</v>
      </c>
      <c r="H227" s="193">
        <f>AN226</f>
        <v>0</v>
      </c>
      <c r="I227" s="193">
        <f t="shared" ref="I227:AI227" si="160">AO226</f>
        <v>0</v>
      </c>
      <c r="J227" s="193">
        <f t="shared" si="160"/>
        <v>0</v>
      </c>
      <c r="K227" s="193">
        <f t="shared" si="160"/>
        <v>0</v>
      </c>
      <c r="L227" s="193">
        <f t="shared" si="160"/>
        <v>0</v>
      </c>
      <c r="M227" s="193">
        <f t="shared" si="160"/>
        <v>0.61799999999999999</v>
      </c>
      <c r="N227" s="193">
        <f t="shared" si="160"/>
        <v>0</v>
      </c>
      <c r="O227" s="193">
        <f t="shared" si="160"/>
        <v>0</v>
      </c>
      <c r="P227" s="193">
        <f t="shared" si="160"/>
        <v>0</v>
      </c>
      <c r="Q227" s="193">
        <f t="shared" si="160"/>
        <v>0</v>
      </c>
      <c r="R227" s="193">
        <f t="shared" si="160"/>
        <v>0</v>
      </c>
      <c r="S227" s="193">
        <f t="shared" si="160"/>
        <v>0</v>
      </c>
      <c r="T227" s="193">
        <f t="shared" si="160"/>
        <v>12.266999999999999</v>
      </c>
      <c r="U227" s="193">
        <f t="shared" si="160"/>
        <v>3.5999999999999997E-2</v>
      </c>
      <c r="V227" s="193">
        <f t="shared" si="160"/>
        <v>1.9370000000000001</v>
      </c>
      <c r="W227" s="193">
        <f t="shared" si="160"/>
        <v>0.82699999999999996</v>
      </c>
      <c r="X227" s="193">
        <f t="shared" si="160"/>
        <v>3.1779999999999999</v>
      </c>
      <c r="Y227" s="193">
        <f t="shared" si="160"/>
        <v>0</v>
      </c>
      <c r="Z227" s="193">
        <f t="shared" si="160"/>
        <v>0</v>
      </c>
      <c r="AA227" s="193">
        <f t="shared" si="160"/>
        <v>0</v>
      </c>
      <c r="AB227" s="193">
        <f t="shared" si="160"/>
        <v>0</v>
      </c>
      <c r="AC227" s="193">
        <f t="shared" si="160"/>
        <v>0</v>
      </c>
      <c r="AD227" s="193">
        <f t="shared" si="160"/>
        <v>0</v>
      </c>
      <c r="AE227" s="193">
        <f t="shared" si="160"/>
        <v>0</v>
      </c>
      <c r="AF227" s="193">
        <f t="shared" si="160"/>
        <v>0</v>
      </c>
      <c r="AG227" s="193">
        <f t="shared" si="160"/>
        <v>0</v>
      </c>
      <c r="AH227" s="193">
        <f t="shared" si="160"/>
        <v>2E-3</v>
      </c>
      <c r="AI227" s="193">
        <f t="shared" si="160"/>
        <v>3.9129999999999998</v>
      </c>
      <c r="AN227" s="193"/>
      <c r="AO227" s="193"/>
      <c r="AP227" s="193"/>
      <c r="AQ227" s="193"/>
      <c r="AR227" s="193"/>
      <c r="AS227" s="193"/>
      <c r="AT227" s="193"/>
      <c r="AU227" s="193"/>
      <c r="AV227" s="193"/>
      <c r="AW227" s="193"/>
      <c r="AX227" s="193"/>
      <c r="AY227" s="193"/>
      <c r="AZ227" s="193"/>
      <c r="BA227" s="193"/>
      <c r="BB227" s="193"/>
      <c r="BC227" s="193"/>
      <c r="BD227" s="193"/>
      <c r="BE227" s="193"/>
      <c r="BF227" s="193"/>
      <c r="BG227" s="193"/>
      <c r="BH227" s="193"/>
      <c r="BI227" s="193"/>
      <c r="BJ227" s="193"/>
      <c r="BK227" s="193"/>
      <c r="BL227" s="193"/>
      <c r="BM227" s="193"/>
      <c r="BN227" s="193"/>
      <c r="BO227" s="193"/>
      <c r="BS227" s="193"/>
      <c r="BT227" s="193"/>
      <c r="BU227" s="193"/>
      <c r="BV227" s="193"/>
      <c r="BW227" s="193"/>
      <c r="BX227" s="193"/>
      <c r="BY227" s="193"/>
      <c r="BZ227" s="193"/>
      <c r="CA227" s="193"/>
      <c r="CB227" s="193"/>
      <c r="CC227" s="193"/>
      <c r="CD227" s="193"/>
      <c r="CE227" s="193"/>
      <c r="CF227" s="193"/>
      <c r="CG227" s="193"/>
      <c r="CH227" s="193"/>
      <c r="CI227" s="193"/>
      <c r="CJ227" s="193"/>
      <c r="CK227" s="193"/>
      <c r="CL227" s="193"/>
      <c r="CM227" s="193"/>
      <c r="CN227" s="193"/>
      <c r="CO227" s="193"/>
      <c r="CP227" s="193"/>
      <c r="CQ227" s="193"/>
      <c r="CR227" s="193"/>
      <c r="CS227" s="193"/>
      <c r="CT227" s="193"/>
    </row>
    <row r="228" spans="4:98" x14ac:dyDescent="0.25">
      <c r="D228" t="s">
        <v>1176</v>
      </c>
      <c r="E228">
        <v>30</v>
      </c>
      <c r="F228" t="s">
        <v>470</v>
      </c>
      <c r="G228" t="s">
        <v>132</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c r="AD228">
        <v>1</v>
      </c>
      <c r="AE228">
        <v>1</v>
      </c>
      <c r="AF228">
        <v>1</v>
      </c>
      <c r="AG228">
        <v>1</v>
      </c>
      <c r="AH228">
        <v>1</v>
      </c>
      <c r="AI228">
        <v>1</v>
      </c>
      <c r="AN228" s="193"/>
      <c r="AO228" s="193"/>
      <c r="AP228" s="193"/>
      <c r="AQ228" s="193"/>
      <c r="AR228" s="193"/>
      <c r="AS228" s="193"/>
      <c r="AT228" s="193"/>
      <c r="AU228" s="193"/>
      <c r="AV228" s="193"/>
      <c r="AW228" s="193"/>
      <c r="AX228" s="193"/>
      <c r="AY228" s="193"/>
      <c r="AZ228" s="193"/>
      <c r="BA228" s="193"/>
      <c r="BB228" s="193"/>
      <c r="BC228" s="193"/>
      <c r="BD228" s="193"/>
      <c r="BE228" s="193"/>
      <c r="BF228" s="193"/>
      <c r="BG228" s="193"/>
      <c r="BH228" s="193"/>
      <c r="BI228" s="193"/>
      <c r="BJ228" s="193"/>
      <c r="BK228" s="193"/>
      <c r="BL228" s="193"/>
      <c r="BM228" s="193"/>
      <c r="BN228" s="193"/>
      <c r="BO228" s="193"/>
      <c r="BS228" s="193"/>
      <c r="BT228" s="193"/>
      <c r="BU228" s="193"/>
      <c r="BV228" s="193"/>
      <c r="BW228" s="193"/>
      <c r="BX228" s="193"/>
      <c r="BY228" s="193"/>
      <c r="BZ228" s="193"/>
      <c r="CA228" s="193"/>
      <c r="CB228" s="193"/>
      <c r="CC228" s="193"/>
      <c r="CD228" s="193"/>
      <c r="CE228" s="193"/>
      <c r="CF228" s="193"/>
      <c r="CG228" s="193"/>
      <c r="CH228" s="193"/>
      <c r="CI228" s="193"/>
      <c r="CJ228" s="193"/>
      <c r="CK228" s="193"/>
      <c r="CL228" s="193"/>
      <c r="CM228" s="193"/>
      <c r="CN228" s="193"/>
      <c r="CO228" s="193"/>
      <c r="CP228" s="193"/>
      <c r="CQ228" s="193"/>
      <c r="CR228" s="193"/>
      <c r="CS228" s="193"/>
      <c r="CT228" s="193"/>
    </row>
    <row r="229" spans="4:98" x14ac:dyDescent="0.25">
      <c r="F229" t="s">
        <v>472</v>
      </c>
      <c r="G229" t="s">
        <v>1258</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c r="AD229">
        <v>1</v>
      </c>
      <c r="AE229">
        <v>1</v>
      </c>
      <c r="AF229">
        <v>1</v>
      </c>
      <c r="AG229">
        <v>1</v>
      </c>
      <c r="AH229">
        <v>1</v>
      </c>
      <c r="AI229">
        <v>1</v>
      </c>
      <c r="AM229" t="s">
        <v>1258</v>
      </c>
      <c r="AN229" s="193">
        <f>(H229/H228)*BS229</f>
        <v>0</v>
      </c>
      <c r="AO229" s="193">
        <f t="shared" ref="AO229:BO229" si="161">(I229/I228)*BT229</f>
        <v>1.657</v>
      </c>
      <c r="AP229" s="193">
        <f t="shared" si="161"/>
        <v>0</v>
      </c>
      <c r="AQ229" s="193">
        <f t="shared" si="161"/>
        <v>0</v>
      </c>
      <c r="AR229" s="193">
        <f t="shared" si="161"/>
        <v>0.65900000000000003</v>
      </c>
      <c r="AS229" s="193">
        <f t="shared" si="161"/>
        <v>0</v>
      </c>
      <c r="AT229" s="193">
        <f t="shared" si="161"/>
        <v>0.7</v>
      </c>
      <c r="AU229" s="193">
        <f t="shared" si="161"/>
        <v>0</v>
      </c>
      <c r="AV229" s="193">
        <f t="shared" si="161"/>
        <v>1.484</v>
      </c>
      <c r="AW229" s="193">
        <f t="shared" si="161"/>
        <v>0</v>
      </c>
      <c r="AX229" s="193">
        <f t="shared" si="161"/>
        <v>0</v>
      </c>
      <c r="AY229" s="193">
        <f t="shared" si="161"/>
        <v>1.571</v>
      </c>
      <c r="AZ229" s="193">
        <f t="shared" si="161"/>
        <v>0.19500000000000001</v>
      </c>
      <c r="BA229" s="193">
        <f t="shared" si="161"/>
        <v>0.745</v>
      </c>
      <c r="BB229" s="193">
        <f t="shared" si="161"/>
        <v>0.247</v>
      </c>
      <c r="BC229" s="193">
        <f t="shared" si="161"/>
        <v>2.274</v>
      </c>
      <c r="BD229" s="193">
        <f t="shared" si="161"/>
        <v>1.4910000000000001</v>
      </c>
      <c r="BE229" s="193">
        <f t="shared" si="161"/>
        <v>0</v>
      </c>
      <c r="BF229" s="193">
        <f t="shared" si="161"/>
        <v>0</v>
      </c>
      <c r="BG229" s="193">
        <f t="shared" si="161"/>
        <v>2.5219999999999998</v>
      </c>
      <c r="BH229" s="193">
        <f t="shared" si="161"/>
        <v>3.5999999999999997E-2</v>
      </c>
      <c r="BI229" s="193">
        <f t="shared" si="161"/>
        <v>0</v>
      </c>
      <c r="BJ229" s="193">
        <f t="shared" si="161"/>
        <v>0</v>
      </c>
      <c r="BK229" s="193">
        <f t="shared" si="161"/>
        <v>0</v>
      </c>
      <c r="BL229" s="193">
        <f t="shared" si="161"/>
        <v>0</v>
      </c>
      <c r="BM229" s="193">
        <f t="shared" si="161"/>
        <v>0</v>
      </c>
      <c r="BN229" s="193">
        <f t="shared" si="161"/>
        <v>0.47799999999999998</v>
      </c>
      <c r="BO229" s="193">
        <f t="shared" si="161"/>
        <v>4.9000000000000002E-2</v>
      </c>
      <c r="BQ229" t="s">
        <v>132</v>
      </c>
      <c r="BR229" t="s">
        <v>1258</v>
      </c>
      <c r="BS229" s="193" cm="1">
        <f t="array" ref="BS229">SUMPRODUCT(($AN$5:$AN$19=$BQ229)*(AP$5:AP$19)*(H$40:H$54))*SUMIFS(H$74:H$103,$F$74:$F$103,$BQ229,$G$74:$G$103,$BR229)</f>
        <v>0</v>
      </c>
      <c r="BT229" s="193" cm="1">
        <f t="array" ref="BT229">SUMPRODUCT(($AN$5:$AN$19=$BQ229)*(AQ$5:AQ$19)*(I$40:I$54))*SUMIFS(I$74:I$103,$F$74:$F$103,$BQ229,$G$74:$G$103,$BR229)</f>
        <v>1.657</v>
      </c>
      <c r="BU229" s="193" cm="1">
        <f t="array" ref="BU229">SUMPRODUCT(($AN$5:$AN$19=$BQ229)*(AR$5:AR$19)*(J$40:J$54))*SUMIFS(J$74:J$103,$F$74:$F$103,$BQ229,$G$74:$G$103,$BR229)</f>
        <v>0</v>
      </c>
      <c r="BV229" s="193" cm="1">
        <f t="array" ref="BV229">SUMPRODUCT(($AN$5:$AN$19=$BQ229)*(AS$5:AS$19)*(K$40:K$54))*SUMIFS(K$74:K$103,$F$74:$F$103,$BQ229,$G$74:$G$103,$BR229)</f>
        <v>0</v>
      </c>
      <c r="BW229" s="193" cm="1">
        <f t="array" ref="BW229">SUMPRODUCT(($AN$5:$AN$19=$BQ229)*(AT$5:AT$19)*(L$40:L$54))*SUMIFS(L$74:L$103,$F$74:$F$103,$BQ229,$G$74:$G$103,$BR229)</f>
        <v>0.65900000000000003</v>
      </c>
      <c r="BX229" s="193" cm="1">
        <f t="array" ref="BX229">SUMPRODUCT(($AN$5:$AN$19=$BQ229)*(AU$5:AU$19)*(M$40:M$54))*SUMIFS(M$74:M$103,$F$74:$F$103,$BQ229,$G$74:$G$103,$BR229)</f>
        <v>0</v>
      </c>
      <c r="BY229" s="193" cm="1">
        <f t="array" ref="BY229">SUMPRODUCT(($AN$5:$AN$19=$BQ229)*(AV$5:AV$19)*(N$40:N$54))*SUMIFS(N$74:N$103,$F$74:$F$103,$BQ229,$G$74:$G$103,$BR229)</f>
        <v>0.7</v>
      </c>
      <c r="BZ229" s="193" cm="1">
        <f t="array" ref="BZ229">SUMPRODUCT(($AN$5:$AN$19=$BQ229)*(AW$5:AW$19)*(O$40:O$54))*SUMIFS(O$74:O$103,$F$74:$F$103,$BQ229,$G$74:$G$103,$BR229)</f>
        <v>0</v>
      </c>
      <c r="CA229" s="193" cm="1">
        <f t="array" ref="CA229">SUMPRODUCT(($AN$5:$AN$19=$BQ229)*(AX$5:AX$19)*(P$40:P$54))*SUMIFS(P$74:P$103,$F$74:$F$103,$BQ229,$G$74:$G$103,$BR229)</f>
        <v>1.484</v>
      </c>
      <c r="CB229" s="193" cm="1">
        <f t="array" ref="CB229">SUMPRODUCT(($AN$5:$AN$19=$BQ229)*(AY$5:AY$19)*(Q$40:Q$54))*SUMIFS(Q$74:Q$103,$F$74:$F$103,$BQ229,$G$74:$G$103,$BR229)</f>
        <v>0</v>
      </c>
      <c r="CC229" s="193" cm="1">
        <f t="array" ref="CC229">SUMPRODUCT(($AN$5:$AN$19=$BQ229)*(AZ$5:AZ$19)*(R$40:R$54))*SUMIFS(R$74:R$103,$F$74:$F$103,$BQ229,$G$74:$G$103,$BR229)</f>
        <v>0</v>
      </c>
      <c r="CD229" s="193" cm="1">
        <f t="array" ref="CD229">SUMPRODUCT(($AN$5:$AN$19=$BQ229)*(BA$5:BA$19)*(S$40:S$54))*SUMIFS(S$74:S$103,$F$74:$F$103,$BQ229,$G$74:$G$103,$BR229)</f>
        <v>1.571</v>
      </c>
      <c r="CE229" s="193" cm="1">
        <f t="array" ref="CE229">SUMPRODUCT(($AN$5:$AN$19=$BQ229)*(BB$5:BB$19)*(T$40:T$54))*SUMIFS(T$74:T$103,$F$74:$F$103,$BQ229,$G$74:$G$103,$BR229)</f>
        <v>0.19500000000000001</v>
      </c>
      <c r="CF229" s="193" cm="1">
        <f t="array" ref="CF229">SUMPRODUCT(($AN$5:$AN$19=$BQ229)*(BC$5:BC$19)*(U$40:U$54))*SUMIFS(U$74:U$103,$F$74:$F$103,$BQ229,$G$74:$G$103,$BR229)</f>
        <v>0.745</v>
      </c>
      <c r="CG229" s="193" cm="1">
        <f t="array" ref="CG229">SUMPRODUCT(($AN$5:$AN$19=$BQ229)*(BD$5:BD$19)*(V$40:V$54))*SUMIFS(V$74:V$103,$F$74:$F$103,$BQ229,$G$74:$G$103,$BR229)</f>
        <v>0.247</v>
      </c>
      <c r="CH229" s="193" cm="1">
        <f t="array" ref="CH229">SUMPRODUCT(($AN$5:$AN$19=$BQ229)*(BE$5:BE$19)*(W$40:W$54))*SUMIFS(W$74:W$103,$F$74:$F$103,$BQ229,$G$74:$G$103,$BR229)</f>
        <v>2.274</v>
      </c>
      <c r="CI229" s="193" cm="1">
        <f t="array" ref="CI229">SUMPRODUCT(($AN$5:$AN$19=$BQ229)*(BF$5:BF$19)*(X$40:X$54))*SUMIFS(X$74:X$103,$F$74:$F$103,$BQ229,$G$74:$G$103,$BR229)</f>
        <v>1.4910000000000001</v>
      </c>
      <c r="CJ229" s="193" cm="1">
        <f t="array" ref="CJ229">SUMPRODUCT(($AN$5:$AN$19=$BQ229)*(BG$5:BG$19)*(Y$40:Y$54))*SUMIFS(Y$74:Y$103,$F$74:$F$103,$BQ229,$G$74:$G$103,$BR229)</f>
        <v>0</v>
      </c>
      <c r="CK229" s="193" cm="1">
        <f t="array" ref="CK229">SUMPRODUCT(($AN$5:$AN$19=$BQ229)*(BH$5:BH$19)*(Z$40:Z$54))*SUMIFS(Z$74:Z$103,$F$74:$F$103,$BQ229,$G$74:$G$103,$BR229)</f>
        <v>0</v>
      </c>
      <c r="CL229" s="193" cm="1">
        <f t="array" ref="CL229">SUMPRODUCT(($AN$5:$AN$19=$BQ229)*(BI$5:BI$19)*(AA$40:AA$54))*SUMIFS(AA$74:AA$103,$F$74:$F$103,$BQ229,$G$74:$G$103,$BR229)</f>
        <v>2.5219999999999998</v>
      </c>
      <c r="CM229" s="193" cm="1">
        <f t="array" ref="CM229">SUMPRODUCT(($AN$5:$AN$19=$BQ229)*(BJ$5:BJ$19)*(AB$40:AB$54))*SUMIFS(AB$74:AB$103,$F$74:$F$103,$BQ229,$G$74:$G$103,$BR229)</f>
        <v>3.5999999999999997E-2</v>
      </c>
      <c r="CN229" s="193" cm="1">
        <f t="array" ref="CN229">SUMPRODUCT(($AN$5:$AN$19=$BQ229)*(BK$5:BK$19)*(AC$40:AC$54))*SUMIFS(AC$74:AC$103,$F$74:$F$103,$BQ229,$G$74:$G$103,$BR229)</f>
        <v>0</v>
      </c>
      <c r="CO229" s="193" cm="1">
        <f t="array" ref="CO229">SUMPRODUCT(($AN$5:$AN$19=$BQ229)*(BL$5:BL$19)*(AD$40:AD$54))*SUMIFS(AD$74:AD$103,$F$74:$F$103,$BQ229,$G$74:$G$103,$BR229)</f>
        <v>0</v>
      </c>
      <c r="CP229" s="193" cm="1">
        <f t="array" ref="CP229">SUMPRODUCT(($AN$5:$AN$19=$BQ229)*(BM$5:BM$19)*(AE$40:AE$54))*SUMIFS(AE$74:AE$103,$F$74:$F$103,$BQ229,$G$74:$G$103,$BR229)</f>
        <v>0</v>
      </c>
      <c r="CQ229" s="193" cm="1">
        <f t="array" ref="CQ229">SUMPRODUCT(($AN$5:$AN$19=$BQ229)*(BN$5:BN$19)*(AF$40:AF$54))*SUMIFS(AF$74:AF$103,$F$74:$F$103,$BQ229,$G$74:$G$103,$BR229)</f>
        <v>0</v>
      </c>
      <c r="CR229" s="193" cm="1">
        <f t="array" ref="CR229">SUMPRODUCT(($AN$5:$AN$19=$BQ229)*(BO$5:BO$19)*(AG$40:AG$54))*SUMIFS(AG$74:AG$103,$F$74:$F$103,$BQ229,$G$74:$G$103,$BR229)</f>
        <v>0</v>
      </c>
      <c r="CS229" s="193" cm="1">
        <f t="array" ref="CS229">SUMPRODUCT(($AN$5:$AN$19=$BQ229)*(BP$5:BP$19)*(AH$40:AH$54))*SUMIFS(AH$74:AH$103,$F$74:$F$103,$BQ229,$G$74:$G$103,$BR229)</f>
        <v>0.47799999999999998</v>
      </c>
      <c r="CT229" s="193" cm="1">
        <f t="array" ref="CT229">SUMPRODUCT(($AN$5:$AN$19=$BQ229)*(BQ$5:BQ$19)*(AI$40:AI$54))*SUMIFS(AI$74:AI$103,$F$74:$F$103,$BQ229,$G$74:$G$103,$BR229)</f>
        <v>4.9000000000000002E-2</v>
      </c>
    </row>
    <row r="230" spans="4:98" x14ac:dyDescent="0.25">
      <c r="F230" t="s">
        <v>1279</v>
      </c>
      <c r="H230" s="193">
        <f>AN229</f>
        <v>0</v>
      </c>
      <c r="I230" s="193">
        <f t="shared" ref="I230:AI230" si="162">AO229</f>
        <v>1.657</v>
      </c>
      <c r="J230" s="193">
        <f t="shared" si="162"/>
        <v>0</v>
      </c>
      <c r="K230" s="193">
        <f t="shared" si="162"/>
        <v>0</v>
      </c>
      <c r="L230" s="193">
        <f t="shared" si="162"/>
        <v>0.65900000000000003</v>
      </c>
      <c r="M230" s="193">
        <f t="shared" si="162"/>
        <v>0</v>
      </c>
      <c r="N230" s="193">
        <f t="shared" si="162"/>
        <v>0.7</v>
      </c>
      <c r="O230" s="193">
        <f t="shared" si="162"/>
        <v>0</v>
      </c>
      <c r="P230" s="193">
        <f t="shared" si="162"/>
        <v>1.484</v>
      </c>
      <c r="Q230" s="193">
        <f t="shared" si="162"/>
        <v>0</v>
      </c>
      <c r="R230" s="193">
        <f t="shared" si="162"/>
        <v>0</v>
      </c>
      <c r="S230" s="193">
        <f t="shared" si="162"/>
        <v>1.571</v>
      </c>
      <c r="T230" s="193">
        <f t="shared" si="162"/>
        <v>0.19500000000000001</v>
      </c>
      <c r="U230" s="193">
        <f t="shared" si="162"/>
        <v>0.745</v>
      </c>
      <c r="V230" s="193">
        <f t="shared" si="162"/>
        <v>0.247</v>
      </c>
      <c r="W230" s="193">
        <f t="shared" si="162"/>
        <v>2.274</v>
      </c>
      <c r="X230" s="193">
        <f t="shared" si="162"/>
        <v>1.4910000000000001</v>
      </c>
      <c r="Y230" s="193">
        <f t="shared" si="162"/>
        <v>0</v>
      </c>
      <c r="Z230" s="193">
        <f t="shared" si="162"/>
        <v>0</v>
      </c>
      <c r="AA230" s="193">
        <f t="shared" si="162"/>
        <v>2.5219999999999998</v>
      </c>
      <c r="AB230" s="193">
        <f t="shared" si="162"/>
        <v>3.5999999999999997E-2</v>
      </c>
      <c r="AC230" s="193">
        <f t="shared" si="162"/>
        <v>0</v>
      </c>
      <c r="AD230" s="193">
        <f t="shared" si="162"/>
        <v>0</v>
      </c>
      <c r="AE230" s="193">
        <f t="shared" si="162"/>
        <v>0</v>
      </c>
      <c r="AF230" s="193">
        <f t="shared" si="162"/>
        <v>0</v>
      </c>
      <c r="AG230" s="193">
        <f t="shared" si="162"/>
        <v>0</v>
      </c>
      <c r="AH230" s="193">
        <f t="shared" si="162"/>
        <v>0.47799999999999998</v>
      </c>
      <c r="AI230" s="193">
        <f t="shared" si="162"/>
        <v>4.9000000000000002E-2</v>
      </c>
      <c r="AN230" s="193"/>
      <c r="AO230" s="193"/>
      <c r="AP230" s="193"/>
      <c r="AQ230" s="193"/>
      <c r="AR230" s="193"/>
      <c r="AS230" s="193"/>
      <c r="AT230" s="193"/>
      <c r="AU230" s="193"/>
      <c r="AV230" s="193"/>
      <c r="AW230" s="193"/>
      <c r="AX230" s="193"/>
      <c r="AY230" s="193"/>
      <c r="AZ230" s="193"/>
      <c r="BA230" s="193"/>
      <c r="BB230" s="193"/>
      <c r="BC230" s="193"/>
      <c r="BD230" s="193"/>
      <c r="BE230" s="193"/>
      <c r="BF230" s="193"/>
      <c r="BG230" s="193"/>
      <c r="BH230" s="193"/>
      <c r="BI230" s="193"/>
      <c r="BJ230" s="193"/>
      <c r="BK230" s="193"/>
      <c r="BL230" s="193"/>
      <c r="BM230" s="193"/>
      <c r="BN230" s="193"/>
      <c r="BO230" s="193"/>
      <c r="BS230" s="193"/>
      <c r="BT230" s="193"/>
      <c r="BU230" s="193"/>
      <c r="BV230" s="193"/>
      <c r="BW230" s="193"/>
      <c r="BX230" s="193"/>
      <c r="BY230" s="193"/>
      <c r="BZ230" s="193"/>
      <c r="CA230" s="193"/>
      <c r="CB230" s="193"/>
      <c r="CC230" s="193"/>
      <c r="CD230" s="193"/>
      <c r="CE230" s="193"/>
      <c r="CF230" s="193"/>
      <c r="CG230" s="193"/>
      <c r="CH230" s="193"/>
      <c r="CI230" s="193"/>
      <c r="CJ230" s="193"/>
      <c r="CK230" s="193"/>
      <c r="CL230" s="193"/>
      <c r="CM230" s="193"/>
      <c r="CN230" s="193"/>
      <c r="CO230" s="193"/>
      <c r="CP230" s="193"/>
      <c r="CQ230" s="193"/>
      <c r="CR230" s="193"/>
      <c r="CS230" s="193"/>
      <c r="CT230" s="193"/>
    </row>
    <row r="231" spans="4:98" x14ac:dyDescent="0.25">
      <c r="D231" t="s">
        <v>1178</v>
      </c>
      <c r="E231">
        <v>30</v>
      </c>
      <c r="F231" t="s">
        <v>470</v>
      </c>
      <c r="G231" t="s">
        <v>134</v>
      </c>
      <c r="H231">
        <v>1</v>
      </c>
      <c r="I231">
        <v>1</v>
      </c>
      <c r="J231">
        <v>1</v>
      </c>
      <c r="K231">
        <v>1</v>
      </c>
      <c r="L231">
        <v>1</v>
      </c>
      <c r="M231">
        <v>1</v>
      </c>
      <c r="N231">
        <v>1</v>
      </c>
      <c r="O231">
        <v>1</v>
      </c>
      <c r="P231">
        <v>1</v>
      </c>
      <c r="Q231">
        <v>1</v>
      </c>
      <c r="R231">
        <v>1</v>
      </c>
      <c r="S231">
        <v>1</v>
      </c>
      <c r="T231">
        <v>1</v>
      </c>
      <c r="U231">
        <v>1</v>
      </c>
      <c r="V231">
        <v>1</v>
      </c>
      <c r="W231">
        <v>1</v>
      </c>
      <c r="X231">
        <v>1</v>
      </c>
      <c r="Y231">
        <v>1</v>
      </c>
      <c r="Z231">
        <v>1</v>
      </c>
      <c r="AA231">
        <v>1</v>
      </c>
      <c r="AB231">
        <v>1</v>
      </c>
      <c r="AC231">
        <v>1</v>
      </c>
      <c r="AD231">
        <v>1</v>
      </c>
      <c r="AE231">
        <v>1</v>
      </c>
      <c r="AF231">
        <v>1</v>
      </c>
      <c r="AG231">
        <v>1</v>
      </c>
      <c r="AH231">
        <v>1</v>
      </c>
      <c r="AI231">
        <v>1</v>
      </c>
      <c r="AN231" s="193"/>
      <c r="AO231" s="193"/>
      <c r="AP231" s="193"/>
      <c r="AQ231" s="193"/>
      <c r="AR231" s="193"/>
      <c r="AS231" s="193"/>
      <c r="AT231" s="193"/>
      <c r="AU231" s="193"/>
      <c r="AV231" s="193"/>
      <c r="AW231" s="193"/>
      <c r="AX231" s="193"/>
      <c r="AY231" s="193"/>
      <c r="AZ231" s="193"/>
      <c r="BA231" s="193"/>
      <c r="BB231" s="193"/>
      <c r="BC231" s="193"/>
      <c r="BD231" s="193"/>
      <c r="BE231" s="193"/>
      <c r="BF231" s="193"/>
      <c r="BG231" s="193"/>
      <c r="BH231" s="193"/>
      <c r="BI231" s="193"/>
      <c r="BJ231" s="193"/>
      <c r="BK231" s="193"/>
      <c r="BL231" s="193"/>
      <c r="BM231" s="193"/>
      <c r="BN231" s="193"/>
      <c r="BO231" s="193"/>
      <c r="BS231" s="193"/>
      <c r="BT231" s="193"/>
      <c r="BU231" s="193"/>
      <c r="BV231" s="193"/>
      <c r="BW231" s="193"/>
      <c r="BX231" s="193"/>
      <c r="BY231" s="193"/>
      <c r="BZ231" s="193"/>
      <c r="CA231" s="193"/>
      <c r="CB231" s="193"/>
      <c r="CC231" s="193"/>
      <c r="CD231" s="193"/>
      <c r="CE231" s="193"/>
      <c r="CF231" s="193"/>
      <c r="CG231" s="193"/>
      <c r="CH231" s="193"/>
      <c r="CI231" s="193"/>
      <c r="CJ231" s="193"/>
      <c r="CK231" s="193"/>
      <c r="CL231" s="193"/>
      <c r="CM231" s="193"/>
      <c r="CN231" s="193"/>
      <c r="CO231" s="193"/>
      <c r="CP231" s="193"/>
      <c r="CQ231" s="193"/>
      <c r="CR231" s="193"/>
      <c r="CS231" s="193"/>
      <c r="CT231" s="193"/>
    </row>
    <row r="232" spans="4:98" x14ac:dyDescent="0.25">
      <c r="F232" t="s">
        <v>472</v>
      </c>
      <c r="G232" t="s">
        <v>1258</v>
      </c>
      <c r="H232">
        <v>1</v>
      </c>
      <c r="I232">
        <v>1</v>
      </c>
      <c r="J232">
        <v>1</v>
      </c>
      <c r="K232">
        <v>1</v>
      </c>
      <c r="L232">
        <v>1</v>
      </c>
      <c r="M232">
        <v>1</v>
      </c>
      <c r="N232">
        <v>1</v>
      </c>
      <c r="O232">
        <v>1</v>
      </c>
      <c r="P232">
        <v>1</v>
      </c>
      <c r="Q232">
        <v>1</v>
      </c>
      <c r="R232">
        <v>1</v>
      </c>
      <c r="S232">
        <v>1</v>
      </c>
      <c r="T232">
        <v>1</v>
      </c>
      <c r="U232">
        <v>1</v>
      </c>
      <c r="V232">
        <v>1</v>
      </c>
      <c r="W232">
        <v>1</v>
      </c>
      <c r="X232">
        <v>1</v>
      </c>
      <c r="Y232">
        <v>1</v>
      </c>
      <c r="Z232">
        <v>1</v>
      </c>
      <c r="AA232">
        <v>1</v>
      </c>
      <c r="AB232">
        <v>1</v>
      </c>
      <c r="AC232">
        <v>1</v>
      </c>
      <c r="AD232">
        <v>1</v>
      </c>
      <c r="AE232">
        <v>1</v>
      </c>
      <c r="AF232">
        <v>1</v>
      </c>
      <c r="AG232">
        <v>1</v>
      </c>
      <c r="AH232">
        <v>1</v>
      </c>
      <c r="AI232">
        <v>1</v>
      </c>
      <c r="AM232" t="s">
        <v>1258</v>
      </c>
      <c r="AN232" s="193">
        <f>(H232/H231)*BS232</f>
        <v>0</v>
      </c>
      <c r="AO232" s="193">
        <f t="shared" ref="AO232:BO232" si="163">(I232/I231)*BT232</f>
        <v>0.1305</v>
      </c>
      <c r="AP232" s="193">
        <f t="shared" si="163"/>
        <v>2.9102118651442344E-2</v>
      </c>
      <c r="AQ232" s="193">
        <f t="shared" si="163"/>
        <v>0</v>
      </c>
      <c r="AR232" s="193">
        <f t="shared" si="163"/>
        <v>1.1115000000000002</v>
      </c>
      <c r="AS232" s="193">
        <f t="shared" si="163"/>
        <v>0.28159572749554618</v>
      </c>
      <c r="AT232" s="193">
        <f t="shared" si="163"/>
        <v>0</v>
      </c>
      <c r="AU232" s="193">
        <f t="shared" si="163"/>
        <v>0</v>
      </c>
      <c r="AV232" s="193">
        <f t="shared" si="163"/>
        <v>4.1648696078626557</v>
      </c>
      <c r="AW232" s="193">
        <f t="shared" si="163"/>
        <v>0.27310000000000001</v>
      </c>
      <c r="AX232" s="193">
        <f t="shared" si="163"/>
        <v>0</v>
      </c>
      <c r="AY232" s="193">
        <f t="shared" si="163"/>
        <v>6.0066270223878293</v>
      </c>
      <c r="AZ232" s="193">
        <f t="shared" si="163"/>
        <v>0.15140000000000001</v>
      </c>
      <c r="BA232" s="193">
        <f t="shared" si="163"/>
        <v>5.9900000000000002E-2</v>
      </c>
      <c r="BB232" s="193">
        <f t="shared" si="163"/>
        <v>0.1135</v>
      </c>
      <c r="BC232" s="193">
        <f t="shared" si="163"/>
        <v>0.77710000000000001</v>
      </c>
      <c r="BD232" s="193">
        <f t="shared" si="163"/>
        <v>0.34560000000000002</v>
      </c>
      <c r="BE232" s="193">
        <f t="shared" si="163"/>
        <v>0</v>
      </c>
      <c r="BF232" s="193">
        <f t="shared" si="163"/>
        <v>0</v>
      </c>
      <c r="BG232" s="193">
        <f t="shared" si="163"/>
        <v>1.2854000000000001</v>
      </c>
      <c r="BH232" s="193">
        <f t="shared" si="163"/>
        <v>0</v>
      </c>
      <c r="BI232" s="193">
        <f t="shared" si="163"/>
        <v>0</v>
      </c>
      <c r="BJ232" s="193">
        <f t="shared" si="163"/>
        <v>0</v>
      </c>
      <c r="BK232" s="193">
        <f t="shared" si="163"/>
        <v>0</v>
      </c>
      <c r="BL232" s="193">
        <f t="shared" si="163"/>
        <v>0</v>
      </c>
      <c r="BM232" s="193">
        <f t="shared" si="163"/>
        <v>0</v>
      </c>
      <c r="BN232" s="193">
        <f t="shared" si="163"/>
        <v>9.3500000000000014E-2</v>
      </c>
      <c r="BO232" s="193">
        <f t="shared" si="163"/>
        <v>0.86969999999999992</v>
      </c>
      <c r="BQ232" t="s">
        <v>134</v>
      </c>
      <c r="BR232" t="s">
        <v>1258</v>
      </c>
      <c r="BS232" s="193" cm="1">
        <f t="array" ref="BS232">SUMPRODUCT(($AN$5:$AN$19=$BQ232)*(AP$5:AP$19)*(H$40:H$54))*SUMIFS(H$74:H$103,$F$74:$F$103,$BQ232,$G$74:$G$103,$BR232)</f>
        <v>0</v>
      </c>
      <c r="BT232" s="193" cm="1">
        <f t="array" ref="BT232">SUMPRODUCT(($AN$5:$AN$19=$BQ232)*(AQ$5:AQ$19)*(I$40:I$54))*SUMIFS(I$74:I$103,$F$74:$F$103,$BQ232,$G$74:$G$103,$BR232)</f>
        <v>0.1305</v>
      </c>
      <c r="BU232" s="193" cm="1">
        <f t="array" ref="BU232">SUMPRODUCT(($AN$5:$AN$19=$BQ232)*(AR$5:AR$19)*(J$40:J$54))*SUMIFS(J$74:J$103,$F$74:$F$103,$BQ232,$G$74:$G$103,$BR232)</f>
        <v>2.9102118651442344E-2</v>
      </c>
      <c r="BV232" s="193" cm="1">
        <f t="array" ref="BV232">SUMPRODUCT(($AN$5:$AN$19=$BQ232)*(AS$5:AS$19)*(K$40:K$54))*SUMIFS(K$74:K$103,$F$74:$F$103,$BQ232,$G$74:$G$103,$BR232)</f>
        <v>0</v>
      </c>
      <c r="BW232" s="193" cm="1">
        <f t="array" ref="BW232">SUMPRODUCT(($AN$5:$AN$19=$BQ232)*(AT$5:AT$19)*(L$40:L$54))*SUMIFS(L$74:L$103,$F$74:$F$103,$BQ232,$G$74:$G$103,$BR232)</f>
        <v>1.1115000000000002</v>
      </c>
      <c r="BX232" s="193" cm="1">
        <f t="array" ref="BX232">SUMPRODUCT(($AN$5:$AN$19=$BQ232)*(AU$5:AU$19)*(M$40:M$54))*SUMIFS(M$74:M$103,$F$74:$F$103,$BQ232,$G$74:$G$103,$BR232)</f>
        <v>0.28159572749554618</v>
      </c>
      <c r="BY232" s="193" cm="1">
        <f t="array" ref="BY232">SUMPRODUCT(($AN$5:$AN$19=$BQ232)*(AV$5:AV$19)*(N$40:N$54))*SUMIFS(N$74:N$103,$F$74:$F$103,$BQ232,$G$74:$G$103,$BR232)</f>
        <v>0</v>
      </c>
      <c r="BZ232" s="193" cm="1">
        <f t="array" ref="BZ232">SUMPRODUCT(($AN$5:$AN$19=$BQ232)*(AW$5:AW$19)*(O$40:O$54))*SUMIFS(O$74:O$103,$F$74:$F$103,$BQ232,$G$74:$G$103,$BR232)</f>
        <v>0</v>
      </c>
      <c r="CA232" s="193" cm="1">
        <f t="array" ref="CA232">SUMPRODUCT(($AN$5:$AN$19=$BQ232)*(AX$5:AX$19)*(P$40:P$54))*SUMIFS(P$74:P$103,$F$74:$F$103,$BQ232,$G$74:$G$103,$BR232)</f>
        <v>4.1648696078626557</v>
      </c>
      <c r="CB232" s="193" cm="1">
        <f t="array" ref="CB232">SUMPRODUCT(($AN$5:$AN$19=$BQ232)*(AY$5:AY$19)*(Q$40:Q$54))*SUMIFS(Q$74:Q$103,$F$74:$F$103,$BQ232,$G$74:$G$103,$BR232)</f>
        <v>0.27310000000000001</v>
      </c>
      <c r="CC232" s="193" cm="1">
        <f t="array" ref="CC232">SUMPRODUCT(($AN$5:$AN$19=$BQ232)*(AZ$5:AZ$19)*(R$40:R$54))*SUMIFS(R$74:R$103,$F$74:$F$103,$BQ232,$G$74:$G$103,$BR232)</f>
        <v>0</v>
      </c>
      <c r="CD232" s="193" cm="1">
        <f t="array" ref="CD232">SUMPRODUCT(($AN$5:$AN$19=$BQ232)*(BA$5:BA$19)*(S$40:S$54))*SUMIFS(S$74:S$103,$F$74:$F$103,$BQ232,$G$74:$G$103,$BR232)</f>
        <v>6.0066270223878293</v>
      </c>
      <c r="CE232" s="193" cm="1">
        <f t="array" ref="CE232">SUMPRODUCT(($AN$5:$AN$19=$BQ232)*(BB$5:BB$19)*(T$40:T$54))*SUMIFS(T$74:T$103,$F$74:$F$103,$BQ232,$G$74:$G$103,$BR232)</f>
        <v>0.15140000000000001</v>
      </c>
      <c r="CF232" s="193" cm="1">
        <f t="array" ref="CF232">SUMPRODUCT(($AN$5:$AN$19=$BQ232)*(BC$5:BC$19)*(U$40:U$54))*SUMIFS(U$74:U$103,$F$74:$F$103,$BQ232,$G$74:$G$103,$BR232)</f>
        <v>5.9900000000000002E-2</v>
      </c>
      <c r="CG232" s="193" cm="1">
        <f t="array" ref="CG232">SUMPRODUCT(($AN$5:$AN$19=$BQ232)*(BD$5:BD$19)*(V$40:V$54))*SUMIFS(V$74:V$103,$F$74:$F$103,$BQ232,$G$74:$G$103,$BR232)</f>
        <v>0.1135</v>
      </c>
      <c r="CH232" s="193" cm="1">
        <f t="array" ref="CH232">SUMPRODUCT(($AN$5:$AN$19=$BQ232)*(BE$5:BE$19)*(W$40:W$54))*SUMIFS(W$74:W$103,$F$74:$F$103,$BQ232,$G$74:$G$103,$BR232)</f>
        <v>0.77710000000000001</v>
      </c>
      <c r="CI232" s="193" cm="1">
        <f t="array" ref="CI232">SUMPRODUCT(($AN$5:$AN$19=$BQ232)*(BF$5:BF$19)*(X$40:X$54))*SUMIFS(X$74:X$103,$F$74:$F$103,$BQ232,$G$74:$G$103,$BR232)</f>
        <v>0.34560000000000002</v>
      </c>
      <c r="CJ232" s="193" cm="1">
        <f t="array" ref="CJ232">SUMPRODUCT(($AN$5:$AN$19=$BQ232)*(BG$5:BG$19)*(Y$40:Y$54))*SUMIFS(Y$74:Y$103,$F$74:$F$103,$BQ232,$G$74:$G$103,$BR232)</f>
        <v>0</v>
      </c>
      <c r="CK232" s="193" cm="1">
        <f t="array" ref="CK232">SUMPRODUCT(($AN$5:$AN$19=$BQ232)*(BH$5:BH$19)*(Z$40:Z$54))*SUMIFS(Z$74:Z$103,$F$74:$F$103,$BQ232,$G$74:$G$103,$BR232)</f>
        <v>0</v>
      </c>
      <c r="CL232" s="193" cm="1">
        <f t="array" ref="CL232">SUMPRODUCT(($AN$5:$AN$19=$BQ232)*(BI$5:BI$19)*(AA$40:AA$54))*SUMIFS(AA$74:AA$103,$F$74:$F$103,$BQ232,$G$74:$G$103,$BR232)</f>
        <v>1.2854000000000001</v>
      </c>
      <c r="CM232" s="193" cm="1">
        <f t="array" ref="CM232">SUMPRODUCT(($AN$5:$AN$19=$BQ232)*(BJ$5:BJ$19)*(AB$40:AB$54))*SUMIFS(AB$74:AB$103,$F$74:$F$103,$BQ232,$G$74:$G$103,$BR232)</f>
        <v>0</v>
      </c>
      <c r="CN232" s="193" cm="1">
        <f t="array" ref="CN232">SUMPRODUCT(($AN$5:$AN$19=$BQ232)*(BK$5:BK$19)*(AC$40:AC$54))*SUMIFS(AC$74:AC$103,$F$74:$F$103,$BQ232,$G$74:$G$103,$BR232)</f>
        <v>0</v>
      </c>
      <c r="CO232" s="193" cm="1">
        <f t="array" ref="CO232">SUMPRODUCT(($AN$5:$AN$19=$BQ232)*(BL$5:BL$19)*(AD$40:AD$54))*SUMIFS(AD$74:AD$103,$F$74:$F$103,$BQ232,$G$74:$G$103,$BR232)</f>
        <v>0</v>
      </c>
      <c r="CP232" s="193" cm="1">
        <f t="array" ref="CP232">SUMPRODUCT(($AN$5:$AN$19=$BQ232)*(BM$5:BM$19)*(AE$40:AE$54))*SUMIFS(AE$74:AE$103,$F$74:$F$103,$BQ232,$G$74:$G$103,$BR232)</f>
        <v>0</v>
      </c>
      <c r="CQ232" s="193" cm="1">
        <f t="array" ref="CQ232">SUMPRODUCT(($AN$5:$AN$19=$BQ232)*(BN$5:BN$19)*(AF$40:AF$54))*SUMIFS(AF$74:AF$103,$F$74:$F$103,$BQ232,$G$74:$G$103,$BR232)</f>
        <v>0</v>
      </c>
      <c r="CR232" s="193" cm="1">
        <f t="array" ref="CR232">SUMPRODUCT(($AN$5:$AN$19=$BQ232)*(BO$5:BO$19)*(AG$40:AG$54))*SUMIFS(AG$74:AG$103,$F$74:$F$103,$BQ232,$G$74:$G$103,$BR232)</f>
        <v>0</v>
      </c>
      <c r="CS232" s="193" cm="1">
        <f t="array" ref="CS232">SUMPRODUCT(($AN$5:$AN$19=$BQ232)*(BP$5:BP$19)*(AH$40:AH$54))*SUMIFS(AH$74:AH$103,$F$74:$F$103,$BQ232,$G$74:$G$103,$BR232)</f>
        <v>9.3500000000000014E-2</v>
      </c>
      <c r="CT232" s="193" cm="1">
        <f t="array" ref="CT232">SUMPRODUCT(($AN$5:$AN$19=$BQ232)*(BQ$5:BQ$19)*(AI$40:AI$54))*SUMIFS(AI$74:AI$103,$F$74:$F$103,$BQ232,$G$74:$G$103,$BR232)</f>
        <v>0.86969999999999992</v>
      </c>
    </row>
    <row r="233" spans="4:98" x14ac:dyDescent="0.25">
      <c r="F233" t="s">
        <v>1279</v>
      </c>
      <c r="H233" s="193">
        <f>AN232</f>
        <v>0</v>
      </c>
      <c r="I233" s="193">
        <f t="shared" ref="I233:AI233" si="164">AO232</f>
        <v>0.1305</v>
      </c>
      <c r="J233" s="193">
        <f t="shared" si="164"/>
        <v>2.9102118651442344E-2</v>
      </c>
      <c r="K233" s="193">
        <f t="shared" si="164"/>
        <v>0</v>
      </c>
      <c r="L233" s="193">
        <f t="shared" si="164"/>
        <v>1.1115000000000002</v>
      </c>
      <c r="M233" s="193">
        <f t="shared" si="164"/>
        <v>0.28159572749554618</v>
      </c>
      <c r="N233" s="193">
        <f t="shared" si="164"/>
        <v>0</v>
      </c>
      <c r="O233" s="193">
        <f t="shared" si="164"/>
        <v>0</v>
      </c>
      <c r="P233" s="193">
        <f t="shared" si="164"/>
        <v>4.1648696078626557</v>
      </c>
      <c r="Q233" s="193">
        <f t="shared" si="164"/>
        <v>0.27310000000000001</v>
      </c>
      <c r="R233" s="193">
        <f t="shared" si="164"/>
        <v>0</v>
      </c>
      <c r="S233" s="193">
        <f t="shared" si="164"/>
        <v>6.0066270223878293</v>
      </c>
      <c r="T233" s="193">
        <f t="shared" si="164"/>
        <v>0.15140000000000001</v>
      </c>
      <c r="U233" s="193">
        <f t="shared" si="164"/>
        <v>5.9900000000000002E-2</v>
      </c>
      <c r="V233" s="193">
        <f t="shared" si="164"/>
        <v>0.1135</v>
      </c>
      <c r="W233" s="193">
        <f t="shared" si="164"/>
        <v>0.77710000000000001</v>
      </c>
      <c r="X233" s="193">
        <f t="shared" si="164"/>
        <v>0.34560000000000002</v>
      </c>
      <c r="Y233" s="193">
        <f t="shared" si="164"/>
        <v>0</v>
      </c>
      <c r="Z233" s="193">
        <f t="shared" si="164"/>
        <v>0</v>
      </c>
      <c r="AA233" s="193">
        <f t="shared" si="164"/>
        <v>1.2854000000000001</v>
      </c>
      <c r="AB233" s="193">
        <f t="shared" si="164"/>
        <v>0</v>
      </c>
      <c r="AC233" s="193">
        <f t="shared" si="164"/>
        <v>0</v>
      </c>
      <c r="AD233" s="193">
        <f t="shared" si="164"/>
        <v>0</v>
      </c>
      <c r="AE233" s="193">
        <f t="shared" si="164"/>
        <v>0</v>
      </c>
      <c r="AF233" s="193">
        <f t="shared" si="164"/>
        <v>0</v>
      </c>
      <c r="AG233" s="193">
        <f t="shared" si="164"/>
        <v>0</v>
      </c>
      <c r="AH233" s="193">
        <f t="shared" si="164"/>
        <v>9.3500000000000014E-2</v>
      </c>
      <c r="AI233" s="193">
        <f t="shared" si="164"/>
        <v>0.86969999999999992</v>
      </c>
      <c r="AN233" s="193"/>
      <c r="AO233" s="193"/>
      <c r="AP233" s="193"/>
      <c r="AQ233" s="193"/>
      <c r="AR233" s="193"/>
      <c r="AS233" s="193"/>
      <c r="AT233" s="193"/>
      <c r="AU233" s="193"/>
      <c r="AV233" s="193"/>
      <c r="AW233" s="193"/>
      <c r="AX233" s="193"/>
      <c r="AY233" s="193"/>
      <c r="AZ233" s="193"/>
      <c r="BA233" s="193"/>
      <c r="BB233" s="193"/>
      <c r="BC233" s="193"/>
      <c r="BD233" s="193"/>
      <c r="BE233" s="193"/>
      <c r="BF233" s="193"/>
      <c r="BG233" s="193"/>
      <c r="BH233" s="193"/>
      <c r="BI233" s="193"/>
      <c r="BJ233" s="193"/>
      <c r="BK233" s="193"/>
      <c r="BL233" s="193"/>
      <c r="BM233" s="193"/>
      <c r="BN233" s="193"/>
      <c r="BO233" s="193"/>
      <c r="BS233" s="193"/>
      <c r="BT233" s="193"/>
      <c r="BU233" s="193"/>
      <c r="BV233" s="193"/>
      <c r="BW233" s="193"/>
      <c r="BX233" s="193"/>
      <c r="BY233" s="193"/>
      <c r="BZ233" s="193"/>
      <c r="CA233" s="193"/>
      <c r="CB233" s="193"/>
      <c r="CC233" s="193"/>
      <c r="CD233" s="193"/>
      <c r="CE233" s="193"/>
      <c r="CF233" s="193"/>
      <c r="CG233" s="193"/>
      <c r="CH233" s="193"/>
      <c r="CI233" s="193"/>
      <c r="CJ233" s="193"/>
      <c r="CK233" s="193"/>
      <c r="CL233" s="193"/>
      <c r="CM233" s="193"/>
      <c r="CN233" s="193"/>
      <c r="CO233" s="193"/>
      <c r="CP233" s="193"/>
      <c r="CQ233" s="193"/>
      <c r="CR233" s="193"/>
      <c r="CS233" s="193"/>
      <c r="CT233" s="193"/>
    </row>
    <row r="234" spans="4:98" x14ac:dyDescent="0.25">
      <c r="D234" t="s">
        <v>1703</v>
      </c>
      <c r="E234">
        <v>30</v>
      </c>
      <c r="F234" t="s">
        <v>470</v>
      </c>
      <c r="G234" t="s">
        <v>1701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c r="AD234">
        <v>1</v>
      </c>
      <c r="AE234">
        <v>1</v>
      </c>
      <c r="AF234">
        <v>1</v>
      </c>
      <c r="AG234">
        <v>1</v>
      </c>
      <c r="AH234">
        <v>1</v>
      </c>
      <c r="AI234">
        <v>1</v>
      </c>
      <c r="AN234" s="193"/>
      <c r="AO234" s="193"/>
      <c r="AP234" s="193"/>
      <c r="AQ234" s="193"/>
      <c r="AR234" s="193"/>
      <c r="AS234" s="193"/>
      <c r="AT234" s="193"/>
      <c r="AU234" s="193"/>
      <c r="AV234" s="193"/>
      <c r="AW234" s="193"/>
      <c r="AX234" s="193"/>
      <c r="AY234" s="193"/>
      <c r="AZ234" s="193"/>
      <c r="BA234" s="193"/>
      <c r="BB234" s="193"/>
      <c r="BC234" s="193"/>
      <c r="BD234" s="193"/>
      <c r="BE234" s="193"/>
      <c r="BF234" s="193"/>
      <c r="BG234" s="193"/>
      <c r="BH234" s="193"/>
      <c r="BI234" s="193"/>
      <c r="BJ234" s="193"/>
      <c r="BK234" s="193"/>
      <c r="BL234" s="193"/>
      <c r="BM234" s="193"/>
      <c r="BN234" s="193"/>
      <c r="BO234" s="193"/>
      <c r="BS234" s="193"/>
      <c r="BT234" s="193"/>
      <c r="BU234" s="193"/>
      <c r="BV234" s="193"/>
      <c r="BW234" s="193"/>
      <c r="BX234" s="193"/>
      <c r="BY234" s="193"/>
      <c r="BZ234" s="193"/>
      <c r="CA234" s="193"/>
      <c r="CB234" s="193"/>
      <c r="CC234" s="193"/>
      <c r="CD234" s="193"/>
      <c r="CE234" s="193"/>
      <c r="CF234" s="193"/>
      <c r="CG234" s="193"/>
      <c r="CH234" s="193"/>
      <c r="CI234" s="193"/>
      <c r="CJ234" s="193"/>
      <c r="CK234" s="193"/>
      <c r="CL234" s="193"/>
      <c r="CM234" s="193"/>
      <c r="CN234" s="193"/>
      <c r="CO234" s="193"/>
      <c r="CP234" s="193"/>
      <c r="CQ234" s="193"/>
      <c r="CR234" s="193"/>
      <c r="CS234" s="193"/>
      <c r="CT234" s="193"/>
    </row>
    <row r="235" spans="4:98" x14ac:dyDescent="0.25">
      <c r="F235" t="s">
        <v>472</v>
      </c>
      <c r="G235" t="s">
        <v>1258</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c r="AD235">
        <v>1</v>
      </c>
      <c r="AE235">
        <v>1</v>
      </c>
      <c r="AF235">
        <v>1</v>
      </c>
      <c r="AG235">
        <v>1</v>
      </c>
      <c r="AH235">
        <v>1</v>
      </c>
      <c r="AI235">
        <v>1</v>
      </c>
      <c r="AM235" t="s">
        <v>1258</v>
      </c>
      <c r="AN235" s="193">
        <f>(H235/H234)*BS235</f>
        <v>0</v>
      </c>
      <c r="AO235" s="193">
        <f t="shared" ref="AO235:BO235" si="165">(I235/I234)*BT235</f>
        <v>0</v>
      </c>
      <c r="AP235" s="193">
        <f t="shared" si="165"/>
        <v>0</v>
      </c>
      <c r="AQ235" s="193">
        <f t="shared" si="165"/>
        <v>0</v>
      </c>
      <c r="AR235" s="193">
        <f t="shared" si="165"/>
        <v>0</v>
      </c>
      <c r="AS235" s="193">
        <f t="shared" si="165"/>
        <v>0</v>
      </c>
      <c r="AT235" s="193">
        <f t="shared" si="165"/>
        <v>0</v>
      </c>
      <c r="AU235" s="193">
        <f t="shared" si="165"/>
        <v>0</v>
      </c>
      <c r="AV235" s="193">
        <f t="shared" si="165"/>
        <v>0</v>
      </c>
      <c r="AW235" s="193">
        <f t="shared" si="165"/>
        <v>0</v>
      </c>
      <c r="AX235" s="193">
        <f t="shared" si="165"/>
        <v>0</v>
      </c>
      <c r="AY235" s="193">
        <f t="shared" si="165"/>
        <v>0</v>
      </c>
      <c r="AZ235" s="193">
        <f t="shared" si="165"/>
        <v>0</v>
      </c>
      <c r="BA235" s="193">
        <f t="shared" si="165"/>
        <v>0</v>
      </c>
      <c r="BB235" s="193">
        <f t="shared" si="165"/>
        <v>0</v>
      </c>
      <c r="BC235" s="193">
        <f t="shared" si="165"/>
        <v>0</v>
      </c>
      <c r="BD235" s="193">
        <f t="shared" si="165"/>
        <v>0</v>
      </c>
      <c r="BE235" s="193">
        <f t="shared" si="165"/>
        <v>0</v>
      </c>
      <c r="BF235" s="193">
        <f t="shared" si="165"/>
        <v>0</v>
      </c>
      <c r="BG235" s="193">
        <f t="shared" si="165"/>
        <v>0</v>
      </c>
      <c r="BH235" s="193">
        <f t="shared" si="165"/>
        <v>0</v>
      </c>
      <c r="BI235" s="193">
        <f t="shared" si="165"/>
        <v>0</v>
      </c>
      <c r="BJ235" s="193">
        <f t="shared" si="165"/>
        <v>0</v>
      </c>
      <c r="BK235" s="193">
        <f t="shared" si="165"/>
        <v>0</v>
      </c>
      <c r="BL235" s="193">
        <f t="shared" si="165"/>
        <v>0</v>
      </c>
      <c r="BM235" s="193">
        <f t="shared" si="165"/>
        <v>0</v>
      </c>
      <c r="BN235" s="193">
        <f t="shared" si="165"/>
        <v>0</v>
      </c>
      <c r="BO235" s="193">
        <f t="shared" si="165"/>
        <v>0</v>
      </c>
      <c r="BQ235" t="s">
        <v>1701</v>
      </c>
      <c r="BR235" t="s">
        <v>1258</v>
      </c>
      <c r="BS235" s="193" cm="1">
        <f t="array" ref="BS235">SUMPRODUCT(($AN$5:$AN$19=$BQ235)*(AP$5:AP$19)*(H$40:H$54))*SUMIFS(H$74:H$103,$F$74:$F$103,$BQ235,$G$74:$G$103,$BR235)</f>
        <v>0</v>
      </c>
      <c r="BT235" s="193" cm="1">
        <f t="array" ref="BT235">SUMPRODUCT(($AN$5:$AN$19=$BQ235)*(AQ$5:AQ$19)*(I$40:I$54))*SUMIFS(I$74:I$103,$F$74:$F$103,$BQ235,$G$74:$G$103,$BR235)</f>
        <v>0</v>
      </c>
      <c r="BU235" s="193" cm="1">
        <f t="array" ref="BU235">SUMPRODUCT(($AN$5:$AN$19=$BQ235)*(AR$5:AR$19)*(J$40:J$54))*SUMIFS(J$74:J$103,$F$74:$F$103,$BQ235,$G$74:$G$103,$BR235)</f>
        <v>0</v>
      </c>
      <c r="BV235" s="193" cm="1">
        <f t="array" ref="BV235">SUMPRODUCT(($AN$5:$AN$19=$BQ235)*(AS$5:AS$19)*(K$40:K$54))*SUMIFS(K$74:K$103,$F$74:$F$103,$BQ235,$G$74:$G$103,$BR235)</f>
        <v>0</v>
      </c>
      <c r="BW235" s="193" cm="1">
        <f t="array" ref="BW235">SUMPRODUCT(($AN$5:$AN$19=$BQ235)*(AT$5:AT$19)*(L$40:L$54))*SUMIFS(L$74:L$103,$F$74:$F$103,$BQ235,$G$74:$G$103,$BR235)</f>
        <v>0</v>
      </c>
      <c r="BX235" s="193" cm="1">
        <f t="array" ref="BX235">SUMPRODUCT(($AN$5:$AN$19=$BQ235)*(AU$5:AU$19)*(M$40:M$54))*SUMIFS(M$74:M$103,$F$74:$F$103,$BQ235,$G$74:$G$103,$BR235)</f>
        <v>0</v>
      </c>
      <c r="BY235" s="193" cm="1">
        <f t="array" ref="BY235">SUMPRODUCT(($AN$5:$AN$19=$BQ235)*(AV$5:AV$19)*(N$40:N$54))*SUMIFS(N$74:N$103,$F$74:$F$103,$BQ235,$G$74:$G$103,$BR235)</f>
        <v>0</v>
      </c>
      <c r="BZ235" s="193" cm="1">
        <f t="array" ref="BZ235">SUMPRODUCT(($AN$5:$AN$19=$BQ235)*(AW$5:AW$19)*(O$40:O$54))*SUMIFS(O$74:O$103,$F$74:$F$103,$BQ235,$G$74:$G$103,$BR235)</f>
        <v>0</v>
      </c>
      <c r="CA235" s="193" cm="1">
        <f t="array" ref="CA235">SUMPRODUCT(($AN$5:$AN$19=$BQ235)*(AX$5:AX$19)*(P$40:P$54))*SUMIFS(P$74:P$103,$F$74:$F$103,$BQ235,$G$74:$G$103,$BR235)</f>
        <v>0</v>
      </c>
      <c r="CB235" s="193" cm="1">
        <f t="array" ref="CB235">SUMPRODUCT(($AN$5:$AN$19=$BQ235)*(AY$5:AY$19)*(Q$40:Q$54))*SUMIFS(Q$74:Q$103,$F$74:$F$103,$BQ235,$G$74:$G$103,$BR235)</f>
        <v>0</v>
      </c>
      <c r="CC235" s="193" cm="1">
        <f t="array" ref="CC235">SUMPRODUCT(($AN$5:$AN$19=$BQ235)*(AZ$5:AZ$19)*(R$40:R$54))*SUMIFS(R$74:R$103,$F$74:$F$103,$BQ235,$G$74:$G$103,$BR235)</f>
        <v>0</v>
      </c>
      <c r="CD235" s="193" cm="1">
        <f t="array" ref="CD235">SUMPRODUCT(($AN$5:$AN$19=$BQ235)*(BA$5:BA$19)*(S$40:S$54))*SUMIFS(S$74:S$103,$F$74:$F$103,$BQ235,$G$74:$G$103,$BR235)</f>
        <v>0</v>
      </c>
      <c r="CE235" s="193" cm="1">
        <f t="array" ref="CE235">SUMPRODUCT(($AN$5:$AN$19=$BQ235)*(BB$5:BB$19)*(T$40:T$54))*SUMIFS(T$74:T$103,$F$74:$F$103,$BQ235,$G$74:$G$103,$BR235)</f>
        <v>0</v>
      </c>
      <c r="CF235" s="193" cm="1">
        <f t="array" ref="CF235">SUMPRODUCT(($AN$5:$AN$19=$BQ235)*(BC$5:BC$19)*(U$40:U$54))*SUMIFS(U$74:U$103,$F$74:$F$103,$BQ235,$G$74:$G$103,$BR235)</f>
        <v>0</v>
      </c>
      <c r="CG235" s="193" cm="1">
        <f t="array" ref="CG235">SUMPRODUCT(($AN$5:$AN$19=$BQ235)*(BD$5:BD$19)*(V$40:V$54))*SUMIFS(V$74:V$103,$F$74:$F$103,$BQ235,$G$74:$G$103,$BR235)</f>
        <v>0</v>
      </c>
      <c r="CH235" s="193" cm="1">
        <f t="array" ref="CH235">SUMPRODUCT(($AN$5:$AN$19=$BQ235)*(BE$5:BE$19)*(W$40:W$54))*SUMIFS(W$74:W$103,$F$74:$F$103,$BQ235,$G$74:$G$103,$BR235)</f>
        <v>0</v>
      </c>
      <c r="CI235" s="193" cm="1">
        <f t="array" ref="CI235">SUMPRODUCT(($AN$5:$AN$19=$BQ235)*(BF$5:BF$19)*(X$40:X$54))*SUMIFS(X$74:X$103,$F$74:$F$103,$BQ235,$G$74:$G$103,$BR235)</f>
        <v>0</v>
      </c>
      <c r="CJ235" s="193" cm="1">
        <f t="array" ref="CJ235">SUMPRODUCT(($AN$5:$AN$19=$BQ235)*(BG$5:BG$19)*(Y$40:Y$54))*SUMIFS(Y$74:Y$103,$F$74:$F$103,$BQ235,$G$74:$G$103,$BR235)</f>
        <v>0</v>
      </c>
      <c r="CK235" s="193" cm="1">
        <f t="array" ref="CK235">SUMPRODUCT(($AN$5:$AN$19=$BQ235)*(BH$5:BH$19)*(Z$40:Z$54))*SUMIFS(Z$74:Z$103,$F$74:$F$103,$BQ235,$G$74:$G$103,$BR235)</f>
        <v>0</v>
      </c>
      <c r="CL235" s="193" cm="1">
        <f t="array" ref="CL235">SUMPRODUCT(($AN$5:$AN$19=$BQ235)*(BI$5:BI$19)*(AA$40:AA$54))*SUMIFS(AA$74:AA$103,$F$74:$F$103,$BQ235,$G$74:$G$103,$BR235)</f>
        <v>0</v>
      </c>
      <c r="CM235" s="193" cm="1">
        <f t="array" ref="CM235">SUMPRODUCT(($AN$5:$AN$19=$BQ235)*(BJ$5:BJ$19)*(AB$40:AB$54))*SUMIFS(AB$74:AB$103,$F$74:$F$103,$BQ235,$G$74:$G$103,$BR235)</f>
        <v>0</v>
      </c>
      <c r="CN235" s="193" cm="1">
        <f t="array" ref="CN235">SUMPRODUCT(($AN$5:$AN$19=$BQ235)*(BK$5:BK$19)*(AC$40:AC$54))*SUMIFS(AC$74:AC$103,$F$74:$F$103,$BQ235,$G$74:$G$103,$BR235)</f>
        <v>0</v>
      </c>
      <c r="CO235" s="193" cm="1">
        <f t="array" ref="CO235">SUMPRODUCT(($AN$5:$AN$19=$BQ235)*(BL$5:BL$19)*(AD$40:AD$54))*SUMIFS(AD$74:AD$103,$F$74:$F$103,$BQ235,$G$74:$G$103,$BR235)</f>
        <v>0</v>
      </c>
      <c r="CP235" s="193" cm="1">
        <f t="array" ref="CP235">SUMPRODUCT(($AN$5:$AN$19=$BQ235)*(BM$5:BM$19)*(AE$40:AE$54))*SUMIFS(AE$74:AE$103,$F$74:$F$103,$BQ235,$G$74:$G$103,$BR235)</f>
        <v>0</v>
      </c>
      <c r="CQ235" s="193" cm="1">
        <f t="array" ref="CQ235">SUMPRODUCT(($AN$5:$AN$19=$BQ235)*(BN$5:BN$19)*(AF$40:AF$54))*SUMIFS(AF$74:AF$103,$F$74:$F$103,$BQ235,$G$74:$G$103,$BR235)</f>
        <v>0</v>
      </c>
      <c r="CR235" s="193" cm="1">
        <f t="array" ref="CR235">SUMPRODUCT(($AN$5:$AN$19=$BQ235)*(BO$5:BO$19)*(AG$40:AG$54))*SUMIFS(AG$74:AG$103,$F$74:$F$103,$BQ235,$G$74:$G$103,$BR235)</f>
        <v>0</v>
      </c>
      <c r="CS235" s="193" cm="1">
        <f t="array" ref="CS235">SUMPRODUCT(($AN$5:$AN$19=$BQ235)*(BP$5:BP$19)*(AH$40:AH$54))*SUMIFS(AH$74:AH$103,$F$74:$F$103,$BQ235,$G$74:$G$103,$BR235)</f>
        <v>0</v>
      </c>
      <c r="CT235" s="193" cm="1">
        <f t="array" ref="CT235">SUMPRODUCT(($AN$5:$AN$19=$BQ235)*(BQ$5:BQ$19)*(AI$40:AI$54))*SUMIFS(AI$74:AI$103,$F$74:$F$103,$BQ235,$G$74:$G$103,$BR235)</f>
        <v>0</v>
      </c>
    </row>
    <row r="236" spans="4:98" x14ac:dyDescent="0.25">
      <c r="F236" t="s">
        <v>1279</v>
      </c>
      <c r="H236" s="193">
        <f>AN235</f>
        <v>0</v>
      </c>
      <c r="I236" s="193">
        <f t="shared" ref="I236:AI236" si="166">AO235</f>
        <v>0</v>
      </c>
      <c r="J236" s="193">
        <f t="shared" si="166"/>
        <v>0</v>
      </c>
      <c r="K236" s="193">
        <f t="shared" si="166"/>
        <v>0</v>
      </c>
      <c r="L236" s="193">
        <f t="shared" si="166"/>
        <v>0</v>
      </c>
      <c r="M236" s="193">
        <f t="shared" si="166"/>
        <v>0</v>
      </c>
      <c r="N236" s="193">
        <f t="shared" si="166"/>
        <v>0</v>
      </c>
      <c r="O236" s="193">
        <f t="shared" si="166"/>
        <v>0</v>
      </c>
      <c r="P236" s="193">
        <f t="shared" si="166"/>
        <v>0</v>
      </c>
      <c r="Q236" s="193">
        <f t="shared" si="166"/>
        <v>0</v>
      </c>
      <c r="R236" s="193">
        <f t="shared" si="166"/>
        <v>0</v>
      </c>
      <c r="S236" s="193">
        <f t="shared" si="166"/>
        <v>0</v>
      </c>
      <c r="T236" s="193">
        <f t="shared" si="166"/>
        <v>0</v>
      </c>
      <c r="U236" s="193">
        <f t="shared" si="166"/>
        <v>0</v>
      </c>
      <c r="V236" s="193">
        <f t="shared" si="166"/>
        <v>0</v>
      </c>
      <c r="W236" s="193">
        <f t="shared" si="166"/>
        <v>0</v>
      </c>
      <c r="X236" s="193">
        <f t="shared" si="166"/>
        <v>0</v>
      </c>
      <c r="Y236" s="193">
        <f t="shared" si="166"/>
        <v>0</v>
      </c>
      <c r="Z236" s="193">
        <f t="shared" si="166"/>
        <v>0</v>
      </c>
      <c r="AA236" s="193">
        <f t="shared" si="166"/>
        <v>0</v>
      </c>
      <c r="AB236" s="193">
        <f t="shared" si="166"/>
        <v>0</v>
      </c>
      <c r="AC236" s="193">
        <f t="shared" si="166"/>
        <v>0</v>
      </c>
      <c r="AD236" s="193">
        <f t="shared" si="166"/>
        <v>0</v>
      </c>
      <c r="AE236" s="193">
        <f t="shared" si="166"/>
        <v>0</v>
      </c>
      <c r="AF236" s="193">
        <f t="shared" si="166"/>
        <v>0</v>
      </c>
      <c r="AG236" s="193">
        <f t="shared" si="166"/>
        <v>0</v>
      </c>
      <c r="AH236" s="193">
        <f t="shared" si="166"/>
        <v>0</v>
      </c>
      <c r="AI236" s="193">
        <f t="shared" si="166"/>
        <v>0</v>
      </c>
      <c r="AN236" s="193"/>
      <c r="AO236" s="193"/>
      <c r="AP236" s="193"/>
      <c r="AQ236" s="193"/>
      <c r="AR236" s="193"/>
      <c r="AS236" s="193"/>
      <c r="AT236" s="193"/>
      <c r="AU236" s="193"/>
      <c r="AV236" s="193"/>
      <c r="AW236" s="193"/>
      <c r="AX236" s="193"/>
      <c r="AY236" s="193"/>
      <c r="AZ236" s="193"/>
      <c r="BA236" s="193"/>
      <c r="BB236" s="193"/>
      <c r="BC236" s="193"/>
      <c r="BD236" s="193"/>
      <c r="BE236" s="193"/>
      <c r="BF236" s="193"/>
      <c r="BG236" s="193"/>
      <c r="BH236" s="193"/>
      <c r="BI236" s="193"/>
      <c r="BJ236" s="193"/>
      <c r="BK236" s="193"/>
      <c r="BL236" s="193"/>
      <c r="BM236" s="193"/>
      <c r="BN236" s="193"/>
      <c r="BO236" s="193"/>
      <c r="BS236" s="193"/>
      <c r="BT236" s="193"/>
      <c r="BU236" s="193"/>
      <c r="BV236" s="193"/>
      <c r="BW236" s="193"/>
      <c r="BX236" s="193"/>
      <c r="BY236" s="193"/>
      <c r="BZ236" s="193"/>
      <c r="CA236" s="193"/>
      <c r="CB236" s="193"/>
      <c r="CC236" s="193"/>
      <c r="CD236" s="193"/>
      <c r="CE236" s="193"/>
      <c r="CF236" s="193"/>
      <c r="CG236" s="193"/>
      <c r="CH236" s="193"/>
      <c r="CI236" s="193"/>
      <c r="CJ236" s="193"/>
      <c r="CK236" s="193"/>
      <c r="CL236" s="193"/>
      <c r="CM236" s="193"/>
      <c r="CN236" s="193"/>
      <c r="CO236" s="193"/>
      <c r="CP236" s="193"/>
      <c r="CQ236" s="193"/>
      <c r="CR236" s="193"/>
      <c r="CS236" s="193"/>
      <c r="CT236" s="193"/>
    </row>
    <row r="237" spans="4:98" x14ac:dyDescent="0.25">
      <c r="D237" t="s">
        <v>1180</v>
      </c>
      <c r="E237">
        <v>30</v>
      </c>
      <c r="F237" t="s">
        <v>470</v>
      </c>
      <c r="G237" t="s">
        <v>137</v>
      </c>
      <c r="H237">
        <v>1</v>
      </c>
      <c r="I237">
        <v>1</v>
      </c>
      <c r="J237">
        <v>1</v>
      </c>
      <c r="K237">
        <v>1</v>
      </c>
      <c r="L237">
        <v>1</v>
      </c>
      <c r="M237">
        <v>1</v>
      </c>
      <c r="N237">
        <v>1</v>
      </c>
      <c r="O237">
        <v>1</v>
      </c>
      <c r="P237">
        <v>1</v>
      </c>
      <c r="Q237">
        <v>1</v>
      </c>
      <c r="R237">
        <v>1</v>
      </c>
      <c r="S237">
        <v>1</v>
      </c>
      <c r="T237">
        <v>1</v>
      </c>
      <c r="U237">
        <v>1</v>
      </c>
      <c r="V237">
        <v>1</v>
      </c>
      <c r="W237">
        <v>1</v>
      </c>
      <c r="X237">
        <v>1</v>
      </c>
      <c r="Y237">
        <v>1</v>
      </c>
      <c r="Z237">
        <v>1</v>
      </c>
      <c r="AA237">
        <v>1</v>
      </c>
      <c r="AB237">
        <v>1</v>
      </c>
      <c r="AC237">
        <v>1</v>
      </c>
      <c r="AD237">
        <v>1</v>
      </c>
      <c r="AE237">
        <v>1</v>
      </c>
      <c r="AF237">
        <v>1</v>
      </c>
      <c r="AG237">
        <v>1</v>
      </c>
      <c r="AH237">
        <v>1</v>
      </c>
      <c r="AI237">
        <v>1</v>
      </c>
      <c r="AN237" s="193"/>
      <c r="AO237" s="193"/>
      <c r="AP237" s="193"/>
      <c r="AQ237" s="193"/>
      <c r="AR237" s="193"/>
      <c r="AS237" s="193"/>
      <c r="AT237" s="193"/>
      <c r="AU237" s="193"/>
      <c r="AV237" s="193"/>
      <c r="AW237" s="193"/>
      <c r="AX237" s="193"/>
      <c r="AY237" s="193"/>
      <c r="AZ237" s="193"/>
      <c r="BA237" s="193"/>
      <c r="BB237" s="193"/>
      <c r="BC237" s="193"/>
      <c r="BD237" s="193"/>
      <c r="BE237" s="193"/>
      <c r="BF237" s="193"/>
      <c r="BG237" s="193"/>
      <c r="BH237" s="193"/>
      <c r="BI237" s="193"/>
      <c r="BJ237" s="193"/>
      <c r="BK237" s="193"/>
      <c r="BL237" s="193"/>
      <c r="BM237" s="193"/>
      <c r="BN237" s="193"/>
      <c r="BO237" s="193"/>
      <c r="BS237" s="193"/>
      <c r="BT237" s="193"/>
      <c r="BU237" s="193"/>
      <c r="BV237" s="193"/>
      <c r="BW237" s="193"/>
      <c r="BX237" s="193"/>
      <c r="BY237" s="193"/>
      <c r="BZ237" s="193"/>
      <c r="CA237" s="193"/>
      <c r="CB237" s="193"/>
      <c r="CC237" s="193"/>
      <c r="CD237" s="193"/>
      <c r="CE237" s="193"/>
      <c r="CF237" s="193"/>
      <c r="CG237" s="193"/>
      <c r="CH237" s="193"/>
      <c r="CI237" s="193"/>
      <c r="CJ237" s="193"/>
      <c r="CK237" s="193"/>
      <c r="CL237" s="193"/>
      <c r="CM237" s="193"/>
      <c r="CN237" s="193"/>
      <c r="CO237" s="193"/>
      <c r="CP237" s="193"/>
      <c r="CQ237" s="193"/>
      <c r="CR237" s="193"/>
      <c r="CS237" s="193"/>
      <c r="CT237" s="193"/>
    </row>
    <row r="238" spans="4:98" x14ac:dyDescent="0.25">
      <c r="F238" t="s">
        <v>472</v>
      </c>
      <c r="G238" t="s">
        <v>1258</v>
      </c>
      <c r="H238">
        <v>1</v>
      </c>
      <c r="I238">
        <v>1</v>
      </c>
      <c r="J238">
        <v>1</v>
      </c>
      <c r="K238">
        <v>1</v>
      </c>
      <c r="L238">
        <v>1</v>
      </c>
      <c r="M238">
        <v>1</v>
      </c>
      <c r="N238">
        <v>1</v>
      </c>
      <c r="O238">
        <v>1</v>
      </c>
      <c r="P238">
        <v>1</v>
      </c>
      <c r="Q238">
        <v>1</v>
      </c>
      <c r="R238">
        <v>1</v>
      </c>
      <c r="S238">
        <v>1</v>
      </c>
      <c r="T238">
        <v>1</v>
      </c>
      <c r="U238">
        <v>1</v>
      </c>
      <c r="V238">
        <v>1</v>
      </c>
      <c r="W238">
        <v>1</v>
      </c>
      <c r="X238">
        <v>1</v>
      </c>
      <c r="Y238">
        <v>1</v>
      </c>
      <c r="Z238">
        <v>1</v>
      </c>
      <c r="AA238">
        <v>1</v>
      </c>
      <c r="AB238">
        <v>1</v>
      </c>
      <c r="AC238">
        <v>1</v>
      </c>
      <c r="AD238">
        <v>1</v>
      </c>
      <c r="AE238">
        <v>1</v>
      </c>
      <c r="AF238">
        <v>1</v>
      </c>
      <c r="AG238">
        <v>1</v>
      </c>
      <c r="AH238">
        <v>1</v>
      </c>
      <c r="AI238">
        <v>1</v>
      </c>
      <c r="AM238" t="s">
        <v>1258</v>
      </c>
      <c r="AN238" s="193">
        <f>(H238/H237)*BS238</f>
        <v>0</v>
      </c>
      <c r="AO238" s="193">
        <f t="shared" ref="AO238:BO238" si="167">(I238/I237)*BT238</f>
        <v>0</v>
      </c>
      <c r="AP238" s="193">
        <f t="shared" si="167"/>
        <v>0</v>
      </c>
      <c r="AQ238" s="193">
        <f t="shared" si="167"/>
        <v>0</v>
      </c>
      <c r="AR238" s="193">
        <f t="shared" si="167"/>
        <v>0</v>
      </c>
      <c r="AS238" s="193">
        <f t="shared" si="167"/>
        <v>0</v>
      </c>
      <c r="AT238" s="193">
        <f t="shared" si="167"/>
        <v>0</v>
      </c>
      <c r="AU238" s="193">
        <f t="shared" si="167"/>
        <v>0</v>
      </c>
      <c r="AV238" s="193">
        <f t="shared" si="167"/>
        <v>0</v>
      </c>
      <c r="AW238" s="193">
        <f t="shared" si="167"/>
        <v>0</v>
      </c>
      <c r="AX238" s="193">
        <f t="shared" si="167"/>
        <v>0</v>
      </c>
      <c r="AY238" s="193">
        <f t="shared" si="167"/>
        <v>0</v>
      </c>
      <c r="AZ238" s="193">
        <f t="shared" si="167"/>
        <v>0</v>
      </c>
      <c r="BA238" s="193">
        <f t="shared" si="167"/>
        <v>0</v>
      </c>
      <c r="BB238" s="193">
        <f t="shared" si="167"/>
        <v>0</v>
      </c>
      <c r="BC238" s="193">
        <f t="shared" si="167"/>
        <v>0.01</v>
      </c>
      <c r="BD238" s="193">
        <f t="shared" si="167"/>
        <v>0</v>
      </c>
      <c r="BE238" s="193">
        <f t="shared" si="167"/>
        <v>0</v>
      </c>
      <c r="BF238" s="193">
        <f t="shared" si="167"/>
        <v>0</v>
      </c>
      <c r="BG238" s="193">
        <f t="shared" si="167"/>
        <v>0</v>
      </c>
      <c r="BH238" s="193">
        <f t="shared" si="167"/>
        <v>0</v>
      </c>
      <c r="BI238" s="193">
        <f t="shared" si="167"/>
        <v>0</v>
      </c>
      <c r="BJ238" s="193">
        <f t="shared" si="167"/>
        <v>0</v>
      </c>
      <c r="BK238" s="193">
        <f t="shared" si="167"/>
        <v>0</v>
      </c>
      <c r="BL238" s="193">
        <f t="shared" si="167"/>
        <v>0</v>
      </c>
      <c r="BM238" s="193">
        <f t="shared" si="167"/>
        <v>0</v>
      </c>
      <c r="BN238" s="193">
        <f t="shared" si="167"/>
        <v>0</v>
      </c>
      <c r="BO238" s="193">
        <f t="shared" si="167"/>
        <v>0</v>
      </c>
      <c r="BQ238" t="s">
        <v>137</v>
      </c>
      <c r="BR238" t="s">
        <v>1258</v>
      </c>
      <c r="BS238" s="193" cm="1">
        <f t="array" ref="BS238">SUMPRODUCT(($AN$5:$AN$19=$BQ238)*(AP$5:AP$19)*(H$40:H$54))*SUMIFS(H$74:H$103,$F$74:$F$103,$BQ238,$G$74:$G$103,$BR238)</f>
        <v>0</v>
      </c>
      <c r="BT238" s="193" cm="1">
        <f t="array" ref="BT238">SUMPRODUCT(($AN$5:$AN$19=$BQ238)*(AQ$5:AQ$19)*(I$40:I$54))*SUMIFS(I$74:I$103,$F$74:$F$103,$BQ238,$G$74:$G$103,$BR238)</f>
        <v>0</v>
      </c>
      <c r="BU238" s="193" cm="1">
        <f t="array" ref="BU238">SUMPRODUCT(($AN$5:$AN$19=$BQ238)*(AR$5:AR$19)*(J$40:J$54))*SUMIFS(J$74:J$103,$F$74:$F$103,$BQ238,$G$74:$G$103,$BR238)</f>
        <v>0</v>
      </c>
      <c r="BV238" s="193" cm="1">
        <f t="array" ref="BV238">SUMPRODUCT(($AN$5:$AN$19=$BQ238)*(AS$5:AS$19)*(K$40:K$54))*SUMIFS(K$74:K$103,$F$74:$F$103,$BQ238,$G$74:$G$103,$BR238)</f>
        <v>0</v>
      </c>
      <c r="BW238" s="193" cm="1">
        <f t="array" ref="BW238">SUMPRODUCT(($AN$5:$AN$19=$BQ238)*(AT$5:AT$19)*(L$40:L$54))*SUMIFS(L$74:L$103,$F$74:$F$103,$BQ238,$G$74:$G$103,$BR238)</f>
        <v>0</v>
      </c>
      <c r="BX238" s="193" cm="1">
        <f t="array" ref="BX238">SUMPRODUCT(($AN$5:$AN$19=$BQ238)*(AU$5:AU$19)*(M$40:M$54))*SUMIFS(M$74:M$103,$F$74:$F$103,$BQ238,$G$74:$G$103,$BR238)</f>
        <v>0</v>
      </c>
      <c r="BY238" s="193" cm="1">
        <f t="array" ref="BY238">SUMPRODUCT(($AN$5:$AN$19=$BQ238)*(AV$5:AV$19)*(N$40:N$54))*SUMIFS(N$74:N$103,$F$74:$F$103,$BQ238,$G$74:$G$103,$BR238)</f>
        <v>0</v>
      </c>
      <c r="BZ238" s="193" cm="1">
        <f t="array" ref="BZ238">SUMPRODUCT(($AN$5:$AN$19=$BQ238)*(AW$5:AW$19)*(O$40:O$54))*SUMIFS(O$74:O$103,$F$74:$F$103,$BQ238,$G$74:$G$103,$BR238)</f>
        <v>0</v>
      </c>
      <c r="CA238" s="193" cm="1">
        <f t="array" ref="CA238">SUMPRODUCT(($AN$5:$AN$19=$BQ238)*(AX$5:AX$19)*(P$40:P$54))*SUMIFS(P$74:P$103,$F$74:$F$103,$BQ238,$G$74:$G$103,$BR238)</f>
        <v>0</v>
      </c>
      <c r="CB238" s="193" cm="1">
        <f t="array" ref="CB238">SUMPRODUCT(($AN$5:$AN$19=$BQ238)*(AY$5:AY$19)*(Q$40:Q$54))*SUMIFS(Q$74:Q$103,$F$74:$F$103,$BQ238,$G$74:$G$103,$BR238)</f>
        <v>0</v>
      </c>
      <c r="CC238" s="193" cm="1">
        <f t="array" ref="CC238">SUMPRODUCT(($AN$5:$AN$19=$BQ238)*(AZ$5:AZ$19)*(R$40:R$54))*SUMIFS(R$74:R$103,$F$74:$F$103,$BQ238,$G$74:$G$103,$BR238)</f>
        <v>0</v>
      </c>
      <c r="CD238" s="193" cm="1">
        <f t="array" ref="CD238">SUMPRODUCT(($AN$5:$AN$19=$BQ238)*(BA$5:BA$19)*(S$40:S$54))*SUMIFS(S$74:S$103,$F$74:$F$103,$BQ238,$G$74:$G$103,$BR238)</f>
        <v>0</v>
      </c>
      <c r="CE238" s="193" cm="1">
        <f t="array" ref="CE238">SUMPRODUCT(($AN$5:$AN$19=$BQ238)*(BB$5:BB$19)*(T$40:T$54))*SUMIFS(T$74:T$103,$F$74:$F$103,$BQ238,$G$74:$G$103,$BR238)</f>
        <v>0</v>
      </c>
      <c r="CF238" s="193" cm="1">
        <f t="array" ref="CF238">SUMPRODUCT(($AN$5:$AN$19=$BQ238)*(BC$5:BC$19)*(U$40:U$54))*SUMIFS(U$74:U$103,$F$74:$F$103,$BQ238,$G$74:$G$103,$BR238)</f>
        <v>0</v>
      </c>
      <c r="CG238" s="193" cm="1">
        <f t="array" ref="CG238">SUMPRODUCT(($AN$5:$AN$19=$BQ238)*(BD$5:BD$19)*(V$40:V$54))*SUMIFS(V$74:V$103,$F$74:$F$103,$BQ238,$G$74:$G$103,$BR238)</f>
        <v>0</v>
      </c>
      <c r="CH238" s="193" cm="1">
        <f t="array" ref="CH238">SUMPRODUCT(($AN$5:$AN$19=$BQ238)*(BE$5:BE$19)*(W$40:W$54))*SUMIFS(W$74:W$103,$F$74:$F$103,$BQ238,$G$74:$G$103,$BR238)</f>
        <v>0.01</v>
      </c>
      <c r="CI238" s="193" cm="1">
        <f t="array" ref="CI238">SUMPRODUCT(($AN$5:$AN$19=$BQ238)*(BF$5:BF$19)*(X$40:X$54))*SUMIFS(X$74:X$103,$F$74:$F$103,$BQ238,$G$74:$G$103,$BR238)</f>
        <v>0</v>
      </c>
      <c r="CJ238" s="193" cm="1">
        <f t="array" ref="CJ238">SUMPRODUCT(($AN$5:$AN$19=$BQ238)*(BG$5:BG$19)*(Y$40:Y$54))*SUMIFS(Y$74:Y$103,$F$74:$F$103,$BQ238,$G$74:$G$103,$BR238)</f>
        <v>0</v>
      </c>
      <c r="CK238" s="193" cm="1">
        <f t="array" ref="CK238">SUMPRODUCT(($AN$5:$AN$19=$BQ238)*(BH$5:BH$19)*(Z$40:Z$54))*SUMIFS(Z$74:Z$103,$F$74:$F$103,$BQ238,$G$74:$G$103,$BR238)</f>
        <v>0</v>
      </c>
      <c r="CL238" s="193" cm="1">
        <f t="array" ref="CL238">SUMPRODUCT(($AN$5:$AN$19=$BQ238)*(BI$5:BI$19)*(AA$40:AA$54))*SUMIFS(AA$74:AA$103,$F$74:$F$103,$BQ238,$G$74:$G$103,$BR238)</f>
        <v>0</v>
      </c>
      <c r="CM238" s="193" cm="1">
        <f t="array" ref="CM238">SUMPRODUCT(($AN$5:$AN$19=$BQ238)*(BJ$5:BJ$19)*(AB$40:AB$54))*SUMIFS(AB$74:AB$103,$F$74:$F$103,$BQ238,$G$74:$G$103,$BR238)</f>
        <v>0</v>
      </c>
      <c r="CN238" s="193" cm="1">
        <f t="array" ref="CN238">SUMPRODUCT(($AN$5:$AN$19=$BQ238)*(BK$5:BK$19)*(AC$40:AC$54))*SUMIFS(AC$74:AC$103,$F$74:$F$103,$BQ238,$G$74:$G$103,$BR238)</f>
        <v>0</v>
      </c>
      <c r="CO238" s="193" cm="1">
        <f t="array" ref="CO238">SUMPRODUCT(($AN$5:$AN$19=$BQ238)*(BL$5:BL$19)*(AD$40:AD$54))*SUMIFS(AD$74:AD$103,$F$74:$F$103,$BQ238,$G$74:$G$103,$BR238)</f>
        <v>0</v>
      </c>
      <c r="CP238" s="193" cm="1">
        <f t="array" ref="CP238">SUMPRODUCT(($AN$5:$AN$19=$BQ238)*(BM$5:BM$19)*(AE$40:AE$54))*SUMIFS(AE$74:AE$103,$F$74:$F$103,$BQ238,$G$74:$G$103,$BR238)</f>
        <v>0</v>
      </c>
      <c r="CQ238" s="193" cm="1">
        <f t="array" ref="CQ238">SUMPRODUCT(($AN$5:$AN$19=$BQ238)*(BN$5:BN$19)*(AF$40:AF$54))*SUMIFS(AF$74:AF$103,$F$74:$F$103,$BQ238,$G$74:$G$103,$BR238)</f>
        <v>0</v>
      </c>
      <c r="CR238" s="193" cm="1">
        <f t="array" ref="CR238">SUMPRODUCT(($AN$5:$AN$19=$BQ238)*(BO$5:BO$19)*(AG$40:AG$54))*SUMIFS(AG$74:AG$103,$F$74:$F$103,$BQ238,$G$74:$G$103,$BR238)</f>
        <v>0</v>
      </c>
      <c r="CS238" s="193" cm="1">
        <f t="array" ref="CS238">SUMPRODUCT(($AN$5:$AN$19=$BQ238)*(BP$5:BP$19)*(AH$40:AH$54))*SUMIFS(AH$74:AH$103,$F$74:$F$103,$BQ238,$G$74:$G$103,$BR238)</f>
        <v>0</v>
      </c>
      <c r="CT238" s="193" cm="1">
        <f t="array" ref="CT238">SUMPRODUCT(($AN$5:$AN$19=$BQ238)*(BQ$5:BQ$19)*(AI$40:AI$54))*SUMIFS(AI$74:AI$103,$F$74:$F$103,$BQ238,$G$74:$G$103,$BR238)</f>
        <v>0</v>
      </c>
    </row>
    <row r="239" spans="4:98" x14ac:dyDescent="0.25">
      <c r="F239" t="s">
        <v>1279</v>
      </c>
      <c r="H239" s="193">
        <f>AN238</f>
        <v>0</v>
      </c>
      <c r="I239" s="193">
        <f t="shared" ref="I239:AI239" si="168">AO238</f>
        <v>0</v>
      </c>
      <c r="J239" s="193">
        <f t="shared" si="168"/>
        <v>0</v>
      </c>
      <c r="K239" s="193">
        <f t="shared" si="168"/>
        <v>0</v>
      </c>
      <c r="L239" s="193">
        <f t="shared" si="168"/>
        <v>0</v>
      </c>
      <c r="M239" s="193">
        <f t="shared" si="168"/>
        <v>0</v>
      </c>
      <c r="N239" s="193">
        <f t="shared" si="168"/>
        <v>0</v>
      </c>
      <c r="O239" s="193">
        <f t="shared" si="168"/>
        <v>0</v>
      </c>
      <c r="P239" s="193">
        <f t="shared" si="168"/>
        <v>0</v>
      </c>
      <c r="Q239" s="193">
        <f t="shared" si="168"/>
        <v>0</v>
      </c>
      <c r="R239" s="193">
        <f t="shared" si="168"/>
        <v>0</v>
      </c>
      <c r="S239" s="193">
        <f t="shared" si="168"/>
        <v>0</v>
      </c>
      <c r="T239" s="193">
        <f t="shared" si="168"/>
        <v>0</v>
      </c>
      <c r="U239" s="193">
        <f t="shared" si="168"/>
        <v>0</v>
      </c>
      <c r="V239" s="193">
        <f t="shared" si="168"/>
        <v>0</v>
      </c>
      <c r="W239" s="193">
        <f t="shared" si="168"/>
        <v>0.01</v>
      </c>
      <c r="X239" s="193">
        <f t="shared" si="168"/>
        <v>0</v>
      </c>
      <c r="Y239" s="193">
        <f t="shared" si="168"/>
        <v>0</v>
      </c>
      <c r="Z239" s="193">
        <f t="shared" si="168"/>
        <v>0</v>
      </c>
      <c r="AA239" s="193">
        <f t="shared" si="168"/>
        <v>0</v>
      </c>
      <c r="AB239" s="193">
        <f t="shared" si="168"/>
        <v>0</v>
      </c>
      <c r="AC239" s="193">
        <f t="shared" si="168"/>
        <v>0</v>
      </c>
      <c r="AD239" s="193">
        <f t="shared" si="168"/>
        <v>0</v>
      </c>
      <c r="AE239" s="193">
        <f t="shared" si="168"/>
        <v>0</v>
      </c>
      <c r="AF239" s="193">
        <f t="shared" si="168"/>
        <v>0</v>
      </c>
      <c r="AG239" s="193">
        <f t="shared" si="168"/>
        <v>0</v>
      </c>
      <c r="AH239" s="193">
        <f t="shared" si="168"/>
        <v>0</v>
      </c>
      <c r="AI239" s="193">
        <f t="shared" si="168"/>
        <v>0</v>
      </c>
      <c r="AN239" s="193"/>
      <c r="AO239" s="193"/>
      <c r="AP239" s="193"/>
      <c r="AQ239" s="193"/>
      <c r="AR239" s="193"/>
      <c r="AS239" s="193"/>
      <c r="AT239" s="193"/>
      <c r="AU239" s="193"/>
      <c r="AV239" s="193"/>
      <c r="AW239" s="193"/>
      <c r="AX239" s="193"/>
      <c r="AY239" s="193"/>
      <c r="AZ239" s="193"/>
      <c r="BA239" s="193"/>
      <c r="BB239" s="193"/>
      <c r="BC239" s="193"/>
      <c r="BD239" s="193"/>
      <c r="BE239" s="193"/>
      <c r="BF239" s="193"/>
      <c r="BG239" s="193"/>
      <c r="BH239" s="193"/>
      <c r="BI239" s="193"/>
      <c r="BJ239" s="193"/>
      <c r="BK239" s="193"/>
      <c r="BL239" s="193"/>
      <c r="BM239" s="193"/>
      <c r="BN239" s="193"/>
      <c r="BO239" s="193"/>
      <c r="BS239" s="193"/>
      <c r="BT239" s="193"/>
      <c r="BU239" s="193"/>
      <c r="BV239" s="193"/>
      <c r="BW239" s="193"/>
      <c r="BX239" s="193"/>
      <c r="BY239" s="193"/>
      <c r="BZ239" s="193"/>
      <c r="CA239" s="193"/>
      <c r="CB239" s="193"/>
      <c r="CC239" s="193"/>
      <c r="CD239" s="193"/>
      <c r="CE239" s="193"/>
      <c r="CF239" s="193"/>
      <c r="CG239" s="193"/>
      <c r="CH239" s="193"/>
      <c r="CI239" s="193"/>
      <c r="CJ239" s="193"/>
      <c r="CK239" s="193"/>
      <c r="CL239" s="193"/>
      <c r="CM239" s="193"/>
      <c r="CN239" s="193"/>
      <c r="CO239" s="193"/>
      <c r="CP239" s="193"/>
      <c r="CQ239" s="193"/>
      <c r="CR239" s="193"/>
      <c r="CS239" s="193"/>
      <c r="CT239" s="193"/>
    </row>
    <row r="240" spans="4:98" x14ac:dyDescent="0.25">
      <c r="D240" t="s">
        <v>1182</v>
      </c>
      <c r="E240">
        <v>30</v>
      </c>
      <c r="F240" t="s">
        <v>470</v>
      </c>
      <c r="G240" t="s">
        <v>139</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c r="AD240">
        <v>1</v>
      </c>
      <c r="AE240">
        <v>1</v>
      </c>
      <c r="AF240">
        <v>1</v>
      </c>
      <c r="AG240">
        <v>1</v>
      </c>
      <c r="AH240">
        <v>1</v>
      </c>
      <c r="AI240">
        <v>1</v>
      </c>
      <c r="AN240" s="193"/>
      <c r="AO240" s="193"/>
      <c r="AP240" s="193"/>
      <c r="AQ240" s="193"/>
      <c r="AR240" s="193"/>
      <c r="AS240" s="193"/>
      <c r="AT240" s="193"/>
      <c r="AU240" s="193"/>
      <c r="AV240" s="193"/>
      <c r="AW240" s="193"/>
      <c r="AX240" s="193"/>
      <c r="AY240" s="193"/>
      <c r="AZ240" s="193"/>
      <c r="BA240" s="193"/>
      <c r="BB240" s="193"/>
      <c r="BC240" s="193"/>
      <c r="BD240" s="193"/>
      <c r="BE240" s="193"/>
      <c r="BF240" s="193"/>
      <c r="BG240" s="193"/>
      <c r="BH240" s="193"/>
      <c r="BI240" s="193"/>
      <c r="BJ240" s="193"/>
      <c r="BK240" s="193"/>
      <c r="BL240" s="193"/>
      <c r="BM240" s="193"/>
      <c r="BN240" s="193"/>
      <c r="BO240" s="193"/>
      <c r="BS240" s="193"/>
      <c r="BT240" s="193"/>
      <c r="BU240" s="193"/>
      <c r="BV240" s="193"/>
      <c r="BW240" s="193"/>
      <c r="BX240" s="193"/>
      <c r="BY240" s="193"/>
      <c r="BZ240" s="193"/>
      <c r="CA240" s="193"/>
      <c r="CB240" s="193"/>
      <c r="CC240" s="193"/>
      <c r="CD240" s="193"/>
      <c r="CE240" s="193"/>
      <c r="CF240" s="193"/>
      <c r="CG240" s="193"/>
      <c r="CH240" s="193"/>
      <c r="CI240" s="193"/>
      <c r="CJ240" s="193"/>
      <c r="CK240" s="193"/>
      <c r="CL240" s="193"/>
      <c r="CM240" s="193"/>
      <c r="CN240" s="193"/>
      <c r="CO240" s="193"/>
      <c r="CP240" s="193"/>
      <c r="CQ240" s="193"/>
      <c r="CR240" s="193"/>
      <c r="CS240" s="193"/>
      <c r="CT240" s="193"/>
    </row>
    <row r="241" spans="6:98" x14ac:dyDescent="0.25">
      <c r="F241" t="s">
        <v>472</v>
      </c>
      <c r="G241" t="s">
        <v>1258</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c r="AD241">
        <v>1</v>
      </c>
      <c r="AE241">
        <v>1</v>
      </c>
      <c r="AF241">
        <v>1</v>
      </c>
      <c r="AG241">
        <v>1</v>
      </c>
      <c r="AH241">
        <v>1</v>
      </c>
      <c r="AI241">
        <v>1</v>
      </c>
      <c r="AM241" t="s">
        <v>1258</v>
      </c>
      <c r="AN241" s="193">
        <f>(H241/H240)*BS241</f>
        <v>0</v>
      </c>
      <c r="AO241" s="193">
        <f t="shared" ref="AO241:BO241" si="169">(I241/I240)*BT241</f>
        <v>0</v>
      </c>
      <c r="AP241" s="193">
        <f t="shared" si="169"/>
        <v>0</v>
      </c>
      <c r="AQ241" s="193">
        <f t="shared" si="169"/>
        <v>0</v>
      </c>
      <c r="AR241" s="193">
        <f t="shared" si="169"/>
        <v>0</v>
      </c>
      <c r="AS241" s="193">
        <f t="shared" si="169"/>
        <v>0</v>
      </c>
      <c r="AT241" s="193">
        <f t="shared" si="169"/>
        <v>0</v>
      </c>
      <c r="AU241" s="193">
        <f t="shared" si="169"/>
        <v>0</v>
      </c>
      <c r="AV241" s="193">
        <f t="shared" si="169"/>
        <v>0</v>
      </c>
      <c r="AW241" s="193">
        <f t="shared" si="169"/>
        <v>0</v>
      </c>
      <c r="AX241" s="193">
        <f t="shared" si="169"/>
        <v>0</v>
      </c>
      <c r="AY241" s="193">
        <f t="shared" si="169"/>
        <v>0</v>
      </c>
      <c r="AZ241" s="193">
        <f t="shared" si="169"/>
        <v>0</v>
      </c>
      <c r="BA241" s="193">
        <f t="shared" si="169"/>
        <v>0</v>
      </c>
      <c r="BB241" s="193">
        <f t="shared" si="169"/>
        <v>0</v>
      </c>
      <c r="BC241" s="193">
        <f t="shared" si="169"/>
        <v>0</v>
      </c>
      <c r="BD241" s="193">
        <f t="shared" si="169"/>
        <v>0.26500000000000001</v>
      </c>
      <c r="BE241" s="193">
        <f t="shared" si="169"/>
        <v>0</v>
      </c>
      <c r="BF241" s="193">
        <f t="shared" si="169"/>
        <v>0</v>
      </c>
      <c r="BG241" s="193">
        <f t="shared" si="169"/>
        <v>1.3380000000000001</v>
      </c>
      <c r="BH241" s="193">
        <f t="shared" si="169"/>
        <v>1E-3</v>
      </c>
      <c r="BI241" s="193">
        <f t="shared" si="169"/>
        <v>0.46100000000000002</v>
      </c>
      <c r="BJ241" s="193">
        <f t="shared" si="169"/>
        <v>0</v>
      </c>
      <c r="BK241" s="193">
        <f t="shared" si="169"/>
        <v>0</v>
      </c>
      <c r="BL241" s="193">
        <f t="shared" si="169"/>
        <v>0</v>
      </c>
      <c r="BM241" s="193">
        <f t="shared" si="169"/>
        <v>0</v>
      </c>
      <c r="BN241" s="193">
        <f t="shared" si="169"/>
        <v>0</v>
      </c>
      <c r="BO241" s="193">
        <f t="shared" si="169"/>
        <v>0</v>
      </c>
      <c r="BQ241" t="s">
        <v>139</v>
      </c>
      <c r="BR241" t="s">
        <v>1258</v>
      </c>
      <c r="BS241" s="193" cm="1">
        <f t="array" ref="BS241">SUMPRODUCT(($AN$5:$AN$19=$BQ241)*(AP$5:AP$19)*(H$40:H$54))*SUMIFS(H$74:H$103,$F$74:$F$103,$BQ241,$G$74:$G$103,$BR241)</f>
        <v>0</v>
      </c>
      <c r="BT241" s="193" cm="1">
        <f t="array" ref="BT241">SUMPRODUCT(($AN$5:$AN$19=$BQ241)*(AQ$5:AQ$19)*(I$40:I$54))*SUMIFS(I$74:I$103,$F$74:$F$103,$BQ241,$G$74:$G$103,$BR241)</f>
        <v>0</v>
      </c>
      <c r="BU241" s="193" cm="1">
        <f t="array" ref="BU241">SUMPRODUCT(($AN$5:$AN$19=$BQ241)*(AR$5:AR$19)*(J$40:J$54))*SUMIFS(J$74:J$103,$F$74:$F$103,$BQ241,$G$74:$G$103,$BR241)</f>
        <v>0</v>
      </c>
      <c r="BV241" s="193" cm="1">
        <f t="array" ref="BV241">SUMPRODUCT(($AN$5:$AN$19=$BQ241)*(AS$5:AS$19)*(K$40:K$54))*SUMIFS(K$74:K$103,$F$74:$F$103,$BQ241,$G$74:$G$103,$BR241)</f>
        <v>0</v>
      </c>
      <c r="BW241" s="193" cm="1">
        <f t="array" ref="BW241">SUMPRODUCT(($AN$5:$AN$19=$BQ241)*(AT$5:AT$19)*(L$40:L$54))*SUMIFS(L$74:L$103,$F$74:$F$103,$BQ241,$G$74:$G$103,$BR241)</f>
        <v>0</v>
      </c>
      <c r="BX241" s="193" cm="1">
        <f t="array" ref="BX241">SUMPRODUCT(($AN$5:$AN$19=$BQ241)*(AU$5:AU$19)*(M$40:M$54))*SUMIFS(M$74:M$103,$F$74:$F$103,$BQ241,$G$74:$G$103,$BR241)</f>
        <v>0</v>
      </c>
      <c r="BY241" s="193" cm="1">
        <f t="array" ref="BY241">SUMPRODUCT(($AN$5:$AN$19=$BQ241)*(AV$5:AV$19)*(N$40:N$54))*SUMIFS(N$74:N$103,$F$74:$F$103,$BQ241,$G$74:$G$103,$BR241)</f>
        <v>0</v>
      </c>
      <c r="BZ241" s="193" cm="1">
        <f t="array" ref="BZ241">SUMPRODUCT(($AN$5:$AN$19=$BQ241)*(AW$5:AW$19)*(O$40:O$54))*SUMIFS(O$74:O$103,$F$74:$F$103,$BQ241,$G$74:$G$103,$BR241)</f>
        <v>0</v>
      </c>
      <c r="CA241" s="193" cm="1">
        <f t="array" ref="CA241">SUMPRODUCT(($AN$5:$AN$19=$BQ241)*(AX$5:AX$19)*(P$40:P$54))*SUMIFS(P$74:P$103,$F$74:$F$103,$BQ241,$G$74:$G$103,$BR241)</f>
        <v>0</v>
      </c>
      <c r="CB241" s="193" cm="1">
        <f t="array" ref="CB241">SUMPRODUCT(($AN$5:$AN$19=$BQ241)*(AY$5:AY$19)*(Q$40:Q$54))*SUMIFS(Q$74:Q$103,$F$74:$F$103,$BQ241,$G$74:$G$103,$BR241)</f>
        <v>0</v>
      </c>
      <c r="CC241" s="193" cm="1">
        <f t="array" ref="CC241">SUMPRODUCT(($AN$5:$AN$19=$BQ241)*(AZ$5:AZ$19)*(R$40:R$54))*SUMIFS(R$74:R$103,$F$74:$F$103,$BQ241,$G$74:$G$103,$BR241)</f>
        <v>0</v>
      </c>
      <c r="CD241" s="193" cm="1">
        <f t="array" ref="CD241">SUMPRODUCT(($AN$5:$AN$19=$BQ241)*(BA$5:BA$19)*(S$40:S$54))*SUMIFS(S$74:S$103,$F$74:$F$103,$BQ241,$G$74:$G$103,$BR241)</f>
        <v>0</v>
      </c>
      <c r="CE241" s="193" cm="1">
        <f t="array" ref="CE241">SUMPRODUCT(($AN$5:$AN$19=$BQ241)*(BB$5:BB$19)*(T$40:T$54))*SUMIFS(T$74:T$103,$F$74:$F$103,$BQ241,$G$74:$G$103,$BR241)</f>
        <v>0</v>
      </c>
      <c r="CF241" s="193" cm="1">
        <f t="array" ref="CF241">SUMPRODUCT(($AN$5:$AN$19=$BQ241)*(BC$5:BC$19)*(U$40:U$54))*SUMIFS(U$74:U$103,$F$74:$F$103,$BQ241,$G$74:$G$103,$BR241)</f>
        <v>0</v>
      </c>
      <c r="CG241" s="193" cm="1">
        <f t="array" ref="CG241">SUMPRODUCT(($AN$5:$AN$19=$BQ241)*(BD$5:BD$19)*(V$40:V$54))*SUMIFS(V$74:V$103,$F$74:$F$103,$BQ241,$G$74:$G$103,$BR241)</f>
        <v>0</v>
      </c>
      <c r="CH241" s="193" cm="1">
        <f t="array" ref="CH241">SUMPRODUCT(($AN$5:$AN$19=$BQ241)*(BE$5:BE$19)*(W$40:W$54))*SUMIFS(W$74:W$103,$F$74:$F$103,$BQ241,$G$74:$G$103,$BR241)</f>
        <v>0</v>
      </c>
      <c r="CI241" s="193" cm="1">
        <f t="array" ref="CI241">SUMPRODUCT(($AN$5:$AN$19=$BQ241)*(BF$5:BF$19)*(X$40:X$54))*SUMIFS(X$74:X$103,$F$74:$F$103,$BQ241,$G$74:$G$103,$BR241)</f>
        <v>0.26500000000000001</v>
      </c>
      <c r="CJ241" s="193" cm="1">
        <f t="array" ref="CJ241">SUMPRODUCT(($AN$5:$AN$19=$BQ241)*(BG$5:BG$19)*(Y$40:Y$54))*SUMIFS(Y$74:Y$103,$F$74:$F$103,$BQ241,$G$74:$G$103,$BR241)</f>
        <v>0</v>
      </c>
      <c r="CK241" s="193" cm="1">
        <f t="array" ref="CK241">SUMPRODUCT(($AN$5:$AN$19=$BQ241)*(BH$5:BH$19)*(Z$40:Z$54))*SUMIFS(Z$74:Z$103,$F$74:$F$103,$BQ241,$G$74:$G$103,$BR241)</f>
        <v>0</v>
      </c>
      <c r="CL241" s="193" cm="1">
        <f t="array" ref="CL241">SUMPRODUCT(($AN$5:$AN$19=$BQ241)*(BI$5:BI$19)*(AA$40:AA$54))*SUMIFS(AA$74:AA$103,$F$74:$F$103,$BQ241,$G$74:$G$103,$BR241)</f>
        <v>1.3380000000000001</v>
      </c>
      <c r="CM241" s="193" cm="1">
        <f t="array" ref="CM241">SUMPRODUCT(($AN$5:$AN$19=$BQ241)*(BJ$5:BJ$19)*(AB$40:AB$54))*SUMIFS(AB$74:AB$103,$F$74:$F$103,$BQ241,$G$74:$G$103,$BR241)</f>
        <v>1E-3</v>
      </c>
      <c r="CN241" s="193" cm="1">
        <f t="array" ref="CN241">SUMPRODUCT(($AN$5:$AN$19=$BQ241)*(BK$5:BK$19)*(AC$40:AC$54))*SUMIFS(AC$74:AC$103,$F$74:$F$103,$BQ241,$G$74:$G$103,$BR241)</f>
        <v>0.46100000000000002</v>
      </c>
      <c r="CO241" s="193" cm="1">
        <f t="array" ref="CO241">SUMPRODUCT(($AN$5:$AN$19=$BQ241)*(BL$5:BL$19)*(AD$40:AD$54))*SUMIFS(AD$74:AD$103,$F$74:$F$103,$BQ241,$G$74:$G$103,$BR241)</f>
        <v>0</v>
      </c>
      <c r="CP241" s="193" cm="1">
        <f t="array" ref="CP241">SUMPRODUCT(($AN$5:$AN$19=$BQ241)*(BM$5:BM$19)*(AE$40:AE$54))*SUMIFS(AE$74:AE$103,$F$74:$F$103,$BQ241,$G$74:$G$103,$BR241)</f>
        <v>0</v>
      </c>
      <c r="CQ241" s="193" cm="1">
        <f t="array" ref="CQ241">SUMPRODUCT(($AN$5:$AN$19=$BQ241)*(BN$5:BN$19)*(AF$40:AF$54))*SUMIFS(AF$74:AF$103,$F$74:$F$103,$BQ241,$G$74:$G$103,$BR241)</f>
        <v>0</v>
      </c>
      <c r="CR241" s="193" cm="1">
        <f t="array" ref="CR241">SUMPRODUCT(($AN$5:$AN$19=$BQ241)*(BO$5:BO$19)*(AG$40:AG$54))*SUMIFS(AG$74:AG$103,$F$74:$F$103,$BQ241,$G$74:$G$103,$BR241)</f>
        <v>0</v>
      </c>
      <c r="CS241" s="193" cm="1">
        <f t="array" ref="CS241">SUMPRODUCT(($AN$5:$AN$19=$BQ241)*(BP$5:BP$19)*(AH$40:AH$54))*SUMIFS(AH$74:AH$103,$F$74:$F$103,$BQ241,$G$74:$G$103,$BR241)</f>
        <v>0</v>
      </c>
      <c r="CT241" s="193" cm="1">
        <f t="array" ref="CT241">SUMPRODUCT(($AN$5:$AN$19=$BQ241)*(BQ$5:BQ$19)*(AI$40:AI$54))*SUMIFS(AI$74:AI$103,$F$74:$F$103,$BQ241,$G$74:$G$103,$BR241)</f>
        <v>0</v>
      </c>
    </row>
    <row r="242" spans="6:98" x14ac:dyDescent="0.25">
      <c r="F242" t="s">
        <v>1279</v>
      </c>
      <c r="H242" s="193">
        <f>AN241</f>
        <v>0</v>
      </c>
      <c r="I242" s="193">
        <f t="shared" ref="I242:AI242" si="170">AO241</f>
        <v>0</v>
      </c>
      <c r="J242" s="193">
        <f t="shared" si="170"/>
        <v>0</v>
      </c>
      <c r="K242" s="193">
        <f t="shared" si="170"/>
        <v>0</v>
      </c>
      <c r="L242" s="193">
        <f t="shared" si="170"/>
        <v>0</v>
      </c>
      <c r="M242" s="193">
        <f t="shared" si="170"/>
        <v>0</v>
      </c>
      <c r="N242" s="193">
        <f t="shared" si="170"/>
        <v>0</v>
      </c>
      <c r="O242" s="193">
        <f t="shared" si="170"/>
        <v>0</v>
      </c>
      <c r="P242" s="193">
        <f t="shared" si="170"/>
        <v>0</v>
      </c>
      <c r="Q242" s="193">
        <f t="shared" si="170"/>
        <v>0</v>
      </c>
      <c r="R242" s="193">
        <f t="shared" si="170"/>
        <v>0</v>
      </c>
      <c r="S242" s="193">
        <f t="shared" si="170"/>
        <v>0</v>
      </c>
      <c r="T242" s="193">
        <f t="shared" si="170"/>
        <v>0</v>
      </c>
      <c r="U242" s="193">
        <f t="shared" si="170"/>
        <v>0</v>
      </c>
      <c r="V242" s="193">
        <f t="shared" si="170"/>
        <v>0</v>
      </c>
      <c r="W242" s="193">
        <f t="shared" si="170"/>
        <v>0</v>
      </c>
      <c r="X242" s="193">
        <f t="shared" si="170"/>
        <v>0.26500000000000001</v>
      </c>
      <c r="Y242" s="193">
        <f t="shared" si="170"/>
        <v>0</v>
      </c>
      <c r="Z242" s="193">
        <f t="shared" si="170"/>
        <v>0</v>
      </c>
      <c r="AA242" s="193">
        <f t="shared" si="170"/>
        <v>1.3380000000000001</v>
      </c>
      <c r="AB242" s="193">
        <f t="shared" si="170"/>
        <v>1E-3</v>
      </c>
      <c r="AC242" s="193">
        <f t="shared" si="170"/>
        <v>0.46100000000000002</v>
      </c>
      <c r="AD242" s="193">
        <f t="shared" si="170"/>
        <v>0</v>
      </c>
      <c r="AE242" s="193">
        <f t="shared" si="170"/>
        <v>0</v>
      </c>
      <c r="AF242" s="193">
        <f t="shared" si="170"/>
        <v>0</v>
      </c>
      <c r="AG242" s="193">
        <f t="shared" si="170"/>
        <v>0</v>
      </c>
      <c r="AH242" s="193">
        <f t="shared" si="170"/>
        <v>0</v>
      </c>
      <c r="AI242" s="193">
        <f t="shared" si="170"/>
        <v>0</v>
      </c>
      <c r="AN242" s="193"/>
      <c r="AO242" s="193"/>
      <c r="AP242" s="193"/>
      <c r="AQ242" s="193"/>
      <c r="AR242" s="193"/>
      <c r="AS242" s="193"/>
      <c r="AT242" s="193"/>
      <c r="AU242" s="193"/>
      <c r="AV242" s="193"/>
      <c r="AW242" s="193"/>
      <c r="AX242" s="193"/>
      <c r="AY242" s="193"/>
      <c r="AZ242" s="193"/>
      <c r="BA242" s="193"/>
      <c r="BB242" s="193"/>
      <c r="BC242" s="193"/>
      <c r="BD242" s="193"/>
      <c r="BE242" s="193"/>
      <c r="BF242" s="193"/>
      <c r="BG242" s="193"/>
      <c r="BH242" s="193"/>
      <c r="BI242" s="193"/>
      <c r="BJ242" s="193"/>
      <c r="BK242" s="193"/>
      <c r="BL242" s="193"/>
      <c r="BM242" s="193"/>
      <c r="BN242" s="193"/>
      <c r="BO242" s="193"/>
    </row>
    <row r="243" spans="6:98" x14ac:dyDescent="0.25">
      <c r="AM243" t="s">
        <v>466</v>
      </c>
      <c r="AN243" s="193">
        <f>SUM(AN199:AN241)</f>
        <v>0</v>
      </c>
      <c r="AO243" s="193">
        <f t="shared" ref="AO243:BO243" si="171">SUM(AO199:AO241)</f>
        <v>1.7963</v>
      </c>
      <c r="AP243" s="193">
        <f t="shared" si="171"/>
        <v>2.9102118651442344E-2</v>
      </c>
      <c r="AQ243" s="193">
        <f t="shared" si="171"/>
        <v>5.0012763925175152</v>
      </c>
      <c r="AR243" s="193">
        <f t="shared" si="171"/>
        <v>18.650280731378174</v>
      </c>
      <c r="AS243" s="193">
        <f t="shared" si="171"/>
        <v>11.646688118120952</v>
      </c>
      <c r="AT243" s="193">
        <f t="shared" si="171"/>
        <v>0.7</v>
      </c>
      <c r="AU243" s="193">
        <f t="shared" si="171"/>
        <v>0</v>
      </c>
      <c r="AV243" s="193">
        <f t="shared" si="171"/>
        <v>14.434083475757223</v>
      </c>
      <c r="AW243" s="193">
        <f t="shared" si="171"/>
        <v>6.8664816598223544</v>
      </c>
      <c r="AX243" s="193">
        <f t="shared" si="171"/>
        <v>0</v>
      </c>
      <c r="AY243" s="193">
        <f t="shared" si="171"/>
        <v>11.255627022387829</v>
      </c>
      <c r="AZ243" s="193">
        <f t="shared" si="171"/>
        <v>14.592681454260131</v>
      </c>
      <c r="BA243" s="193">
        <f t="shared" si="171"/>
        <v>2.2657730165987582</v>
      </c>
      <c r="BB243" s="193">
        <f t="shared" si="171"/>
        <v>4.070449943225003</v>
      </c>
      <c r="BC243" s="193">
        <f t="shared" si="171"/>
        <v>10.218634901584393</v>
      </c>
      <c r="BD243" s="193">
        <f t="shared" si="171"/>
        <v>14.802894846234357</v>
      </c>
      <c r="BE243" s="193">
        <f t="shared" si="171"/>
        <v>0</v>
      </c>
      <c r="BF243" s="193">
        <f t="shared" si="171"/>
        <v>0</v>
      </c>
      <c r="BG243" s="193">
        <f t="shared" si="171"/>
        <v>12.043400000000002</v>
      </c>
      <c r="BH243" s="193">
        <f t="shared" si="171"/>
        <v>0.15991031142179166</v>
      </c>
      <c r="BI243" s="193">
        <f t="shared" si="171"/>
        <v>2.7035570518293475</v>
      </c>
      <c r="BJ243" s="193">
        <f t="shared" si="171"/>
        <v>0</v>
      </c>
      <c r="BK243" s="193">
        <f t="shared" si="171"/>
        <v>0.27712694121345488</v>
      </c>
      <c r="BL243" s="193">
        <f t="shared" si="171"/>
        <v>0</v>
      </c>
      <c r="BM243" s="193">
        <f t="shared" si="171"/>
        <v>11.759469553888074</v>
      </c>
      <c r="BN243" s="193">
        <f t="shared" si="171"/>
        <v>4.0763999999999996</v>
      </c>
      <c r="BO243" s="193">
        <f t="shared" si="171"/>
        <v>24.528712135300673</v>
      </c>
    </row>
  </sheetData>
  <conditionalFormatting sqref="BT5:BT19">
    <cfRule type="cellIs" dxfId="4" priority="3" operator="greaterThan">
      <formula>0.009</formula>
    </cfRule>
    <cfRule type="cellIs" dxfId="3" priority="4" operator="greaterThan">
      <formula>0.0099</formula>
    </cfRule>
    <cfRule type="cellIs" dxfId="2" priority="5" operator="greaterThan">
      <formula>0.01</formula>
    </cfRule>
  </conditionalFormatting>
  <conditionalFormatting sqref="BW5:CX19">
    <cfRule type="cellIs" dxfId="1" priority="2" operator="lessThan">
      <formula>0</formula>
    </cfRule>
  </conditionalFormatting>
  <conditionalFormatting sqref="BW40:CX54">
    <cfRule type="cellIs" dxfId="0" priority="1" operator="lessThan">
      <formula>0</formula>
    </cfRule>
  </conditionalFormatting>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DCAD-4CDE-42FC-9D10-AB806F3763F2}">
  <sheetPr>
    <tabColor rgb="FFC6E0B4"/>
  </sheetPr>
  <dimension ref="B2:AL187"/>
  <sheetViews>
    <sheetView zoomScaleNormal="100" workbookViewId="0">
      <selection activeCell="J15" sqref="J15"/>
    </sheetView>
  </sheetViews>
  <sheetFormatPr defaultRowHeight="15" x14ac:dyDescent="0.25"/>
  <cols>
    <col min="4" max="4" width="17" bestFit="1" customWidth="1"/>
    <col min="6" max="6" width="10.28515625" bestFit="1" customWidth="1"/>
    <col min="7" max="7" width="18.7109375" bestFit="1" customWidth="1"/>
  </cols>
  <sheetData>
    <row r="2" spans="3:37" s="490" customFormat="1" ht="18.75" x14ac:dyDescent="0.3">
      <c r="C2" s="489" t="s">
        <v>1</v>
      </c>
    </row>
    <row r="4" spans="3:37" x14ac:dyDescent="0.25">
      <c r="I4" s="52" t="s">
        <v>300</v>
      </c>
    </row>
    <row r="5" spans="3:37" ht="15.75" thickBot="1" x14ac:dyDescent="0.3">
      <c r="D5" s="44" t="s">
        <v>306</v>
      </c>
      <c r="E5" s="44" t="s">
        <v>1277</v>
      </c>
      <c r="F5" s="44" t="s">
        <v>303</v>
      </c>
      <c r="G5" s="44" t="s">
        <v>1278</v>
      </c>
      <c r="H5" s="44" t="s">
        <v>326</v>
      </c>
      <c r="I5" s="44" t="s">
        <v>340</v>
      </c>
      <c r="J5" s="44" t="s">
        <v>162</v>
      </c>
      <c r="K5" s="44" t="s">
        <v>164</v>
      </c>
      <c r="L5" s="44" t="s">
        <v>166</v>
      </c>
      <c r="M5" s="44" t="s">
        <v>168</v>
      </c>
      <c r="N5" s="44" t="s">
        <v>170</v>
      </c>
      <c r="O5" s="44" t="s">
        <v>173</v>
      </c>
      <c r="P5" s="44" t="s">
        <v>175</v>
      </c>
      <c r="Q5" s="44" t="s">
        <v>177</v>
      </c>
      <c r="R5" s="44" t="s">
        <v>179</v>
      </c>
      <c r="S5" s="44" t="s">
        <v>181</v>
      </c>
      <c r="T5" s="44" t="s">
        <v>183</v>
      </c>
      <c r="U5" s="44" t="s">
        <v>185</v>
      </c>
      <c r="V5" s="44" t="s">
        <v>188</v>
      </c>
      <c r="W5" s="44" t="s">
        <v>190</v>
      </c>
      <c r="X5" s="44" t="s">
        <v>192</v>
      </c>
      <c r="Y5" s="44" t="s">
        <v>194</v>
      </c>
      <c r="Z5" s="44" t="s">
        <v>196</v>
      </c>
      <c r="AA5" s="44" t="s">
        <v>198</v>
      </c>
      <c r="AB5" s="44" t="s">
        <v>9</v>
      </c>
      <c r="AC5" s="44" t="s">
        <v>201</v>
      </c>
      <c r="AD5" s="44" t="s">
        <v>203</v>
      </c>
      <c r="AE5" s="44" t="s">
        <v>205</v>
      </c>
      <c r="AF5" s="44" t="s">
        <v>207</v>
      </c>
      <c r="AG5" s="44" t="s">
        <v>210</v>
      </c>
      <c r="AH5" s="44" t="s">
        <v>212</v>
      </c>
      <c r="AI5" s="44" t="s">
        <v>214</v>
      </c>
      <c r="AJ5" s="44" t="s">
        <v>217</v>
      </c>
      <c r="AK5" s="44" t="s">
        <v>219</v>
      </c>
    </row>
    <row r="6" spans="3:37" x14ac:dyDescent="0.25">
      <c r="D6" s="5" t="s">
        <v>1286</v>
      </c>
    </row>
    <row r="7" spans="3:37" x14ac:dyDescent="0.25">
      <c r="D7" t="s">
        <v>1114</v>
      </c>
      <c r="E7">
        <v>30</v>
      </c>
      <c r="F7">
        <v>0.9</v>
      </c>
      <c r="G7" s="98">
        <f>INF_Data!C463*1000</f>
        <v>1650.0000000000002</v>
      </c>
      <c r="H7" t="s">
        <v>470</v>
      </c>
      <c r="I7" s="9" t="s">
        <v>126</v>
      </c>
      <c r="J7" s="98">
        <f>INF_Data!G149</f>
        <v>73</v>
      </c>
      <c r="K7" s="98">
        <f t="shared" ref="K7:AK7" si="0">J7</f>
        <v>73</v>
      </c>
      <c r="L7" s="98">
        <f t="shared" si="0"/>
        <v>73</v>
      </c>
      <c r="M7" s="98">
        <f t="shared" si="0"/>
        <v>73</v>
      </c>
      <c r="N7" s="98">
        <f t="shared" si="0"/>
        <v>73</v>
      </c>
      <c r="O7" s="98">
        <f t="shared" si="0"/>
        <v>73</v>
      </c>
      <c r="P7" s="98">
        <f t="shared" si="0"/>
        <v>73</v>
      </c>
      <c r="Q7" s="98">
        <f t="shared" si="0"/>
        <v>73</v>
      </c>
      <c r="R7" s="98">
        <f t="shared" si="0"/>
        <v>73</v>
      </c>
      <c r="S7" s="98">
        <f t="shared" si="0"/>
        <v>73</v>
      </c>
      <c r="T7" s="98">
        <f t="shared" si="0"/>
        <v>73</v>
      </c>
      <c r="U7" s="98">
        <f t="shared" si="0"/>
        <v>73</v>
      </c>
      <c r="V7" s="98">
        <f t="shared" si="0"/>
        <v>73</v>
      </c>
      <c r="W7" s="98">
        <f t="shared" si="0"/>
        <v>73</v>
      </c>
      <c r="X7" s="98">
        <f t="shared" si="0"/>
        <v>73</v>
      </c>
      <c r="Y7" s="98">
        <f t="shared" si="0"/>
        <v>73</v>
      </c>
      <c r="Z7" s="98">
        <f t="shared" si="0"/>
        <v>73</v>
      </c>
      <c r="AA7" s="98">
        <f t="shared" si="0"/>
        <v>73</v>
      </c>
      <c r="AB7" s="98">
        <f t="shared" si="0"/>
        <v>73</v>
      </c>
      <c r="AC7" s="98">
        <f t="shared" si="0"/>
        <v>73</v>
      </c>
      <c r="AD7" s="98">
        <f t="shared" si="0"/>
        <v>73</v>
      </c>
      <c r="AE7" s="98">
        <f t="shared" si="0"/>
        <v>73</v>
      </c>
      <c r="AF7" s="98">
        <f t="shared" si="0"/>
        <v>73</v>
      </c>
      <c r="AG7" s="98">
        <f t="shared" si="0"/>
        <v>73</v>
      </c>
      <c r="AH7" s="98">
        <f t="shared" si="0"/>
        <v>73</v>
      </c>
      <c r="AI7" s="98">
        <f t="shared" si="0"/>
        <v>73</v>
      </c>
      <c r="AJ7" s="98">
        <f t="shared" si="0"/>
        <v>73</v>
      </c>
      <c r="AK7" s="98">
        <f t="shared" si="0"/>
        <v>73</v>
      </c>
    </row>
    <row r="8" spans="3:37" x14ac:dyDescent="0.25">
      <c r="G8" s="491"/>
      <c r="H8" t="s">
        <v>472</v>
      </c>
      <c r="I8" s="9" t="s">
        <v>1250</v>
      </c>
      <c r="J8">
        <v>1</v>
      </c>
      <c r="K8" s="98">
        <f t="shared" ref="K8:AK8" si="1">J8</f>
        <v>1</v>
      </c>
      <c r="L8" s="98">
        <f t="shared" si="1"/>
        <v>1</v>
      </c>
      <c r="M8" s="98">
        <f t="shared" si="1"/>
        <v>1</v>
      </c>
      <c r="N8" s="98">
        <f t="shared" si="1"/>
        <v>1</v>
      </c>
      <c r="O8" s="98">
        <f t="shared" si="1"/>
        <v>1</v>
      </c>
      <c r="P8" s="98">
        <f t="shared" si="1"/>
        <v>1</v>
      </c>
      <c r="Q8" s="98">
        <f t="shared" si="1"/>
        <v>1</v>
      </c>
      <c r="R8" s="98">
        <f t="shared" si="1"/>
        <v>1</v>
      </c>
      <c r="S8" s="98">
        <f t="shared" si="1"/>
        <v>1</v>
      </c>
      <c r="T8" s="98">
        <f t="shared" si="1"/>
        <v>1</v>
      </c>
      <c r="U8" s="98">
        <f t="shared" si="1"/>
        <v>1</v>
      </c>
      <c r="V8" s="98">
        <f t="shared" si="1"/>
        <v>1</v>
      </c>
      <c r="W8" s="98">
        <f t="shared" si="1"/>
        <v>1</v>
      </c>
      <c r="X8" s="98">
        <f t="shared" si="1"/>
        <v>1</v>
      </c>
      <c r="Y8" s="98">
        <f t="shared" si="1"/>
        <v>1</v>
      </c>
      <c r="Z8" s="98">
        <f t="shared" si="1"/>
        <v>1</v>
      </c>
      <c r="AA8" s="98">
        <f t="shared" si="1"/>
        <v>1</v>
      </c>
      <c r="AB8" s="98">
        <f t="shared" si="1"/>
        <v>1</v>
      </c>
      <c r="AC8" s="98">
        <f t="shared" si="1"/>
        <v>1</v>
      </c>
      <c r="AD8" s="98">
        <f t="shared" si="1"/>
        <v>1</v>
      </c>
      <c r="AE8" s="98">
        <f t="shared" si="1"/>
        <v>1</v>
      </c>
      <c r="AF8" s="98">
        <f t="shared" si="1"/>
        <v>1</v>
      </c>
      <c r="AG8" s="98">
        <f t="shared" si="1"/>
        <v>1</v>
      </c>
      <c r="AH8" s="98">
        <f t="shared" si="1"/>
        <v>1</v>
      </c>
      <c r="AI8" s="98">
        <f t="shared" si="1"/>
        <v>1</v>
      </c>
      <c r="AJ8" s="98">
        <f t="shared" si="1"/>
        <v>1</v>
      </c>
      <c r="AK8" s="98">
        <f t="shared" si="1"/>
        <v>1</v>
      </c>
    </row>
    <row r="9" spans="3:37" x14ac:dyDescent="0.25">
      <c r="G9" s="491"/>
      <c r="H9" t="s">
        <v>599</v>
      </c>
      <c r="J9">
        <v>2030</v>
      </c>
      <c r="K9" s="98">
        <f t="shared" ref="K9:AK9" si="2">J9</f>
        <v>2030</v>
      </c>
      <c r="L9" s="98">
        <f t="shared" si="2"/>
        <v>2030</v>
      </c>
      <c r="M9" s="98">
        <f t="shared" si="2"/>
        <v>2030</v>
      </c>
      <c r="N9" s="98">
        <f t="shared" si="2"/>
        <v>2030</v>
      </c>
      <c r="O9" s="98">
        <f t="shared" si="2"/>
        <v>2030</v>
      </c>
      <c r="P9" s="98">
        <f t="shared" si="2"/>
        <v>2030</v>
      </c>
      <c r="Q9" s="98">
        <f t="shared" si="2"/>
        <v>2030</v>
      </c>
      <c r="R9" s="98">
        <f t="shared" si="2"/>
        <v>2030</v>
      </c>
      <c r="S9" s="98">
        <f t="shared" si="2"/>
        <v>2030</v>
      </c>
      <c r="T9" s="98">
        <f t="shared" si="2"/>
        <v>2030</v>
      </c>
      <c r="U9" s="98">
        <f t="shared" si="2"/>
        <v>2030</v>
      </c>
      <c r="V9" s="98">
        <f t="shared" si="2"/>
        <v>2030</v>
      </c>
      <c r="W9" s="98">
        <f t="shared" si="2"/>
        <v>2030</v>
      </c>
      <c r="X9" s="98">
        <f t="shared" si="2"/>
        <v>2030</v>
      </c>
      <c r="Y9" s="98">
        <f t="shared" si="2"/>
        <v>2030</v>
      </c>
      <c r="Z9" s="98">
        <f t="shared" si="2"/>
        <v>2030</v>
      </c>
      <c r="AA9" s="98">
        <f t="shared" si="2"/>
        <v>2030</v>
      </c>
      <c r="AB9" s="98">
        <f t="shared" si="2"/>
        <v>2030</v>
      </c>
      <c r="AC9" s="98">
        <f t="shared" si="2"/>
        <v>2030</v>
      </c>
      <c r="AD9" s="98">
        <f t="shared" si="2"/>
        <v>2030</v>
      </c>
      <c r="AE9" s="98">
        <f t="shared" si="2"/>
        <v>2030</v>
      </c>
      <c r="AF9" s="98">
        <f t="shared" si="2"/>
        <v>2030</v>
      </c>
      <c r="AG9" s="98">
        <f t="shared" si="2"/>
        <v>2030</v>
      </c>
      <c r="AH9" s="98">
        <f t="shared" si="2"/>
        <v>2030</v>
      </c>
      <c r="AI9" s="98">
        <f t="shared" si="2"/>
        <v>2030</v>
      </c>
      <c r="AJ9" s="98">
        <f t="shared" si="2"/>
        <v>2030</v>
      </c>
      <c r="AK9" s="98">
        <f t="shared" si="2"/>
        <v>2030</v>
      </c>
    </row>
    <row r="10" spans="3:37" x14ac:dyDescent="0.25">
      <c r="G10" s="491"/>
      <c r="H10" t="s">
        <v>624</v>
      </c>
      <c r="J10" s="98">
        <f>INF_Data!C408</f>
        <v>6334</v>
      </c>
      <c r="K10" s="98">
        <f t="shared" ref="K10:AK10" si="3">J10</f>
        <v>6334</v>
      </c>
      <c r="L10" s="98">
        <f t="shared" si="3"/>
        <v>6334</v>
      </c>
      <c r="M10" s="98">
        <f t="shared" si="3"/>
        <v>6334</v>
      </c>
      <c r="N10" s="98">
        <f t="shared" si="3"/>
        <v>6334</v>
      </c>
      <c r="O10" s="98">
        <f t="shared" si="3"/>
        <v>6334</v>
      </c>
      <c r="P10" s="98">
        <f t="shared" si="3"/>
        <v>6334</v>
      </c>
      <c r="Q10" s="98">
        <f t="shared" si="3"/>
        <v>6334</v>
      </c>
      <c r="R10" s="98">
        <f t="shared" si="3"/>
        <v>6334</v>
      </c>
      <c r="S10" s="98">
        <f t="shared" si="3"/>
        <v>6334</v>
      </c>
      <c r="T10" s="98">
        <f t="shared" si="3"/>
        <v>6334</v>
      </c>
      <c r="U10" s="98">
        <f t="shared" si="3"/>
        <v>6334</v>
      </c>
      <c r="V10" s="98">
        <f t="shared" si="3"/>
        <v>6334</v>
      </c>
      <c r="W10" s="98">
        <f t="shared" si="3"/>
        <v>6334</v>
      </c>
      <c r="X10" s="98">
        <f t="shared" si="3"/>
        <v>6334</v>
      </c>
      <c r="Y10" s="98">
        <f t="shared" si="3"/>
        <v>6334</v>
      </c>
      <c r="Z10" s="98">
        <f t="shared" si="3"/>
        <v>6334</v>
      </c>
      <c r="AA10" s="98">
        <f t="shared" si="3"/>
        <v>6334</v>
      </c>
      <c r="AB10" s="98">
        <f t="shared" si="3"/>
        <v>6334</v>
      </c>
      <c r="AC10" s="98">
        <f t="shared" si="3"/>
        <v>6334</v>
      </c>
      <c r="AD10" s="98">
        <f t="shared" si="3"/>
        <v>6334</v>
      </c>
      <c r="AE10" s="98">
        <f t="shared" si="3"/>
        <v>6334</v>
      </c>
      <c r="AF10" s="98">
        <f t="shared" si="3"/>
        <v>6334</v>
      </c>
      <c r="AG10" s="98">
        <f t="shared" si="3"/>
        <v>6334</v>
      </c>
      <c r="AH10" s="98">
        <f t="shared" si="3"/>
        <v>6334</v>
      </c>
      <c r="AI10" s="98">
        <f t="shared" si="3"/>
        <v>6334</v>
      </c>
      <c r="AJ10" s="98">
        <f t="shared" si="3"/>
        <v>6334</v>
      </c>
      <c r="AK10" s="98">
        <f t="shared" si="3"/>
        <v>6334</v>
      </c>
    </row>
    <row r="11" spans="3:37" x14ac:dyDescent="0.25">
      <c r="G11" s="491"/>
      <c r="H11" s="9" t="s">
        <v>547</v>
      </c>
      <c r="J11" s="98">
        <f>INF_Data!C409</f>
        <v>244</v>
      </c>
      <c r="K11" s="98">
        <f t="shared" ref="K11:AK11" si="4">J11</f>
        <v>244</v>
      </c>
      <c r="L11" s="98">
        <f t="shared" si="4"/>
        <v>244</v>
      </c>
      <c r="M11" s="98">
        <f t="shared" si="4"/>
        <v>244</v>
      </c>
      <c r="N11" s="98">
        <f t="shared" si="4"/>
        <v>244</v>
      </c>
      <c r="O11" s="98">
        <f t="shared" si="4"/>
        <v>244</v>
      </c>
      <c r="P11" s="98">
        <f t="shared" si="4"/>
        <v>244</v>
      </c>
      <c r="Q11" s="98">
        <f t="shared" si="4"/>
        <v>244</v>
      </c>
      <c r="R11" s="98">
        <f t="shared" si="4"/>
        <v>244</v>
      </c>
      <c r="S11" s="98">
        <f t="shared" si="4"/>
        <v>244</v>
      </c>
      <c r="T11" s="98">
        <f t="shared" si="4"/>
        <v>244</v>
      </c>
      <c r="U11" s="98">
        <f t="shared" si="4"/>
        <v>244</v>
      </c>
      <c r="V11" s="98">
        <f t="shared" si="4"/>
        <v>244</v>
      </c>
      <c r="W11" s="98">
        <f t="shared" si="4"/>
        <v>244</v>
      </c>
      <c r="X11" s="98">
        <f t="shared" si="4"/>
        <v>244</v>
      </c>
      <c r="Y11" s="98">
        <f t="shared" si="4"/>
        <v>244</v>
      </c>
      <c r="Z11" s="98">
        <f t="shared" si="4"/>
        <v>244</v>
      </c>
      <c r="AA11" s="98">
        <f t="shared" si="4"/>
        <v>244</v>
      </c>
      <c r="AB11" s="98">
        <f t="shared" si="4"/>
        <v>244</v>
      </c>
      <c r="AC11" s="98">
        <f t="shared" si="4"/>
        <v>244</v>
      </c>
      <c r="AD11" s="98">
        <f t="shared" si="4"/>
        <v>244</v>
      </c>
      <c r="AE11" s="98">
        <f t="shared" si="4"/>
        <v>244</v>
      </c>
      <c r="AF11" s="98">
        <f t="shared" si="4"/>
        <v>244</v>
      </c>
      <c r="AG11" s="98">
        <f t="shared" si="4"/>
        <v>244</v>
      </c>
      <c r="AH11" s="98">
        <f t="shared" si="4"/>
        <v>244</v>
      </c>
      <c r="AI11" s="98">
        <f t="shared" si="4"/>
        <v>244</v>
      </c>
      <c r="AJ11" s="98">
        <f t="shared" si="4"/>
        <v>244</v>
      </c>
      <c r="AK11" s="98">
        <f t="shared" si="4"/>
        <v>244</v>
      </c>
    </row>
    <row r="12" spans="3:37" x14ac:dyDescent="0.25">
      <c r="G12" s="491"/>
      <c r="H12" t="s">
        <v>1287</v>
      </c>
      <c r="J12" s="98">
        <f>INF_Data!C410</f>
        <v>250</v>
      </c>
      <c r="K12" s="98">
        <f t="shared" ref="K12:AK12" si="5">J12</f>
        <v>250</v>
      </c>
      <c r="L12" s="98">
        <f t="shared" si="5"/>
        <v>250</v>
      </c>
      <c r="M12" s="98">
        <f t="shared" si="5"/>
        <v>250</v>
      </c>
      <c r="N12" s="98">
        <f t="shared" si="5"/>
        <v>250</v>
      </c>
      <c r="O12" s="98">
        <f t="shared" si="5"/>
        <v>250</v>
      </c>
      <c r="P12" s="98">
        <f t="shared" si="5"/>
        <v>250</v>
      </c>
      <c r="Q12" s="98">
        <f t="shared" si="5"/>
        <v>250</v>
      </c>
      <c r="R12" s="98">
        <f t="shared" si="5"/>
        <v>250</v>
      </c>
      <c r="S12" s="98">
        <f t="shared" si="5"/>
        <v>250</v>
      </c>
      <c r="T12" s="98">
        <f t="shared" si="5"/>
        <v>250</v>
      </c>
      <c r="U12" s="98">
        <f t="shared" si="5"/>
        <v>250</v>
      </c>
      <c r="V12" s="98">
        <f t="shared" si="5"/>
        <v>250</v>
      </c>
      <c r="W12" s="98">
        <f t="shared" si="5"/>
        <v>250</v>
      </c>
      <c r="X12" s="98">
        <f t="shared" si="5"/>
        <v>250</v>
      </c>
      <c r="Y12" s="98">
        <f t="shared" si="5"/>
        <v>250</v>
      </c>
      <c r="Z12" s="98">
        <f t="shared" si="5"/>
        <v>250</v>
      </c>
      <c r="AA12" s="98">
        <f t="shared" si="5"/>
        <v>250</v>
      </c>
      <c r="AB12" s="98">
        <f t="shared" si="5"/>
        <v>250</v>
      </c>
      <c r="AC12" s="98">
        <f t="shared" si="5"/>
        <v>250</v>
      </c>
      <c r="AD12" s="98">
        <f t="shared" si="5"/>
        <v>250</v>
      </c>
      <c r="AE12" s="98">
        <f t="shared" si="5"/>
        <v>250</v>
      </c>
      <c r="AF12" s="98">
        <f t="shared" si="5"/>
        <v>250</v>
      </c>
      <c r="AG12" s="98">
        <f t="shared" si="5"/>
        <v>250</v>
      </c>
      <c r="AH12" s="98">
        <f t="shared" si="5"/>
        <v>250</v>
      </c>
      <c r="AI12" s="98">
        <f t="shared" si="5"/>
        <v>250</v>
      </c>
      <c r="AJ12" s="98">
        <f t="shared" si="5"/>
        <v>250</v>
      </c>
      <c r="AK12" s="98">
        <f t="shared" si="5"/>
        <v>250</v>
      </c>
    </row>
    <row r="13" spans="3:37" x14ac:dyDescent="0.25">
      <c r="D13" t="s">
        <v>1116</v>
      </c>
      <c r="E13">
        <v>30</v>
      </c>
      <c r="F13">
        <v>0.9</v>
      </c>
      <c r="G13" s="98">
        <f>G7</f>
        <v>1650.0000000000002</v>
      </c>
      <c r="H13" t="s">
        <v>470</v>
      </c>
      <c r="I13" s="9" t="s">
        <v>141</v>
      </c>
      <c r="J13" s="98">
        <f>INF_Data!G150</f>
        <v>21</v>
      </c>
      <c r="K13" s="98">
        <f t="shared" ref="K13:AK13" si="6">J13</f>
        <v>21</v>
      </c>
      <c r="L13" s="98">
        <f t="shared" si="6"/>
        <v>21</v>
      </c>
      <c r="M13" s="98">
        <f t="shared" si="6"/>
        <v>21</v>
      </c>
      <c r="N13" s="98">
        <f t="shared" si="6"/>
        <v>21</v>
      </c>
      <c r="O13" s="98">
        <f t="shared" si="6"/>
        <v>21</v>
      </c>
      <c r="P13" s="98">
        <f t="shared" si="6"/>
        <v>21</v>
      </c>
      <c r="Q13" s="98">
        <f t="shared" si="6"/>
        <v>21</v>
      </c>
      <c r="R13" s="98">
        <f t="shared" si="6"/>
        <v>21</v>
      </c>
      <c r="S13" s="98">
        <f t="shared" si="6"/>
        <v>21</v>
      </c>
      <c r="T13" s="98">
        <f t="shared" si="6"/>
        <v>21</v>
      </c>
      <c r="U13" s="98">
        <f t="shared" si="6"/>
        <v>21</v>
      </c>
      <c r="V13" s="98">
        <f t="shared" si="6"/>
        <v>21</v>
      </c>
      <c r="W13" s="98">
        <f t="shared" si="6"/>
        <v>21</v>
      </c>
      <c r="X13" s="98">
        <f t="shared" si="6"/>
        <v>21</v>
      </c>
      <c r="Y13" s="98">
        <f t="shared" si="6"/>
        <v>21</v>
      </c>
      <c r="Z13" s="98">
        <f t="shared" si="6"/>
        <v>21</v>
      </c>
      <c r="AA13" s="98">
        <f t="shared" si="6"/>
        <v>21</v>
      </c>
      <c r="AB13" s="98">
        <f t="shared" si="6"/>
        <v>21</v>
      </c>
      <c r="AC13" s="98">
        <f t="shared" si="6"/>
        <v>21</v>
      </c>
      <c r="AD13" s="98">
        <f t="shared" si="6"/>
        <v>21</v>
      </c>
      <c r="AE13" s="98">
        <f t="shared" si="6"/>
        <v>21</v>
      </c>
      <c r="AF13" s="98">
        <f t="shared" si="6"/>
        <v>21</v>
      </c>
      <c r="AG13" s="98">
        <f t="shared" si="6"/>
        <v>21</v>
      </c>
      <c r="AH13" s="98">
        <f t="shared" si="6"/>
        <v>21</v>
      </c>
      <c r="AI13" s="98">
        <f t="shared" si="6"/>
        <v>21</v>
      </c>
      <c r="AJ13" s="98">
        <f t="shared" si="6"/>
        <v>21</v>
      </c>
      <c r="AK13" s="98">
        <f t="shared" si="6"/>
        <v>21</v>
      </c>
    </row>
    <row r="14" spans="3:37" x14ac:dyDescent="0.25">
      <c r="H14" t="s">
        <v>470</v>
      </c>
      <c r="I14" s="9" t="s">
        <v>126</v>
      </c>
      <c r="J14" s="98">
        <f>INF_Data!G151</f>
        <v>53</v>
      </c>
      <c r="K14" s="98">
        <f t="shared" ref="K14:AK14" si="7">J14</f>
        <v>53</v>
      </c>
      <c r="L14" s="98">
        <f t="shared" si="7"/>
        <v>53</v>
      </c>
      <c r="M14" s="98">
        <f t="shared" si="7"/>
        <v>53</v>
      </c>
      <c r="N14" s="98">
        <f t="shared" si="7"/>
        <v>53</v>
      </c>
      <c r="O14" s="98">
        <f t="shared" si="7"/>
        <v>53</v>
      </c>
      <c r="P14" s="98">
        <f t="shared" si="7"/>
        <v>53</v>
      </c>
      <c r="Q14" s="98">
        <f t="shared" si="7"/>
        <v>53</v>
      </c>
      <c r="R14" s="98">
        <f t="shared" si="7"/>
        <v>53</v>
      </c>
      <c r="S14" s="98">
        <f t="shared" si="7"/>
        <v>53</v>
      </c>
      <c r="T14" s="98">
        <f t="shared" si="7"/>
        <v>53</v>
      </c>
      <c r="U14" s="98">
        <f t="shared" si="7"/>
        <v>53</v>
      </c>
      <c r="V14" s="98">
        <f t="shared" si="7"/>
        <v>53</v>
      </c>
      <c r="W14" s="98">
        <f t="shared" si="7"/>
        <v>53</v>
      </c>
      <c r="X14" s="98">
        <f t="shared" si="7"/>
        <v>53</v>
      </c>
      <c r="Y14" s="98">
        <f t="shared" si="7"/>
        <v>53</v>
      </c>
      <c r="Z14" s="98">
        <f t="shared" si="7"/>
        <v>53</v>
      </c>
      <c r="AA14" s="98">
        <f t="shared" si="7"/>
        <v>53</v>
      </c>
      <c r="AB14" s="98">
        <f t="shared" si="7"/>
        <v>53</v>
      </c>
      <c r="AC14" s="98">
        <f t="shared" si="7"/>
        <v>53</v>
      </c>
      <c r="AD14" s="98">
        <f t="shared" si="7"/>
        <v>53</v>
      </c>
      <c r="AE14" s="98">
        <f t="shared" si="7"/>
        <v>53</v>
      </c>
      <c r="AF14" s="98">
        <f t="shared" si="7"/>
        <v>53</v>
      </c>
      <c r="AG14" s="98">
        <f t="shared" si="7"/>
        <v>53</v>
      </c>
      <c r="AH14" s="98">
        <f t="shared" si="7"/>
        <v>53</v>
      </c>
      <c r="AI14" s="98">
        <f t="shared" si="7"/>
        <v>53</v>
      </c>
      <c r="AJ14" s="98">
        <f t="shared" si="7"/>
        <v>53</v>
      </c>
      <c r="AK14" s="98">
        <f t="shared" si="7"/>
        <v>53</v>
      </c>
    </row>
    <row r="15" spans="3:37" x14ac:dyDescent="0.25">
      <c r="H15" t="s">
        <v>472</v>
      </c>
      <c r="I15" s="9" t="s">
        <v>1250</v>
      </c>
      <c r="J15">
        <v>1</v>
      </c>
      <c r="K15" s="98">
        <f t="shared" ref="K15:AK15" si="8">J15</f>
        <v>1</v>
      </c>
      <c r="L15" s="98">
        <f t="shared" si="8"/>
        <v>1</v>
      </c>
      <c r="M15" s="98">
        <f t="shared" si="8"/>
        <v>1</v>
      </c>
      <c r="N15" s="98">
        <f t="shared" si="8"/>
        <v>1</v>
      </c>
      <c r="O15" s="98">
        <f t="shared" si="8"/>
        <v>1</v>
      </c>
      <c r="P15" s="98">
        <f t="shared" si="8"/>
        <v>1</v>
      </c>
      <c r="Q15" s="98">
        <f t="shared" si="8"/>
        <v>1</v>
      </c>
      <c r="R15" s="98">
        <f t="shared" si="8"/>
        <v>1</v>
      </c>
      <c r="S15" s="98">
        <f t="shared" si="8"/>
        <v>1</v>
      </c>
      <c r="T15" s="98">
        <f t="shared" si="8"/>
        <v>1</v>
      </c>
      <c r="U15" s="98">
        <f t="shared" si="8"/>
        <v>1</v>
      </c>
      <c r="V15" s="98">
        <f t="shared" si="8"/>
        <v>1</v>
      </c>
      <c r="W15" s="98">
        <f t="shared" si="8"/>
        <v>1</v>
      </c>
      <c r="X15" s="98">
        <f t="shared" si="8"/>
        <v>1</v>
      </c>
      <c r="Y15" s="98">
        <f t="shared" si="8"/>
        <v>1</v>
      </c>
      <c r="Z15" s="98">
        <f t="shared" si="8"/>
        <v>1</v>
      </c>
      <c r="AA15" s="98">
        <f t="shared" si="8"/>
        <v>1</v>
      </c>
      <c r="AB15" s="98">
        <f t="shared" si="8"/>
        <v>1</v>
      </c>
      <c r="AC15" s="98">
        <f t="shared" si="8"/>
        <v>1</v>
      </c>
      <c r="AD15" s="98">
        <f t="shared" si="8"/>
        <v>1</v>
      </c>
      <c r="AE15" s="98">
        <f t="shared" si="8"/>
        <v>1</v>
      </c>
      <c r="AF15" s="98">
        <f t="shared" si="8"/>
        <v>1</v>
      </c>
      <c r="AG15" s="98">
        <f t="shared" si="8"/>
        <v>1</v>
      </c>
      <c r="AH15" s="98">
        <f t="shared" si="8"/>
        <v>1</v>
      </c>
      <c r="AI15" s="98">
        <f t="shared" si="8"/>
        <v>1</v>
      </c>
      <c r="AJ15" s="98">
        <f t="shared" si="8"/>
        <v>1</v>
      </c>
      <c r="AK15" s="98">
        <f t="shared" si="8"/>
        <v>1</v>
      </c>
    </row>
    <row r="16" spans="3:37" x14ac:dyDescent="0.25">
      <c r="H16" t="s">
        <v>599</v>
      </c>
      <c r="J16">
        <v>2030</v>
      </c>
      <c r="K16" s="98">
        <f t="shared" ref="K16:AK16" si="9">J16</f>
        <v>2030</v>
      </c>
      <c r="L16" s="98">
        <f t="shared" si="9"/>
        <v>2030</v>
      </c>
      <c r="M16" s="98">
        <f t="shared" si="9"/>
        <v>2030</v>
      </c>
      <c r="N16" s="98">
        <f t="shared" si="9"/>
        <v>2030</v>
      </c>
      <c r="O16" s="98">
        <f t="shared" si="9"/>
        <v>2030</v>
      </c>
      <c r="P16" s="98">
        <f t="shared" si="9"/>
        <v>2030</v>
      </c>
      <c r="Q16" s="98">
        <f t="shared" si="9"/>
        <v>2030</v>
      </c>
      <c r="R16" s="98">
        <f t="shared" si="9"/>
        <v>2030</v>
      </c>
      <c r="S16" s="98">
        <f t="shared" si="9"/>
        <v>2030</v>
      </c>
      <c r="T16" s="98">
        <f t="shared" si="9"/>
        <v>2030</v>
      </c>
      <c r="U16" s="98">
        <f t="shared" si="9"/>
        <v>2030</v>
      </c>
      <c r="V16" s="98">
        <f t="shared" si="9"/>
        <v>2030</v>
      </c>
      <c r="W16" s="98">
        <f t="shared" si="9"/>
        <v>2030</v>
      </c>
      <c r="X16" s="98">
        <f t="shared" si="9"/>
        <v>2030</v>
      </c>
      <c r="Y16" s="98">
        <f t="shared" si="9"/>
        <v>2030</v>
      </c>
      <c r="Z16" s="98">
        <f t="shared" si="9"/>
        <v>2030</v>
      </c>
      <c r="AA16" s="98">
        <f t="shared" si="9"/>
        <v>2030</v>
      </c>
      <c r="AB16" s="98">
        <f t="shared" si="9"/>
        <v>2030</v>
      </c>
      <c r="AC16" s="98">
        <f t="shared" si="9"/>
        <v>2030</v>
      </c>
      <c r="AD16" s="98">
        <f t="shared" si="9"/>
        <v>2030</v>
      </c>
      <c r="AE16" s="98">
        <f t="shared" si="9"/>
        <v>2030</v>
      </c>
      <c r="AF16" s="98">
        <f t="shared" si="9"/>
        <v>2030</v>
      </c>
      <c r="AG16" s="98">
        <f t="shared" si="9"/>
        <v>2030</v>
      </c>
      <c r="AH16" s="98">
        <f t="shared" si="9"/>
        <v>2030</v>
      </c>
      <c r="AI16" s="98">
        <f t="shared" si="9"/>
        <v>2030</v>
      </c>
      <c r="AJ16" s="98">
        <f t="shared" si="9"/>
        <v>2030</v>
      </c>
      <c r="AK16" s="98">
        <f t="shared" si="9"/>
        <v>2030</v>
      </c>
    </row>
    <row r="17" spans="4:37" x14ac:dyDescent="0.25">
      <c r="H17" t="s">
        <v>624</v>
      </c>
      <c r="J17" s="98">
        <f>INF_Data!D408</f>
        <v>6247</v>
      </c>
      <c r="K17" s="98">
        <f t="shared" ref="K17:AK17" si="10">J17</f>
        <v>6247</v>
      </c>
      <c r="L17" s="98">
        <f t="shared" si="10"/>
        <v>6247</v>
      </c>
      <c r="M17" s="98">
        <f t="shared" si="10"/>
        <v>6247</v>
      </c>
      <c r="N17" s="98">
        <f t="shared" si="10"/>
        <v>6247</v>
      </c>
      <c r="O17" s="98">
        <f t="shared" si="10"/>
        <v>6247</v>
      </c>
      <c r="P17" s="98">
        <f t="shared" si="10"/>
        <v>6247</v>
      </c>
      <c r="Q17" s="98">
        <f t="shared" si="10"/>
        <v>6247</v>
      </c>
      <c r="R17" s="98">
        <f t="shared" si="10"/>
        <v>6247</v>
      </c>
      <c r="S17" s="98">
        <f t="shared" si="10"/>
        <v>6247</v>
      </c>
      <c r="T17" s="98">
        <f t="shared" si="10"/>
        <v>6247</v>
      </c>
      <c r="U17" s="98">
        <f t="shared" si="10"/>
        <v>6247</v>
      </c>
      <c r="V17" s="98">
        <f t="shared" si="10"/>
        <v>6247</v>
      </c>
      <c r="W17" s="98">
        <f t="shared" si="10"/>
        <v>6247</v>
      </c>
      <c r="X17" s="98">
        <f t="shared" si="10"/>
        <v>6247</v>
      </c>
      <c r="Y17" s="98">
        <f t="shared" si="10"/>
        <v>6247</v>
      </c>
      <c r="Z17" s="98">
        <f t="shared" si="10"/>
        <v>6247</v>
      </c>
      <c r="AA17" s="98">
        <f t="shared" si="10"/>
        <v>6247</v>
      </c>
      <c r="AB17" s="98">
        <f t="shared" si="10"/>
        <v>6247</v>
      </c>
      <c r="AC17" s="98">
        <f t="shared" si="10"/>
        <v>6247</v>
      </c>
      <c r="AD17" s="98">
        <f t="shared" si="10"/>
        <v>6247</v>
      </c>
      <c r="AE17" s="98">
        <f t="shared" si="10"/>
        <v>6247</v>
      </c>
      <c r="AF17" s="98">
        <f t="shared" si="10"/>
        <v>6247</v>
      </c>
      <c r="AG17" s="98">
        <f t="shared" si="10"/>
        <v>6247</v>
      </c>
      <c r="AH17" s="98">
        <f t="shared" si="10"/>
        <v>6247</v>
      </c>
      <c r="AI17" s="98">
        <f t="shared" si="10"/>
        <v>6247</v>
      </c>
      <c r="AJ17" s="98">
        <f t="shared" si="10"/>
        <v>6247</v>
      </c>
      <c r="AK17" s="98">
        <f t="shared" si="10"/>
        <v>6247</v>
      </c>
    </row>
    <row r="18" spans="4:37" x14ac:dyDescent="0.25">
      <c r="H18" s="9" t="s">
        <v>547</v>
      </c>
      <c r="J18" s="98">
        <f>INF_Data!D409</f>
        <v>246</v>
      </c>
      <c r="K18" s="98">
        <f t="shared" ref="K18:AK18" si="11">J18</f>
        <v>246</v>
      </c>
      <c r="L18" s="98">
        <f t="shared" si="11"/>
        <v>246</v>
      </c>
      <c r="M18" s="98">
        <f t="shared" si="11"/>
        <v>246</v>
      </c>
      <c r="N18" s="98">
        <f t="shared" si="11"/>
        <v>246</v>
      </c>
      <c r="O18" s="98">
        <f t="shared" si="11"/>
        <v>246</v>
      </c>
      <c r="P18" s="98">
        <f t="shared" si="11"/>
        <v>246</v>
      </c>
      <c r="Q18" s="98">
        <f t="shared" si="11"/>
        <v>246</v>
      </c>
      <c r="R18" s="98">
        <f t="shared" si="11"/>
        <v>246</v>
      </c>
      <c r="S18" s="98">
        <f t="shared" si="11"/>
        <v>246</v>
      </c>
      <c r="T18" s="98">
        <f t="shared" si="11"/>
        <v>246</v>
      </c>
      <c r="U18" s="98">
        <f t="shared" si="11"/>
        <v>246</v>
      </c>
      <c r="V18" s="98">
        <f t="shared" si="11"/>
        <v>246</v>
      </c>
      <c r="W18" s="98">
        <f t="shared" si="11"/>
        <v>246</v>
      </c>
      <c r="X18" s="98">
        <f t="shared" si="11"/>
        <v>246</v>
      </c>
      <c r="Y18" s="98">
        <f t="shared" si="11"/>
        <v>246</v>
      </c>
      <c r="Z18" s="98">
        <f t="shared" si="11"/>
        <v>246</v>
      </c>
      <c r="AA18" s="98">
        <f t="shared" si="11"/>
        <v>246</v>
      </c>
      <c r="AB18" s="98">
        <f t="shared" si="11"/>
        <v>246</v>
      </c>
      <c r="AC18" s="98">
        <f t="shared" si="11"/>
        <v>246</v>
      </c>
      <c r="AD18" s="98">
        <f t="shared" si="11"/>
        <v>246</v>
      </c>
      <c r="AE18" s="98">
        <f t="shared" si="11"/>
        <v>246</v>
      </c>
      <c r="AF18" s="98">
        <f t="shared" si="11"/>
        <v>246</v>
      </c>
      <c r="AG18" s="98">
        <f t="shared" si="11"/>
        <v>246</v>
      </c>
      <c r="AH18" s="98">
        <f t="shared" si="11"/>
        <v>246</v>
      </c>
      <c r="AI18" s="98">
        <f t="shared" si="11"/>
        <v>246</v>
      </c>
      <c r="AJ18" s="98">
        <f t="shared" si="11"/>
        <v>246</v>
      </c>
      <c r="AK18" s="98">
        <f t="shared" si="11"/>
        <v>246</v>
      </c>
    </row>
    <row r="19" spans="4:37" x14ac:dyDescent="0.25">
      <c r="H19" t="s">
        <v>1287</v>
      </c>
      <c r="J19" s="98">
        <f>INF_Data!D410</f>
        <v>256</v>
      </c>
      <c r="K19" s="98">
        <f t="shared" ref="K19:AK19" si="12">J19</f>
        <v>256</v>
      </c>
      <c r="L19" s="98">
        <f t="shared" si="12"/>
        <v>256</v>
      </c>
      <c r="M19" s="98">
        <f t="shared" si="12"/>
        <v>256</v>
      </c>
      <c r="N19" s="98">
        <f t="shared" si="12"/>
        <v>256</v>
      </c>
      <c r="O19" s="98">
        <f t="shared" si="12"/>
        <v>256</v>
      </c>
      <c r="P19" s="98">
        <f t="shared" si="12"/>
        <v>256</v>
      </c>
      <c r="Q19" s="98">
        <f t="shared" si="12"/>
        <v>256</v>
      </c>
      <c r="R19" s="98">
        <f t="shared" si="12"/>
        <v>256</v>
      </c>
      <c r="S19" s="98">
        <f t="shared" si="12"/>
        <v>256</v>
      </c>
      <c r="T19" s="98">
        <f t="shared" si="12"/>
        <v>256</v>
      </c>
      <c r="U19" s="98">
        <f t="shared" si="12"/>
        <v>256</v>
      </c>
      <c r="V19" s="98">
        <f t="shared" si="12"/>
        <v>256</v>
      </c>
      <c r="W19" s="98">
        <f t="shared" si="12"/>
        <v>256</v>
      </c>
      <c r="X19" s="98">
        <f t="shared" si="12"/>
        <v>256</v>
      </c>
      <c r="Y19" s="98">
        <f t="shared" si="12"/>
        <v>256</v>
      </c>
      <c r="Z19" s="98">
        <f t="shared" si="12"/>
        <v>256</v>
      </c>
      <c r="AA19" s="98">
        <f t="shared" si="12"/>
        <v>256</v>
      </c>
      <c r="AB19" s="98">
        <f t="shared" si="12"/>
        <v>256</v>
      </c>
      <c r="AC19" s="98">
        <f t="shared" si="12"/>
        <v>256</v>
      </c>
      <c r="AD19" s="98">
        <f t="shared" si="12"/>
        <v>256</v>
      </c>
      <c r="AE19" s="98">
        <f t="shared" si="12"/>
        <v>256</v>
      </c>
      <c r="AF19" s="98">
        <f t="shared" si="12"/>
        <v>256</v>
      </c>
      <c r="AG19" s="98">
        <f t="shared" si="12"/>
        <v>256</v>
      </c>
      <c r="AH19" s="98">
        <f t="shared" si="12"/>
        <v>256</v>
      </c>
      <c r="AI19" s="98">
        <f t="shared" si="12"/>
        <v>256</v>
      </c>
      <c r="AJ19" s="98">
        <f t="shared" si="12"/>
        <v>256</v>
      </c>
      <c r="AK19" s="98">
        <f t="shared" si="12"/>
        <v>256</v>
      </c>
    </row>
    <row r="20" spans="4:37" x14ac:dyDescent="0.25">
      <c r="D20" t="s">
        <v>1118</v>
      </c>
      <c r="E20">
        <v>30</v>
      </c>
      <c r="F20">
        <v>0.9</v>
      </c>
      <c r="G20" s="98">
        <f>G13</f>
        <v>1650.0000000000002</v>
      </c>
      <c r="H20" t="s">
        <v>470</v>
      </c>
      <c r="I20" s="9" t="s">
        <v>128</v>
      </c>
      <c r="J20" s="98">
        <f>INF_Data!G152</f>
        <v>21</v>
      </c>
      <c r="K20" s="98">
        <f t="shared" ref="K20:AK20" si="13">J20</f>
        <v>21</v>
      </c>
      <c r="L20" s="98">
        <f t="shared" si="13"/>
        <v>21</v>
      </c>
      <c r="M20" s="98">
        <f t="shared" si="13"/>
        <v>21</v>
      </c>
      <c r="N20" s="98">
        <f t="shared" si="13"/>
        <v>21</v>
      </c>
      <c r="O20" s="98">
        <f t="shared" si="13"/>
        <v>21</v>
      </c>
      <c r="P20" s="98">
        <f t="shared" si="13"/>
        <v>21</v>
      </c>
      <c r="Q20" s="98">
        <f t="shared" si="13"/>
        <v>21</v>
      </c>
      <c r="R20" s="98">
        <f t="shared" si="13"/>
        <v>21</v>
      </c>
      <c r="S20" s="98">
        <f t="shared" si="13"/>
        <v>21</v>
      </c>
      <c r="T20" s="98">
        <f t="shared" si="13"/>
        <v>21</v>
      </c>
      <c r="U20" s="98">
        <f t="shared" si="13"/>
        <v>21</v>
      </c>
      <c r="V20" s="98">
        <f t="shared" si="13"/>
        <v>21</v>
      </c>
      <c r="W20" s="98">
        <f t="shared" si="13"/>
        <v>21</v>
      </c>
      <c r="X20" s="98">
        <f t="shared" si="13"/>
        <v>21</v>
      </c>
      <c r="Y20" s="98">
        <f t="shared" si="13"/>
        <v>21</v>
      </c>
      <c r="Z20" s="98">
        <f t="shared" si="13"/>
        <v>21</v>
      </c>
      <c r="AA20" s="98">
        <f t="shared" si="13"/>
        <v>21</v>
      </c>
      <c r="AB20" s="98">
        <f t="shared" si="13"/>
        <v>21</v>
      </c>
      <c r="AC20" s="98">
        <f t="shared" si="13"/>
        <v>21</v>
      </c>
      <c r="AD20" s="98">
        <f t="shared" si="13"/>
        <v>21</v>
      </c>
      <c r="AE20" s="98">
        <f t="shared" si="13"/>
        <v>21</v>
      </c>
      <c r="AF20" s="98">
        <f t="shared" si="13"/>
        <v>21</v>
      </c>
      <c r="AG20" s="98">
        <f t="shared" si="13"/>
        <v>21</v>
      </c>
      <c r="AH20" s="98">
        <f t="shared" si="13"/>
        <v>21</v>
      </c>
      <c r="AI20" s="98">
        <f t="shared" si="13"/>
        <v>21</v>
      </c>
      <c r="AJ20" s="98">
        <f t="shared" si="13"/>
        <v>21</v>
      </c>
      <c r="AK20" s="98">
        <f t="shared" si="13"/>
        <v>21</v>
      </c>
    </row>
    <row r="21" spans="4:37" x14ac:dyDescent="0.25">
      <c r="G21" s="491"/>
      <c r="H21" t="s">
        <v>470</v>
      </c>
      <c r="I21" s="9" t="s">
        <v>126</v>
      </c>
      <c r="J21" s="98">
        <f>INF_Data!G153</f>
        <v>53</v>
      </c>
      <c r="K21" s="98">
        <f t="shared" ref="K21:AK21" si="14">J21</f>
        <v>53</v>
      </c>
      <c r="L21" s="98">
        <f t="shared" si="14"/>
        <v>53</v>
      </c>
      <c r="M21" s="98">
        <f t="shared" si="14"/>
        <v>53</v>
      </c>
      <c r="N21" s="98">
        <f t="shared" si="14"/>
        <v>53</v>
      </c>
      <c r="O21" s="98">
        <f t="shared" si="14"/>
        <v>53</v>
      </c>
      <c r="P21" s="98">
        <f t="shared" si="14"/>
        <v>53</v>
      </c>
      <c r="Q21" s="98">
        <f t="shared" si="14"/>
        <v>53</v>
      </c>
      <c r="R21" s="98">
        <f t="shared" si="14"/>
        <v>53</v>
      </c>
      <c r="S21" s="98">
        <f t="shared" si="14"/>
        <v>53</v>
      </c>
      <c r="T21" s="98">
        <f t="shared" si="14"/>
        <v>53</v>
      </c>
      <c r="U21" s="98">
        <f t="shared" si="14"/>
        <v>53</v>
      </c>
      <c r="V21" s="98">
        <f t="shared" si="14"/>
        <v>53</v>
      </c>
      <c r="W21" s="98">
        <f t="shared" si="14"/>
        <v>53</v>
      </c>
      <c r="X21" s="98">
        <f t="shared" si="14"/>
        <v>53</v>
      </c>
      <c r="Y21" s="98">
        <f t="shared" si="14"/>
        <v>53</v>
      </c>
      <c r="Z21" s="98">
        <f t="shared" si="14"/>
        <v>53</v>
      </c>
      <c r="AA21" s="98">
        <f t="shared" si="14"/>
        <v>53</v>
      </c>
      <c r="AB21" s="98">
        <f t="shared" si="14"/>
        <v>53</v>
      </c>
      <c r="AC21" s="98">
        <f t="shared" si="14"/>
        <v>53</v>
      </c>
      <c r="AD21" s="98">
        <f t="shared" si="14"/>
        <v>53</v>
      </c>
      <c r="AE21" s="98">
        <f t="shared" si="14"/>
        <v>53</v>
      </c>
      <c r="AF21" s="98">
        <f t="shared" si="14"/>
        <v>53</v>
      </c>
      <c r="AG21" s="98">
        <f t="shared" si="14"/>
        <v>53</v>
      </c>
      <c r="AH21" s="98">
        <f t="shared" si="14"/>
        <v>53</v>
      </c>
      <c r="AI21" s="98">
        <f t="shared" si="14"/>
        <v>53</v>
      </c>
      <c r="AJ21" s="98">
        <f t="shared" si="14"/>
        <v>53</v>
      </c>
      <c r="AK21" s="98">
        <f t="shared" si="14"/>
        <v>53</v>
      </c>
    </row>
    <row r="22" spans="4:37" x14ac:dyDescent="0.25">
      <c r="G22" s="491"/>
      <c r="H22" t="s">
        <v>472</v>
      </c>
      <c r="I22" s="9" t="s">
        <v>1250</v>
      </c>
      <c r="J22">
        <v>1</v>
      </c>
      <c r="K22" s="98">
        <f t="shared" ref="K22:AK22" si="15">J22</f>
        <v>1</v>
      </c>
      <c r="L22" s="98">
        <f t="shared" si="15"/>
        <v>1</v>
      </c>
      <c r="M22" s="98">
        <f t="shared" si="15"/>
        <v>1</v>
      </c>
      <c r="N22" s="98">
        <f t="shared" si="15"/>
        <v>1</v>
      </c>
      <c r="O22" s="98">
        <f t="shared" si="15"/>
        <v>1</v>
      </c>
      <c r="P22" s="98">
        <f t="shared" si="15"/>
        <v>1</v>
      </c>
      <c r="Q22" s="98">
        <f t="shared" si="15"/>
        <v>1</v>
      </c>
      <c r="R22" s="98">
        <f t="shared" si="15"/>
        <v>1</v>
      </c>
      <c r="S22" s="98">
        <f t="shared" si="15"/>
        <v>1</v>
      </c>
      <c r="T22" s="98">
        <f t="shared" si="15"/>
        <v>1</v>
      </c>
      <c r="U22" s="98">
        <f t="shared" si="15"/>
        <v>1</v>
      </c>
      <c r="V22" s="98">
        <f t="shared" si="15"/>
        <v>1</v>
      </c>
      <c r="W22" s="98">
        <f t="shared" si="15"/>
        <v>1</v>
      </c>
      <c r="X22" s="98">
        <f t="shared" si="15"/>
        <v>1</v>
      </c>
      <c r="Y22" s="98">
        <f t="shared" si="15"/>
        <v>1</v>
      </c>
      <c r="Z22" s="98">
        <f t="shared" si="15"/>
        <v>1</v>
      </c>
      <c r="AA22" s="98">
        <f t="shared" si="15"/>
        <v>1</v>
      </c>
      <c r="AB22" s="98">
        <f t="shared" si="15"/>
        <v>1</v>
      </c>
      <c r="AC22" s="98">
        <f t="shared" si="15"/>
        <v>1</v>
      </c>
      <c r="AD22" s="98">
        <f t="shared" si="15"/>
        <v>1</v>
      </c>
      <c r="AE22" s="98">
        <f t="shared" si="15"/>
        <v>1</v>
      </c>
      <c r="AF22" s="98">
        <f t="shared" si="15"/>
        <v>1</v>
      </c>
      <c r="AG22" s="98">
        <f t="shared" si="15"/>
        <v>1</v>
      </c>
      <c r="AH22" s="98">
        <f t="shared" si="15"/>
        <v>1</v>
      </c>
      <c r="AI22" s="98">
        <f t="shared" si="15"/>
        <v>1</v>
      </c>
      <c r="AJ22" s="98">
        <f t="shared" si="15"/>
        <v>1</v>
      </c>
      <c r="AK22" s="98">
        <f t="shared" si="15"/>
        <v>1</v>
      </c>
    </row>
    <row r="23" spans="4:37" x14ac:dyDescent="0.25">
      <c r="G23" s="491"/>
      <c r="H23" t="s">
        <v>599</v>
      </c>
      <c r="J23">
        <v>2020</v>
      </c>
      <c r="K23" s="98">
        <f t="shared" ref="K23:AK23" si="16">J23</f>
        <v>2020</v>
      </c>
      <c r="L23" s="98">
        <f t="shared" si="16"/>
        <v>2020</v>
      </c>
      <c r="M23" s="98">
        <f t="shared" si="16"/>
        <v>2020</v>
      </c>
      <c r="N23" s="98">
        <f t="shared" si="16"/>
        <v>2020</v>
      </c>
      <c r="O23" s="98">
        <f t="shared" si="16"/>
        <v>2020</v>
      </c>
      <c r="P23" s="98">
        <f t="shared" si="16"/>
        <v>2020</v>
      </c>
      <c r="Q23" s="98">
        <f t="shared" si="16"/>
        <v>2020</v>
      </c>
      <c r="R23" s="98">
        <f t="shared" si="16"/>
        <v>2020</v>
      </c>
      <c r="S23" s="98">
        <f t="shared" si="16"/>
        <v>2020</v>
      </c>
      <c r="T23" s="98">
        <f t="shared" si="16"/>
        <v>2020</v>
      </c>
      <c r="U23" s="98">
        <f t="shared" si="16"/>
        <v>2020</v>
      </c>
      <c r="V23" s="98">
        <f t="shared" si="16"/>
        <v>2020</v>
      </c>
      <c r="W23" s="98">
        <f t="shared" si="16"/>
        <v>2020</v>
      </c>
      <c r="X23" s="98">
        <f t="shared" si="16"/>
        <v>2020</v>
      </c>
      <c r="Y23" s="98">
        <f t="shared" si="16"/>
        <v>2020</v>
      </c>
      <c r="Z23" s="98">
        <f t="shared" si="16"/>
        <v>2020</v>
      </c>
      <c r="AA23" s="98">
        <f t="shared" si="16"/>
        <v>2020</v>
      </c>
      <c r="AB23" s="98">
        <f t="shared" si="16"/>
        <v>2020</v>
      </c>
      <c r="AC23" s="98">
        <f t="shared" si="16"/>
        <v>2020</v>
      </c>
      <c r="AD23" s="98">
        <f t="shared" si="16"/>
        <v>2020</v>
      </c>
      <c r="AE23" s="98">
        <f t="shared" si="16"/>
        <v>2020</v>
      </c>
      <c r="AF23" s="98">
        <f t="shared" si="16"/>
        <v>2020</v>
      </c>
      <c r="AG23" s="98">
        <f t="shared" si="16"/>
        <v>2020</v>
      </c>
      <c r="AH23" s="98">
        <f t="shared" si="16"/>
        <v>2020</v>
      </c>
      <c r="AI23" s="98">
        <f t="shared" si="16"/>
        <v>2020</v>
      </c>
      <c r="AJ23" s="98">
        <f t="shared" si="16"/>
        <v>2020</v>
      </c>
      <c r="AK23" s="98">
        <f t="shared" si="16"/>
        <v>2020</v>
      </c>
    </row>
    <row r="24" spans="4:37" x14ac:dyDescent="0.25">
      <c r="G24" s="491"/>
      <c r="H24" t="s">
        <v>624</v>
      </c>
      <c r="J24" s="98">
        <f>INF_Data!E408</f>
        <v>6106</v>
      </c>
      <c r="K24" s="98">
        <f t="shared" ref="K24:AK24" si="17">J24</f>
        <v>6106</v>
      </c>
      <c r="L24" s="98">
        <f t="shared" si="17"/>
        <v>6106</v>
      </c>
      <c r="M24" s="98">
        <f t="shared" si="17"/>
        <v>6106</v>
      </c>
      <c r="N24" s="98">
        <f t="shared" si="17"/>
        <v>6106</v>
      </c>
      <c r="O24" s="98">
        <f t="shared" si="17"/>
        <v>6106</v>
      </c>
      <c r="P24" s="98">
        <f t="shared" si="17"/>
        <v>6106</v>
      </c>
      <c r="Q24" s="98">
        <f t="shared" si="17"/>
        <v>6106</v>
      </c>
      <c r="R24" s="98">
        <f t="shared" si="17"/>
        <v>6106</v>
      </c>
      <c r="S24" s="98">
        <f t="shared" si="17"/>
        <v>6106</v>
      </c>
      <c r="T24" s="98">
        <f t="shared" si="17"/>
        <v>6106</v>
      </c>
      <c r="U24" s="98">
        <f t="shared" si="17"/>
        <v>6106</v>
      </c>
      <c r="V24" s="98">
        <f t="shared" si="17"/>
        <v>6106</v>
      </c>
      <c r="W24" s="98">
        <f t="shared" si="17"/>
        <v>6106</v>
      </c>
      <c r="X24" s="98">
        <f t="shared" si="17"/>
        <v>6106</v>
      </c>
      <c r="Y24" s="98">
        <f t="shared" si="17"/>
        <v>6106</v>
      </c>
      <c r="Z24" s="98">
        <f t="shared" si="17"/>
        <v>6106</v>
      </c>
      <c r="AA24" s="98">
        <f t="shared" si="17"/>
        <v>6106</v>
      </c>
      <c r="AB24" s="98">
        <f t="shared" si="17"/>
        <v>6106</v>
      </c>
      <c r="AC24" s="98">
        <f t="shared" si="17"/>
        <v>6106</v>
      </c>
      <c r="AD24" s="98">
        <f t="shared" si="17"/>
        <v>6106</v>
      </c>
      <c r="AE24" s="98">
        <f t="shared" si="17"/>
        <v>6106</v>
      </c>
      <c r="AF24" s="98">
        <f t="shared" si="17"/>
        <v>6106</v>
      </c>
      <c r="AG24" s="98">
        <f t="shared" si="17"/>
        <v>6106</v>
      </c>
      <c r="AH24" s="98">
        <f t="shared" si="17"/>
        <v>6106</v>
      </c>
      <c r="AI24" s="98">
        <f t="shared" si="17"/>
        <v>6106</v>
      </c>
      <c r="AJ24" s="98">
        <f t="shared" si="17"/>
        <v>6106</v>
      </c>
      <c r="AK24" s="98">
        <f t="shared" si="17"/>
        <v>6106</v>
      </c>
    </row>
    <row r="25" spans="4:37" x14ac:dyDescent="0.25">
      <c r="G25" s="491"/>
      <c r="H25" s="9" t="s">
        <v>547</v>
      </c>
      <c r="J25" s="98">
        <f>INF_Data!E409</f>
        <v>245</v>
      </c>
      <c r="K25" s="98">
        <f t="shared" ref="K25:AK25" si="18">J25</f>
        <v>245</v>
      </c>
      <c r="L25" s="98">
        <f t="shared" si="18"/>
        <v>245</v>
      </c>
      <c r="M25" s="98">
        <f t="shared" si="18"/>
        <v>245</v>
      </c>
      <c r="N25" s="98">
        <f t="shared" si="18"/>
        <v>245</v>
      </c>
      <c r="O25" s="98">
        <f t="shared" si="18"/>
        <v>245</v>
      </c>
      <c r="P25" s="98">
        <f t="shared" si="18"/>
        <v>245</v>
      </c>
      <c r="Q25" s="98">
        <f t="shared" si="18"/>
        <v>245</v>
      </c>
      <c r="R25" s="98">
        <f t="shared" si="18"/>
        <v>245</v>
      </c>
      <c r="S25" s="98">
        <f t="shared" si="18"/>
        <v>245</v>
      </c>
      <c r="T25" s="98">
        <f t="shared" si="18"/>
        <v>245</v>
      </c>
      <c r="U25" s="98">
        <f t="shared" si="18"/>
        <v>245</v>
      </c>
      <c r="V25" s="98">
        <f t="shared" si="18"/>
        <v>245</v>
      </c>
      <c r="W25" s="98">
        <f t="shared" si="18"/>
        <v>245</v>
      </c>
      <c r="X25" s="98">
        <f t="shared" si="18"/>
        <v>245</v>
      </c>
      <c r="Y25" s="98">
        <f t="shared" si="18"/>
        <v>245</v>
      </c>
      <c r="Z25" s="98">
        <f t="shared" si="18"/>
        <v>245</v>
      </c>
      <c r="AA25" s="98">
        <f t="shared" si="18"/>
        <v>245</v>
      </c>
      <c r="AB25" s="98">
        <f t="shared" si="18"/>
        <v>245</v>
      </c>
      <c r="AC25" s="98">
        <f t="shared" si="18"/>
        <v>245</v>
      </c>
      <c r="AD25" s="98">
        <f t="shared" si="18"/>
        <v>245</v>
      </c>
      <c r="AE25" s="98">
        <f t="shared" si="18"/>
        <v>245</v>
      </c>
      <c r="AF25" s="98">
        <f t="shared" si="18"/>
        <v>245</v>
      </c>
      <c r="AG25" s="98">
        <f t="shared" si="18"/>
        <v>245</v>
      </c>
      <c r="AH25" s="98">
        <f t="shared" si="18"/>
        <v>245</v>
      </c>
      <c r="AI25" s="98">
        <f t="shared" si="18"/>
        <v>245</v>
      </c>
      <c r="AJ25" s="98">
        <f t="shared" si="18"/>
        <v>245</v>
      </c>
      <c r="AK25" s="98">
        <f t="shared" si="18"/>
        <v>245</v>
      </c>
    </row>
    <row r="26" spans="4:37" x14ac:dyDescent="0.25">
      <c r="G26" s="491"/>
      <c r="H26" t="s">
        <v>1287</v>
      </c>
      <c r="J26" s="98">
        <f>INF_Data!E410</f>
        <v>252</v>
      </c>
      <c r="K26" s="98">
        <f t="shared" ref="K26:AK26" si="19">J26</f>
        <v>252</v>
      </c>
      <c r="L26" s="98">
        <f t="shared" si="19"/>
        <v>252</v>
      </c>
      <c r="M26" s="98">
        <f t="shared" si="19"/>
        <v>252</v>
      </c>
      <c r="N26" s="98">
        <f t="shared" si="19"/>
        <v>252</v>
      </c>
      <c r="O26" s="98">
        <f t="shared" si="19"/>
        <v>252</v>
      </c>
      <c r="P26" s="98">
        <f t="shared" si="19"/>
        <v>252</v>
      </c>
      <c r="Q26" s="98">
        <f t="shared" si="19"/>
        <v>252</v>
      </c>
      <c r="R26" s="98">
        <f t="shared" si="19"/>
        <v>252</v>
      </c>
      <c r="S26" s="98">
        <f t="shared" si="19"/>
        <v>252</v>
      </c>
      <c r="T26" s="98">
        <f t="shared" si="19"/>
        <v>252</v>
      </c>
      <c r="U26" s="98">
        <f t="shared" si="19"/>
        <v>252</v>
      </c>
      <c r="V26" s="98">
        <f t="shared" si="19"/>
        <v>252</v>
      </c>
      <c r="W26" s="98">
        <f t="shared" si="19"/>
        <v>252</v>
      </c>
      <c r="X26" s="98">
        <f t="shared" si="19"/>
        <v>252</v>
      </c>
      <c r="Y26" s="98">
        <f t="shared" si="19"/>
        <v>252</v>
      </c>
      <c r="Z26" s="98">
        <f t="shared" si="19"/>
        <v>252</v>
      </c>
      <c r="AA26" s="98">
        <f t="shared" si="19"/>
        <v>252</v>
      </c>
      <c r="AB26" s="98">
        <f t="shared" si="19"/>
        <v>252</v>
      </c>
      <c r="AC26" s="98">
        <f t="shared" si="19"/>
        <v>252</v>
      </c>
      <c r="AD26" s="98">
        <f t="shared" si="19"/>
        <v>252</v>
      </c>
      <c r="AE26" s="98">
        <f t="shared" si="19"/>
        <v>252</v>
      </c>
      <c r="AF26" s="98">
        <f t="shared" si="19"/>
        <v>252</v>
      </c>
      <c r="AG26" s="98">
        <f t="shared" si="19"/>
        <v>252</v>
      </c>
      <c r="AH26" s="98">
        <f t="shared" si="19"/>
        <v>252</v>
      </c>
      <c r="AI26" s="98">
        <f t="shared" si="19"/>
        <v>252</v>
      </c>
      <c r="AJ26" s="98">
        <f t="shared" si="19"/>
        <v>252</v>
      </c>
      <c r="AK26" s="98">
        <f t="shared" si="19"/>
        <v>252</v>
      </c>
    </row>
    <row r="27" spans="4:37" x14ac:dyDescent="0.25">
      <c r="D27" t="s">
        <v>1120</v>
      </c>
      <c r="E27">
        <v>30</v>
      </c>
      <c r="F27">
        <v>0.9</v>
      </c>
      <c r="G27" s="98">
        <f>INF_Data!C465*1000</f>
        <v>255</v>
      </c>
      <c r="H27" t="s">
        <v>470</v>
      </c>
      <c r="I27" s="9" t="s">
        <v>126</v>
      </c>
      <c r="J27" s="98">
        <f>INF_Data!G154</f>
        <v>73</v>
      </c>
      <c r="K27" s="98">
        <f t="shared" ref="K27:AK27" si="20">J27</f>
        <v>73</v>
      </c>
      <c r="L27" s="98">
        <f t="shared" si="20"/>
        <v>73</v>
      </c>
      <c r="M27" s="98">
        <f t="shared" si="20"/>
        <v>73</v>
      </c>
      <c r="N27" s="98">
        <f t="shared" si="20"/>
        <v>73</v>
      </c>
      <c r="O27" s="98">
        <f t="shared" si="20"/>
        <v>73</v>
      </c>
      <c r="P27" s="98">
        <f t="shared" si="20"/>
        <v>73</v>
      </c>
      <c r="Q27" s="98">
        <f t="shared" si="20"/>
        <v>73</v>
      </c>
      <c r="R27" s="98">
        <f t="shared" si="20"/>
        <v>73</v>
      </c>
      <c r="S27" s="98">
        <f t="shared" si="20"/>
        <v>73</v>
      </c>
      <c r="T27" s="98">
        <f t="shared" si="20"/>
        <v>73</v>
      </c>
      <c r="U27" s="98">
        <f t="shared" si="20"/>
        <v>73</v>
      </c>
      <c r="V27" s="98">
        <f t="shared" si="20"/>
        <v>73</v>
      </c>
      <c r="W27" s="98">
        <f t="shared" si="20"/>
        <v>73</v>
      </c>
      <c r="X27" s="98">
        <f t="shared" si="20"/>
        <v>73</v>
      </c>
      <c r="Y27" s="98">
        <f t="shared" si="20"/>
        <v>73</v>
      </c>
      <c r="Z27" s="98">
        <f t="shared" si="20"/>
        <v>73</v>
      </c>
      <c r="AA27" s="98">
        <f t="shared" si="20"/>
        <v>73</v>
      </c>
      <c r="AB27" s="98">
        <f t="shared" si="20"/>
        <v>73</v>
      </c>
      <c r="AC27" s="98">
        <f t="shared" si="20"/>
        <v>73</v>
      </c>
      <c r="AD27" s="98">
        <f t="shared" si="20"/>
        <v>73</v>
      </c>
      <c r="AE27" s="98">
        <f t="shared" si="20"/>
        <v>73</v>
      </c>
      <c r="AF27" s="98">
        <f t="shared" si="20"/>
        <v>73</v>
      </c>
      <c r="AG27" s="98">
        <f t="shared" si="20"/>
        <v>73</v>
      </c>
      <c r="AH27" s="98">
        <f t="shared" si="20"/>
        <v>73</v>
      </c>
      <c r="AI27" s="98">
        <f t="shared" si="20"/>
        <v>73</v>
      </c>
      <c r="AJ27" s="98">
        <f t="shared" si="20"/>
        <v>73</v>
      </c>
      <c r="AK27" s="98">
        <f t="shared" si="20"/>
        <v>73</v>
      </c>
    </row>
    <row r="28" spans="4:37" x14ac:dyDescent="0.25">
      <c r="G28" s="98"/>
      <c r="H28" t="s">
        <v>472</v>
      </c>
      <c r="I28" s="9" t="s">
        <v>1250</v>
      </c>
      <c r="J28">
        <v>1</v>
      </c>
      <c r="K28" s="98">
        <f t="shared" ref="K28:AK28" si="21">J28</f>
        <v>1</v>
      </c>
      <c r="L28" s="98">
        <f t="shared" si="21"/>
        <v>1</v>
      </c>
      <c r="M28" s="98">
        <f t="shared" si="21"/>
        <v>1</v>
      </c>
      <c r="N28" s="98">
        <f t="shared" si="21"/>
        <v>1</v>
      </c>
      <c r="O28" s="98">
        <f t="shared" si="21"/>
        <v>1</v>
      </c>
      <c r="P28" s="98">
        <f t="shared" si="21"/>
        <v>1</v>
      </c>
      <c r="Q28" s="98">
        <f t="shared" si="21"/>
        <v>1</v>
      </c>
      <c r="R28" s="98">
        <f t="shared" si="21"/>
        <v>1</v>
      </c>
      <c r="S28" s="98">
        <f t="shared" si="21"/>
        <v>1</v>
      </c>
      <c r="T28" s="98">
        <f t="shared" si="21"/>
        <v>1</v>
      </c>
      <c r="U28" s="98">
        <f t="shared" si="21"/>
        <v>1</v>
      </c>
      <c r="V28" s="98">
        <f t="shared" si="21"/>
        <v>1</v>
      </c>
      <c r="W28" s="98">
        <f t="shared" si="21"/>
        <v>1</v>
      </c>
      <c r="X28" s="98">
        <f t="shared" si="21"/>
        <v>1</v>
      </c>
      <c r="Y28" s="98">
        <f t="shared" si="21"/>
        <v>1</v>
      </c>
      <c r="Z28" s="98">
        <f t="shared" si="21"/>
        <v>1</v>
      </c>
      <c r="AA28" s="98">
        <f t="shared" si="21"/>
        <v>1</v>
      </c>
      <c r="AB28" s="98">
        <f t="shared" si="21"/>
        <v>1</v>
      </c>
      <c r="AC28" s="98">
        <f t="shared" si="21"/>
        <v>1</v>
      </c>
      <c r="AD28" s="98">
        <f t="shared" si="21"/>
        <v>1</v>
      </c>
      <c r="AE28" s="98">
        <f t="shared" si="21"/>
        <v>1</v>
      </c>
      <c r="AF28" s="98">
        <f t="shared" si="21"/>
        <v>1</v>
      </c>
      <c r="AG28" s="98">
        <f t="shared" si="21"/>
        <v>1</v>
      </c>
      <c r="AH28" s="98">
        <f t="shared" si="21"/>
        <v>1</v>
      </c>
      <c r="AI28" s="98">
        <f t="shared" si="21"/>
        <v>1</v>
      </c>
      <c r="AJ28" s="98">
        <f t="shared" si="21"/>
        <v>1</v>
      </c>
      <c r="AK28" s="98">
        <f t="shared" si="21"/>
        <v>1</v>
      </c>
    </row>
    <row r="29" spans="4:37" x14ac:dyDescent="0.25">
      <c r="G29" s="98"/>
      <c r="H29" t="s">
        <v>1626</v>
      </c>
      <c r="I29" s="9" t="s">
        <v>621</v>
      </c>
      <c r="J29" s="98">
        <f>$G$7-$G$27</f>
        <v>1395.0000000000002</v>
      </c>
      <c r="K29" s="98">
        <f t="shared" ref="K29:AK29" si="22">$G$7-$G$27</f>
        <v>1395.0000000000002</v>
      </c>
      <c r="L29" s="98">
        <f t="shared" si="22"/>
        <v>1395.0000000000002</v>
      </c>
      <c r="M29" s="98">
        <f t="shared" si="22"/>
        <v>1395.0000000000002</v>
      </c>
      <c r="N29" s="98">
        <f t="shared" si="22"/>
        <v>1395.0000000000002</v>
      </c>
      <c r="O29" s="98">
        <f t="shared" si="22"/>
        <v>1395.0000000000002</v>
      </c>
      <c r="P29" s="98">
        <f t="shared" si="22"/>
        <v>1395.0000000000002</v>
      </c>
      <c r="Q29" s="98">
        <f t="shared" si="22"/>
        <v>1395.0000000000002</v>
      </c>
      <c r="R29" s="98">
        <f t="shared" si="22"/>
        <v>1395.0000000000002</v>
      </c>
      <c r="S29" s="98">
        <f t="shared" si="22"/>
        <v>1395.0000000000002</v>
      </c>
      <c r="T29" s="98">
        <f t="shared" si="22"/>
        <v>1395.0000000000002</v>
      </c>
      <c r="U29" s="98">
        <f t="shared" si="22"/>
        <v>1395.0000000000002</v>
      </c>
      <c r="V29" s="98">
        <f t="shared" si="22"/>
        <v>1395.0000000000002</v>
      </c>
      <c r="W29" s="98">
        <f t="shared" si="22"/>
        <v>1395.0000000000002</v>
      </c>
      <c r="X29" s="98">
        <f t="shared" si="22"/>
        <v>1395.0000000000002</v>
      </c>
      <c r="Y29" s="98">
        <f t="shared" si="22"/>
        <v>1395.0000000000002</v>
      </c>
      <c r="Z29" s="98">
        <f t="shared" si="22"/>
        <v>1395.0000000000002</v>
      </c>
      <c r="AA29" s="98">
        <f t="shared" si="22"/>
        <v>1395.0000000000002</v>
      </c>
      <c r="AB29" s="98">
        <f t="shared" si="22"/>
        <v>1395.0000000000002</v>
      </c>
      <c r="AC29" s="98">
        <f t="shared" si="22"/>
        <v>1395.0000000000002</v>
      </c>
      <c r="AD29" s="98">
        <f t="shared" si="22"/>
        <v>1395.0000000000002</v>
      </c>
      <c r="AE29" s="98">
        <f t="shared" si="22"/>
        <v>1395.0000000000002</v>
      </c>
      <c r="AF29" s="98">
        <f t="shared" si="22"/>
        <v>1395.0000000000002</v>
      </c>
      <c r="AG29" s="98">
        <f t="shared" si="22"/>
        <v>1395.0000000000002</v>
      </c>
      <c r="AH29" s="98">
        <f t="shared" si="22"/>
        <v>1395.0000000000002</v>
      </c>
      <c r="AI29" s="98">
        <f t="shared" si="22"/>
        <v>1395.0000000000002</v>
      </c>
      <c r="AJ29" s="98">
        <f t="shared" si="22"/>
        <v>1395.0000000000002</v>
      </c>
      <c r="AK29" s="98">
        <f t="shared" si="22"/>
        <v>1395.0000000000002</v>
      </c>
    </row>
    <row r="30" spans="4:37" x14ac:dyDescent="0.25">
      <c r="G30" s="98"/>
      <c r="H30" t="s">
        <v>599</v>
      </c>
      <c r="J30">
        <v>2030</v>
      </c>
      <c r="K30" s="98">
        <f t="shared" ref="K30:AK30" si="23">J30</f>
        <v>2030</v>
      </c>
      <c r="L30" s="98">
        <f t="shared" si="23"/>
        <v>2030</v>
      </c>
      <c r="M30" s="98">
        <f t="shared" si="23"/>
        <v>2030</v>
      </c>
      <c r="N30" s="98">
        <f t="shared" si="23"/>
        <v>2030</v>
      </c>
      <c r="O30" s="98">
        <f t="shared" si="23"/>
        <v>2030</v>
      </c>
      <c r="P30" s="98">
        <f t="shared" si="23"/>
        <v>2030</v>
      </c>
      <c r="Q30" s="98">
        <f t="shared" si="23"/>
        <v>2030</v>
      </c>
      <c r="R30" s="98">
        <f t="shared" si="23"/>
        <v>2030</v>
      </c>
      <c r="S30" s="98">
        <f t="shared" si="23"/>
        <v>2030</v>
      </c>
      <c r="T30" s="98">
        <f t="shared" si="23"/>
        <v>2030</v>
      </c>
      <c r="U30" s="98">
        <f t="shared" si="23"/>
        <v>2030</v>
      </c>
      <c r="V30" s="98">
        <f t="shared" si="23"/>
        <v>2030</v>
      </c>
      <c r="W30" s="98">
        <f t="shared" si="23"/>
        <v>2030</v>
      </c>
      <c r="X30" s="98">
        <f t="shared" si="23"/>
        <v>2030</v>
      </c>
      <c r="Y30" s="98">
        <f t="shared" si="23"/>
        <v>2030</v>
      </c>
      <c r="Z30" s="98">
        <f t="shared" si="23"/>
        <v>2030</v>
      </c>
      <c r="AA30" s="98">
        <f t="shared" si="23"/>
        <v>2030</v>
      </c>
      <c r="AB30" s="98">
        <f t="shared" si="23"/>
        <v>2030</v>
      </c>
      <c r="AC30" s="98">
        <f t="shared" si="23"/>
        <v>2030</v>
      </c>
      <c r="AD30" s="98">
        <f t="shared" si="23"/>
        <v>2030</v>
      </c>
      <c r="AE30" s="98">
        <f t="shared" si="23"/>
        <v>2030</v>
      </c>
      <c r="AF30" s="98">
        <f t="shared" si="23"/>
        <v>2030</v>
      </c>
      <c r="AG30" s="98">
        <f t="shared" si="23"/>
        <v>2030</v>
      </c>
      <c r="AH30" s="98">
        <f t="shared" si="23"/>
        <v>2030</v>
      </c>
      <c r="AI30" s="98">
        <f t="shared" si="23"/>
        <v>2030</v>
      </c>
      <c r="AJ30" s="98">
        <f t="shared" si="23"/>
        <v>2030</v>
      </c>
      <c r="AK30" s="98">
        <f t="shared" si="23"/>
        <v>2030</v>
      </c>
    </row>
    <row r="31" spans="4:37" x14ac:dyDescent="0.25">
      <c r="G31" s="98"/>
      <c r="H31" t="s">
        <v>624</v>
      </c>
      <c r="J31" s="98">
        <f>INF_Data!F408</f>
        <v>6615</v>
      </c>
      <c r="K31" s="98">
        <f t="shared" ref="K31:AK31" si="24">J31</f>
        <v>6615</v>
      </c>
      <c r="L31" s="98">
        <f t="shared" si="24"/>
        <v>6615</v>
      </c>
      <c r="M31" s="98">
        <f t="shared" si="24"/>
        <v>6615</v>
      </c>
      <c r="N31" s="98">
        <f t="shared" si="24"/>
        <v>6615</v>
      </c>
      <c r="O31" s="98">
        <f t="shared" si="24"/>
        <v>6615</v>
      </c>
      <c r="P31" s="98">
        <f t="shared" si="24"/>
        <v>6615</v>
      </c>
      <c r="Q31" s="98">
        <f t="shared" si="24"/>
        <v>6615</v>
      </c>
      <c r="R31" s="98">
        <f t="shared" si="24"/>
        <v>6615</v>
      </c>
      <c r="S31" s="98">
        <f t="shared" si="24"/>
        <v>6615</v>
      </c>
      <c r="T31" s="98">
        <f t="shared" si="24"/>
        <v>6615</v>
      </c>
      <c r="U31" s="98">
        <f t="shared" si="24"/>
        <v>6615</v>
      </c>
      <c r="V31" s="98">
        <f t="shared" si="24"/>
        <v>6615</v>
      </c>
      <c r="W31" s="98">
        <f t="shared" si="24"/>
        <v>6615</v>
      </c>
      <c r="X31" s="98">
        <f t="shared" si="24"/>
        <v>6615</v>
      </c>
      <c r="Y31" s="98">
        <f t="shared" si="24"/>
        <v>6615</v>
      </c>
      <c r="Z31" s="98">
        <f t="shared" si="24"/>
        <v>6615</v>
      </c>
      <c r="AA31" s="98">
        <f t="shared" si="24"/>
        <v>6615</v>
      </c>
      <c r="AB31" s="98">
        <f t="shared" si="24"/>
        <v>6615</v>
      </c>
      <c r="AC31" s="98">
        <f t="shared" si="24"/>
        <v>6615</v>
      </c>
      <c r="AD31" s="98">
        <f t="shared" si="24"/>
        <v>6615</v>
      </c>
      <c r="AE31" s="98">
        <f t="shared" si="24"/>
        <v>6615</v>
      </c>
      <c r="AF31" s="98">
        <f t="shared" si="24"/>
        <v>6615</v>
      </c>
      <c r="AG31" s="98">
        <f t="shared" si="24"/>
        <v>6615</v>
      </c>
      <c r="AH31" s="98">
        <f t="shared" si="24"/>
        <v>6615</v>
      </c>
      <c r="AI31" s="98">
        <f t="shared" si="24"/>
        <v>6615</v>
      </c>
      <c r="AJ31" s="98">
        <f t="shared" si="24"/>
        <v>6615</v>
      </c>
      <c r="AK31" s="98">
        <f t="shared" si="24"/>
        <v>6615</v>
      </c>
    </row>
    <row r="32" spans="4:37" x14ac:dyDescent="0.25">
      <c r="G32" s="98"/>
      <c r="H32" s="9" t="s">
        <v>547</v>
      </c>
      <c r="J32" s="98">
        <f>INF_Data!F409</f>
        <v>283</v>
      </c>
      <c r="K32" s="98">
        <f t="shared" ref="K32:AK32" si="25">J32</f>
        <v>283</v>
      </c>
      <c r="L32" s="98">
        <f t="shared" si="25"/>
        <v>283</v>
      </c>
      <c r="M32" s="98">
        <f t="shared" si="25"/>
        <v>283</v>
      </c>
      <c r="N32" s="98">
        <f t="shared" si="25"/>
        <v>283</v>
      </c>
      <c r="O32" s="98">
        <f t="shared" si="25"/>
        <v>283</v>
      </c>
      <c r="P32" s="98">
        <f t="shared" si="25"/>
        <v>283</v>
      </c>
      <c r="Q32" s="98">
        <f t="shared" si="25"/>
        <v>283</v>
      </c>
      <c r="R32" s="98">
        <f t="shared" si="25"/>
        <v>283</v>
      </c>
      <c r="S32" s="98">
        <f t="shared" si="25"/>
        <v>283</v>
      </c>
      <c r="T32" s="98">
        <f t="shared" si="25"/>
        <v>283</v>
      </c>
      <c r="U32" s="98">
        <f t="shared" si="25"/>
        <v>283</v>
      </c>
      <c r="V32" s="98">
        <f t="shared" si="25"/>
        <v>283</v>
      </c>
      <c r="W32" s="98">
        <f t="shared" si="25"/>
        <v>283</v>
      </c>
      <c r="X32" s="98">
        <f t="shared" si="25"/>
        <v>283</v>
      </c>
      <c r="Y32" s="98">
        <f t="shared" si="25"/>
        <v>283</v>
      </c>
      <c r="Z32" s="98">
        <f t="shared" si="25"/>
        <v>283</v>
      </c>
      <c r="AA32" s="98">
        <f t="shared" si="25"/>
        <v>283</v>
      </c>
      <c r="AB32" s="98">
        <f t="shared" si="25"/>
        <v>283</v>
      </c>
      <c r="AC32" s="98">
        <f t="shared" si="25"/>
        <v>283</v>
      </c>
      <c r="AD32" s="98">
        <f t="shared" si="25"/>
        <v>283</v>
      </c>
      <c r="AE32" s="98">
        <f t="shared" si="25"/>
        <v>283</v>
      </c>
      <c r="AF32" s="98">
        <f t="shared" si="25"/>
        <v>283</v>
      </c>
      <c r="AG32" s="98">
        <f t="shared" si="25"/>
        <v>283</v>
      </c>
      <c r="AH32" s="98">
        <f t="shared" si="25"/>
        <v>283</v>
      </c>
      <c r="AI32" s="98">
        <f t="shared" si="25"/>
        <v>283</v>
      </c>
      <c r="AJ32" s="98">
        <f t="shared" si="25"/>
        <v>283</v>
      </c>
      <c r="AK32" s="98">
        <f t="shared" si="25"/>
        <v>283</v>
      </c>
    </row>
    <row r="33" spans="4:37" x14ac:dyDescent="0.25">
      <c r="G33" s="98"/>
      <c r="H33" t="s">
        <v>1287</v>
      </c>
      <c r="J33" s="98">
        <f>INF_Data!F410</f>
        <v>250</v>
      </c>
      <c r="K33" s="98">
        <f t="shared" ref="K33:AK33" si="26">J33</f>
        <v>250</v>
      </c>
      <c r="L33" s="98">
        <f t="shared" si="26"/>
        <v>250</v>
      </c>
      <c r="M33" s="98">
        <f t="shared" si="26"/>
        <v>250</v>
      </c>
      <c r="N33" s="98">
        <f t="shared" si="26"/>
        <v>250</v>
      </c>
      <c r="O33" s="98">
        <f t="shared" si="26"/>
        <v>250</v>
      </c>
      <c r="P33" s="98">
        <f t="shared" si="26"/>
        <v>250</v>
      </c>
      <c r="Q33" s="98">
        <f t="shared" si="26"/>
        <v>250</v>
      </c>
      <c r="R33" s="98">
        <f t="shared" si="26"/>
        <v>250</v>
      </c>
      <c r="S33" s="98">
        <f t="shared" si="26"/>
        <v>250</v>
      </c>
      <c r="T33" s="98">
        <f t="shared" si="26"/>
        <v>250</v>
      </c>
      <c r="U33" s="98">
        <f t="shared" si="26"/>
        <v>250</v>
      </c>
      <c r="V33" s="98">
        <f t="shared" si="26"/>
        <v>250</v>
      </c>
      <c r="W33" s="98">
        <f t="shared" si="26"/>
        <v>250</v>
      </c>
      <c r="X33" s="98">
        <f t="shared" si="26"/>
        <v>250</v>
      </c>
      <c r="Y33" s="98">
        <f t="shared" si="26"/>
        <v>250</v>
      </c>
      <c r="Z33" s="98">
        <f t="shared" si="26"/>
        <v>250</v>
      </c>
      <c r="AA33" s="98">
        <f t="shared" si="26"/>
        <v>250</v>
      </c>
      <c r="AB33" s="98">
        <f t="shared" si="26"/>
        <v>250</v>
      </c>
      <c r="AC33" s="98">
        <f t="shared" si="26"/>
        <v>250</v>
      </c>
      <c r="AD33" s="98">
        <f t="shared" si="26"/>
        <v>250</v>
      </c>
      <c r="AE33" s="98">
        <f t="shared" si="26"/>
        <v>250</v>
      </c>
      <c r="AF33" s="98">
        <f t="shared" si="26"/>
        <v>250</v>
      </c>
      <c r="AG33" s="98">
        <f t="shared" si="26"/>
        <v>250</v>
      </c>
      <c r="AH33" s="98">
        <f t="shared" si="26"/>
        <v>250</v>
      </c>
      <c r="AI33" s="98">
        <f t="shared" si="26"/>
        <v>250</v>
      </c>
      <c r="AJ33" s="98">
        <f t="shared" si="26"/>
        <v>250</v>
      </c>
      <c r="AK33" s="98">
        <f t="shared" si="26"/>
        <v>250</v>
      </c>
    </row>
    <row r="34" spans="4:37" x14ac:dyDescent="0.25">
      <c r="D34" t="s">
        <v>1122</v>
      </c>
      <c r="E34">
        <v>30</v>
      </c>
      <c r="F34">
        <v>0.9</v>
      </c>
      <c r="G34" s="98">
        <f>G27</f>
        <v>255</v>
      </c>
      <c r="H34" t="s">
        <v>470</v>
      </c>
      <c r="I34" s="9" t="s">
        <v>141</v>
      </c>
      <c r="J34" s="98">
        <f>INF_Data!G155</f>
        <v>21</v>
      </c>
      <c r="K34" s="98">
        <f t="shared" ref="K34:AK34" si="27">J34</f>
        <v>21</v>
      </c>
      <c r="L34" s="98">
        <f t="shared" si="27"/>
        <v>21</v>
      </c>
      <c r="M34" s="98">
        <f t="shared" si="27"/>
        <v>21</v>
      </c>
      <c r="N34" s="98">
        <f t="shared" si="27"/>
        <v>21</v>
      </c>
      <c r="O34" s="98">
        <f t="shared" si="27"/>
        <v>21</v>
      </c>
      <c r="P34" s="98">
        <f t="shared" si="27"/>
        <v>21</v>
      </c>
      <c r="Q34" s="98">
        <f t="shared" si="27"/>
        <v>21</v>
      </c>
      <c r="R34" s="98">
        <f t="shared" si="27"/>
        <v>21</v>
      </c>
      <c r="S34" s="98">
        <f t="shared" si="27"/>
        <v>21</v>
      </c>
      <c r="T34" s="98">
        <f t="shared" si="27"/>
        <v>21</v>
      </c>
      <c r="U34" s="98">
        <f t="shared" si="27"/>
        <v>21</v>
      </c>
      <c r="V34" s="98">
        <f t="shared" si="27"/>
        <v>21</v>
      </c>
      <c r="W34" s="98">
        <f t="shared" si="27"/>
        <v>21</v>
      </c>
      <c r="X34" s="98">
        <f t="shared" si="27"/>
        <v>21</v>
      </c>
      <c r="Y34" s="98">
        <f t="shared" si="27"/>
        <v>21</v>
      </c>
      <c r="Z34" s="98">
        <f t="shared" si="27"/>
        <v>21</v>
      </c>
      <c r="AA34" s="98">
        <f t="shared" si="27"/>
        <v>21</v>
      </c>
      <c r="AB34" s="98">
        <f t="shared" si="27"/>
        <v>21</v>
      </c>
      <c r="AC34" s="98">
        <f t="shared" si="27"/>
        <v>21</v>
      </c>
      <c r="AD34" s="98">
        <f t="shared" si="27"/>
        <v>21</v>
      </c>
      <c r="AE34" s="98">
        <f t="shared" si="27"/>
        <v>21</v>
      </c>
      <c r="AF34" s="98">
        <f t="shared" si="27"/>
        <v>21</v>
      </c>
      <c r="AG34" s="98">
        <f t="shared" si="27"/>
        <v>21</v>
      </c>
      <c r="AH34" s="98">
        <f t="shared" si="27"/>
        <v>21</v>
      </c>
      <c r="AI34" s="98">
        <f t="shared" si="27"/>
        <v>21</v>
      </c>
      <c r="AJ34" s="98">
        <f t="shared" si="27"/>
        <v>21</v>
      </c>
      <c r="AK34" s="98">
        <f t="shared" si="27"/>
        <v>21</v>
      </c>
    </row>
    <row r="35" spans="4:37" x14ac:dyDescent="0.25">
      <c r="H35" t="s">
        <v>470</v>
      </c>
      <c r="I35" s="9" t="s">
        <v>126</v>
      </c>
      <c r="J35" s="98">
        <f>INF_Data!G156</f>
        <v>54</v>
      </c>
      <c r="K35" s="98">
        <f t="shared" ref="K35:AK35" si="28">J35</f>
        <v>54</v>
      </c>
      <c r="L35" s="98">
        <f t="shared" si="28"/>
        <v>54</v>
      </c>
      <c r="M35" s="98">
        <f t="shared" si="28"/>
        <v>54</v>
      </c>
      <c r="N35" s="98">
        <f t="shared" si="28"/>
        <v>54</v>
      </c>
      <c r="O35" s="98">
        <f t="shared" si="28"/>
        <v>54</v>
      </c>
      <c r="P35" s="98">
        <f t="shared" si="28"/>
        <v>54</v>
      </c>
      <c r="Q35" s="98">
        <f t="shared" si="28"/>
        <v>54</v>
      </c>
      <c r="R35" s="98">
        <f t="shared" si="28"/>
        <v>54</v>
      </c>
      <c r="S35" s="98">
        <f t="shared" si="28"/>
        <v>54</v>
      </c>
      <c r="T35" s="98">
        <f t="shared" si="28"/>
        <v>54</v>
      </c>
      <c r="U35" s="98">
        <f t="shared" si="28"/>
        <v>54</v>
      </c>
      <c r="V35" s="98">
        <f t="shared" si="28"/>
        <v>54</v>
      </c>
      <c r="W35" s="98">
        <f t="shared" si="28"/>
        <v>54</v>
      </c>
      <c r="X35" s="98">
        <f t="shared" si="28"/>
        <v>54</v>
      </c>
      <c r="Y35" s="98">
        <f t="shared" si="28"/>
        <v>54</v>
      </c>
      <c r="Z35" s="98">
        <f t="shared" si="28"/>
        <v>54</v>
      </c>
      <c r="AA35" s="98">
        <f t="shared" si="28"/>
        <v>54</v>
      </c>
      <c r="AB35" s="98">
        <f t="shared" si="28"/>
        <v>54</v>
      </c>
      <c r="AC35" s="98">
        <f t="shared" si="28"/>
        <v>54</v>
      </c>
      <c r="AD35" s="98">
        <f t="shared" si="28"/>
        <v>54</v>
      </c>
      <c r="AE35" s="98">
        <f t="shared" si="28"/>
        <v>54</v>
      </c>
      <c r="AF35" s="98">
        <f t="shared" si="28"/>
        <v>54</v>
      </c>
      <c r="AG35" s="98">
        <f t="shared" si="28"/>
        <v>54</v>
      </c>
      <c r="AH35" s="98">
        <f t="shared" si="28"/>
        <v>54</v>
      </c>
      <c r="AI35" s="98">
        <f t="shared" si="28"/>
        <v>54</v>
      </c>
      <c r="AJ35" s="98">
        <f t="shared" si="28"/>
        <v>54</v>
      </c>
      <c r="AK35" s="98">
        <f t="shared" si="28"/>
        <v>54</v>
      </c>
    </row>
    <row r="36" spans="4:37" x14ac:dyDescent="0.25">
      <c r="H36" t="s">
        <v>472</v>
      </c>
      <c r="I36" s="9" t="s">
        <v>1250</v>
      </c>
      <c r="J36">
        <v>1</v>
      </c>
      <c r="K36" s="98">
        <f t="shared" ref="K36:AK36" si="29">J36</f>
        <v>1</v>
      </c>
      <c r="L36" s="98">
        <f t="shared" si="29"/>
        <v>1</v>
      </c>
      <c r="M36" s="98">
        <f t="shared" si="29"/>
        <v>1</v>
      </c>
      <c r="N36" s="98">
        <f t="shared" si="29"/>
        <v>1</v>
      </c>
      <c r="O36" s="98">
        <f t="shared" si="29"/>
        <v>1</v>
      </c>
      <c r="P36" s="98">
        <f t="shared" si="29"/>
        <v>1</v>
      </c>
      <c r="Q36" s="98">
        <f t="shared" si="29"/>
        <v>1</v>
      </c>
      <c r="R36" s="98">
        <f t="shared" si="29"/>
        <v>1</v>
      </c>
      <c r="S36" s="98">
        <f t="shared" si="29"/>
        <v>1</v>
      </c>
      <c r="T36" s="98">
        <f t="shared" si="29"/>
        <v>1</v>
      </c>
      <c r="U36" s="98">
        <f t="shared" si="29"/>
        <v>1</v>
      </c>
      <c r="V36" s="98">
        <f t="shared" si="29"/>
        <v>1</v>
      </c>
      <c r="W36" s="98">
        <f t="shared" si="29"/>
        <v>1</v>
      </c>
      <c r="X36" s="98">
        <f t="shared" si="29"/>
        <v>1</v>
      </c>
      <c r="Y36" s="98">
        <f t="shared" si="29"/>
        <v>1</v>
      </c>
      <c r="Z36" s="98">
        <f t="shared" si="29"/>
        <v>1</v>
      </c>
      <c r="AA36" s="98">
        <f t="shared" si="29"/>
        <v>1</v>
      </c>
      <c r="AB36" s="98">
        <f t="shared" si="29"/>
        <v>1</v>
      </c>
      <c r="AC36" s="98">
        <f t="shared" si="29"/>
        <v>1</v>
      </c>
      <c r="AD36" s="98">
        <f t="shared" si="29"/>
        <v>1</v>
      </c>
      <c r="AE36" s="98">
        <f t="shared" si="29"/>
        <v>1</v>
      </c>
      <c r="AF36" s="98">
        <f t="shared" si="29"/>
        <v>1</v>
      </c>
      <c r="AG36" s="98">
        <f t="shared" si="29"/>
        <v>1</v>
      </c>
      <c r="AH36" s="98">
        <f t="shared" si="29"/>
        <v>1</v>
      </c>
      <c r="AI36" s="98">
        <f t="shared" si="29"/>
        <v>1</v>
      </c>
      <c r="AJ36" s="98">
        <f t="shared" si="29"/>
        <v>1</v>
      </c>
      <c r="AK36" s="98">
        <f t="shared" si="29"/>
        <v>1</v>
      </c>
    </row>
    <row r="37" spans="4:37" x14ac:dyDescent="0.25">
      <c r="H37" t="s">
        <v>1626</v>
      </c>
      <c r="I37" s="9" t="s">
        <v>621</v>
      </c>
      <c r="J37" s="98">
        <f>$G$13-$G$34</f>
        <v>1395.0000000000002</v>
      </c>
      <c r="K37" s="98">
        <f t="shared" ref="K37:AK37" si="30">$G$13-$G$34</f>
        <v>1395.0000000000002</v>
      </c>
      <c r="L37" s="98">
        <f t="shared" si="30"/>
        <v>1395.0000000000002</v>
      </c>
      <c r="M37" s="98">
        <f t="shared" si="30"/>
        <v>1395.0000000000002</v>
      </c>
      <c r="N37" s="98">
        <f t="shared" si="30"/>
        <v>1395.0000000000002</v>
      </c>
      <c r="O37" s="98">
        <f t="shared" si="30"/>
        <v>1395.0000000000002</v>
      </c>
      <c r="P37" s="98">
        <f t="shared" si="30"/>
        <v>1395.0000000000002</v>
      </c>
      <c r="Q37" s="98">
        <f t="shared" si="30"/>
        <v>1395.0000000000002</v>
      </c>
      <c r="R37" s="98">
        <f t="shared" si="30"/>
        <v>1395.0000000000002</v>
      </c>
      <c r="S37" s="98">
        <f t="shared" si="30"/>
        <v>1395.0000000000002</v>
      </c>
      <c r="T37" s="98">
        <f t="shared" si="30"/>
        <v>1395.0000000000002</v>
      </c>
      <c r="U37" s="98">
        <f t="shared" si="30"/>
        <v>1395.0000000000002</v>
      </c>
      <c r="V37" s="98">
        <f t="shared" si="30"/>
        <v>1395.0000000000002</v>
      </c>
      <c r="W37" s="98">
        <f t="shared" si="30"/>
        <v>1395.0000000000002</v>
      </c>
      <c r="X37" s="98">
        <f t="shared" si="30"/>
        <v>1395.0000000000002</v>
      </c>
      <c r="Y37" s="98">
        <f t="shared" si="30"/>
        <v>1395.0000000000002</v>
      </c>
      <c r="Z37" s="98">
        <f t="shared" si="30"/>
        <v>1395.0000000000002</v>
      </c>
      <c r="AA37" s="98">
        <f t="shared" si="30"/>
        <v>1395.0000000000002</v>
      </c>
      <c r="AB37" s="98">
        <f t="shared" si="30"/>
        <v>1395.0000000000002</v>
      </c>
      <c r="AC37" s="98">
        <f t="shared" si="30"/>
        <v>1395.0000000000002</v>
      </c>
      <c r="AD37" s="98">
        <f t="shared" si="30"/>
        <v>1395.0000000000002</v>
      </c>
      <c r="AE37" s="98">
        <f t="shared" si="30"/>
        <v>1395.0000000000002</v>
      </c>
      <c r="AF37" s="98">
        <f t="shared" si="30"/>
        <v>1395.0000000000002</v>
      </c>
      <c r="AG37" s="98">
        <f t="shared" si="30"/>
        <v>1395.0000000000002</v>
      </c>
      <c r="AH37" s="98">
        <f t="shared" si="30"/>
        <v>1395.0000000000002</v>
      </c>
      <c r="AI37" s="98">
        <f t="shared" si="30"/>
        <v>1395.0000000000002</v>
      </c>
      <c r="AJ37" s="98">
        <f t="shared" si="30"/>
        <v>1395.0000000000002</v>
      </c>
      <c r="AK37" s="98">
        <f t="shared" si="30"/>
        <v>1395.0000000000002</v>
      </c>
    </row>
    <row r="38" spans="4:37" x14ac:dyDescent="0.25">
      <c r="H38" t="s">
        <v>599</v>
      </c>
      <c r="J38">
        <v>2030</v>
      </c>
      <c r="K38" s="98">
        <f t="shared" ref="K38:AK38" si="31">J38</f>
        <v>2030</v>
      </c>
      <c r="L38" s="98">
        <f t="shared" si="31"/>
        <v>2030</v>
      </c>
      <c r="M38" s="98">
        <f t="shared" si="31"/>
        <v>2030</v>
      </c>
      <c r="N38" s="98">
        <f t="shared" si="31"/>
        <v>2030</v>
      </c>
      <c r="O38" s="98">
        <f t="shared" si="31"/>
        <v>2030</v>
      </c>
      <c r="P38" s="98">
        <f t="shared" si="31"/>
        <v>2030</v>
      </c>
      <c r="Q38" s="98">
        <f t="shared" si="31"/>
        <v>2030</v>
      </c>
      <c r="R38" s="98">
        <f t="shared" si="31"/>
        <v>2030</v>
      </c>
      <c r="S38" s="98">
        <f t="shared" si="31"/>
        <v>2030</v>
      </c>
      <c r="T38" s="98">
        <f t="shared" si="31"/>
        <v>2030</v>
      </c>
      <c r="U38" s="98">
        <f t="shared" si="31"/>
        <v>2030</v>
      </c>
      <c r="V38" s="98">
        <f t="shared" si="31"/>
        <v>2030</v>
      </c>
      <c r="W38" s="98">
        <f t="shared" si="31"/>
        <v>2030</v>
      </c>
      <c r="X38" s="98">
        <f t="shared" si="31"/>
        <v>2030</v>
      </c>
      <c r="Y38" s="98">
        <f t="shared" si="31"/>
        <v>2030</v>
      </c>
      <c r="Z38" s="98">
        <f t="shared" si="31"/>
        <v>2030</v>
      </c>
      <c r="AA38" s="98">
        <f t="shared" si="31"/>
        <v>2030</v>
      </c>
      <c r="AB38" s="98">
        <f t="shared" si="31"/>
        <v>2030</v>
      </c>
      <c r="AC38" s="98">
        <f t="shared" si="31"/>
        <v>2030</v>
      </c>
      <c r="AD38" s="98">
        <f t="shared" si="31"/>
        <v>2030</v>
      </c>
      <c r="AE38" s="98">
        <f t="shared" si="31"/>
        <v>2030</v>
      </c>
      <c r="AF38" s="98">
        <f t="shared" si="31"/>
        <v>2030</v>
      </c>
      <c r="AG38" s="98">
        <f t="shared" si="31"/>
        <v>2030</v>
      </c>
      <c r="AH38" s="98">
        <f t="shared" si="31"/>
        <v>2030</v>
      </c>
      <c r="AI38" s="98">
        <f t="shared" si="31"/>
        <v>2030</v>
      </c>
      <c r="AJ38" s="98">
        <f t="shared" si="31"/>
        <v>2030</v>
      </c>
      <c r="AK38" s="98">
        <f t="shared" si="31"/>
        <v>2030</v>
      </c>
    </row>
    <row r="39" spans="4:37" x14ac:dyDescent="0.25">
      <c r="H39" t="s">
        <v>624</v>
      </c>
      <c r="J39" s="98">
        <f>INF_Data!G408</f>
        <v>6529</v>
      </c>
      <c r="K39" s="98">
        <f t="shared" ref="K39:AK39" si="32">J39</f>
        <v>6529</v>
      </c>
      <c r="L39" s="98">
        <f t="shared" si="32"/>
        <v>6529</v>
      </c>
      <c r="M39" s="98">
        <f t="shared" si="32"/>
        <v>6529</v>
      </c>
      <c r="N39" s="98">
        <f t="shared" si="32"/>
        <v>6529</v>
      </c>
      <c r="O39" s="98">
        <f t="shared" si="32"/>
        <v>6529</v>
      </c>
      <c r="P39" s="98">
        <f t="shared" si="32"/>
        <v>6529</v>
      </c>
      <c r="Q39" s="98">
        <f t="shared" si="32"/>
        <v>6529</v>
      </c>
      <c r="R39" s="98">
        <f t="shared" si="32"/>
        <v>6529</v>
      </c>
      <c r="S39" s="98">
        <f t="shared" si="32"/>
        <v>6529</v>
      </c>
      <c r="T39" s="98">
        <f t="shared" si="32"/>
        <v>6529</v>
      </c>
      <c r="U39" s="98">
        <f t="shared" si="32"/>
        <v>6529</v>
      </c>
      <c r="V39" s="98">
        <f t="shared" si="32"/>
        <v>6529</v>
      </c>
      <c r="W39" s="98">
        <f t="shared" si="32"/>
        <v>6529</v>
      </c>
      <c r="X39" s="98">
        <f t="shared" si="32"/>
        <v>6529</v>
      </c>
      <c r="Y39" s="98">
        <f t="shared" si="32"/>
        <v>6529</v>
      </c>
      <c r="Z39" s="98">
        <f t="shared" si="32"/>
        <v>6529</v>
      </c>
      <c r="AA39" s="98">
        <f t="shared" si="32"/>
        <v>6529</v>
      </c>
      <c r="AB39" s="98">
        <f t="shared" si="32"/>
        <v>6529</v>
      </c>
      <c r="AC39" s="98">
        <f t="shared" si="32"/>
        <v>6529</v>
      </c>
      <c r="AD39" s="98">
        <f t="shared" si="32"/>
        <v>6529</v>
      </c>
      <c r="AE39" s="98">
        <f t="shared" si="32"/>
        <v>6529</v>
      </c>
      <c r="AF39" s="98">
        <f t="shared" si="32"/>
        <v>6529</v>
      </c>
      <c r="AG39" s="98">
        <f t="shared" si="32"/>
        <v>6529</v>
      </c>
      <c r="AH39" s="98">
        <f t="shared" si="32"/>
        <v>6529</v>
      </c>
      <c r="AI39" s="98">
        <f t="shared" si="32"/>
        <v>6529</v>
      </c>
      <c r="AJ39" s="98">
        <f t="shared" si="32"/>
        <v>6529</v>
      </c>
      <c r="AK39" s="98">
        <f t="shared" si="32"/>
        <v>6529</v>
      </c>
    </row>
    <row r="40" spans="4:37" x14ac:dyDescent="0.25">
      <c r="H40" s="9" t="s">
        <v>547</v>
      </c>
      <c r="J40" s="98">
        <f>INF_Data!G409</f>
        <v>284</v>
      </c>
      <c r="K40" s="98">
        <f t="shared" ref="K40:AK40" si="33">J40</f>
        <v>284</v>
      </c>
      <c r="L40" s="98">
        <f t="shared" si="33"/>
        <v>284</v>
      </c>
      <c r="M40" s="98">
        <f t="shared" si="33"/>
        <v>284</v>
      </c>
      <c r="N40" s="98">
        <f t="shared" si="33"/>
        <v>284</v>
      </c>
      <c r="O40" s="98">
        <f t="shared" si="33"/>
        <v>284</v>
      </c>
      <c r="P40" s="98">
        <f t="shared" si="33"/>
        <v>284</v>
      </c>
      <c r="Q40" s="98">
        <f t="shared" si="33"/>
        <v>284</v>
      </c>
      <c r="R40" s="98">
        <f t="shared" si="33"/>
        <v>284</v>
      </c>
      <c r="S40" s="98">
        <f t="shared" si="33"/>
        <v>284</v>
      </c>
      <c r="T40" s="98">
        <f t="shared" si="33"/>
        <v>284</v>
      </c>
      <c r="U40" s="98">
        <f t="shared" si="33"/>
        <v>284</v>
      </c>
      <c r="V40" s="98">
        <f t="shared" si="33"/>
        <v>284</v>
      </c>
      <c r="W40" s="98">
        <f t="shared" si="33"/>
        <v>284</v>
      </c>
      <c r="X40" s="98">
        <f t="shared" si="33"/>
        <v>284</v>
      </c>
      <c r="Y40" s="98">
        <f t="shared" si="33"/>
        <v>284</v>
      </c>
      <c r="Z40" s="98">
        <f t="shared" si="33"/>
        <v>284</v>
      </c>
      <c r="AA40" s="98">
        <f t="shared" si="33"/>
        <v>284</v>
      </c>
      <c r="AB40" s="98">
        <f t="shared" si="33"/>
        <v>284</v>
      </c>
      <c r="AC40" s="98">
        <f t="shared" si="33"/>
        <v>284</v>
      </c>
      <c r="AD40" s="98">
        <f t="shared" si="33"/>
        <v>284</v>
      </c>
      <c r="AE40" s="98">
        <f t="shared" si="33"/>
        <v>284</v>
      </c>
      <c r="AF40" s="98">
        <f t="shared" si="33"/>
        <v>284</v>
      </c>
      <c r="AG40" s="98">
        <f t="shared" si="33"/>
        <v>284</v>
      </c>
      <c r="AH40" s="98">
        <f t="shared" si="33"/>
        <v>284</v>
      </c>
      <c r="AI40" s="98">
        <f t="shared" si="33"/>
        <v>284</v>
      </c>
      <c r="AJ40" s="98">
        <f t="shared" si="33"/>
        <v>284</v>
      </c>
      <c r="AK40" s="98">
        <f t="shared" si="33"/>
        <v>284</v>
      </c>
    </row>
    <row r="41" spans="4:37" x14ac:dyDescent="0.25">
      <c r="H41" t="s">
        <v>1287</v>
      </c>
      <c r="J41" s="98">
        <f>INF_Data!G410</f>
        <v>256</v>
      </c>
      <c r="K41" s="98">
        <f t="shared" ref="K41:AK41" si="34">J41</f>
        <v>256</v>
      </c>
      <c r="L41" s="98">
        <f t="shared" si="34"/>
        <v>256</v>
      </c>
      <c r="M41" s="98">
        <f t="shared" si="34"/>
        <v>256</v>
      </c>
      <c r="N41" s="98">
        <f t="shared" si="34"/>
        <v>256</v>
      </c>
      <c r="O41" s="98">
        <f t="shared" si="34"/>
        <v>256</v>
      </c>
      <c r="P41" s="98">
        <f t="shared" si="34"/>
        <v>256</v>
      </c>
      <c r="Q41" s="98">
        <f t="shared" si="34"/>
        <v>256</v>
      </c>
      <c r="R41" s="98">
        <f t="shared" si="34"/>
        <v>256</v>
      </c>
      <c r="S41" s="98">
        <f t="shared" si="34"/>
        <v>256</v>
      </c>
      <c r="T41" s="98">
        <f t="shared" si="34"/>
        <v>256</v>
      </c>
      <c r="U41" s="98">
        <f t="shared" si="34"/>
        <v>256</v>
      </c>
      <c r="V41" s="98">
        <f t="shared" si="34"/>
        <v>256</v>
      </c>
      <c r="W41" s="98">
        <f t="shared" si="34"/>
        <v>256</v>
      </c>
      <c r="X41" s="98">
        <f t="shared" si="34"/>
        <v>256</v>
      </c>
      <c r="Y41" s="98">
        <f t="shared" si="34"/>
        <v>256</v>
      </c>
      <c r="Z41" s="98">
        <f t="shared" si="34"/>
        <v>256</v>
      </c>
      <c r="AA41" s="98">
        <f t="shared" si="34"/>
        <v>256</v>
      </c>
      <c r="AB41" s="98">
        <f t="shared" si="34"/>
        <v>256</v>
      </c>
      <c r="AC41" s="98">
        <f t="shared" si="34"/>
        <v>256</v>
      </c>
      <c r="AD41" s="98">
        <f t="shared" si="34"/>
        <v>256</v>
      </c>
      <c r="AE41" s="98">
        <f t="shared" si="34"/>
        <v>256</v>
      </c>
      <c r="AF41" s="98">
        <f t="shared" si="34"/>
        <v>256</v>
      </c>
      <c r="AG41" s="98">
        <f t="shared" si="34"/>
        <v>256</v>
      </c>
      <c r="AH41" s="98">
        <f t="shared" si="34"/>
        <v>256</v>
      </c>
      <c r="AI41" s="98">
        <f t="shared" si="34"/>
        <v>256</v>
      </c>
      <c r="AJ41" s="98">
        <f t="shared" si="34"/>
        <v>256</v>
      </c>
      <c r="AK41" s="98">
        <f t="shared" si="34"/>
        <v>256</v>
      </c>
    </row>
    <row r="42" spans="4:37" x14ac:dyDescent="0.25">
      <c r="D42" t="s">
        <v>1124</v>
      </c>
      <c r="E42">
        <v>30</v>
      </c>
      <c r="F42">
        <v>0.9</v>
      </c>
      <c r="H42" t="s">
        <v>470</v>
      </c>
      <c r="I42" s="9" t="s">
        <v>126</v>
      </c>
      <c r="J42" s="98">
        <f>INF_Data!G157</f>
        <v>71</v>
      </c>
      <c r="K42" s="98">
        <f t="shared" ref="K42:AK42" si="35">J42</f>
        <v>71</v>
      </c>
      <c r="L42" s="98">
        <f t="shared" si="35"/>
        <v>71</v>
      </c>
      <c r="M42" s="98">
        <f t="shared" si="35"/>
        <v>71</v>
      </c>
      <c r="N42" s="98">
        <f t="shared" si="35"/>
        <v>71</v>
      </c>
      <c r="O42" s="98">
        <f t="shared" si="35"/>
        <v>71</v>
      </c>
      <c r="P42" s="98">
        <f t="shared" si="35"/>
        <v>71</v>
      </c>
      <c r="Q42" s="98">
        <f t="shared" si="35"/>
        <v>71</v>
      </c>
      <c r="R42" s="98">
        <f t="shared" si="35"/>
        <v>71</v>
      </c>
      <c r="S42" s="98">
        <f t="shared" si="35"/>
        <v>71</v>
      </c>
      <c r="T42" s="98">
        <f t="shared" si="35"/>
        <v>71</v>
      </c>
      <c r="U42" s="98">
        <f t="shared" si="35"/>
        <v>71</v>
      </c>
      <c r="V42" s="98">
        <f t="shared" si="35"/>
        <v>71</v>
      </c>
      <c r="W42" s="98">
        <f t="shared" si="35"/>
        <v>71</v>
      </c>
      <c r="X42" s="98">
        <f t="shared" si="35"/>
        <v>71</v>
      </c>
      <c r="Y42" s="98">
        <f t="shared" si="35"/>
        <v>71</v>
      </c>
      <c r="Z42" s="98">
        <f t="shared" si="35"/>
        <v>71</v>
      </c>
      <c r="AA42" s="98">
        <f t="shared" si="35"/>
        <v>71</v>
      </c>
      <c r="AB42" s="98">
        <f t="shared" si="35"/>
        <v>71</v>
      </c>
      <c r="AC42" s="98">
        <f t="shared" si="35"/>
        <v>71</v>
      </c>
      <c r="AD42" s="98">
        <f t="shared" si="35"/>
        <v>71</v>
      </c>
      <c r="AE42" s="98">
        <f t="shared" si="35"/>
        <v>71</v>
      </c>
      <c r="AF42" s="98">
        <f t="shared" si="35"/>
        <v>71</v>
      </c>
      <c r="AG42" s="98">
        <f t="shared" si="35"/>
        <v>71</v>
      </c>
      <c r="AH42" s="98">
        <f t="shared" si="35"/>
        <v>71</v>
      </c>
      <c r="AI42" s="98">
        <f t="shared" si="35"/>
        <v>71</v>
      </c>
      <c r="AJ42" s="98">
        <f t="shared" si="35"/>
        <v>71</v>
      </c>
      <c r="AK42" s="98">
        <f t="shared" si="35"/>
        <v>71</v>
      </c>
    </row>
    <row r="43" spans="4:37" x14ac:dyDescent="0.25">
      <c r="H43" t="s">
        <v>472</v>
      </c>
      <c r="I43" s="9" t="s">
        <v>1250</v>
      </c>
      <c r="J43">
        <v>1</v>
      </c>
      <c r="K43" s="98">
        <f t="shared" ref="K43:AK43" si="36">J43</f>
        <v>1</v>
      </c>
      <c r="L43" s="98">
        <f t="shared" si="36"/>
        <v>1</v>
      </c>
      <c r="M43" s="98">
        <f t="shared" si="36"/>
        <v>1</v>
      </c>
      <c r="N43" s="98">
        <f t="shared" si="36"/>
        <v>1</v>
      </c>
      <c r="O43" s="98">
        <f t="shared" si="36"/>
        <v>1</v>
      </c>
      <c r="P43" s="98">
        <f t="shared" si="36"/>
        <v>1</v>
      </c>
      <c r="Q43" s="98">
        <f t="shared" si="36"/>
        <v>1</v>
      </c>
      <c r="R43" s="98">
        <f t="shared" si="36"/>
        <v>1</v>
      </c>
      <c r="S43" s="98">
        <f t="shared" si="36"/>
        <v>1</v>
      </c>
      <c r="T43" s="98">
        <f t="shared" si="36"/>
        <v>1</v>
      </c>
      <c r="U43" s="98">
        <f t="shared" si="36"/>
        <v>1</v>
      </c>
      <c r="V43" s="98">
        <f t="shared" si="36"/>
        <v>1</v>
      </c>
      <c r="W43" s="98">
        <f t="shared" si="36"/>
        <v>1</v>
      </c>
      <c r="X43" s="98">
        <f t="shared" si="36"/>
        <v>1</v>
      </c>
      <c r="Y43" s="98">
        <f t="shared" si="36"/>
        <v>1</v>
      </c>
      <c r="Z43" s="98">
        <f t="shared" si="36"/>
        <v>1</v>
      </c>
      <c r="AA43" s="98">
        <f t="shared" si="36"/>
        <v>1</v>
      </c>
      <c r="AB43" s="98">
        <f t="shared" si="36"/>
        <v>1</v>
      </c>
      <c r="AC43" s="98">
        <f t="shared" si="36"/>
        <v>1</v>
      </c>
      <c r="AD43" s="98">
        <f t="shared" si="36"/>
        <v>1</v>
      </c>
      <c r="AE43" s="98">
        <f t="shared" si="36"/>
        <v>1</v>
      </c>
      <c r="AF43" s="98">
        <f t="shared" si="36"/>
        <v>1</v>
      </c>
      <c r="AG43" s="98">
        <f t="shared" si="36"/>
        <v>1</v>
      </c>
      <c r="AH43" s="98">
        <f t="shared" si="36"/>
        <v>1</v>
      </c>
      <c r="AI43" s="98">
        <f t="shared" si="36"/>
        <v>1</v>
      </c>
      <c r="AJ43" s="98">
        <f t="shared" si="36"/>
        <v>1</v>
      </c>
      <c r="AK43" s="98">
        <f t="shared" si="36"/>
        <v>1</v>
      </c>
    </row>
    <row r="44" spans="4:37" x14ac:dyDescent="0.25">
      <c r="H44" t="s">
        <v>599</v>
      </c>
      <c r="J44">
        <v>2030</v>
      </c>
      <c r="K44" s="98">
        <f t="shared" ref="K44:AK44" si="37">J44</f>
        <v>2030</v>
      </c>
      <c r="L44" s="98">
        <f t="shared" si="37"/>
        <v>2030</v>
      </c>
      <c r="M44" s="98">
        <f t="shared" si="37"/>
        <v>2030</v>
      </c>
      <c r="N44" s="98">
        <f t="shared" si="37"/>
        <v>2030</v>
      </c>
      <c r="O44" s="98">
        <f t="shared" si="37"/>
        <v>2030</v>
      </c>
      <c r="P44" s="98">
        <f t="shared" si="37"/>
        <v>2030</v>
      </c>
      <c r="Q44" s="98">
        <f t="shared" si="37"/>
        <v>2030</v>
      </c>
      <c r="R44" s="98">
        <f t="shared" si="37"/>
        <v>2030</v>
      </c>
      <c r="S44" s="98">
        <f t="shared" si="37"/>
        <v>2030</v>
      </c>
      <c r="T44" s="98">
        <f t="shared" si="37"/>
        <v>2030</v>
      </c>
      <c r="U44" s="98">
        <f t="shared" si="37"/>
        <v>2030</v>
      </c>
      <c r="V44" s="98">
        <f t="shared" si="37"/>
        <v>2030</v>
      </c>
      <c r="W44" s="98">
        <f t="shared" si="37"/>
        <v>2030</v>
      </c>
      <c r="X44" s="98">
        <f t="shared" si="37"/>
        <v>2030</v>
      </c>
      <c r="Y44" s="98">
        <f t="shared" si="37"/>
        <v>2030</v>
      </c>
      <c r="Z44" s="98">
        <f t="shared" si="37"/>
        <v>2030</v>
      </c>
      <c r="AA44" s="98">
        <f t="shared" si="37"/>
        <v>2030</v>
      </c>
      <c r="AB44" s="98">
        <f t="shared" si="37"/>
        <v>2030</v>
      </c>
      <c r="AC44" s="98">
        <f t="shared" si="37"/>
        <v>2030</v>
      </c>
      <c r="AD44" s="98">
        <f t="shared" si="37"/>
        <v>2030</v>
      </c>
      <c r="AE44" s="98">
        <f t="shared" si="37"/>
        <v>2030</v>
      </c>
      <c r="AF44" s="98">
        <f t="shared" si="37"/>
        <v>2030</v>
      </c>
      <c r="AG44" s="98">
        <f t="shared" si="37"/>
        <v>2030</v>
      </c>
      <c r="AH44" s="98">
        <f t="shared" si="37"/>
        <v>2030</v>
      </c>
      <c r="AI44" s="98">
        <f t="shared" si="37"/>
        <v>2030</v>
      </c>
      <c r="AJ44" s="98">
        <f t="shared" si="37"/>
        <v>2030</v>
      </c>
      <c r="AK44" s="98">
        <f t="shared" si="37"/>
        <v>2030</v>
      </c>
    </row>
    <row r="45" spans="4:37" x14ac:dyDescent="0.25">
      <c r="H45" t="s">
        <v>624</v>
      </c>
      <c r="J45" s="98">
        <f>INF_Data!H408</f>
        <v>6334</v>
      </c>
      <c r="K45" s="98">
        <f t="shared" ref="K45:AK45" si="38">J45</f>
        <v>6334</v>
      </c>
      <c r="L45" s="98">
        <f t="shared" si="38"/>
        <v>6334</v>
      </c>
      <c r="M45" s="98">
        <f t="shared" si="38"/>
        <v>6334</v>
      </c>
      <c r="N45" s="98">
        <f t="shared" si="38"/>
        <v>6334</v>
      </c>
      <c r="O45" s="98">
        <f t="shared" si="38"/>
        <v>6334</v>
      </c>
      <c r="P45" s="98">
        <f t="shared" si="38"/>
        <v>6334</v>
      </c>
      <c r="Q45" s="98">
        <f t="shared" si="38"/>
        <v>6334</v>
      </c>
      <c r="R45" s="98">
        <f t="shared" si="38"/>
        <v>6334</v>
      </c>
      <c r="S45" s="98">
        <f t="shared" si="38"/>
        <v>6334</v>
      </c>
      <c r="T45" s="98">
        <f t="shared" si="38"/>
        <v>6334</v>
      </c>
      <c r="U45" s="98">
        <f t="shared" si="38"/>
        <v>6334</v>
      </c>
      <c r="V45" s="98">
        <f t="shared" si="38"/>
        <v>6334</v>
      </c>
      <c r="W45" s="98">
        <f t="shared" si="38"/>
        <v>6334</v>
      </c>
      <c r="X45" s="98">
        <f t="shared" si="38"/>
        <v>6334</v>
      </c>
      <c r="Y45" s="98">
        <f t="shared" si="38"/>
        <v>6334</v>
      </c>
      <c r="Z45" s="98">
        <f t="shared" si="38"/>
        <v>6334</v>
      </c>
      <c r="AA45" s="98">
        <f t="shared" si="38"/>
        <v>6334</v>
      </c>
      <c r="AB45" s="98">
        <f t="shared" si="38"/>
        <v>6334</v>
      </c>
      <c r="AC45" s="98">
        <f t="shared" si="38"/>
        <v>6334</v>
      </c>
      <c r="AD45" s="98">
        <f t="shared" si="38"/>
        <v>6334</v>
      </c>
      <c r="AE45" s="98">
        <f t="shared" si="38"/>
        <v>6334</v>
      </c>
      <c r="AF45" s="98">
        <f t="shared" si="38"/>
        <v>6334</v>
      </c>
      <c r="AG45" s="98">
        <f t="shared" si="38"/>
        <v>6334</v>
      </c>
      <c r="AH45" s="98">
        <f t="shared" si="38"/>
        <v>6334</v>
      </c>
      <c r="AI45" s="98">
        <f t="shared" si="38"/>
        <v>6334</v>
      </c>
      <c r="AJ45" s="98">
        <f t="shared" si="38"/>
        <v>6334</v>
      </c>
      <c r="AK45" s="98">
        <f t="shared" si="38"/>
        <v>6334</v>
      </c>
    </row>
    <row r="46" spans="4:37" x14ac:dyDescent="0.25">
      <c r="H46" s="9" t="s">
        <v>547</v>
      </c>
      <c r="J46" s="98">
        <f>INF_Data!H409</f>
        <v>225</v>
      </c>
      <c r="K46" s="98">
        <f t="shared" ref="K46:AK46" si="39">J46</f>
        <v>225</v>
      </c>
      <c r="L46" s="98">
        <f t="shared" si="39"/>
        <v>225</v>
      </c>
      <c r="M46" s="98">
        <f t="shared" si="39"/>
        <v>225</v>
      </c>
      <c r="N46" s="98">
        <f t="shared" si="39"/>
        <v>225</v>
      </c>
      <c r="O46" s="98">
        <f t="shared" si="39"/>
        <v>225</v>
      </c>
      <c r="P46" s="98">
        <f t="shared" si="39"/>
        <v>225</v>
      </c>
      <c r="Q46" s="98">
        <f t="shared" si="39"/>
        <v>225</v>
      </c>
      <c r="R46" s="98">
        <f t="shared" si="39"/>
        <v>225</v>
      </c>
      <c r="S46" s="98">
        <f t="shared" si="39"/>
        <v>225</v>
      </c>
      <c r="T46" s="98">
        <f t="shared" si="39"/>
        <v>225</v>
      </c>
      <c r="U46" s="98">
        <f t="shared" si="39"/>
        <v>225</v>
      </c>
      <c r="V46" s="98">
        <f t="shared" si="39"/>
        <v>225</v>
      </c>
      <c r="W46" s="98">
        <f t="shared" si="39"/>
        <v>225</v>
      </c>
      <c r="X46" s="98">
        <f t="shared" si="39"/>
        <v>225</v>
      </c>
      <c r="Y46" s="98">
        <f t="shared" si="39"/>
        <v>225</v>
      </c>
      <c r="Z46" s="98">
        <f t="shared" si="39"/>
        <v>225</v>
      </c>
      <c r="AA46" s="98">
        <f t="shared" si="39"/>
        <v>225</v>
      </c>
      <c r="AB46" s="98">
        <f t="shared" si="39"/>
        <v>225</v>
      </c>
      <c r="AC46" s="98">
        <f t="shared" si="39"/>
        <v>225</v>
      </c>
      <c r="AD46" s="98">
        <f t="shared" si="39"/>
        <v>225</v>
      </c>
      <c r="AE46" s="98">
        <f t="shared" si="39"/>
        <v>225</v>
      </c>
      <c r="AF46" s="98">
        <f t="shared" si="39"/>
        <v>225</v>
      </c>
      <c r="AG46" s="98">
        <f t="shared" si="39"/>
        <v>225</v>
      </c>
      <c r="AH46" s="98">
        <f t="shared" si="39"/>
        <v>225</v>
      </c>
      <c r="AI46" s="98">
        <f t="shared" si="39"/>
        <v>225</v>
      </c>
      <c r="AJ46" s="98">
        <f t="shared" si="39"/>
        <v>225</v>
      </c>
      <c r="AK46" s="98">
        <f t="shared" si="39"/>
        <v>225</v>
      </c>
    </row>
    <row r="47" spans="4:37" x14ac:dyDescent="0.25">
      <c r="H47" t="s">
        <v>1287</v>
      </c>
      <c r="J47" s="98">
        <f>INF_Data!H410</f>
        <v>101</v>
      </c>
      <c r="K47" s="98">
        <f t="shared" ref="K47:AK47" si="40">J47</f>
        <v>101</v>
      </c>
      <c r="L47" s="98">
        <f t="shared" si="40"/>
        <v>101</v>
      </c>
      <c r="M47" s="98">
        <f t="shared" si="40"/>
        <v>101</v>
      </c>
      <c r="N47" s="98">
        <f t="shared" si="40"/>
        <v>101</v>
      </c>
      <c r="O47" s="98">
        <f t="shared" si="40"/>
        <v>101</v>
      </c>
      <c r="P47" s="98">
        <f t="shared" si="40"/>
        <v>101</v>
      </c>
      <c r="Q47" s="98">
        <f t="shared" si="40"/>
        <v>101</v>
      </c>
      <c r="R47" s="98">
        <f t="shared" si="40"/>
        <v>101</v>
      </c>
      <c r="S47" s="98">
        <f t="shared" si="40"/>
        <v>101</v>
      </c>
      <c r="T47" s="98">
        <f t="shared" si="40"/>
        <v>101</v>
      </c>
      <c r="U47" s="98">
        <f t="shared" si="40"/>
        <v>101</v>
      </c>
      <c r="V47" s="98">
        <f t="shared" si="40"/>
        <v>101</v>
      </c>
      <c r="W47" s="98">
        <f t="shared" si="40"/>
        <v>101</v>
      </c>
      <c r="X47" s="98">
        <f t="shared" si="40"/>
        <v>101</v>
      </c>
      <c r="Y47" s="98">
        <f t="shared" si="40"/>
        <v>101</v>
      </c>
      <c r="Z47" s="98">
        <f t="shared" si="40"/>
        <v>101</v>
      </c>
      <c r="AA47" s="98">
        <f t="shared" si="40"/>
        <v>101</v>
      </c>
      <c r="AB47" s="98">
        <f t="shared" si="40"/>
        <v>101</v>
      </c>
      <c r="AC47" s="98">
        <f t="shared" si="40"/>
        <v>101</v>
      </c>
      <c r="AD47" s="98">
        <f t="shared" si="40"/>
        <v>101</v>
      </c>
      <c r="AE47" s="98">
        <f t="shared" si="40"/>
        <v>101</v>
      </c>
      <c r="AF47" s="98">
        <f t="shared" si="40"/>
        <v>101</v>
      </c>
      <c r="AG47" s="98">
        <f t="shared" si="40"/>
        <v>101</v>
      </c>
      <c r="AH47" s="98">
        <f t="shared" si="40"/>
        <v>101</v>
      </c>
      <c r="AI47" s="98">
        <f t="shared" si="40"/>
        <v>101</v>
      </c>
      <c r="AJ47" s="98">
        <f t="shared" si="40"/>
        <v>101</v>
      </c>
      <c r="AK47" s="98">
        <f t="shared" si="40"/>
        <v>101</v>
      </c>
    </row>
    <row r="48" spans="4:37" x14ac:dyDescent="0.25">
      <c r="D48" t="s">
        <v>1126</v>
      </c>
      <c r="E48">
        <v>30</v>
      </c>
      <c r="F48">
        <v>0.9</v>
      </c>
      <c r="H48" t="s">
        <v>470</v>
      </c>
      <c r="I48" s="9" t="s">
        <v>141</v>
      </c>
      <c r="J48" s="98">
        <f>INF_Data!G158</f>
        <v>20</v>
      </c>
      <c r="K48" s="98">
        <f t="shared" ref="K48:AK48" si="41">J48</f>
        <v>20</v>
      </c>
      <c r="L48" s="98">
        <f t="shared" si="41"/>
        <v>20</v>
      </c>
      <c r="M48" s="98">
        <f t="shared" si="41"/>
        <v>20</v>
      </c>
      <c r="N48" s="98">
        <f t="shared" si="41"/>
        <v>20</v>
      </c>
      <c r="O48" s="98">
        <f t="shared" si="41"/>
        <v>20</v>
      </c>
      <c r="P48" s="98">
        <f t="shared" si="41"/>
        <v>20</v>
      </c>
      <c r="Q48" s="98">
        <f t="shared" si="41"/>
        <v>20</v>
      </c>
      <c r="R48" s="98">
        <f t="shared" si="41"/>
        <v>20</v>
      </c>
      <c r="S48" s="98">
        <f t="shared" si="41"/>
        <v>20</v>
      </c>
      <c r="T48" s="98">
        <f t="shared" si="41"/>
        <v>20</v>
      </c>
      <c r="U48" s="98">
        <f t="shared" si="41"/>
        <v>20</v>
      </c>
      <c r="V48" s="98">
        <f t="shared" si="41"/>
        <v>20</v>
      </c>
      <c r="W48" s="98">
        <f t="shared" si="41"/>
        <v>20</v>
      </c>
      <c r="X48" s="98">
        <f t="shared" si="41"/>
        <v>20</v>
      </c>
      <c r="Y48" s="98">
        <f t="shared" si="41"/>
        <v>20</v>
      </c>
      <c r="Z48" s="98">
        <f t="shared" si="41"/>
        <v>20</v>
      </c>
      <c r="AA48" s="98">
        <f t="shared" si="41"/>
        <v>20</v>
      </c>
      <c r="AB48" s="98">
        <f t="shared" si="41"/>
        <v>20</v>
      </c>
      <c r="AC48" s="98">
        <f t="shared" si="41"/>
        <v>20</v>
      </c>
      <c r="AD48" s="98">
        <f t="shared" si="41"/>
        <v>20</v>
      </c>
      <c r="AE48" s="98">
        <f t="shared" si="41"/>
        <v>20</v>
      </c>
      <c r="AF48" s="98">
        <f t="shared" si="41"/>
        <v>20</v>
      </c>
      <c r="AG48" s="98">
        <f t="shared" si="41"/>
        <v>20</v>
      </c>
      <c r="AH48" s="98">
        <f t="shared" si="41"/>
        <v>20</v>
      </c>
      <c r="AI48" s="98">
        <f t="shared" si="41"/>
        <v>20</v>
      </c>
      <c r="AJ48" s="98">
        <f t="shared" si="41"/>
        <v>20</v>
      </c>
      <c r="AK48" s="98">
        <f t="shared" si="41"/>
        <v>20</v>
      </c>
    </row>
    <row r="49" spans="4:37" x14ac:dyDescent="0.25">
      <c r="H49" t="s">
        <v>470</v>
      </c>
      <c r="I49" s="9" t="s">
        <v>126</v>
      </c>
      <c r="J49" s="98">
        <f>INF_Data!G159</f>
        <v>53</v>
      </c>
      <c r="K49" s="98">
        <f t="shared" ref="K49:AK49" si="42">J49</f>
        <v>53</v>
      </c>
      <c r="L49" s="98">
        <f t="shared" si="42"/>
        <v>53</v>
      </c>
      <c r="M49" s="98">
        <f t="shared" si="42"/>
        <v>53</v>
      </c>
      <c r="N49" s="98">
        <f t="shared" si="42"/>
        <v>53</v>
      </c>
      <c r="O49" s="98">
        <f t="shared" si="42"/>
        <v>53</v>
      </c>
      <c r="P49" s="98">
        <f t="shared" si="42"/>
        <v>53</v>
      </c>
      <c r="Q49" s="98">
        <f t="shared" si="42"/>
        <v>53</v>
      </c>
      <c r="R49" s="98">
        <f t="shared" si="42"/>
        <v>53</v>
      </c>
      <c r="S49" s="98">
        <f t="shared" si="42"/>
        <v>53</v>
      </c>
      <c r="T49" s="98">
        <f t="shared" si="42"/>
        <v>53</v>
      </c>
      <c r="U49" s="98">
        <f t="shared" si="42"/>
        <v>53</v>
      </c>
      <c r="V49" s="98">
        <f t="shared" si="42"/>
        <v>53</v>
      </c>
      <c r="W49" s="98">
        <f t="shared" si="42"/>
        <v>53</v>
      </c>
      <c r="X49" s="98">
        <f t="shared" si="42"/>
        <v>53</v>
      </c>
      <c r="Y49" s="98">
        <f t="shared" si="42"/>
        <v>53</v>
      </c>
      <c r="Z49" s="98">
        <f t="shared" si="42"/>
        <v>53</v>
      </c>
      <c r="AA49" s="98">
        <f t="shared" si="42"/>
        <v>53</v>
      </c>
      <c r="AB49" s="98">
        <f t="shared" si="42"/>
        <v>53</v>
      </c>
      <c r="AC49" s="98">
        <f t="shared" si="42"/>
        <v>53</v>
      </c>
      <c r="AD49" s="98">
        <f t="shared" si="42"/>
        <v>53</v>
      </c>
      <c r="AE49" s="98">
        <f t="shared" si="42"/>
        <v>53</v>
      </c>
      <c r="AF49" s="98">
        <f t="shared" si="42"/>
        <v>53</v>
      </c>
      <c r="AG49" s="98">
        <f t="shared" si="42"/>
        <v>53</v>
      </c>
      <c r="AH49" s="98">
        <f t="shared" si="42"/>
        <v>53</v>
      </c>
      <c r="AI49" s="98">
        <f t="shared" si="42"/>
        <v>53</v>
      </c>
      <c r="AJ49" s="98">
        <f t="shared" si="42"/>
        <v>53</v>
      </c>
      <c r="AK49" s="98">
        <f t="shared" si="42"/>
        <v>53</v>
      </c>
    </row>
    <row r="50" spans="4:37" x14ac:dyDescent="0.25">
      <c r="H50" t="s">
        <v>472</v>
      </c>
      <c r="I50" s="9" t="s">
        <v>1250</v>
      </c>
      <c r="J50">
        <v>1</v>
      </c>
      <c r="K50" s="98">
        <f t="shared" ref="K50:AK50" si="43">J50</f>
        <v>1</v>
      </c>
      <c r="L50" s="98">
        <f t="shared" si="43"/>
        <v>1</v>
      </c>
      <c r="M50" s="98">
        <f t="shared" si="43"/>
        <v>1</v>
      </c>
      <c r="N50" s="98">
        <f t="shared" si="43"/>
        <v>1</v>
      </c>
      <c r="O50" s="98">
        <f t="shared" si="43"/>
        <v>1</v>
      </c>
      <c r="P50" s="98">
        <f t="shared" si="43"/>
        <v>1</v>
      </c>
      <c r="Q50" s="98">
        <f t="shared" si="43"/>
        <v>1</v>
      </c>
      <c r="R50" s="98">
        <f t="shared" si="43"/>
        <v>1</v>
      </c>
      <c r="S50" s="98">
        <f t="shared" si="43"/>
        <v>1</v>
      </c>
      <c r="T50" s="98">
        <f t="shared" si="43"/>
        <v>1</v>
      </c>
      <c r="U50" s="98">
        <f t="shared" si="43"/>
        <v>1</v>
      </c>
      <c r="V50" s="98">
        <f t="shared" si="43"/>
        <v>1</v>
      </c>
      <c r="W50" s="98">
        <f t="shared" si="43"/>
        <v>1</v>
      </c>
      <c r="X50" s="98">
        <f t="shared" si="43"/>
        <v>1</v>
      </c>
      <c r="Y50" s="98">
        <f t="shared" si="43"/>
        <v>1</v>
      </c>
      <c r="Z50" s="98">
        <f t="shared" si="43"/>
        <v>1</v>
      </c>
      <c r="AA50" s="98">
        <f t="shared" si="43"/>
        <v>1</v>
      </c>
      <c r="AB50" s="98">
        <f t="shared" si="43"/>
        <v>1</v>
      </c>
      <c r="AC50" s="98">
        <f t="shared" si="43"/>
        <v>1</v>
      </c>
      <c r="AD50" s="98">
        <f t="shared" si="43"/>
        <v>1</v>
      </c>
      <c r="AE50" s="98">
        <f t="shared" si="43"/>
        <v>1</v>
      </c>
      <c r="AF50" s="98">
        <f t="shared" si="43"/>
        <v>1</v>
      </c>
      <c r="AG50" s="98">
        <f t="shared" si="43"/>
        <v>1</v>
      </c>
      <c r="AH50" s="98">
        <f t="shared" si="43"/>
        <v>1</v>
      </c>
      <c r="AI50" s="98">
        <f t="shared" si="43"/>
        <v>1</v>
      </c>
      <c r="AJ50" s="98">
        <f t="shared" si="43"/>
        <v>1</v>
      </c>
      <c r="AK50" s="98">
        <f t="shared" si="43"/>
        <v>1</v>
      </c>
    </row>
    <row r="51" spans="4:37" x14ac:dyDescent="0.25">
      <c r="H51" t="s">
        <v>599</v>
      </c>
      <c r="J51">
        <v>2030</v>
      </c>
      <c r="K51" s="98">
        <f t="shared" ref="K51:AK51" si="44">J51</f>
        <v>2030</v>
      </c>
      <c r="L51" s="98">
        <f t="shared" si="44"/>
        <v>2030</v>
      </c>
      <c r="M51" s="98">
        <f t="shared" si="44"/>
        <v>2030</v>
      </c>
      <c r="N51" s="98">
        <f t="shared" si="44"/>
        <v>2030</v>
      </c>
      <c r="O51" s="98">
        <f t="shared" si="44"/>
        <v>2030</v>
      </c>
      <c r="P51" s="98">
        <f t="shared" si="44"/>
        <v>2030</v>
      </c>
      <c r="Q51" s="98">
        <f t="shared" si="44"/>
        <v>2030</v>
      </c>
      <c r="R51" s="98">
        <f t="shared" si="44"/>
        <v>2030</v>
      </c>
      <c r="S51" s="98">
        <f t="shared" si="44"/>
        <v>2030</v>
      </c>
      <c r="T51" s="98">
        <f t="shared" si="44"/>
        <v>2030</v>
      </c>
      <c r="U51" s="98">
        <f t="shared" si="44"/>
        <v>2030</v>
      </c>
      <c r="V51" s="98">
        <f t="shared" si="44"/>
        <v>2030</v>
      </c>
      <c r="W51" s="98">
        <f t="shared" si="44"/>
        <v>2030</v>
      </c>
      <c r="X51" s="98">
        <f t="shared" si="44"/>
        <v>2030</v>
      </c>
      <c r="Y51" s="98">
        <f t="shared" si="44"/>
        <v>2030</v>
      </c>
      <c r="Z51" s="98">
        <f t="shared" si="44"/>
        <v>2030</v>
      </c>
      <c r="AA51" s="98">
        <f t="shared" si="44"/>
        <v>2030</v>
      </c>
      <c r="AB51" s="98">
        <f t="shared" si="44"/>
        <v>2030</v>
      </c>
      <c r="AC51" s="98">
        <f t="shared" si="44"/>
        <v>2030</v>
      </c>
      <c r="AD51" s="98">
        <f t="shared" si="44"/>
        <v>2030</v>
      </c>
      <c r="AE51" s="98">
        <f t="shared" si="44"/>
        <v>2030</v>
      </c>
      <c r="AF51" s="98">
        <f t="shared" si="44"/>
        <v>2030</v>
      </c>
      <c r="AG51" s="98">
        <f t="shared" si="44"/>
        <v>2030</v>
      </c>
      <c r="AH51" s="98">
        <f t="shared" si="44"/>
        <v>2030</v>
      </c>
      <c r="AI51" s="98">
        <f t="shared" si="44"/>
        <v>2030</v>
      </c>
      <c r="AJ51" s="98">
        <f t="shared" si="44"/>
        <v>2030</v>
      </c>
      <c r="AK51" s="98">
        <f t="shared" si="44"/>
        <v>2030</v>
      </c>
    </row>
    <row r="52" spans="4:37" x14ac:dyDescent="0.25">
      <c r="H52" t="s">
        <v>624</v>
      </c>
      <c r="J52" s="98">
        <f>INF_Data!I408</f>
        <v>6247</v>
      </c>
      <c r="K52" s="98">
        <f t="shared" ref="K52:AK52" si="45">J52</f>
        <v>6247</v>
      </c>
      <c r="L52" s="98">
        <f t="shared" si="45"/>
        <v>6247</v>
      </c>
      <c r="M52" s="98">
        <f t="shared" si="45"/>
        <v>6247</v>
      </c>
      <c r="N52" s="98">
        <f t="shared" si="45"/>
        <v>6247</v>
      </c>
      <c r="O52" s="98">
        <f t="shared" si="45"/>
        <v>6247</v>
      </c>
      <c r="P52" s="98">
        <f t="shared" si="45"/>
        <v>6247</v>
      </c>
      <c r="Q52" s="98">
        <f t="shared" si="45"/>
        <v>6247</v>
      </c>
      <c r="R52" s="98">
        <f t="shared" si="45"/>
        <v>6247</v>
      </c>
      <c r="S52" s="98">
        <f t="shared" si="45"/>
        <v>6247</v>
      </c>
      <c r="T52" s="98">
        <f t="shared" si="45"/>
        <v>6247</v>
      </c>
      <c r="U52" s="98">
        <f t="shared" si="45"/>
        <v>6247</v>
      </c>
      <c r="V52" s="98">
        <f t="shared" si="45"/>
        <v>6247</v>
      </c>
      <c r="W52" s="98">
        <f t="shared" si="45"/>
        <v>6247</v>
      </c>
      <c r="X52" s="98">
        <f t="shared" si="45"/>
        <v>6247</v>
      </c>
      <c r="Y52" s="98">
        <f t="shared" si="45"/>
        <v>6247</v>
      </c>
      <c r="Z52" s="98">
        <f t="shared" si="45"/>
        <v>6247</v>
      </c>
      <c r="AA52" s="98">
        <f t="shared" si="45"/>
        <v>6247</v>
      </c>
      <c r="AB52" s="98">
        <f t="shared" si="45"/>
        <v>6247</v>
      </c>
      <c r="AC52" s="98">
        <f t="shared" si="45"/>
        <v>6247</v>
      </c>
      <c r="AD52" s="98">
        <f t="shared" si="45"/>
        <v>6247</v>
      </c>
      <c r="AE52" s="98">
        <f t="shared" si="45"/>
        <v>6247</v>
      </c>
      <c r="AF52" s="98">
        <f t="shared" si="45"/>
        <v>6247</v>
      </c>
      <c r="AG52" s="98">
        <f t="shared" si="45"/>
        <v>6247</v>
      </c>
      <c r="AH52" s="98">
        <f t="shared" si="45"/>
        <v>6247</v>
      </c>
      <c r="AI52" s="98">
        <f t="shared" si="45"/>
        <v>6247</v>
      </c>
      <c r="AJ52" s="98">
        <f t="shared" si="45"/>
        <v>6247</v>
      </c>
      <c r="AK52" s="98">
        <f t="shared" si="45"/>
        <v>6247</v>
      </c>
    </row>
    <row r="53" spans="4:37" x14ac:dyDescent="0.25">
      <c r="H53" s="9" t="s">
        <v>547</v>
      </c>
      <c r="J53" s="98">
        <f>INF_Data!I409</f>
        <v>227</v>
      </c>
      <c r="K53" s="98">
        <f t="shared" ref="K53:AK53" si="46">J53</f>
        <v>227</v>
      </c>
      <c r="L53" s="98">
        <f t="shared" si="46"/>
        <v>227</v>
      </c>
      <c r="M53" s="98">
        <f t="shared" si="46"/>
        <v>227</v>
      </c>
      <c r="N53" s="98">
        <f t="shared" si="46"/>
        <v>227</v>
      </c>
      <c r="O53" s="98">
        <f t="shared" si="46"/>
        <v>227</v>
      </c>
      <c r="P53" s="98">
        <f t="shared" si="46"/>
        <v>227</v>
      </c>
      <c r="Q53" s="98">
        <f t="shared" si="46"/>
        <v>227</v>
      </c>
      <c r="R53" s="98">
        <f t="shared" si="46"/>
        <v>227</v>
      </c>
      <c r="S53" s="98">
        <f t="shared" si="46"/>
        <v>227</v>
      </c>
      <c r="T53" s="98">
        <f t="shared" si="46"/>
        <v>227</v>
      </c>
      <c r="U53" s="98">
        <f t="shared" si="46"/>
        <v>227</v>
      </c>
      <c r="V53" s="98">
        <f t="shared" si="46"/>
        <v>227</v>
      </c>
      <c r="W53" s="98">
        <f t="shared" si="46"/>
        <v>227</v>
      </c>
      <c r="X53" s="98">
        <f t="shared" si="46"/>
        <v>227</v>
      </c>
      <c r="Y53" s="98">
        <f t="shared" si="46"/>
        <v>227</v>
      </c>
      <c r="Z53" s="98">
        <f t="shared" si="46"/>
        <v>227</v>
      </c>
      <c r="AA53" s="98">
        <f t="shared" si="46"/>
        <v>227</v>
      </c>
      <c r="AB53" s="98">
        <f t="shared" si="46"/>
        <v>227</v>
      </c>
      <c r="AC53" s="98">
        <f t="shared" si="46"/>
        <v>227</v>
      </c>
      <c r="AD53" s="98">
        <f t="shared" si="46"/>
        <v>227</v>
      </c>
      <c r="AE53" s="98">
        <f t="shared" si="46"/>
        <v>227</v>
      </c>
      <c r="AF53" s="98">
        <f t="shared" si="46"/>
        <v>227</v>
      </c>
      <c r="AG53" s="98">
        <f t="shared" si="46"/>
        <v>227</v>
      </c>
      <c r="AH53" s="98">
        <f t="shared" si="46"/>
        <v>227</v>
      </c>
      <c r="AI53" s="98">
        <f t="shared" si="46"/>
        <v>227</v>
      </c>
      <c r="AJ53" s="98">
        <f t="shared" si="46"/>
        <v>227</v>
      </c>
      <c r="AK53" s="98">
        <f t="shared" si="46"/>
        <v>227</v>
      </c>
    </row>
    <row r="54" spans="4:37" x14ac:dyDescent="0.25">
      <c r="H54" t="s">
        <v>1287</v>
      </c>
      <c r="J54" s="98">
        <f>INF_Data!I410</f>
        <v>107</v>
      </c>
      <c r="K54" s="98">
        <f t="shared" ref="K54:AK54" si="47">J54</f>
        <v>107</v>
      </c>
      <c r="L54" s="98">
        <f t="shared" si="47"/>
        <v>107</v>
      </c>
      <c r="M54" s="98">
        <f t="shared" si="47"/>
        <v>107</v>
      </c>
      <c r="N54" s="98">
        <f t="shared" si="47"/>
        <v>107</v>
      </c>
      <c r="O54" s="98">
        <f t="shared" si="47"/>
        <v>107</v>
      </c>
      <c r="P54" s="98">
        <f t="shared" si="47"/>
        <v>107</v>
      </c>
      <c r="Q54" s="98">
        <f t="shared" si="47"/>
        <v>107</v>
      </c>
      <c r="R54" s="98">
        <f t="shared" si="47"/>
        <v>107</v>
      </c>
      <c r="S54" s="98">
        <f t="shared" si="47"/>
        <v>107</v>
      </c>
      <c r="T54" s="98">
        <f t="shared" si="47"/>
        <v>107</v>
      </c>
      <c r="U54" s="98">
        <f t="shared" si="47"/>
        <v>107</v>
      </c>
      <c r="V54" s="98">
        <f t="shared" si="47"/>
        <v>107</v>
      </c>
      <c r="W54" s="98">
        <f t="shared" si="47"/>
        <v>107</v>
      </c>
      <c r="X54" s="98">
        <f t="shared" si="47"/>
        <v>107</v>
      </c>
      <c r="Y54" s="98">
        <f t="shared" si="47"/>
        <v>107</v>
      </c>
      <c r="Z54" s="98">
        <f t="shared" si="47"/>
        <v>107</v>
      </c>
      <c r="AA54" s="98">
        <f t="shared" si="47"/>
        <v>107</v>
      </c>
      <c r="AB54" s="98">
        <f t="shared" si="47"/>
        <v>107</v>
      </c>
      <c r="AC54" s="98">
        <f t="shared" si="47"/>
        <v>107</v>
      </c>
      <c r="AD54" s="98">
        <f t="shared" si="47"/>
        <v>107</v>
      </c>
      <c r="AE54" s="98">
        <f t="shared" si="47"/>
        <v>107</v>
      </c>
      <c r="AF54" s="98">
        <f t="shared" si="47"/>
        <v>107</v>
      </c>
      <c r="AG54" s="98">
        <f t="shared" si="47"/>
        <v>107</v>
      </c>
      <c r="AH54" s="98">
        <f t="shared" si="47"/>
        <v>107</v>
      </c>
      <c r="AI54" s="98">
        <f t="shared" si="47"/>
        <v>107</v>
      </c>
      <c r="AJ54" s="98">
        <f t="shared" si="47"/>
        <v>107</v>
      </c>
      <c r="AK54" s="98">
        <f t="shared" si="47"/>
        <v>107</v>
      </c>
    </row>
    <row r="55" spans="4:37" x14ac:dyDescent="0.25">
      <c r="D55" s="5" t="s">
        <v>1288</v>
      </c>
      <c r="J55" s="98"/>
      <c r="K55" s="98">
        <f t="shared" ref="K55:AK55" si="48">J55</f>
        <v>0</v>
      </c>
      <c r="L55" s="98">
        <f t="shared" si="48"/>
        <v>0</v>
      </c>
      <c r="M55" s="98">
        <f t="shared" si="48"/>
        <v>0</v>
      </c>
      <c r="N55" s="98">
        <f t="shared" si="48"/>
        <v>0</v>
      </c>
      <c r="O55" s="98">
        <f t="shared" si="48"/>
        <v>0</v>
      </c>
      <c r="P55" s="98">
        <f t="shared" si="48"/>
        <v>0</v>
      </c>
      <c r="Q55" s="98">
        <f t="shared" si="48"/>
        <v>0</v>
      </c>
      <c r="R55" s="98">
        <f t="shared" si="48"/>
        <v>0</v>
      </c>
      <c r="S55" s="98">
        <f t="shared" si="48"/>
        <v>0</v>
      </c>
      <c r="T55" s="98">
        <f t="shared" si="48"/>
        <v>0</v>
      </c>
      <c r="U55" s="98">
        <f t="shared" si="48"/>
        <v>0</v>
      </c>
      <c r="V55" s="98">
        <f t="shared" si="48"/>
        <v>0</v>
      </c>
      <c r="W55" s="98">
        <f t="shared" si="48"/>
        <v>0</v>
      </c>
      <c r="X55" s="98">
        <f t="shared" si="48"/>
        <v>0</v>
      </c>
      <c r="Y55" s="98">
        <f t="shared" si="48"/>
        <v>0</v>
      </c>
      <c r="Z55" s="98">
        <f t="shared" si="48"/>
        <v>0</v>
      </c>
      <c r="AA55" s="98">
        <f t="shared" si="48"/>
        <v>0</v>
      </c>
      <c r="AB55" s="98">
        <f t="shared" si="48"/>
        <v>0</v>
      </c>
      <c r="AC55" s="98">
        <f t="shared" si="48"/>
        <v>0</v>
      </c>
      <c r="AD55" s="98">
        <f t="shared" si="48"/>
        <v>0</v>
      </c>
      <c r="AE55" s="98">
        <f t="shared" si="48"/>
        <v>0</v>
      </c>
      <c r="AF55" s="98">
        <f t="shared" si="48"/>
        <v>0</v>
      </c>
      <c r="AG55" s="98">
        <f t="shared" si="48"/>
        <v>0</v>
      </c>
      <c r="AH55" s="98">
        <f t="shared" si="48"/>
        <v>0</v>
      </c>
      <c r="AI55" s="98">
        <f t="shared" si="48"/>
        <v>0</v>
      </c>
      <c r="AJ55" s="98">
        <f t="shared" si="48"/>
        <v>0</v>
      </c>
      <c r="AK55" s="98">
        <f t="shared" si="48"/>
        <v>0</v>
      </c>
    </row>
    <row r="56" spans="4:37" x14ac:dyDescent="0.25">
      <c r="D56" t="s">
        <v>1128</v>
      </c>
      <c r="E56">
        <v>30</v>
      </c>
      <c r="F56">
        <v>0.9</v>
      </c>
      <c r="H56" t="s">
        <v>470</v>
      </c>
      <c r="I56" s="9" t="s">
        <v>128</v>
      </c>
      <c r="J56" s="102">
        <f>INF_Data!D90</f>
        <v>2.8269412134548881</v>
      </c>
      <c r="K56" s="98">
        <f t="shared" ref="K56:AK56" si="49">J56</f>
        <v>2.8269412134548881</v>
      </c>
      <c r="L56" s="98">
        <f t="shared" si="49"/>
        <v>2.8269412134548881</v>
      </c>
      <c r="M56" s="98">
        <f t="shared" si="49"/>
        <v>2.8269412134548881</v>
      </c>
      <c r="N56" s="98">
        <f t="shared" si="49"/>
        <v>2.8269412134548881</v>
      </c>
      <c r="O56" s="98">
        <f t="shared" si="49"/>
        <v>2.8269412134548881</v>
      </c>
      <c r="P56" s="98">
        <f t="shared" si="49"/>
        <v>2.8269412134548881</v>
      </c>
      <c r="Q56" s="98">
        <f t="shared" si="49"/>
        <v>2.8269412134548881</v>
      </c>
      <c r="R56" s="98">
        <f t="shared" si="49"/>
        <v>2.8269412134548881</v>
      </c>
      <c r="S56" s="98">
        <f t="shared" si="49"/>
        <v>2.8269412134548881</v>
      </c>
      <c r="T56" s="98">
        <f t="shared" si="49"/>
        <v>2.8269412134548881</v>
      </c>
      <c r="U56" s="98">
        <f t="shared" si="49"/>
        <v>2.8269412134548881</v>
      </c>
      <c r="V56" s="98">
        <f t="shared" si="49"/>
        <v>2.8269412134548881</v>
      </c>
      <c r="W56" s="98">
        <f t="shared" si="49"/>
        <v>2.8269412134548881</v>
      </c>
      <c r="X56" s="98">
        <f t="shared" si="49"/>
        <v>2.8269412134548881</v>
      </c>
      <c r="Y56" s="98">
        <f t="shared" si="49"/>
        <v>2.8269412134548881</v>
      </c>
      <c r="Z56" s="98">
        <f t="shared" si="49"/>
        <v>2.8269412134548881</v>
      </c>
      <c r="AA56" s="98">
        <f t="shared" si="49"/>
        <v>2.8269412134548881</v>
      </c>
      <c r="AB56" s="98">
        <f t="shared" si="49"/>
        <v>2.8269412134548881</v>
      </c>
      <c r="AC56" s="98">
        <f t="shared" si="49"/>
        <v>2.8269412134548881</v>
      </c>
      <c r="AD56" s="98">
        <f t="shared" si="49"/>
        <v>2.8269412134548881</v>
      </c>
      <c r="AE56" s="98">
        <f t="shared" si="49"/>
        <v>2.8269412134548881</v>
      </c>
      <c r="AF56" s="98">
        <f t="shared" si="49"/>
        <v>2.8269412134548881</v>
      </c>
      <c r="AG56" s="98">
        <f t="shared" si="49"/>
        <v>2.8269412134548881</v>
      </c>
      <c r="AH56" s="98">
        <f t="shared" si="49"/>
        <v>2.8269412134548881</v>
      </c>
      <c r="AI56" s="98">
        <f t="shared" si="49"/>
        <v>2.8269412134548881</v>
      </c>
      <c r="AJ56" s="98">
        <f t="shared" si="49"/>
        <v>2.8269412134548881</v>
      </c>
      <c r="AK56" s="98">
        <f t="shared" si="49"/>
        <v>2.8269412134548881</v>
      </c>
    </row>
    <row r="57" spans="4:37" x14ac:dyDescent="0.25">
      <c r="H57" t="s">
        <v>470</v>
      </c>
      <c r="I57" s="9" t="s">
        <v>126</v>
      </c>
      <c r="J57" s="102">
        <f>INF_Data!D89</f>
        <v>0.47305878654511158</v>
      </c>
      <c r="K57" s="98">
        <f t="shared" ref="K57:AK57" si="50">J57</f>
        <v>0.47305878654511158</v>
      </c>
      <c r="L57" s="98">
        <f t="shared" si="50"/>
        <v>0.47305878654511158</v>
      </c>
      <c r="M57" s="98">
        <f t="shared" si="50"/>
        <v>0.47305878654511158</v>
      </c>
      <c r="N57" s="98">
        <f t="shared" si="50"/>
        <v>0.47305878654511158</v>
      </c>
      <c r="O57" s="98">
        <f t="shared" si="50"/>
        <v>0.47305878654511158</v>
      </c>
      <c r="P57" s="98">
        <f t="shared" si="50"/>
        <v>0.47305878654511158</v>
      </c>
      <c r="Q57" s="98">
        <f t="shared" si="50"/>
        <v>0.47305878654511158</v>
      </c>
      <c r="R57" s="98">
        <f t="shared" si="50"/>
        <v>0.47305878654511158</v>
      </c>
      <c r="S57" s="98">
        <f t="shared" si="50"/>
        <v>0.47305878654511158</v>
      </c>
      <c r="T57" s="98">
        <f t="shared" si="50"/>
        <v>0.47305878654511158</v>
      </c>
      <c r="U57" s="98">
        <f t="shared" si="50"/>
        <v>0.47305878654511158</v>
      </c>
      <c r="V57" s="98">
        <f t="shared" si="50"/>
        <v>0.47305878654511158</v>
      </c>
      <c r="W57" s="98">
        <f t="shared" si="50"/>
        <v>0.47305878654511158</v>
      </c>
      <c r="X57" s="98">
        <f t="shared" si="50"/>
        <v>0.47305878654511158</v>
      </c>
      <c r="Y57" s="98">
        <f t="shared" si="50"/>
        <v>0.47305878654511158</v>
      </c>
      <c r="Z57" s="98">
        <f t="shared" si="50"/>
        <v>0.47305878654511158</v>
      </c>
      <c r="AA57" s="98">
        <f t="shared" si="50"/>
        <v>0.47305878654511158</v>
      </c>
      <c r="AB57" s="98">
        <f t="shared" si="50"/>
        <v>0.47305878654511158</v>
      </c>
      <c r="AC57" s="98">
        <f t="shared" si="50"/>
        <v>0.47305878654511158</v>
      </c>
      <c r="AD57" s="98">
        <f t="shared" si="50"/>
        <v>0.47305878654511158</v>
      </c>
      <c r="AE57" s="98">
        <f t="shared" si="50"/>
        <v>0.47305878654511158</v>
      </c>
      <c r="AF57" s="98">
        <f t="shared" si="50"/>
        <v>0.47305878654511158</v>
      </c>
      <c r="AG57" s="98">
        <f t="shared" si="50"/>
        <v>0.47305878654511158</v>
      </c>
      <c r="AH57" s="98">
        <f t="shared" si="50"/>
        <v>0.47305878654511158</v>
      </c>
      <c r="AI57" s="98">
        <f t="shared" si="50"/>
        <v>0.47305878654511158</v>
      </c>
      <c r="AJ57" s="98">
        <f t="shared" si="50"/>
        <v>0.47305878654511158</v>
      </c>
      <c r="AK57" s="98">
        <f t="shared" si="50"/>
        <v>0.47305878654511158</v>
      </c>
    </row>
    <row r="58" spans="4:37" x14ac:dyDescent="0.25">
      <c r="H58" t="s">
        <v>470</v>
      </c>
      <c r="I58" t="s">
        <v>1252</v>
      </c>
      <c r="J58">
        <f>INF_Data!B100</f>
        <v>1.05</v>
      </c>
      <c r="K58">
        <f t="shared" ref="K58:AK58" si="51">J58</f>
        <v>1.05</v>
      </c>
      <c r="L58">
        <f t="shared" si="51"/>
        <v>1.05</v>
      </c>
      <c r="M58">
        <f t="shared" si="51"/>
        <v>1.05</v>
      </c>
      <c r="N58">
        <f t="shared" si="51"/>
        <v>1.05</v>
      </c>
      <c r="O58">
        <f t="shared" si="51"/>
        <v>1.05</v>
      </c>
      <c r="P58">
        <f t="shared" si="51"/>
        <v>1.05</v>
      </c>
      <c r="Q58">
        <f t="shared" si="51"/>
        <v>1.05</v>
      </c>
      <c r="R58">
        <f t="shared" si="51"/>
        <v>1.05</v>
      </c>
      <c r="S58">
        <f t="shared" si="51"/>
        <v>1.05</v>
      </c>
      <c r="T58">
        <f t="shared" si="51"/>
        <v>1.05</v>
      </c>
      <c r="U58">
        <f t="shared" si="51"/>
        <v>1.05</v>
      </c>
      <c r="V58">
        <f t="shared" si="51"/>
        <v>1.05</v>
      </c>
      <c r="W58">
        <f t="shared" si="51"/>
        <v>1.05</v>
      </c>
      <c r="X58">
        <f t="shared" si="51"/>
        <v>1.05</v>
      </c>
      <c r="Y58">
        <f t="shared" si="51"/>
        <v>1.05</v>
      </c>
      <c r="Z58">
        <f t="shared" si="51"/>
        <v>1.05</v>
      </c>
      <c r="AA58">
        <f t="shared" si="51"/>
        <v>1.05</v>
      </c>
      <c r="AB58">
        <f t="shared" si="51"/>
        <v>1.05</v>
      </c>
      <c r="AC58">
        <f t="shared" si="51"/>
        <v>1.05</v>
      </c>
      <c r="AD58">
        <f t="shared" si="51"/>
        <v>1.05</v>
      </c>
      <c r="AE58">
        <f t="shared" si="51"/>
        <v>1.05</v>
      </c>
      <c r="AF58">
        <f t="shared" si="51"/>
        <v>1.05</v>
      </c>
      <c r="AG58">
        <f t="shared" si="51"/>
        <v>1.05</v>
      </c>
      <c r="AH58">
        <f t="shared" si="51"/>
        <v>1.05</v>
      </c>
      <c r="AI58">
        <f t="shared" si="51"/>
        <v>1.05</v>
      </c>
      <c r="AJ58">
        <f t="shared" si="51"/>
        <v>1.05</v>
      </c>
      <c r="AK58">
        <f t="shared" si="51"/>
        <v>1.05</v>
      </c>
    </row>
    <row r="59" spans="4:37" x14ac:dyDescent="0.25">
      <c r="H59" t="s">
        <v>472</v>
      </c>
      <c r="I59" s="9" t="s">
        <v>1250</v>
      </c>
      <c r="J59">
        <v>1</v>
      </c>
      <c r="K59" s="98">
        <f t="shared" ref="K59:AK59" si="52">J59</f>
        <v>1</v>
      </c>
      <c r="L59" s="98">
        <f t="shared" si="52"/>
        <v>1</v>
      </c>
      <c r="M59" s="98">
        <f t="shared" si="52"/>
        <v>1</v>
      </c>
      <c r="N59" s="98">
        <f t="shared" si="52"/>
        <v>1</v>
      </c>
      <c r="O59" s="98">
        <f t="shared" si="52"/>
        <v>1</v>
      </c>
      <c r="P59" s="98">
        <f t="shared" si="52"/>
        <v>1</v>
      </c>
      <c r="Q59" s="98">
        <f t="shared" si="52"/>
        <v>1</v>
      </c>
      <c r="R59" s="98">
        <f t="shared" si="52"/>
        <v>1</v>
      </c>
      <c r="S59" s="98">
        <f t="shared" si="52"/>
        <v>1</v>
      </c>
      <c r="T59" s="98">
        <f t="shared" si="52"/>
        <v>1</v>
      </c>
      <c r="U59" s="98">
        <f t="shared" si="52"/>
        <v>1</v>
      </c>
      <c r="V59" s="98">
        <f t="shared" si="52"/>
        <v>1</v>
      </c>
      <c r="W59" s="98">
        <f t="shared" si="52"/>
        <v>1</v>
      </c>
      <c r="X59" s="98">
        <f t="shared" si="52"/>
        <v>1</v>
      </c>
      <c r="Y59" s="98">
        <f t="shared" si="52"/>
        <v>1</v>
      </c>
      <c r="Z59" s="98">
        <f t="shared" si="52"/>
        <v>1</v>
      </c>
      <c r="AA59" s="98">
        <f t="shared" si="52"/>
        <v>1</v>
      </c>
      <c r="AB59" s="98">
        <f t="shared" si="52"/>
        <v>1</v>
      </c>
      <c r="AC59" s="98">
        <f t="shared" si="52"/>
        <v>1</v>
      </c>
      <c r="AD59" s="98">
        <f t="shared" si="52"/>
        <v>1</v>
      </c>
      <c r="AE59" s="98">
        <f t="shared" si="52"/>
        <v>1</v>
      </c>
      <c r="AF59" s="98">
        <f t="shared" si="52"/>
        <v>1</v>
      </c>
      <c r="AG59" s="98">
        <f t="shared" si="52"/>
        <v>1</v>
      </c>
      <c r="AH59" s="98">
        <f t="shared" si="52"/>
        <v>1</v>
      </c>
      <c r="AI59" s="98">
        <f t="shared" si="52"/>
        <v>1</v>
      </c>
      <c r="AJ59" s="98">
        <f t="shared" si="52"/>
        <v>1</v>
      </c>
      <c r="AK59" s="98">
        <f t="shared" si="52"/>
        <v>1</v>
      </c>
    </row>
    <row r="60" spans="4:37" x14ac:dyDescent="0.25">
      <c r="H60" t="s">
        <v>599</v>
      </c>
      <c r="J60">
        <v>2020</v>
      </c>
      <c r="K60" s="98">
        <f t="shared" ref="K60:AK60" si="53">J60</f>
        <v>2020</v>
      </c>
      <c r="L60" s="98">
        <f t="shared" si="53"/>
        <v>2020</v>
      </c>
      <c r="M60" s="98">
        <f t="shared" si="53"/>
        <v>2020</v>
      </c>
      <c r="N60" s="98">
        <f t="shared" si="53"/>
        <v>2020</v>
      </c>
      <c r="O60" s="98">
        <f t="shared" si="53"/>
        <v>2020</v>
      </c>
      <c r="P60" s="98">
        <f t="shared" si="53"/>
        <v>2020</v>
      </c>
      <c r="Q60" s="98">
        <f t="shared" si="53"/>
        <v>2020</v>
      </c>
      <c r="R60" s="98">
        <f t="shared" si="53"/>
        <v>2020</v>
      </c>
      <c r="S60" s="98">
        <f t="shared" si="53"/>
        <v>2020</v>
      </c>
      <c r="T60" s="98">
        <f t="shared" si="53"/>
        <v>2020</v>
      </c>
      <c r="U60" s="98">
        <f t="shared" si="53"/>
        <v>2020</v>
      </c>
      <c r="V60" s="98">
        <f t="shared" si="53"/>
        <v>2020</v>
      </c>
      <c r="W60" s="98">
        <f t="shared" si="53"/>
        <v>2020</v>
      </c>
      <c r="X60" s="98">
        <f t="shared" si="53"/>
        <v>2020</v>
      </c>
      <c r="Y60" s="98">
        <f t="shared" si="53"/>
        <v>2020</v>
      </c>
      <c r="Z60" s="98">
        <f t="shared" si="53"/>
        <v>2020</v>
      </c>
      <c r="AA60" s="98">
        <f t="shared" si="53"/>
        <v>2020</v>
      </c>
      <c r="AB60" s="98">
        <f t="shared" si="53"/>
        <v>2020</v>
      </c>
      <c r="AC60" s="98">
        <f t="shared" si="53"/>
        <v>2020</v>
      </c>
      <c r="AD60" s="98">
        <f t="shared" si="53"/>
        <v>2020</v>
      </c>
      <c r="AE60" s="98">
        <f t="shared" si="53"/>
        <v>2020</v>
      </c>
      <c r="AF60" s="98">
        <f t="shared" si="53"/>
        <v>2020</v>
      </c>
      <c r="AG60" s="98">
        <f t="shared" si="53"/>
        <v>2020</v>
      </c>
      <c r="AH60" s="98">
        <f t="shared" si="53"/>
        <v>2020</v>
      </c>
      <c r="AI60" s="98">
        <f t="shared" si="53"/>
        <v>2020</v>
      </c>
      <c r="AJ60" s="98">
        <f t="shared" si="53"/>
        <v>2020</v>
      </c>
      <c r="AK60" s="98">
        <f t="shared" si="53"/>
        <v>2020</v>
      </c>
    </row>
    <row r="61" spans="4:37" x14ac:dyDescent="0.25">
      <c r="H61" t="s">
        <v>624</v>
      </c>
      <c r="J61" s="98">
        <f>INF_Data!C434</f>
        <v>25.705425216261744</v>
      </c>
      <c r="K61" s="98">
        <f t="shared" ref="K61:AK61" si="54">J61</f>
        <v>25.705425216261744</v>
      </c>
      <c r="L61" s="98">
        <f t="shared" si="54"/>
        <v>25.705425216261744</v>
      </c>
      <c r="M61" s="98">
        <f t="shared" si="54"/>
        <v>25.705425216261744</v>
      </c>
      <c r="N61" s="98">
        <f t="shared" si="54"/>
        <v>25.705425216261744</v>
      </c>
      <c r="O61" s="98">
        <f t="shared" si="54"/>
        <v>25.705425216261744</v>
      </c>
      <c r="P61" s="98">
        <f t="shared" si="54"/>
        <v>25.705425216261744</v>
      </c>
      <c r="Q61" s="98">
        <f t="shared" si="54"/>
        <v>25.705425216261744</v>
      </c>
      <c r="R61" s="98">
        <f t="shared" si="54"/>
        <v>25.705425216261744</v>
      </c>
      <c r="S61" s="98">
        <f t="shared" si="54"/>
        <v>25.705425216261744</v>
      </c>
      <c r="T61" s="98">
        <f t="shared" si="54"/>
        <v>25.705425216261744</v>
      </c>
      <c r="U61" s="98">
        <f t="shared" si="54"/>
        <v>25.705425216261744</v>
      </c>
      <c r="V61" s="98">
        <f t="shared" si="54"/>
        <v>25.705425216261744</v>
      </c>
      <c r="W61" s="98">
        <f t="shared" si="54"/>
        <v>25.705425216261744</v>
      </c>
      <c r="X61" s="98">
        <f t="shared" si="54"/>
        <v>25.705425216261744</v>
      </c>
      <c r="Y61" s="98">
        <f t="shared" si="54"/>
        <v>25.705425216261744</v>
      </c>
      <c r="Z61" s="98">
        <f t="shared" si="54"/>
        <v>25.705425216261744</v>
      </c>
      <c r="AA61" s="98">
        <f t="shared" si="54"/>
        <v>25.705425216261744</v>
      </c>
      <c r="AB61" s="98">
        <f t="shared" si="54"/>
        <v>25.705425216261744</v>
      </c>
      <c r="AC61" s="98">
        <f t="shared" si="54"/>
        <v>25.705425216261744</v>
      </c>
      <c r="AD61" s="98">
        <f t="shared" si="54"/>
        <v>25.705425216261744</v>
      </c>
      <c r="AE61" s="98">
        <f t="shared" si="54"/>
        <v>25.705425216261744</v>
      </c>
      <c r="AF61" s="98">
        <f t="shared" si="54"/>
        <v>25.705425216261744</v>
      </c>
      <c r="AG61" s="98">
        <f t="shared" si="54"/>
        <v>25.705425216261744</v>
      </c>
      <c r="AH61" s="98">
        <f t="shared" si="54"/>
        <v>25.705425216261744</v>
      </c>
      <c r="AI61" s="98">
        <f t="shared" si="54"/>
        <v>25.705425216261744</v>
      </c>
      <c r="AJ61" s="98">
        <f t="shared" si="54"/>
        <v>25.705425216261744</v>
      </c>
      <c r="AK61" s="98">
        <f t="shared" si="54"/>
        <v>25.705425216261744</v>
      </c>
    </row>
    <row r="62" spans="4:37" x14ac:dyDescent="0.25">
      <c r="D62" t="s">
        <v>1130</v>
      </c>
      <c r="E62">
        <v>30</v>
      </c>
      <c r="F62">
        <v>0.9</v>
      </c>
      <c r="H62" t="s">
        <v>470</v>
      </c>
      <c r="I62" s="9" t="s">
        <v>126</v>
      </c>
      <c r="J62" s="102">
        <f>SUM(INF_Data!D89:D90)</f>
        <v>3.3</v>
      </c>
      <c r="K62" s="98">
        <f t="shared" ref="K62:AK62" si="55">J62</f>
        <v>3.3</v>
      </c>
      <c r="L62" s="98">
        <f t="shared" si="55"/>
        <v>3.3</v>
      </c>
      <c r="M62" s="98">
        <f t="shared" si="55"/>
        <v>3.3</v>
      </c>
      <c r="N62" s="98">
        <f t="shared" si="55"/>
        <v>3.3</v>
      </c>
      <c r="O62" s="98">
        <f t="shared" si="55"/>
        <v>3.3</v>
      </c>
      <c r="P62" s="98">
        <f t="shared" si="55"/>
        <v>3.3</v>
      </c>
      <c r="Q62" s="98">
        <f t="shared" si="55"/>
        <v>3.3</v>
      </c>
      <c r="R62" s="98">
        <f t="shared" si="55"/>
        <v>3.3</v>
      </c>
      <c r="S62" s="98">
        <f t="shared" si="55"/>
        <v>3.3</v>
      </c>
      <c r="T62" s="98">
        <f t="shared" si="55"/>
        <v>3.3</v>
      </c>
      <c r="U62" s="98">
        <f t="shared" si="55"/>
        <v>3.3</v>
      </c>
      <c r="V62" s="98">
        <f t="shared" si="55"/>
        <v>3.3</v>
      </c>
      <c r="W62" s="98">
        <f t="shared" si="55"/>
        <v>3.3</v>
      </c>
      <c r="X62" s="98">
        <f t="shared" si="55"/>
        <v>3.3</v>
      </c>
      <c r="Y62" s="98">
        <f t="shared" si="55"/>
        <v>3.3</v>
      </c>
      <c r="Z62" s="98">
        <f t="shared" si="55"/>
        <v>3.3</v>
      </c>
      <c r="AA62" s="98">
        <f t="shared" si="55"/>
        <v>3.3</v>
      </c>
      <c r="AB62" s="98">
        <f t="shared" si="55"/>
        <v>3.3</v>
      </c>
      <c r="AC62" s="98">
        <f t="shared" si="55"/>
        <v>3.3</v>
      </c>
      <c r="AD62" s="98">
        <f t="shared" si="55"/>
        <v>3.3</v>
      </c>
      <c r="AE62" s="98">
        <f t="shared" si="55"/>
        <v>3.3</v>
      </c>
      <c r="AF62" s="98">
        <f t="shared" si="55"/>
        <v>3.3</v>
      </c>
      <c r="AG62" s="98">
        <f t="shared" si="55"/>
        <v>3.3</v>
      </c>
      <c r="AH62" s="98">
        <f t="shared" si="55"/>
        <v>3.3</v>
      </c>
      <c r="AI62" s="98">
        <f t="shared" si="55"/>
        <v>3.3</v>
      </c>
      <c r="AJ62" s="98">
        <f t="shared" si="55"/>
        <v>3.3</v>
      </c>
      <c r="AK62" s="98">
        <f t="shared" si="55"/>
        <v>3.3</v>
      </c>
    </row>
    <row r="63" spans="4:37" x14ac:dyDescent="0.25">
      <c r="H63" t="s">
        <v>470</v>
      </c>
      <c r="I63" t="s">
        <v>1252</v>
      </c>
      <c r="J63" s="193">
        <f>INF_Data!B100</f>
        <v>1.05</v>
      </c>
      <c r="K63" s="193">
        <f t="shared" ref="K63:AK63" si="56">J63</f>
        <v>1.05</v>
      </c>
      <c r="L63" s="193">
        <f t="shared" si="56"/>
        <v>1.05</v>
      </c>
      <c r="M63" s="193">
        <f t="shared" si="56"/>
        <v>1.05</v>
      </c>
      <c r="N63" s="193">
        <f t="shared" si="56"/>
        <v>1.05</v>
      </c>
      <c r="O63" s="193">
        <f t="shared" si="56"/>
        <v>1.05</v>
      </c>
      <c r="P63" s="193">
        <f t="shared" si="56"/>
        <v>1.05</v>
      </c>
      <c r="Q63" s="193">
        <f t="shared" si="56"/>
        <v>1.05</v>
      </c>
      <c r="R63" s="193">
        <f t="shared" si="56"/>
        <v>1.05</v>
      </c>
      <c r="S63" s="193">
        <f t="shared" si="56"/>
        <v>1.05</v>
      </c>
      <c r="T63" s="193">
        <f t="shared" si="56"/>
        <v>1.05</v>
      </c>
      <c r="U63" s="193">
        <f t="shared" si="56"/>
        <v>1.05</v>
      </c>
      <c r="V63" s="193">
        <f t="shared" si="56"/>
        <v>1.05</v>
      </c>
      <c r="W63" s="193">
        <f t="shared" si="56"/>
        <v>1.05</v>
      </c>
      <c r="X63" s="193">
        <f t="shared" si="56"/>
        <v>1.05</v>
      </c>
      <c r="Y63" s="193">
        <f t="shared" si="56"/>
        <v>1.05</v>
      </c>
      <c r="Z63" s="193">
        <f t="shared" si="56"/>
        <v>1.05</v>
      </c>
      <c r="AA63" s="193">
        <f t="shared" si="56"/>
        <v>1.05</v>
      </c>
      <c r="AB63" s="193">
        <f t="shared" si="56"/>
        <v>1.05</v>
      </c>
      <c r="AC63" s="193">
        <f t="shared" si="56"/>
        <v>1.05</v>
      </c>
      <c r="AD63" s="193">
        <f t="shared" si="56"/>
        <v>1.05</v>
      </c>
      <c r="AE63" s="193">
        <f t="shared" si="56"/>
        <v>1.05</v>
      </c>
      <c r="AF63" s="193">
        <f t="shared" si="56"/>
        <v>1.05</v>
      </c>
      <c r="AG63" s="193">
        <f t="shared" si="56"/>
        <v>1.05</v>
      </c>
      <c r="AH63" s="193">
        <f t="shared" si="56"/>
        <v>1.05</v>
      </c>
      <c r="AI63" s="193">
        <f t="shared" si="56"/>
        <v>1.05</v>
      </c>
      <c r="AJ63" s="193">
        <f t="shared" si="56"/>
        <v>1.05</v>
      </c>
      <c r="AK63" s="193">
        <f t="shared" si="56"/>
        <v>1.05</v>
      </c>
    </row>
    <row r="64" spans="4:37" x14ac:dyDescent="0.25">
      <c r="H64" t="s">
        <v>472</v>
      </c>
      <c r="I64" s="9" t="s">
        <v>1250</v>
      </c>
      <c r="J64">
        <v>1</v>
      </c>
      <c r="K64" s="98">
        <f t="shared" ref="K64:AK64" si="57">J64</f>
        <v>1</v>
      </c>
      <c r="L64" s="98">
        <f t="shared" si="57"/>
        <v>1</v>
      </c>
      <c r="M64" s="98">
        <f t="shared" si="57"/>
        <v>1</v>
      </c>
      <c r="N64" s="98">
        <f t="shared" si="57"/>
        <v>1</v>
      </c>
      <c r="O64" s="98">
        <f t="shared" si="57"/>
        <v>1</v>
      </c>
      <c r="P64" s="98">
        <f t="shared" si="57"/>
        <v>1</v>
      </c>
      <c r="Q64" s="98">
        <f t="shared" si="57"/>
        <v>1</v>
      </c>
      <c r="R64" s="98">
        <f t="shared" si="57"/>
        <v>1</v>
      </c>
      <c r="S64" s="98">
        <f t="shared" si="57"/>
        <v>1</v>
      </c>
      <c r="T64" s="98">
        <f t="shared" si="57"/>
        <v>1</v>
      </c>
      <c r="U64" s="98">
        <f t="shared" si="57"/>
        <v>1</v>
      </c>
      <c r="V64" s="98">
        <f t="shared" si="57"/>
        <v>1</v>
      </c>
      <c r="W64" s="98">
        <f t="shared" si="57"/>
        <v>1</v>
      </c>
      <c r="X64" s="98">
        <f t="shared" si="57"/>
        <v>1</v>
      </c>
      <c r="Y64" s="98">
        <f t="shared" si="57"/>
        <v>1</v>
      </c>
      <c r="Z64" s="98">
        <f t="shared" si="57"/>
        <v>1</v>
      </c>
      <c r="AA64" s="98">
        <f t="shared" si="57"/>
        <v>1</v>
      </c>
      <c r="AB64" s="98">
        <f t="shared" si="57"/>
        <v>1</v>
      </c>
      <c r="AC64" s="98">
        <f t="shared" si="57"/>
        <v>1</v>
      </c>
      <c r="AD64" s="98">
        <f t="shared" si="57"/>
        <v>1</v>
      </c>
      <c r="AE64" s="98">
        <f t="shared" si="57"/>
        <v>1</v>
      </c>
      <c r="AF64" s="98">
        <f t="shared" si="57"/>
        <v>1</v>
      </c>
      <c r="AG64" s="98">
        <f t="shared" si="57"/>
        <v>1</v>
      </c>
      <c r="AH64" s="98">
        <f t="shared" si="57"/>
        <v>1</v>
      </c>
      <c r="AI64" s="98">
        <f t="shared" si="57"/>
        <v>1</v>
      </c>
      <c r="AJ64" s="98">
        <f t="shared" si="57"/>
        <v>1</v>
      </c>
      <c r="AK64" s="98">
        <f t="shared" si="57"/>
        <v>1</v>
      </c>
    </row>
    <row r="65" spans="3:38" x14ac:dyDescent="0.25">
      <c r="H65" t="s">
        <v>599</v>
      </c>
      <c r="J65">
        <v>2030</v>
      </c>
      <c r="K65" s="98">
        <f t="shared" ref="K65:AK65" si="58">J65</f>
        <v>2030</v>
      </c>
      <c r="L65" s="98">
        <f t="shared" si="58"/>
        <v>2030</v>
      </c>
      <c r="M65" s="98">
        <f t="shared" si="58"/>
        <v>2030</v>
      </c>
      <c r="N65" s="98">
        <f t="shared" si="58"/>
        <v>2030</v>
      </c>
      <c r="O65" s="98">
        <f t="shared" si="58"/>
        <v>2030</v>
      </c>
      <c r="P65" s="98">
        <f t="shared" si="58"/>
        <v>2030</v>
      </c>
      <c r="Q65" s="98">
        <f t="shared" si="58"/>
        <v>2030</v>
      </c>
      <c r="R65" s="98">
        <f t="shared" si="58"/>
        <v>2030</v>
      </c>
      <c r="S65" s="98">
        <f t="shared" si="58"/>
        <v>2030</v>
      </c>
      <c r="T65" s="98">
        <f t="shared" si="58"/>
        <v>2030</v>
      </c>
      <c r="U65" s="98">
        <f t="shared" si="58"/>
        <v>2030</v>
      </c>
      <c r="V65" s="98">
        <f t="shared" si="58"/>
        <v>2030</v>
      </c>
      <c r="W65" s="98">
        <f t="shared" si="58"/>
        <v>2030</v>
      </c>
      <c r="X65" s="98">
        <f t="shared" si="58"/>
        <v>2030</v>
      </c>
      <c r="Y65" s="98">
        <f t="shared" si="58"/>
        <v>2030</v>
      </c>
      <c r="Z65" s="98">
        <f t="shared" si="58"/>
        <v>2030</v>
      </c>
      <c r="AA65" s="98">
        <f t="shared" si="58"/>
        <v>2030</v>
      </c>
      <c r="AB65" s="98">
        <f t="shared" si="58"/>
        <v>2030</v>
      </c>
      <c r="AC65" s="98">
        <f t="shared" si="58"/>
        <v>2030</v>
      </c>
      <c r="AD65" s="98">
        <f t="shared" si="58"/>
        <v>2030</v>
      </c>
      <c r="AE65" s="98">
        <f t="shared" si="58"/>
        <v>2030</v>
      </c>
      <c r="AF65" s="98">
        <f t="shared" si="58"/>
        <v>2030</v>
      </c>
      <c r="AG65" s="98">
        <f t="shared" si="58"/>
        <v>2030</v>
      </c>
      <c r="AH65" s="98">
        <f t="shared" si="58"/>
        <v>2030</v>
      </c>
      <c r="AI65" s="98">
        <f t="shared" si="58"/>
        <v>2030</v>
      </c>
      <c r="AJ65" s="98">
        <f t="shared" si="58"/>
        <v>2030</v>
      </c>
      <c r="AK65" s="98">
        <f t="shared" si="58"/>
        <v>2030</v>
      </c>
    </row>
    <row r="66" spans="3:38" x14ac:dyDescent="0.25">
      <c r="H66" t="s">
        <v>624</v>
      </c>
      <c r="J66" s="98">
        <f>INF_Data!D434</f>
        <v>217.05700752109817</v>
      </c>
      <c r="K66" s="98">
        <f t="shared" ref="K66:AK66" si="59">J66</f>
        <v>217.05700752109817</v>
      </c>
      <c r="L66" s="98">
        <f t="shared" si="59"/>
        <v>217.05700752109817</v>
      </c>
      <c r="M66" s="98">
        <f t="shared" si="59"/>
        <v>217.05700752109817</v>
      </c>
      <c r="N66" s="98">
        <f t="shared" si="59"/>
        <v>217.05700752109817</v>
      </c>
      <c r="O66" s="98">
        <f t="shared" si="59"/>
        <v>217.05700752109817</v>
      </c>
      <c r="P66" s="98">
        <f t="shared" si="59"/>
        <v>217.05700752109817</v>
      </c>
      <c r="Q66" s="98">
        <f t="shared" si="59"/>
        <v>217.05700752109817</v>
      </c>
      <c r="R66" s="98">
        <f t="shared" si="59"/>
        <v>217.05700752109817</v>
      </c>
      <c r="S66" s="98">
        <f t="shared" si="59"/>
        <v>217.05700752109817</v>
      </c>
      <c r="T66" s="98">
        <f t="shared" si="59"/>
        <v>217.05700752109817</v>
      </c>
      <c r="U66" s="98">
        <f t="shared" si="59"/>
        <v>217.05700752109817</v>
      </c>
      <c r="V66" s="98">
        <f t="shared" si="59"/>
        <v>217.05700752109817</v>
      </c>
      <c r="W66" s="98">
        <f t="shared" si="59"/>
        <v>217.05700752109817</v>
      </c>
      <c r="X66" s="98">
        <f t="shared" si="59"/>
        <v>217.05700752109817</v>
      </c>
      <c r="Y66" s="98">
        <f t="shared" si="59"/>
        <v>217.05700752109817</v>
      </c>
      <c r="Z66" s="98">
        <f t="shared" si="59"/>
        <v>217.05700752109817</v>
      </c>
      <c r="AA66" s="98">
        <f t="shared" si="59"/>
        <v>217.05700752109817</v>
      </c>
      <c r="AB66" s="98">
        <f t="shared" si="59"/>
        <v>217.05700752109817</v>
      </c>
      <c r="AC66" s="98">
        <f t="shared" si="59"/>
        <v>217.05700752109817</v>
      </c>
      <c r="AD66" s="98">
        <f t="shared" si="59"/>
        <v>217.05700752109817</v>
      </c>
      <c r="AE66" s="98">
        <f t="shared" si="59"/>
        <v>217.05700752109817</v>
      </c>
      <c r="AF66" s="98">
        <f t="shared" si="59"/>
        <v>217.05700752109817</v>
      </c>
      <c r="AG66" s="98">
        <f t="shared" si="59"/>
        <v>217.05700752109817</v>
      </c>
      <c r="AH66" s="98">
        <f t="shared" si="59"/>
        <v>217.05700752109817</v>
      </c>
      <c r="AI66" s="98">
        <f t="shared" si="59"/>
        <v>217.05700752109817</v>
      </c>
      <c r="AJ66" s="98">
        <f t="shared" si="59"/>
        <v>217.05700752109817</v>
      </c>
      <c r="AK66" s="98">
        <f t="shared" si="59"/>
        <v>217.05700752109817</v>
      </c>
    </row>
    <row r="67" spans="3:38" x14ac:dyDescent="0.25">
      <c r="D67" t="s">
        <v>1132</v>
      </c>
      <c r="E67">
        <v>30</v>
      </c>
      <c r="F67">
        <v>0.9</v>
      </c>
      <c r="H67" t="s">
        <v>470</v>
      </c>
      <c r="I67" s="9" t="s">
        <v>141</v>
      </c>
      <c r="J67" s="102">
        <f>INF_Data!D90</f>
        <v>2.8269412134548881</v>
      </c>
      <c r="K67" s="98">
        <f t="shared" ref="K67:AK67" si="60">J67</f>
        <v>2.8269412134548881</v>
      </c>
      <c r="L67" s="98">
        <f t="shared" si="60"/>
        <v>2.8269412134548881</v>
      </c>
      <c r="M67" s="98">
        <f t="shared" si="60"/>
        <v>2.8269412134548881</v>
      </c>
      <c r="N67" s="98">
        <f t="shared" si="60"/>
        <v>2.8269412134548881</v>
      </c>
      <c r="O67" s="98">
        <f t="shared" si="60"/>
        <v>2.8269412134548881</v>
      </c>
      <c r="P67" s="98">
        <f t="shared" si="60"/>
        <v>2.8269412134548881</v>
      </c>
      <c r="Q67" s="98">
        <f t="shared" si="60"/>
        <v>2.8269412134548881</v>
      </c>
      <c r="R67" s="98">
        <f t="shared" si="60"/>
        <v>2.8269412134548881</v>
      </c>
      <c r="S67" s="98">
        <f t="shared" si="60"/>
        <v>2.8269412134548881</v>
      </c>
      <c r="T67" s="98">
        <f t="shared" si="60"/>
        <v>2.8269412134548881</v>
      </c>
      <c r="U67" s="98">
        <f t="shared" si="60"/>
        <v>2.8269412134548881</v>
      </c>
      <c r="V67" s="98">
        <f t="shared" si="60"/>
        <v>2.8269412134548881</v>
      </c>
      <c r="W67" s="98">
        <f t="shared" si="60"/>
        <v>2.8269412134548881</v>
      </c>
      <c r="X67" s="98">
        <f t="shared" si="60"/>
        <v>2.8269412134548881</v>
      </c>
      <c r="Y67" s="98">
        <f t="shared" si="60"/>
        <v>2.8269412134548881</v>
      </c>
      <c r="Z67" s="98">
        <f t="shared" si="60"/>
        <v>2.8269412134548881</v>
      </c>
      <c r="AA67" s="98">
        <f t="shared" si="60"/>
        <v>2.8269412134548881</v>
      </c>
      <c r="AB67" s="98">
        <f t="shared" si="60"/>
        <v>2.8269412134548881</v>
      </c>
      <c r="AC67" s="98">
        <f t="shared" si="60"/>
        <v>2.8269412134548881</v>
      </c>
      <c r="AD67" s="98">
        <f t="shared" si="60"/>
        <v>2.8269412134548881</v>
      </c>
      <c r="AE67" s="98">
        <f t="shared" si="60"/>
        <v>2.8269412134548881</v>
      </c>
      <c r="AF67" s="98">
        <f t="shared" si="60"/>
        <v>2.8269412134548881</v>
      </c>
      <c r="AG67" s="98">
        <f t="shared" si="60"/>
        <v>2.8269412134548881</v>
      </c>
      <c r="AH67" s="98">
        <f t="shared" si="60"/>
        <v>2.8269412134548881</v>
      </c>
      <c r="AI67" s="98">
        <f t="shared" si="60"/>
        <v>2.8269412134548881</v>
      </c>
      <c r="AJ67" s="98">
        <f t="shared" si="60"/>
        <v>2.8269412134548881</v>
      </c>
      <c r="AK67" s="98">
        <f t="shared" si="60"/>
        <v>2.8269412134548881</v>
      </c>
    </row>
    <row r="68" spans="3:38" x14ac:dyDescent="0.25">
      <c r="H68" t="s">
        <v>470</v>
      </c>
      <c r="I68" s="9" t="s">
        <v>126</v>
      </c>
      <c r="J68" s="102">
        <f>INF_Data!D89</f>
        <v>0.47305878654511158</v>
      </c>
      <c r="K68" s="98">
        <f t="shared" ref="K68:AK68" si="61">J68</f>
        <v>0.47305878654511158</v>
      </c>
      <c r="L68" s="98">
        <f t="shared" si="61"/>
        <v>0.47305878654511158</v>
      </c>
      <c r="M68" s="98">
        <f t="shared" si="61"/>
        <v>0.47305878654511158</v>
      </c>
      <c r="N68" s="98">
        <f t="shared" si="61"/>
        <v>0.47305878654511158</v>
      </c>
      <c r="O68" s="98">
        <f t="shared" si="61"/>
        <v>0.47305878654511158</v>
      </c>
      <c r="P68" s="98">
        <f t="shared" si="61"/>
        <v>0.47305878654511158</v>
      </c>
      <c r="Q68" s="98">
        <f t="shared" si="61"/>
        <v>0.47305878654511158</v>
      </c>
      <c r="R68" s="98">
        <f t="shared" si="61"/>
        <v>0.47305878654511158</v>
      </c>
      <c r="S68" s="98">
        <f t="shared" si="61"/>
        <v>0.47305878654511158</v>
      </c>
      <c r="T68" s="98">
        <f t="shared" si="61"/>
        <v>0.47305878654511158</v>
      </c>
      <c r="U68" s="98">
        <f t="shared" si="61"/>
        <v>0.47305878654511158</v>
      </c>
      <c r="V68" s="98">
        <f t="shared" si="61"/>
        <v>0.47305878654511158</v>
      </c>
      <c r="W68" s="98">
        <f t="shared" si="61"/>
        <v>0.47305878654511158</v>
      </c>
      <c r="X68" s="98">
        <f t="shared" si="61"/>
        <v>0.47305878654511158</v>
      </c>
      <c r="Y68" s="98">
        <f t="shared" si="61"/>
        <v>0.47305878654511158</v>
      </c>
      <c r="Z68" s="98">
        <f t="shared" si="61"/>
        <v>0.47305878654511158</v>
      </c>
      <c r="AA68" s="98">
        <f t="shared" si="61"/>
        <v>0.47305878654511158</v>
      </c>
      <c r="AB68" s="98">
        <f t="shared" si="61"/>
        <v>0.47305878654511158</v>
      </c>
      <c r="AC68" s="98">
        <f t="shared" si="61"/>
        <v>0.47305878654511158</v>
      </c>
      <c r="AD68" s="98">
        <f t="shared" si="61"/>
        <v>0.47305878654511158</v>
      </c>
      <c r="AE68" s="98">
        <f t="shared" si="61"/>
        <v>0.47305878654511158</v>
      </c>
      <c r="AF68" s="98">
        <f t="shared" si="61"/>
        <v>0.47305878654511158</v>
      </c>
      <c r="AG68" s="98">
        <f t="shared" si="61"/>
        <v>0.47305878654511158</v>
      </c>
      <c r="AH68" s="98">
        <f t="shared" si="61"/>
        <v>0.47305878654511158</v>
      </c>
      <c r="AI68" s="98">
        <f t="shared" si="61"/>
        <v>0.47305878654511158</v>
      </c>
      <c r="AJ68" s="98">
        <f t="shared" si="61"/>
        <v>0.47305878654511158</v>
      </c>
      <c r="AK68" s="98">
        <f t="shared" si="61"/>
        <v>0.47305878654511158</v>
      </c>
    </row>
    <row r="69" spans="3:38" x14ac:dyDescent="0.25">
      <c r="H69" t="s">
        <v>470</v>
      </c>
      <c r="I69" t="s">
        <v>1252</v>
      </c>
      <c r="J69" s="193">
        <f>INF_Data!B100</f>
        <v>1.05</v>
      </c>
      <c r="K69" s="193">
        <f t="shared" ref="K69:AK69" si="62">J69</f>
        <v>1.05</v>
      </c>
      <c r="L69" s="193">
        <f t="shared" si="62"/>
        <v>1.05</v>
      </c>
      <c r="M69" s="193">
        <f t="shared" si="62"/>
        <v>1.05</v>
      </c>
      <c r="N69" s="193">
        <f t="shared" si="62"/>
        <v>1.05</v>
      </c>
      <c r="O69" s="193">
        <f t="shared" si="62"/>
        <v>1.05</v>
      </c>
      <c r="P69" s="193">
        <f t="shared" si="62"/>
        <v>1.05</v>
      </c>
      <c r="Q69" s="193">
        <f t="shared" si="62"/>
        <v>1.05</v>
      </c>
      <c r="R69" s="193">
        <f t="shared" si="62"/>
        <v>1.05</v>
      </c>
      <c r="S69" s="193">
        <f t="shared" si="62"/>
        <v>1.05</v>
      </c>
      <c r="T69" s="193">
        <f t="shared" si="62"/>
        <v>1.05</v>
      </c>
      <c r="U69" s="193">
        <f t="shared" si="62"/>
        <v>1.05</v>
      </c>
      <c r="V69" s="193">
        <f t="shared" si="62"/>
        <v>1.05</v>
      </c>
      <c r="W69" s="193">
        <f t="shared" si="62"/>
        <v>1.05</v>
      </c>
      <c r="X69" s="193">
        <f t="shared" si="62"/>
        <v>1.05</v>
      </c>
      <c r="Y69" s="193">
        <f t="shared" si="62"/>
        <v>1.05</v>
      </c>
      <c r="Z69" s="193">
        <f t="shared" si="62"/>
        <v>1.05</v>
      </c>
      <c r="AA69" s="193">
        <f t="shared" si="62"/>
        <v>1.05</v>
      </c>
      <c r="AB69" s="193">
        <f t="shared" si="62"/>
        <v>1.05</v>
      </c>
      <c r="AC69" s="193">
        <f t="shared" si="62"/>
        <v>1.05</v>
      </c>
      <c r="AD69" s="193">
        <f t="shared" si="62"/>
        <v>1.05</v>
      </c>
      <c r="AE69" s="193">
        <f t="shared" si="62"/>
        <v>1.05</v>
      </c>
      <c r="AF69" s="193">
        <f t="shared" si="62"/>
        <v>1.05</v>
      </c>
      <c r="AG69" s="193">
        <f t="shared" si="62"/>
        <v>1.05</v>
      </c>
      <c r="AH69" s="193">
        <f t="shared" si="62"/>
        <v>1.05</v>
      </c>
      <c r="AI69" s="193">
        <f t="shared" si="62"/>
        <v>1.05</v>
      </c>
      <c r="AJ69" s="193">
        <f t="shared" si="62"/>
        <v>1.05</v>
      </c>
      <c r="AK69" s="193">
        <f t="shared" si="62"/>
        <v>1.05</v>
      </c>
    </row>
    <row r="70" spans="3:38" x14ac:dyDescent="0.25">
      <c r="H70" t="s">
        <v>472</v>
      </c>
      <c r="I70" s="9" t="s">
        <v>1250</v>
      </c>
      <c r="J70" s="98">
        <v>1</v>
      </c>
      <c r="K70" s="98">
        <f t="shared" ref="K70:AK70" si="63">J70</f>
        <v>1</v>
      </c>
      <c r="L70" s="98">
        <f t="shared" si="63"/>
        <v>1</v>
      </c>
      <c r="M70" s="98">
        <f t="shared" si="63"/>
        <v>1</v>
      </c>
      <c r="N70" s="98">
        <f t="shared" si="63"/>
        <v>1</v>
      </c>
      <c r="O70" s="98">
        <f t="shared" si="63"/>
        <v>1</v>
      </c>
      <c r="P70" s="98">
        <f t="shared" si="63"/>
        <v>1</v>
      </c>
      <c r="Q70" s="98">
        <f t="shared" si="63"/>
        <v>1</v>
      </c>
      <c r="R70" s="98">
        <f t="shared" si="63"/>
        <v>1</v>
      </c>
      <c r="S70" s="98">
        <f t="shared" si="63"/>
        <v>1</v>
      </c>
      <c r="T70" s="98">
        <f t="shared" si="63"/>
        <v>1</v>
      </c>
      <c r="U70" s="98">
        <f t="shared" si="63"/>
        <v>1</v>
      </c>
      <c r="V70" s="98">
        <f t="shared" si="63"/>
        <v>1</v>
      </c>
      <c r="W70" s="98">
        <f t="shared" si="63"/>
        <v>1</v>
      </c>
      <c r="X70" s="98">
        <f t="shared" si="63"/>
        <v>1</v>
      </c>
      <c r="Y70" s="98">
        <f t="shared" si="63"/>
        <v>1</v>
      </c>
      <c r="Z70" s="98">
        <f t="shared" si="63"/>
        <v>1</v>
      </c>
      <c r="AA70" s="98">
        <f t="shared" si="63"/>
        <v>1</v>
      </c>
      <c r="AB70" s="98">
        <f t="shared" si="63"/>
        <v>1</v>
      </c>
      <c r="AC70" s="98">
        <f t="shared" si="63"/>
        <v>1</v>
      </c>
      <c r="AD70" s="98">
        <f t="shared" si="63"/>
        <v>1</v>
      </c>
      <c r="AE70" s="98">
        <f t="shared" si="63"/>
        <v>1</v>
      </c>
      <c r="AF70" s="98">
        <f t="shared" si="63"/>
        <v>1</v>
      </c>
      <c r="AG70" s="98">
        <f t="shared" si="63"/>
        <v>1</v>
      </c>
      <c r="AH70" s="98">
        <f t="shared" si="63"/>
        <v>1</v>
      </c>
      <c r="AI70" s="98">
        <f t="shared" si="63"/>
        <v>1</v>
      </c>
      <c r="AJ70" s="98">
        <f t="shared" si="63"/>
        <v>1</v>
      </c>
      <c r="AK70" s="98">
        <f t="shared" si="63"/>
        <v>1</v>
      </c>
    </row>
    <row r="71" spans="3:38" x14ac:dyDescent="0.25">
      <c r="H71" t="s">
        <v>599</v>
      </c>
      <c r="J71" s="98">
        <v>2035</v>
      </c>
      <c r="K71" s="98">
        <f t="shared" ref="K71:AK71" si="64">J71</f>
        <v>2035</v>
      </c>
      <c r="L71" s="98">
        <f t="shared" si="64"/>
        <v>2035</v>
      </c>
      <c r="M71" s="98">
        <f t="shared" si="64"/>
        <v>2035</v>
      </c>
      <c r="N71" s="98">
        <f t="shared" si="64"/>
        <v>2035</v>
      </c>
      <c r="O71" s="98">
        <f t="shared" si="64"/>
        <v>2035</v>
      </c>
      <c r="P71" s="98">
        <f t="shared" si="64"/>
        <v>2035</v>
      </c>
      <c r="Q71" s="98">
        <f t="shared" si="64"/>
        <v>2035</v>
      </c>
      <c r="R71" s="98">
        <f t="shared" si="64"/>
        <v>2035</v>
      </c>
      <c r="S71" s="98">
        <f t="shared" si="64"/>
        <v>2035</v>
      </c>
      <c r="T71" s="98">
        <f t="shared" si="64"/>
        <v>2035</v>
      </c>
      <c r="U71" s="98">
        <f t="shared" si="64"/>
        <v>2035</v>
      </c>
      <c r="V71" s="98">
        <f t="shared" si="64"/>
        <v>2035</v>
      </c>
      <c r="W71" s="98">
        <f t="shared" si="64"/>
        <v>2035</v>
      </c>
      <c r="X71" s="98">
        <f t="shared" si="64"/>
        <v>2035</v>
      </c>
      <c r="Y71" s="98">
        <f t="shared" si="64"/>
        <v>2035</v>
      </c>
      <c r="Z71" s="98">
        <f t="shared" si="64"/>
        <v>2035</v>
      </c>
      <c r="AA71" s="98">
        <f t="shared" si="64"/>
        <v>2035</v>
      </c>
      <c r="AB71" s="98">
        <f t="shared" si="64"/>
        <v>2035</v>
      </c>
      <c r="AC71" s="98">
        <f t="shared" si="64"/>
        <v>2035</v>
      </c>
      <c r="AD71" s="98">
        <f t="shared" si="64"/>
        <v>2035</v>
      </c>
      <c r="AE71" s="98">
        <f t="shared" si="64"/>
        <v>2035</v>
      </c>
      <c r="AF71" s="98">
        <f t="shared" si="64"/>
        <v>2035</v>
      </c>
      <c r="AG71" s="98">
        <f t="shared" si="64"/>
        <v>2035</v>
      </c>
      <c r="AH71" s="98">
        <f t="shared" si="64"/>
        <v>2035</v>
      </c>
      <c r="AI71" s="98">
        <f t="shared" si="64"/>
        <v>2035</v>
      </c>
      <c r="AJ71" s="98">
        <f t="shared" si="64"/>
        <v>2035</v>
      </c>
      <c r="AK71" s="98">
        <f t="shared" si="64"/>
        <v>2035</v>
      </c>
    </row>
    <row r="72" spans="3:38" x14ac:dyDescent="0.25">
      <c r="H72" t="s">
        <v>624</v>
      </c>
      <c r="J72" s="98">
        <f>INF_Data!E434</f>
        <v>104.50892954719544</v>
      </c>
      <c r="K72" s="98">
        <f t="shared" ref="K72:AK72" si="65">J72</f>
        <v>104.50892954719544</v>
      </c>
      <c r="L72" s="98">
        <f t="shared" si="65"/>
        <v>104.50892954719544</v>
      </c>
      <c r="M72" s="98">
        <f t="shared" si="65"/>
        <v>104.50892954719544</v>
      </c>
      <c r="N72" s="98">
        <f t="shared" si="65"/>
        <v>104.50892954719544</v>
      </c>
      <c r="O72" s="98">
        <f t="shared" si="65"/>
        <v>104.50892954719544</v>
      </c>
      <c r="P72" s="98">
        <f t="shared" si="65"/>
        <v>104.50892954719544</v>
      </c>
      <c r="Q72" s="98">
        <f t="shared" si="65"/>
        <v>104.50892954719544</v>
      </c>
      <c r="R72" s="98">
        <f t="shared" si="65"/>
        <v>104.50892954719544</v>
      </c>
      <c r="S72" s="98">
        <f t="shared" si="65"/>
        <v>104.50892954719544</v>
      </c>
      <c r="T72" s="98">
        <f t="shared" si="65"/>
        <v>104.50892954719544</v>
      </c>
      <c r="U72" s="98">
        <f t="shared" si="65"/>
        <v>104.50892954719544</v>
      </c>
      <c r="V72" s="98">
        <f t="shared" si="65"/>
        <v>104.50892954719544</v>
      </c>
      <c r="W72" s="98">
        <f t="shared" si="65"/>
        <v>104.50892954719544</v>
      </c>
      <c r="X72" s="98">
        <f t="shared" si="65"/>
        <v>104.50892954719544</v>
      </c>
      <c r="Y72" s="98">
        <f t="shared" si="65"/>
        <v>104.50892954719544</v>
      </c>
      <c r="Z72" s="98">
        <f t="shared" si="65"/>
        <v>104.50892954719544</v>
      </c>
      <c r="AA72" s="98">
        <f t="shared" si="65"/>
        <v>104.50892954719544</v>
      </c>
      <c r="AB72" s="98">
        <f t="shared" si="65"/>
        <v>104.50892954719544</v>
      </c>
      <c r="AC72" s="98">
        <f t="shared" si="65"/>
        <v>104.50892954719544</v>
      </c>
      <c r="AD72" s="98">
        <f t="shared" si="65"/>
        <v>104.50892954719544</v>
      </c>
      <c r="AE72" s="98">
        <f t="shared" si="65"/>
        <v>104.50892954719544</v>
      </c>
      <c r="AF72" s="98">
        <f t="shared" si="65"/>
        <v>104.50892954719544</v>
      </c>
      <c r="AG72" s="98">
        <f t="shared" si="65"/>
        <v>104.50892954719544</v>
      </c>
      <c r="AH72" s="98">
        <f t="shared" si="65"/>
        <v>104.50892954719544</v>
      </c>
      <c r="AI72" s="98">
        <f t="shared" si="65"/>
        <v>104.50892954719544</v>
      </c>
      <c r="AJ72" s="98">
        <f t="shared" si="65"/>
        <v>104.50892954719544</v>
      </c>
      <c r="AK72" s="98">
        <f t="shared" si="65"/>
        <v>104.50892954719544</v>
      </c>
    </row>
    <row r="75" spans="3:38" s="490" customFormat="1" ht="18.75" x14ac:dyDescent="0.3">
      <c r="C75" s="489" t="s">
        <v>1289</v>
      </c>
    </row>
    <row r="78" spans="3:38" x14ac:dyDescent="0.25">
      <c r="I78" s="52" t="s">
        <v>300</v>
      </c>
    </row>
    <row r="79" spans="3:38" ht="15.75" thickBot="1" x14ac:dyDescent="0.3">
      <c r="D79" s="44" t="s">
        <v>306</v>
      </c>
      <c r="E79" s="44" t="s">
        <v>1277</v>
      </c>
      <c r="F79" s="44" t="s">
        <v>303</v>
      </c>
      <c r="G79" s="44" t="s">
        <v>546</v>
      </c>
      <c r="H79" s="44" t="s">
        <v>599</v>
      </c>
      <c r="I79" s="44" t="s">
        <v>326</v>
      </c>
      <c r="J79" s="44" t="s">
        <v>340</v>
      </c>
      <c r="K79" s="44" t="s">
        <v>162</v>
      </c>
      <c r="L79" s="44" t="s">
        <v>164</v>
      </c>
      <c r="M79" s="44" t="s">
        <v>166</v>
      </c>
      <c r="N79" s="44" t="s">
        <v>168</v>
      </c>
      <c r="O79" s="44" t="s">
        <v>170</v>
      </c>
      <c r="P79" s="44" t="s">
        <v>173</v>
      </c>
      <c r="Q79" s="44" t="s">
        <v>175</v>
      </c>
      <c r="R79" s="44" t="s">
        <v>177</v>
      </c>
      <c r="S79" s="44" t="s">
        <v>179</v>
      </c>
      <c r="T79" s="44" t="s">
        <v>181</v>
      </c>
      <c r="U79" s="44" t="s">
        <v>183</v>
      </c>
      <c r="V79" s="44" t="s">
        <v>185</v>
      </c>
      <c r="W79" s="44" t="s">
        <v>188</v>
      </c>
      <c r="X79" s="44" t="s">
        <v>190</v>
      </c>
      <c r="Y79" s="44" t="s">
        <v>192</v>
      </c>
      <c r="Z79" s="44" t="s">
        <v>194</v>
      </c>
      <c r="AA79" s="44" t="s">
        <v>196</v>
      </c>
      <c r="AB79" s="44" t="s">
        <v>198</v>
      </c>
      <c r="AC79" s="44" t="s">
        <v>9</v>
      </c>
      <c r="AD79" s="44" t="s">
        <v>201</v>
      </c>
      <c r="AE79" s="44" t="s">
        <v>203</v>
      </c>
      <c r="AF79" s="44" t="s">
        <v>205</v>
      </c>
      <c r="AG79" s="44" t="s">
        <v>207</v>
      </c>
      <c r="AH79" s="44" t="s">
        <v>210</v>
      </c>
      <c r="AI79" s="44" t="s">
        <v>212</v>
      </c>
      <c r="AJ79" s="44" t="s">
        <v>214</v>
      </c>
      <c r="AK79" s="44" t="s">
        <v>217</v>
      </c>
      <c r="AL79" s="44" t="s">
        <v>219</v>
      </c>
    </row>
    <row r="80" spans="3:38" x14ac:dyDescent="0.25">
      <c r="D80" t="s">
        <v>1184</v>
      </c>
      <c r="E80">
        <v>30</v>
      </c>
      <c r="F80">
        <v>0.9</v>
      </c>
      <c r="H80">
        <v>2020</v>
      </c>
      <c r="I80" t="s">
        <v>470</v>
      </c>
      <c r="J80" t="s">
        <v>120</v>
      </c>
      <c r="K80">
        <v>1.3</v>
      </c>
      <c r="L80">
        <v>1.3</v>
      </c>
      <c r="M80">
        <v>1.3</v>
      </c>
      <c r="N80">
        <v>1.3</v>
      </c>
      <c r="O80">
        <v>1.3</v>
      </c>
      <c r="P80">
        <v>1.3</v>
      </c>
      <c r="Q80">
        <v>1.3</v>
      </c>
      <c r="R80">
        <v>1.3</v>
      </c>
      <c r="S80">
        <v>1.3</v>
      </c>
      <c r="T80">
        <v>1.3</v>
      </c>
      <c r="U80">
        <v>1.3</v>
      </c>
      <c r="V80">
        <v>1.3</v>
      </c>
      <c r="W80">
        <v>1.3</v>
      </c>
      <c r="X80">
        <v>1.3</v>
      </c>
      <c r="Y80">
        <v>1.3</v>
      </c>
      <c r="Z80">
        <v>1.3</v>
      </c>
      <c r="AA80">
        <v>1.3</v>
      </c>
      <c r="AB80">
        <v>1.3</v>
      </c>
      <c r="AC80">
        <v>1.3</v>
      </c>
      <c r="AD80">
        <v>1.3</v>
      </c>
      <c r="AE80">
        <v>1.3</v>
      </c>
      <c r="AF80">
        <v>1.3</v>
      </c>
      <c r="AG80">
        <v>1.3</v>
      </c>
      <c r="AH80">
        <v>1.3</v>
      </c>
      <c r="AI80">
        <v>1.3</v>
      </c>
      <c r="AJ80">
        <v>1.3</v>
      </c>
      <c r="AK80">
        <v>1.3</v>
      </c>
      <c r="AL80">
        <v>1.3</v>
      </c>
    </row>
    <row r="81" spans="2:38" x14ac:dyDescent="0.25">
      <c r="H81" t="s">
        <v>558</v>
      </c>
      <c r="I81" t="s">
        <v>472</v>
      </c>
      <c r="J81" t="s">
        <v>1254</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row>
    <row r="82" spans="2:38" x14ac:dyDescent="0.25">
      <c r="D82" t="s">
        <v>1186</v>
      </c>
      <c r="E82">
        <v>30</v>
      </c>
      <c r="F82">
        <v>0.9</v>
      </c>
      <c r="H82">
        <v>2020</v>
      </c>
      <c r="I82" t="s">
        <v>470</v>
      </c>
      <c r="J82" t="s">
        <v>126</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row>
    <row r="83" spans="2:38" x14ac:dyDescent="0.25">
      <c r="H83" t="s">
        <v>558</v>
      </c>
      <c r="I83" t="s">
        <v>472</v>
      </c>
      <c r="J83" t="s">
        <v>1254</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row>
    <row r="84" spans="2:38" x14ac:dyDescent="0.25">
      <c r="D84" t="s">
        <v>1188</v>
      </c>
      <c r="E84">
        <v>30</v>
      </c>
      <c r="F84">
        <v>0.9</v>
      </c>
      <c r="H84">
        <v>2020</v>
      </c>
      <c r="I84" t="s">
        <v>470</v>
      </c>
      <c r="J84" t="s">
        <v>128</v>
      </c>
      <c r="K84">
        <v>1.3</v>
      </c>
      <c r="L84">
        <v>1.3</v>
      </c>
      <c r="M84">
        <v>1.3</v>
      </c>
      <c r="N84">
        <v>1.3</v>
      </c>
      <c r="O84">
        <v>1.3</v>
      </c>
      <c r="P84">
        <v>1.3</v>
      </c>
      <c r="Q84">
        <v>1.3</v>
      </c>
      <c r="R84">
        <v>1.3</v>
      </c>
      <c r="S84">
        <v>1.3</v>
      </c>
      <c r="T84">
        <v>1.3</v>
      </c>
      <c r="U84">
        <v>1.3</v>
      </c>
      <c r="V84">
        <v>1.3</v>
      </c>
      <c r="W84">
        <v>1.3</v>
      </c>
      <c r="X84">
        <v>1.3</v>
      </c>
      <c r="Y84">
        <v>1.3</v>
      </c>
      <c r="Z84">
        <v>1.3</v>
      </c>
      <c r="AA84">
        <v>1.3</v>
      </c>
      <c r="AB84">
        <v>1.3</v>
      </c>
      <c r="AC84">
        <v>1.3</v>
      </c>
      <c r="AD84">
        <v>1.3</v>
      </c>
      <c r="AE84">
        <v>1.3</v>
      </c>
      <c r="AF84">
        <v>1.3</v>
      </c>
      <c r="AG84">
        <v>1.3</v>
      </c>
      <c r="AH84">
        <v>1.3</v>
      </c>
      <c r="AI84">
        <v>1.3</v>
      </c>
      <c r="AJ84">
        <v>1.3</v>
      </c>
      <c r="AK84">
        <v>1.3</v>
      </c>
      <c r="AL84">
        <v>1.3</v>
      </c>
    </row>
    <row r="85" spans="2:38" x14ac:dyDescent="0.25">
      <c r="H85" t="s">
        <v>558</v>
      </c>
      <c r="I85" t="s">
        <v>472</v>
      </c>
      <c r="J85" t="s">
        <v>1254</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row>
    <row r="86" spans="2:38" x14ac:dyDescent="0.25">
      <c r="D86" t="s">
        <v>1190</v>
      </c>
      <c r="E86">
        <v>30</v>
      </c>
      <c r="F86">
        <v>0.9</v>
      </c>
      <c r="H86">
        <v>2020</v>
      </c>
      <c r="I86" t="s">
        <v>470</v>
      </c>
      <c r="J86" t="s">
        <v>134</v>
      </c>
      <c r="K86">
        <v>1.3</v>
      </c>
      <c r="L86">
        <v>1.3</v>
      </c>
      <c r="M86">
        <v>1.3</v>
      </c>
      <c r="N86">
        <v>1.3</v>
      </c>
      <c r="O86">
        <v>1.3</v>
      </c>
      <c r="P86">
        <v>1.3</v>
      </c>
      <c r="Q86">
        <v>1.3</v>
      </c>
      <c r="R86">
        <v>1.3</v>
      </c>
      <c r="S86">
        <v>1.3</v>
      </c>
      <c r="T86">
        <v>1.3</v>
      </c>
      <c r="U86">
        <v>1.3</v>
      </c>
      <c r="V86">
        <v>1.3</v>
      </c>
      <c r="W86">
        <v>1.3</v>
      </c>
      <c r="X86">
        <v>1.3</v>
      </c>
      <c r="Y86">
        <v>1.3</v>
      </c>
      <c r="Z86">
        <v>1.3</v>
      </c>
      <c r="AA86">
        <v>1.3</v>
      </c>
      <c r="AB86">
        <v>1.3</v>
      </c>
      <c r="AC86">
        <v>1.3</v>
      </c>
      <c r="AD86">
        <v>1.3</v>
      </c>
      <c r="AE86">
        <v>1.3</v>
      </c>
      <c r="AF86">
        <v>1.3</v>
      </c>
      <c r="AG86">
        <v>1.3</v>
      </c>
      <c r="AH86">
        <v>1.3</v>
      </c>
      <c r="AI86">
        <v>1.3</v>
      </c>
      <c r="AJ86">
        <v>1.3</v>
      </c>
      <c r="AK86">
        <v>1.3</v>
      </c>
      <c r="AL86">
        <v>1.3</v>
      </c>
    </row>
    <row r="87" spans="2:38" x14ac:dyDescent="0.25">
      <c r="H87" t="s">
        <v>558</v>
      </c>
      <c r="I87" t="s">
        <v>472</v>
      </c>
      <c r="J87" t="s">
        <v>1254</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row>
    <row r="88" spans="2:38" x14ac:dyDescent="0.25">
      <c r="D88" t="s">
        <v>1192</v>
      </c>
      <c r="E88">
        <v>30</v>
      </c>
      <c r="F88">
        <v>0.9</v>
      </c>
      <c r="H88">
        <v>2020</v>
      </c>
      <c r="I88" t="s">
        <v>470</v>
      </c>
      <c r="J88" t="s">
        <v>117</v>
      </c>
      <c r="K88">
        <v>1.3</v>
      </c>
      <c r="L88">
        <v>1.3</v>
      </c>
      <c r="M88">
        <v>1.3</v>
      </c>
      <c r="N88">
        <v>1.3</v>
      </c>
      <c r="O88">
        <v>1.3</v>
      </c>
      <c r="P88">
        <v>1.3</v>
      </c>
      <c r="Q88">
        <v>1.3</v>
      </c>
      <c r="R88">
        <v>1.3</v>
      </c>
      <c r="S88">
        <v>1.3</v>
      </c>
      <c r="T88">
        <v>1.3</v>
      </c>
      <c r="U88">
        <v>1.3</v>
      </c>
      <c r="V88">
        <v>1.3</v>
      </c>
      <c r="W88">
        <v>1.3</v>
      </c>
      <c r="X88">
        <v>1.3</v>
      </c>
      <c r="Y88">
        <v>1.3</v>
      </c>
      <c r="Z88">
        <v>1.3</v>
      </c>
      <c r="AA88">
        <v>1.3</v>
      </c>
      <c r="AB88">
        <v>1.3</v>
      </c>
      <c r="AC88">
        <v>1.3</v>
      </c>
      <c r="AD88">
        <v>1.3</v>
      </c>
      <c r="AE88">
        <v>1.3</v>
      </c>
      <c r="AF88">
        <v>1.3</v>
      </c>
      <c r="AG88">
        <v>1.3</v>
      </c>
      <c r="AH88">
        <v>1.3</v>
      </c>
      <c r="AI88">
        <v>1.3</v>
      </c>
      <c r="AJ88">
        <v>1.3</v>
      </c>
      <c r="AK88">
        <v>1.3</v>
      </c>
      <c r="AL88">
        <v>1.3</v>
      </c>
    </row>
    <row r="89" spans="2:38" x14ac:dyDescent="0.25">
      <c r="H89" t="s">
        <v>558</v>
      </c>
      <c r="I89" t="s">
        <v>472</v>
      </c>
      <c r="J89" t="s">
        <v>1254</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row>
    <row r="90" spans="2:38" x14ac:dyDescent="0.25">
      <c r="D90" t="s">
        <v>1194</v>
      </c>
      <c r="E90">
        <v>30</v>
      </c>
      <c r="F90">
        <v>0.9</v>
      </c>
      <c r="H90">
        <v>2020</v>
      </c>
      <c r="I90" t="s">
        <v>470</v>
      </c>
      <c r="J90" t="s">
        <v>141</v>
      </c>
      <c r="K90">
        <v>1.3</v>
      </c>
      <c r="L90">
        <v>1.3</v>
      </c>
      <c r="M90">
        <v>1.3</v>
      </c>
      <c r="N90">
        <v>1.3</v>
      </c>
      <c r="O90">
        <v>1.3</v>
      </c>
      <c r="P90">
        <v>1.3</v>
      </c>
      <c r="Q90">
        <v>1.3</v>
      </c>
      <c r="R90">
        <v>1.3</v>
      </c>
      <c r="S90">
        <v>1.3</v>
      </c>
      <c r="T90">
        <v>1.3</v>
      </c>
      <c r="U90">
        <v>1.3</v>
      </c>
      <c r="V90">
        <v>1.3</v>
      </c>
      <c r="W90">
        <v>1.3</v>
      </c>
      <c r="X90">
        <v>1.3</v>
      </c>
      <c r="Y90">
        <v>1.3</v>
      </c>
      <c r="Z90">
        <v>1.3</v>
      </c>
      <c r="AA90">
        <v>1.3</v>
      </c>
      <c r="AB90">
        <v>1.3</v>
      </c>
      <c r="AC90">
        <v>1.3</v>
      </c>
      <c r="AD90">
        <v>1.3</v>
      </c>
      <c r="AE90">
        <v>1.3</v>
      </c>
      <c r="AF90">
        <v>1.3</v>
      </c>
      <c r="AG90">
        <v>1.3</v>
      </c>
      <c r="AH90">
        <v>1.3</v>
      </c>
      <c r="AI90">
        <v>1.3</v>
      </c>
      <c r="AJ90">
        <v>1.3</v>
      </c>
      <c r="AK90">
        <v>1.3</v>
      </c>
      <c r="AL90">
        <v>1.3</v>
      </c>
    </row>
    <row r="91" spans="2:38" x14ac:dyDescent="0.25">
      <c r="H91" t="s">
        <v>558</v>
      </c>
      <c r="I91" t="s">
        <v>472</v>
      </c>
      <c r="J91" t="s">
        <v>1254</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row>
    <row r="92" spans="2:38" x14ac:dyDescent="0.25">
      <c r="B92">
        <v>0.9</v>
      </c>
      <c r="D92" t="s">
        <v>1196</v>
      </c>
      <c r="E92">
        <v>30</v>
      </c>
      <c r="F92">
        <v>0.9</v>
      </c>
      <c r="H92">
        <v>2025</v>
      </c>
      <c r="I92" t="s">
        <v>470</v>
      </c>
      <c r="J92" t="s">
        <v>120</v>
      </c>
      <c r="K92">
        <f t="shared" ref="K92:AL92" si="66">K80*$B$92</f>
        <v>1.1700000000000002</v>
      </c>
      <c r="L92">
        <f t="shared" si="66"/>
        <v>1.1700000000000002</v>
      </c>
      <c r="M92">
        <f t="shared" si="66"/>
        <v>1.1700000000000002</v>
      </c>
      <c r="N92">
        <f t="shared" si="66"/>
        <v>1.1700000000000002</v>
      </c>
      <c r="O92">
        <f t="shared" si="66"/>
        <v>1.1700000000000002</v>
      </c>
      <c r="P92">
        <f t="shared" si="66"/>
        <v>1.1700000000000002</v>
      </c>
      <c r="Q92">
        <f t="shared" si="66"/>
        <v>1.1700000000000002</v>
      </c>
      <c r="R92">
        <f t="shared" si="66"/>
        <v>1.1700000000000002</v>
      </c>
      <c r="S92">
        <f t="shared" si="66"/>
        <v>1.1700000000000002</v>
      </c>
      <c r="T92">
        <f t="shared" si="66"/>
        <v>1.1700000000000002</v>
      </c>
      <c r="U92">
        <f t="shared" si="66"/>
        <v>1.1700000000000002</v>
      </c>
      <c r="V92">
        <f t="shared" si="66"/>
        <v>1.1700000000000002</v>
      </c>
      <c r="W92">
        <f t="shared" si="66"/>
        <v>1.1700000000000002</v>
      </c>
      <c r="X92">
        <f t="shared" si="66"/>
        <v>1.1700000000000002</v>
      </c>
      <c r="Y92">
        <f t="shared" si="66"/>
        <v>1.1700000000000002</v>
      </c>
      <c r="Z92">
        <f t="shared" si="66"/>
        <v>1.1700000000000002</v>
      </c>
      <c r="AA92">
        <f t="shared" si="66"/>
        <v>1.1700000000000002</v>
      </c>
      <c r="AB92">
        <f t="shared" si="66"/>
        <v>1.1700000000000002</v>
      </c>
      <c r="AC92">
        <f t="shared" si="66"/>
        <v>1.1700000000000002</v>
      </c>
      <c r="AD92">
        <f t="shared" si="66"/>
        <v>1.1700000000000002</v>
      </c>
      <c r="AE92">
        <f t="shared" si="66"/>
        <v>1.1700000000000002</v>
      </c>
      <c r="AF92">
        <f t="shared" si="66"/>
        <v>1.1700000000000002</v>
      </c>
      <c r="AG92">
        <f t="shared" si="66"/>
        <v>1.1700000000000002</v>
      </c>
      <c r="AH92">
        <f t="shared" si="66"/>
        <v>1.1700000000000002</v>
      </c>
      <c r="AI92">
        <f t="shared" si="66"/>
        <v>1.1700000000000002</v>
      </c>
      <c r="AJ92">
        <f t="shared" si="66"/>
        <v>1.1700000000000002</v>
      </c>
      <c r="AK92">
        <f t="shared" si="66"/>
        <v>1.1700000000000002</v>
      </c>
      <c r="AL92">
        <f t="shared" si="66"/>
        <v>1.1700000000000002</v>
      </c>
    </row>
    <row r="93" spans="2:38" x14ac:dyDescent="0.25">
      <c r="H93" t="s">
        <v>558</v>
      </c>
      <c r="I93" t="s">
        <v>472</v>
      </c>
      <c r="J93" t="s">
        <v>1254</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row>
    <row r="94" spans="2:38" x14ac:dyDescent="0.25">
      <c r="D94" t="s">
        <v>1198</v>
      </c>
      <c r="E94">
        <v>30</v>
      </c>
      <c r="F94">
        <v>0.9</v>
      </c>
      <c r="H94">
        <v>2025</v>
      </c>
      <c r="I94" t="s">
        <v>470</v>
      </c>
      <c r="J94" t="s">
        <v>126</v>
      </c>
      <c r="K94">
        <f t="shared" ref="K94:AL94" si="67">K82*$B$92</f>
        <v>0.9</v>
      </c>
      <c r="L94">
        <f t="shared" si="67"/>
        <v>0.9</v>
      </c>
      <c r="M94">
        <f t="shared" si="67"/>
        <v>0.9</v>
      </c>
      <c r="N94">
        <f t="shared" si="67"/>
        <v>0.9</v>
      </c>
      <c r="O94">
        <f t="shared" si="67"/>
        <v>0.9</v>
      </c>
      <c r="P94">
        <f t="shared" si="67"/>
        <v>0.9</v>
      </c>
      <c r="Q94">
        <f t="shared" si="67"/>
        <v>0.9</v>
      </c>
      <c r="R94">
        <f t="shared" si="67"/>
        <v>0.9</v>
      </c>
      <c r="S94">
        <f t="shared" si="67"/>
        <v>0.9</v>
      </c>
      <c r="T94">
        <f t="shared" si="67"/>
        <v>0.9</v>
      </c>
      <c r="U94">
        <f t="shared" si="67"/>
        <v>0.9</v>
      </c>
      <c r="V94">
        <f t="shared" si="67"/>
        <v>0.9</v>
      </c>
      <c r="W94">
        <f t="shared" si="67"/>
        <v>0.9</v>
      </c>
      <c r="X94">
        <f t="shared" si="67"/>
        <v>0.9</v>
      </c>
      <c r="Y94">
        <f t="shared" si="67"/>
        <v>0.9</v>
      </c>
      <c r="Z94">
        <f t="shared" si="67"/>
        <v>0.9</v>
      </c>
      <c r="AA94">
        <f t="shared" si="67"/>
        <v>0.9</v>
      </c>
      <c r="AB94">
        <f t="shared" si="67"/>
        <v>0.9</v>
      </c>
      <c r="AC94">
        <f t="shared" si="67"/>
        <v>0.9</v>
      </c>
      <c r="AD94">
        <f t="shared" si="67"/>
        <v>0.9</v>
      </c>
      <c r="AE94">
        <f t="shared" si="67"/>
        <v>0.9</v>
      </c>
      <c r="AF94">
        <f t="shared" si="67"/>
        <v>0.9</v>
      </c>
      <c r="AG94">
        <f t="shared" si="67"/>
        <v>0.9</v>
      </c>
      <c r="AH94">
        <f t="shared" si="67"/>
        <v>0.9</v>
      </c>
      <c r="AI94">
        <f t="shared" si="67"/>
        <v>0.9</v>
      </c>
      <c r="AJ94">
        <f t="shared" si="67"/>
        <v>0.9</v>
      </c>
      <c r="AK94">
        <f t="shared" si="67"/>
        <v>0.9</v>
      </c>
      <c r="AL94">
        <f t="shared" si="67"/>
        <v>0.9</v>
      </c>
    </row>
    <row r="95" spans="2:38" x14ac:dyDescent="0.25">
      <c r="H95" t="s">
        <v>558</v>
      </c>
      <c r="I95" t="s">
        <v>472</v>
      </c>
      <c r="J95" t="s">
        <v>1254</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row>
    <row r="96" spans="2:38" x14ac:dyDescent="0.25">
      <c r="D96" t="s">
        <v>1200</v>
      </c>
      <c r="E96">
        <v>30</v>
      </c>
      <c r="F96">
        <v>0.9</v>
      </c>
      <c r="H96">
        <v>2025</v>
      </c>
      <c r="I96" t="s">
        <v>470</v>
      </c>
      <c r="J96" t="s">
        <v>128</v>
      </c>
      <c r="K96">
        <f t="shared" ref="K96:AL96" si="68">K84*$B$92</f>
        <v>1.1700000000000002</v>
      </c>
      <c r="L96">
        <f t="shared" si="68"/>
        <v>1.1700000000000002</v>
      </c>
      <c r="M96">
        <f t="shared" si="68"/>
        <v>1.1700000000000002</v>
      </c>
      <c r="N96">
        <f t="shared" si="68"/>
        <v>1.1700000000000002</v>
      </c>
      <c r="O96">
        <f t="shared" si="68"/>
        <v>1.1700000000000002</v>
      </c>
      <c r="P96">
        <f t="shared" si="68"/>
        <v>1.1700000000000002</v>
      </c>
      <c r="Q96">
        <f t="shared" si="68"/>
        <v>1.1700000000000002</v>
      </c>
      <c r="R96">
        <f t="shared" si="68"/>
        <v>1.1700000000000002</v>
      </c>
      <c r="S96">
        <f t="shared" si="68"/>
        <v>1.1700000000000002</v>
      </c>
      <c r="T96">
        <f t="shared" si="68"/>
        <v>1.1700000000000002</v>
      </c>
      <c r="U96">
        <f t="shared" si="68"/>
        <v>1.1700000000000002</v>
      </c>
      <c r="V96">
        <f t="shared" si="68"/>
        <v>1.1700000000000002</v>
      </c>
      <c r="W96">
        <f t="shared" si="68"/>
        <v>1.1700000000000002</v>
      </c>
      <c r="X96">
        <f t="shared" si="68"/>
        <v>1.1700000000000002</v>
      </c>
      <c r="Y96">
        <f t="shared" si="68"/>
        <v>1.1700000000000002</v>
      </c>
      <c r="Z96">
        <f t="shared" si="68"/>
        <v>1.1700000000000002</v>
      </c>
      <c r="AA96">
        <f t="shared" si="68"/>
        <v>1.1700000000000002</v>
      </c>
      <c r="AB96">
        <f t="shared" si="68"/>
        <v>1.1700000000000002</v>
      </c>
      <c r="AC96">
        <f t="shared" si="68"/>
        <v>1.1700000000000002</v>
      </c>
      <c r="AD96">
        <f t="shared" si="68"/>
        <v>1.1700000000000002</v>
      </c>
      <c r="AE96">
        <f t="shared" si="68"/>
        <v>1.1700000000000002</v>
      </c>
      <c r="AF96">
        <f t="shared" si="68"/>
        <v>1.1700000000000002</v>
      </c>
      <c r="AG96">
        <f t="shared" si="68"/>
        <v>1.1700000000000002</v>
      </c>
      <c r="AH96">
        <f t="shared" si="68"/>
        <v>1.1700000000000002</v>
      </c>
      <c r="AI96">
        <f t="shared" si="68"/>
        <v>1.1700000000000002</v>
      </c>
      <c r="AJ96">
        <f t="shared" si="68"/>
        <v>1.1700000000000002</v>
      </c>
      <c r="AK96">
        <f t="shared" si="68"/>
        <v>1.1700000000000002</v>
      </c>
      <c r="AL96">
        <f t="shared" si="68"/>
        <v>1.1700000000000002</v>
      </c>
    </row>
    <row r="97" spans="2:38" x14ac:dyDescent="0.25">
      <c r="H97" t="s">
        <v>558</v>
      </c>
      <c r="I97" t="s">
        <v>472</v>
      </c>
      <c r="J97" t="s">
        <v>1254</v>
      </c>
      <c r="K97">
        <v>1</v>
      </c>
      <c r="L97">
        <v>1</v>
      </c>
      <c r="M97">
        <v>1</v>
      </c>
      <c r="N97">
        <v>1</v>
      </c>
      <c r="O97">
        <v>1</v>
      </c>
      <c r="P97">
        <v>1</v>
      </c>
      <c r="Q97">
        <v>1</v>
      </c>
      <c r="R97">
        <v>1</v>
      </c>
      <c r="S97">
        <v>1</v>
      </c>
      <c r="T97">
        <v>1</v>
      </c>
      <c r="U97">
        <v>1</v>
      </c>
      <c r="V97">
        <v>1</v>
      </c>
      <c r="W97">
        <v>1</v>
      </c>
      <c r="X97">
        <v>1</v>
      </c>
      <c r="Y97">
        <v>1</v>
      </c>
      <c r="Z97">
        <v>1</v>
      </c>
      <c r="AA97">
        <v>1</v>
      </c>
      <c r="AB97">
        <v>1</v>
      </c>
      <c r="AC97">
        <v>1</v>
      </c>
      <c r="AD97">
        <v>1</v>
      </c>
      <c r="AE97">
        <v>1</v>
      </c>
      <c r="AF97">
        <v>1</v>
      </c>
      <c r="AG97">
        <v>1</v>
      </c>
      <c r="AH97">
        <v>1</v>
      </c>
      <c r="AI97">
        <v>1</v>
      </c>
      <c r="AJ97">
        <v>1</v>
      </c>
      <c r="AK97">
        <v>1</v>
      </c>
      <c r="AL97">
        <v>1</v>
      </c>
    </row>
    <row r="98" spans="2:38" x14ac:dyDescent="0.25">
      <c r="D98" t="s">
        <v>1202</v>
      </c>
      <c r="E98">
        <v>30</v>
      </c>
      <c r="F98">
        <v>0.9</v>
      </c>
      <c r="H98">
        <v>2025</v>
      </c>
      <c r="I98" t="s">
        <v>470</v>
      </c>
      <c r="J98" t="s">
        <v>134</v>
      </c>
      <c r="K98">
        <f t="shared" ref="K98:AL98" si="69">K86*$B$92</f>
        <v>1.1700000000000002</v>
      </c>
      <c r="L98">
        <f t="shared" si="69"/>
        <v>1.1700000000000002</v>
      </c>
      <c r="M98">
        <f t="shared" si="69"/>
        <v>1.1700000000000002</v>
      </c>
      <c r="N98">
        <f t="shared" si="69"/>
        <v>1.1700000000000002</v>
      </c>
      <c r="O98">
        <f t="shared" si="69"/>
        <v>1.1700000000000002</v>
      </c>
      <c r="P98">
        <f t="shared" si="69"/>
        <v>1.1700000000000002</v>
      </c>
      <c r="Q98">
        <f t="shared" si="69"/>
        <v>1.1700000000000002</v>
      </c>
      <c r="R98">
        <f t="shared" si="69"/>
        <v>1.1700000000000002</v>
      </c>
      <c r="S98">
        <f t="shared" si="69"/>
        <v>1.1700000000000002</v>
      </c>
      <c r="T98">
        <f t="shared" si="69"/>
        <v>1.1700000000000002</v>
      </c>
      <c r="U98">
        <f t="shared" si="69"/>
        <v>1.1700000000000002</v>
      </c>
      <c r="V98">
        <f t="shared" si="69"/>
        <v>1.1700000000000002</v>
      </c>
      <c r="W98">
        <f t="shared" si="69"/>
        <v>1.1700000000000002</v>
      </c>
      <c r="X98">
        <f t="shared" si="69"/>
        <v>1.1700000000000002</v>
      </c>
      <c r="Y98">
        <f t="shared" si="69"/>
        <v>1.1700000000000002</v>
      </c>
      <c r="Z98">
        <f t="shared" si="69"/>
        <v>1.1700000000000002</v>
      </c>
      <c r="AA98">
        <f t="shared" si="69"/>
        <v>1.1700000000000002</v>
      </c>
      <c r="AB98">
        <f t="shared" si="69"/>
        <v>1.1700000000000002</v>
      </c>
      <c r="AC98">
        <f t="shared" si="69"/>
        <v>1.1700000000000002</v>
      </c>
      <c r="AD98">
        <f t="shared" si="69"/>
        <v>1.1700000000000002</v>
      </c>
      <c r="AE98">
        <f t="shared" si="69"/>
        <v>1.1700000000000002</v>
      </c>
      <c r="AF98">
        <f t="shared" si="69"/>
        <v>1.1700000000000002</v>
      </c>
      <c r="AG98">
        <f t="shared" si="69"/>
        <v>1.1700000000000002</v>
      </c>
      <c r="AH98">
        <f t="shared" si="69"/>
        <v>1.1700000000000002</v>
      </c>
      <c r="AI98">
        <f t="shared" si="69"/>
        <v>1.1700000000000002</v>
      </c>
      <c r="AJ98">
        <f t="shared" si="69"/>
        <v>1.1700000000000002</v>
      </c>
      <c r="AK98">
        <f t="shared" si="69"/>
        <v>1.1700000000000002</v>
      </c>
      <c r="AL98">
        <f t="shared" si="69"/>
        <v>1.1700000000000002</v>
      </c>
    </row>
    <row r="99" spans="2:38" x14ac:dyDescent="0.25">
      <c r="H99" t="s">
        <v>558</v>
      </c>
      <c r="I99" t="s">
        <v>472</v>
      </c>
      <c r="J99" t="s">
        <v>1254</v>
      </c>
      <c r="K99">
        <v>1</v>
      </c>
      <c r="L99">
        <v>1</v>
      </c>
      <c r="M99">
        <v>1</v>
      </c>
      <c r="N99">
        <v>1</v>
      </c>
      <c r="O99">
        <v>1</v>
      </c>
      <c r="P99">
        <v>1</v>
      </c>
      <c r="Q99">
        <v>1</v>
      </c>
      <c r="R99">
        <v>1</v>
      </c>
      <c r="S99">
        <v>1</v>
      </c>
      <c r="T99">
        <v>1</v>
      </c>
      <c r="U99">
        <v>1</v>
      </c>
      <c r="V99">
        <v>1</v>
      </c>
      <c r="W99">
        <v>1</v>
      </c>
      <c r="X99">
        <v>1</v>
      </c>
      <c r="Y99">
        <v>1</v>
      </c>
      <c r="Z99">
        <v>1</v>
      </c>
      <c r="AA99">
        <v>1</v>
      </c>
      <c r="AB99">
        <v>1</v>
      </c>
      <c r="AC99">
        <v>1</v>
      </c>
      <c r="AD99">
        <v>1</v>
      </c>
      <c r="AE99">
        <v>1</v>
      </c>
      <c r="AF99">
        <v>1</v>
      </c>
      <c r="AG99">
        <v>1</v>
      </c>
      <c r="AH99">
        <v>1</v>
      </c>
      <c r="AI99">
        <v>1</v>
      </c>
      <c r="AJ99">
        <v>1</v>
      </c>
      <c r="AK99">
        <v>1</v>
      </c>
      <c r="AL99">
        <v>1</v>
      </c>
    </row>
    <row r="100" spans="2:38" x14ac:dyDescent="0.25">
      <c r="D100" t="s">
        <v>1204</v>
      </c>
      <c r="E100">
        <v>30</v>
      </c>
      <c r="F100">
        <v>0.9</v>
      </c>
      <c r="H100">
        <v>2025</v>
      </c>
      <c r="I100" t="s">
        <v>470</v>
      </c>
      <c r="J100" t="s">
        <v>117</v>
      </c>
      <c r="K100">
        <f>K88*$B$92</f>
        <v>1.1700000000000002</v>
      </c>
      <c r="L100">
        <f t="shared" ref="L100:AL100" si="70">L88*$B$92</f>
        <v>1.1700000000000002</v>
      </c>
      <c r="M100">
        <f t="shared" si="70"/>
        <v>1.1700000000000002</v>
      </c>
      <c r="N100">
        <f t="shared" si="70"/>
        <v>1.1700000000000002</v>
      </c>
      <c r="O100">
        <f t="shared" si="70"/>
        <v>1.1700000000000002</v>
      </c>
      <c r="P100">
        <f t="shared" si="70"/>
        <v>1.1700000000000002</v>
      </c>
      <c r="Q100">
        <f t="shared" si="70"/>
        <v>1.1700000000000002</v>
      </c>
      <c r="R100">
        <f t="shared" si="70"/>
        <v>1.1700000000000002</v>
      </c>
      <c r="S100">
        <f t="shared" si="70"/>
        <v>1.1700000000000002</v>
      </c>
      <c r="T100">
        <f t="shared" si="70"/>
        <v>1.1700000000000002</v>
      </c>
      <c r="U100">
        <f t="shared" si="70"/>
        <v>1.1700000000000002</v>
      </c>
      <c r="V100">
        <f t="shared" si="70"/>
        <v>1.1700000000000002</v>
      </c>
      <c r="W100">
        <f t="shared" si="70"/>
        <v>1.1700000000000002</v>
      </c>
      <c r="X100">
        <f t="shared" si="70"/>
        <v>1.1700000000000002</v>
      </c>
      <c r="Y100">
        <f t="shared" si="70"/>
        <v>1.1700000000000002</v>
      </c>
      <c r="Z100">
        <f t="shared" si="70"/>
        <v>1.1700000000000002</v>
      </c>
      <c r="AA100">
        <f t="shared" si="70"/>
        <v>1.1700000000000002</v>
      </c>
      <c r="AB100">
        <f t="shared" si="70"/>
        <v>1.1700000000000002</v>
      </c>
      <c r="AC100">
        <f t="shared" si="70"/>
        <v>1.1700000000000002</v>
      </c>
      <c r="AD100">
        <f t="shared" si="70"/>
        <v>1.1700000000000002</v>
      </c>
      <c r="AE100">
        <f t="shared" si="70"/>
        <v>1.1700000000000002</v>
      </c>
      <c r="AF100">
        <f t="shared" si="70"/>
        <v>1.1700000000000002</v>
      </c>
      <c r="AG100">
        <f t="shared" si="70"/>
        <v>1.1700000000000002</v>
      </c>
      <c r="AH100">
        <f t="shared" si="70"/>
        <v>1.1700000000000002</v>
      </c>
      <c r="AI100">
        <f t="shared" si="70"/>
        <v>1.1700000000000002</v>
      </c>
      <c r="AJ100">
        <f t="shared" si="70"/>
        <v>1.1700000000000002</v>
      </c>
      <c r="AK100">
        <f t="shared" si="70"/>
        <v>1.1700000000000002</v>
      </c>
      <c r="AL100">
        <f t="shared" si="70"/>
        <v>1.1700000000000002</v>
      </c>
    </row>
    <row r="101" spans="2:38" x14ac:dyDescent="0.25">
      <c r="H101" t="s">
        <v>558</v>
      </c>
      <c r="I101" t="s">
        <v>472</v>
      </c>
      <c r="J101" t="s">
        <v>1254</v>
      </c>
      <c r="K101">
        <v>1</v>
      </c>
      <c r="L101">
        <v>1</v>
      </c>
      <c r="M101">
        <v>1</v>
      </c>
      <c r="N101">
        <v>1</v>
      </c>
      <c r="O101">
        <v>1</v>
      </c>
      <c r="P101">
        <v>1</v>
      </c>
      <c r="Q101">
        <v>1</v>
      </c>
      <c r="R101">
        <v>1</v>
      </c>
      <c r="S101">
        <v>1</v>
      </c>
      <c r="T101">
        <v>1</v>
      </c>
      <c r="U101">
        <v>1</v>
      </c>
      <c r="V101">
        <v>1</v>
      </c>
      <c r="W101">
        <v>1</v>
      </c>
      <c r="X101">
        <v>1</v>
      </c>
      <c r="Y101">
        <v>1</v>
      </c>
      <c r="Z101">
        <v>1</v>
      </c>
      <c r="AA101">
        <v>1</v>
      </c>
      <c r="AB101">
        <v>1</v>
      </c>
      <c r="AC101">
        <v>1</v>
      </c>
      <c r="AD101">
        <v>1</v>
      </c>
      <c r="AE101">
        <v>1</v>
      </c>
      <c r="AF101">
        <v>1</v>
      </c>
      <c r="AG101">
        <v>1</v>
      </c>
      <c r="AH101">
        <v>1</v>
      </c>
      <c r="AI101">
        <v>1</v>
      </c>
      <c r="AJ101">
        <v>1</v>
      </c>
      <c r="AK101">
        <v>1</v>
      </c>
      <c r="AL101">
        <v>1</v>
      </c>
    </row>
    <row r="102" spans="2:38" x14ac:dyDescent="0.25">
      <c r="D102" t="s">
        <v>1206</v>
      </c>
      <c r="E102">
        <v>30</v>
      </c>
      <c r="F102">
        <v>0.9</v>
      </c>
      <c r="H102">
        <v>2025</v>
      </c>
      <c r="I102" t="s">
        <v>470</v>
      </c>
      <c r="J102" t="s">
        <v>141</v>
      </c>
      <c r="K102">
        <f>K90*$B$92</f>
        <v>1.1700000000000002</v>
      </c>
      <c r="L102">
        <f t="shared" ref="L102:AL102" si="71">L90*$B$92</f>
        <v>1.1700000000000002</v>
      </c>
      <c r="M102">
        <f t="shared" si="71"/>
        <v>1.1700000000000002</v>
      </c>
      <c r="N102">
        <f t="shared" si="71"/>
        <v>1.1700000000000002</v>
      </c>
      <c r="O102">
        <f t="shared" si="71"/>
        <v>1.1700000000000002</v>
      </c>
      <c r="P102">
        <f t="shared" si="71"/>
        <v>1.1700000000000002</v>
      </c>
      <c r="Q102">
        <f t="shared" si="71"/>
        <v>1.1700000000000002</v>
      </c>
      <c r="R102">
        <f t="shared" si="71"/>
        <v>1.1700000000000002</v>
      </c>
      <c r="S102">
        <f t="shared" si="71"/>
        <v>1.1700000000000002</v>
      </c>
      <c r="T102">
        <f t="shared" si="71"/>
        <v>1.1700000000000002</v>
      </c>
      <c r="U102">
        <f t="shared" si="71"/>
        <v>1.1700000000000002</v>
      </c>
      <c r="V102">
        <f t="shared" si="71"/>
        <v>1.1700000000000002</v>
      </c>
      <c r="W102">
        <f t="shared" si="71"/>
        <v>1.1700000000000002</v>
      </c>
      <c r="X102">
        <f t="shared" si="71"/>
        <v>1.1700000000000002</v>
      </c>
      <c r="Y102">
        <f t="shared" si="71"/>
        <v>1.1700000000000002</v>
      </c>
      <c r="Z102">
        <f t="shared" si="71"/>
        <v>1.1700000000000002</v>
      </c>
      <c r="AA102">
        <f t="shared" si="71"/>
        <v>1.1700000000000002</v>
      </c>
      <c r="AB102">
        <f t="shared" si="71"/>
        <v>1.1700000000000002</v>
      </c>
      <c r="AC102">
        <f t="shared" si="71"/>
        <v>1.1700000000000002</v>
      </c>
      <c r="AD102">
        <f t="shared" si="71"/>
        <v>1.1700000000000002</v>
      </c>
      <c r="AE102">
        <f t="shared" si="71"/>
        <v>1.1700000000000002</v>
      </c>
      <c r="AF102">
        <f t="shared" si="71"/>
        <v>1.1700000000000002</v>
      </c>
      <c r="AG102">
        <f t="shared" si="71"/>
        <v>1.1700000000000002</v>
      </c>
      <c r="AH102">
        <f t="shared" si="71"/>
        <v>1.1700000000000002</v>
      </c>
      <c r="AI102">
        <f t="shared" si="71"/>
        <v>1.1700000000000002</v>
      </c>
      <c r="AJ102">
        <f t="shared" si="71"/>
        <v>1.1700000000000002</v>
      </c>
      <c r="AK102">
        <f t="shared" si="71"/>
        <v>1.1700000000000002</v>
      </c>
      <c r="AL102">
        <f t="shared" si="71"/>
        <v>1.1700000000000002</v>
      </c>
    </row>
    <row r="103" spans="2:38" x14ac:dyDescent="0.25">
      <c r="H103" t="s">
        <v>558</v>
      </c>
      <c r="I103" t="s">
        <v>472</v>
      </c>
      <c r="J103" t="s">
        <v>1254</v>
      </c>
      <c r="K103">
        <v>1</v>
      </c>
      <c r="L103">
        <v>1</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1</v>
      </c>
      <c r="AH103">
        <v>1</v>
      </c>
      <c r="AI103">
        <v>1</v>
      </c>
      <c r="AJ103">
        <v>1</v>
      </c>
      <c r="AK103">
        <v>1</v>
      </c>
      <c r="AL103">
        <v>1</v>
      </c>
    </row>
    <row r="104" spans="2:38" x14ac:dyDescent="0.25">
      <c r="D104" t="s">
        <v>575</v>
      </c>
    </row>
    <row r="105" spans="2:38" x14ac:dyDescent="0.25">
      <c r="B105">
        <v>0.9</v>
      </c>
      <c r="D105" t="s">
        <v>1208</v>
      </c>
      <c r="E105">
        <v>30</v>
      </c>
      <c r="F105">
        <v>0.9</v>
      </c>
      <c r="H105">
        <v>2020</v>
      </c>
      <c r="I105" t="s">
        <v>470</v>
      </c>
      <c r="J105" t="s">
        <v>120</v>
      </c>
      <c r="K105">
        <v>2</v>
      </c>
      <c r="L105">
        <v>2</v>
      </c>
      <c r="M105">
        <v>2</v>
      </c>
      <c r="N105">
        <v>2</v>
      </c>
      <c r="O105">
        <v>2</v>
      </c>
      <c r="P105">
        <v>2</v>
      </c>
      <c r="Q105">
        <v>2</v>
      </c>
      <c r="R105">
        <v>2</v>
      </c>
      <c r="S105">
        <v>2</v>
      </c>
      <c r="T105">
        <v>2</v>
      </c>
      <c r="U105">
        <v>2</v>
      </c>
      <c r="V105">
        <v>2</v>
      </c>
      <c r="W105">
        <v>2</v>
      </c>
      <c r="X105">
        <v>2</v>
      </c>
      <c r="Y105">
        <v>2</v>
      </c>
      <c r="Z105">
        <v>2</v>
      </c>
      <c r="AA105">
        <v>2</v>
      </c>
      <c r="AB105">
        <v>2</v>
      </c>
      <c r="AC105">
        <v>2</v>
      </c>
      <c r="AD105">
        <v>2</v>
      </c>
      <c r="AE105">
        <v>2</v>
      </c>
      <c r="AF105">
        <v>2</v>
      </c>
      <c r="AG105">
        <v>2</v>
      </c>
      <c r="AH105">
        <v>2</v>
      </c>
      <c r="AI105">
        <v>2</v>
      </c>
      <c r="AJ105">
        <v>2</v>
      </c>
      <c r="AK105">
        <v>2</v>
      </c>
      <c r="AL105">
        <v>2</v>
      </c>
    </row>
    <row r="106" spans="2:38" x14ac:dyDescent="0.25">
      <c r="H106" t="s">
        <v>558</v>
      </c>
      <c r="I106" t="s">
        <v>472</v>
      </c>
      <c r="J106" t="s">
        <v>1256</v>
      </c>
      <c r="K106">
        <v>1</v>
      </c>
      <c r="L106">
        <v>1</v>
      </c>
      <c r="M106">
        <v>1</v>
      </c>
      <c r="N106">
        <v>1</v>
      </c>
      <c r="O106">
        <v>1</v>
      </c>
      <c r="P106">
        <v>1</v>
      </c>
      <c r="Q106">
        <v>1</v>
      </c>
      <c r="R106">
        <v>1</v>
      </c>
      <c r="S106">
        <v>1</v>
      </c>
      <c r="T106">
        <v>1</v>
      </c>
      <c r="U106">
        <v>1</v>
      </c>
      <c r="V106">
        <v>1</v>
      </c>
      <c r="W106">
        <v>1</v>
      </c>
      <c r="X106">
        <v>1</v>
      </c>
      <c r="Y106">
        <v>1</v>
      </c>
      <c r="Z106">
        <v>1</v>
      </c>
      <c r="AA106">
        <v>1</v>
      </c>
      <c r="AB106">
        <v>1</v>
      </c>
      <c r="AC106">
        <v>1</v>
      </c>
      <c r="AD106">
        <v>1</v>
      </c>
      <c r="AE106">
        <v>1</v>
      </c>
      <c r="AF106">
        <v>1</v>
      </c>
      <c r="AG106">
        <v>1</v>
      </c>
      <c r="AH106">
        <v>1</v>
      </c>
      <c r="AI106">
        <v>1</v>
      </c>
      <c r="AJ106">
        <v>1</v>
      </c>
      <c r="AK106">
        <v>1</v>
      </c>
      <c r="AL106">
        <v>1</v>
      </c>
    </row>
    <row r="107" spans="2:38" x14ac:dyDescent="0.25">
      <c r="D107" t="s">
        <v>1210</v>
      </c>
      <c r="E107">
        <v>30</v>
      </c>
      <c r="F107">
        <v>0.9</v>
      </c>
      <c r="H107">
        <v>2020</v>
      </c>
      <c r="I107" t="s">
        <v>470</v>
      </c>
      <c r="J107" t="s">
        <v>128</v>
      </c>
      <c r="K107">
        <v>2</v>
      </c>
      <c r="L107">
        <v>2</v>
      </c>
      <c r="M107">
        <v>2</v>
      </c>
      <c r="N107">
        <v>2</v>
      </c>
      <c r="O107">
        <v>2</v>
      </c>
      <c r="P107">
        <v>2</v>
      </c>
      <c r="Q107">
        <v>2</v>
      </c>
      <c r="R107">
        <v>2</v>
      </c>
      <c r="S107">
        <v>2</v>
      </c>
      <c r="T107">
        <v>2</v>
      </c>
      <c r="U107">
        <v>2</v>
      </c>
      <c r="V107">
        <v>2</v>
      </c>
      <c r="W107">
        <v>2</v>
      </c>
      <c r="X107">
        <v>2</v>
      </c>
      <c r="Y107">
        <v>2</v>
      </c>
      <c r="Z107">
        <v>2</v>
      </c>
      <c r="AA107">
        <v>2</v>
      </c>
      <c r="AB107">
        <v>2</v>
      </c>
      <c r="AC107">
        <v>2</v>
      </c>
      <c r="AD107">
        <v>2</v>
      </c>
      <c r="AE107">
        <v>2</v>
      </c>
      <c r="AF107">
        <v>2</v>
      </c>
      <c r="AG107">
        <v>2</v>
      </c>
      <c r="AH107">
        <v>2</v>
      </c>
      <c r="AI107">
        <v>2</v>
      </c>
      <c r="AJ107">
        <v>2</v>
      </c>
      <c r="AK107">
        <v>2</v>
      </c>
      <c r="AL107">
        <v>2</v>
      </c>
    </row>
    <row r="108" spans="2:38" x14ac:dyDescent="0.25">
      <c r="H108" t="s">
        <v>558</v>
      </c>
      <c r="I108" t="s">
        <v>472</v>
      </c>
      <c r="J108" t="s">
        <v>1256</v>
      </c>
      <c r="K108">
        <v>1</v>
      </c>
      <c r="L108">
        <v>1</v>
      </c>
      <c r="M108">
        <v>1</v>
      </c>
      <c r="N108">
        <v>1</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row>
    <row r="109" spans="2:38" x14ac:dyDescent="0.25">
      <c r="D109" t="s">
        <v>1212</v>
      </c>
      <c r="E109">
        <v>30</v>
      </c>
      <c r="F109">
        <v>0.9</v>
      </c>
      <c r="H109">
        <v>2020</v>
      </c>
      <c r="I109" t="s">
        <v>470</v>
      </c>
      <c r="J109" t="s">
        <v>126</v>
      </c>
      <c r="K109">
        <v>1.1000000000000001</v>
      </c>
      <c r="L109">
        <v>1.1000000000000001</v>
      </c>
      <c r="M109">
        <v>1.1000000000000001</v>
      </c>
      <c r="N109">
        <v>1.1000000000000001</v>
      </c>
      <c r="O109">
        <v>1.1000000000000001</v>
      </c>
      <c r="P109">
        <v>1.1000000000000001</v>
      </c>
      <c r="Q109">
        <v>1.1000000000000001</v>
      </c>
      <c r="R109">
        <v>1.1000000000000001</v>
      </c>
      <c r="S109">
        <v>1.1000000000000001</v>
      </c>
      <c r="T109">
        <v>1.1000000000000001</v>
      </c>
      <c r="U109">
        <v>1.1000000000000001</v>
      </c>
      <c r="V109">
        <v>1.1000000000000001</v>
      </c>
      <c r="W109">
        <v>1.1000000000000001</v>
      </c>
      <c r="X109">
        <v>1.1000000000000001</v>
      </c>
      <c r="Y109">
        <v>1.1000000000000001</v>
      </c>
      <c r="Z109">
        <v>1.1000000000000001</v>
      </c>
      <c r="AA109">
        <v>1.1000000000000001</v>
      </c>
      <c r="AB109">
        <v>1.1000000000000001</v>
      </c>
      <c r="AC109">
        <v>1.1000000000000001</v>
      </c>
      <c r="AD109">
        <v>1.1000000000000001</v>
      </c>
      <c r="AE109">
        <v>1.1000000000000001</v>
      </c>
      <c r="AF109">
        <v>1.1000000000000001</v>
      </c>
      <c r="AG109">
        <v>1.1000000000000001</v>
      </c>
      <c r="AH109">
        <v>1.1000000000000001</v>
      </c>
      <c r="AI109">
        <v>1.1000000000000001</v>
      </c>
      <c r="AJ109">
        <v>1.1000000000000001</v>
      </c>
      <c r="AK109">
        <v>1.1000000000000001</v>
      </c>
      <c r="AL109">
        <v>1.1000000000000001</v>
      </c>
    </row>
    <row r="110" spans="2:38" x14ac:dyDescent="0.25">
      <c r="H110" t="s">
        <v>558</v>
      </c>
      <c r="I110" t="s">
        <v>472</v>
      </c>
      <c r="J110" t="s">
        <v>1256</v>
      </c>
      <c r="K110">
        <v>1</v>
      </c>
      <c r="L110">
        <v>1</v>
      </c>
      <c r="M110">
        <v>1</v>
      </c>
      <c r="N110">
        <v>1</v>
      </c>
      <c r="O110">
        <v>1</v>
      </c>
      <c r="P110">
        <v>1</v>
      </c>
      <c r="Q110">
        <v>1</v>
      </c>
      <c r="R110">
        <v>1</v>
      </c>
      <c r="S110">
        <v>1</v>
      </c>
      <c r="T110">
        <v>1</v>
      </c>
      <c r="U110">
        <v>1</v>
      </c>
      <c r="V110">
        <v>1</v>
      </c>
      <c r="W110">
        <v>1</v>
      </c>
      <c r="X110">
        <v>1</v>
      </c>
      <c r="Y110">
        <v>1</v>
      </c>
      <c r="Z110">
        <v>1</v>
      </c>
      <c r="AA110">
        <v>1</v>
      </c>
      <c r="AB110">
        <v>1</v>
      </c>
      <c r="AC110">
        <v>1</v>
      </c>
      <c r="AD110">
        <v>1</v>
      </c>
      <c r="AE110">
        <v>1</v>
      </c>
      <c r="AF110">
        <v>1</v>
      </c>
      <c r="AG110">
        <v>1</v>
      </c>
      <c r="AH110">
        <v>1</v>
      </c>
      <c r="AI110">
        <v>1</v>
      </c>
      <c r="AJ110">
        <v>1</v>
      </c>
      <c r="AK110">
        <v>1</v>
      </c>
      <c r="AL110">
        <v>1</v>
      </c>
    </row>
    <row r="111" spans="2:38" x14ac:dyDescent="0.25">
      <c r="D111" t="s">
        <v>1214</v>
      </c>
      <c r="E111">
        <v>30</v>
      </c>
      <c r="F111">
        <v>0.9</v>
      </c>
      <c r="H111">
        <v>2020</v>
      </c>
      <c r="I111" t="s">
        <v>470</v>
      </c>
      <c r="J111" t="s">
        <v>134</v>
      </c>
      <c r="K111">
        <v>2</v>
      </c>
      <c r="L111">
        <v>2</v>
      </c>
      <c r="M111">
        <v>2</v>
      </c>
      <c r="N111">
        <v>2</v>
      </c>
      <c r="O111">
        <v>2</v>
      </c>
      <c r="P111">
        <v>2</v>
      </c>
      <c r="Q111">
        <v>2</v>
      </c>
      <c r="R111">
        <v>2</v>
      </c>
      <c r="S111">
        <v>2</v>
      </c>
      <c r="T111">
        <v>2</v>
      </c>
      <c r="U111">
        <v>2</v>
      </c>
      <c r="V111">
        <v>2</v>
      </c>
      <c r="W111">
        <v>2</v>
      </c>
      <c r="X111">
        <v>2</v>
      </c>
      <c r="Y111">
        <v>2</v>
      </c>
      <c r="Z111">
        <v>2</v>
      </c>
      <c r="AA111">
        <v>2</v>
      </c>
      <c r="AB111">
        <v>2</v>
      </c>
      <c r="AC111">
        <v>2</v>
      </c>
      <c r="AD111">
        <v>2</v>
      </c>
      <c r="AE111">
        <v>2</v>
      </c>
      <c r="AF111">
        <v>2</v>
      </c>
      <c r="AG111">
        <v>2</v>
      </c>
      <c r="AH111">
        <v>2</v>
      </c>
      <c r="AI111">
        <v>2</v>
      </c>
      <c r="AJ111">
        <v>2</v>
      </c>
      <c r="AK111">
        <v>2</v>
      </c>
      <c r="AL111">
        <v>2</v>
      </c>
    </row>
    <row r="112" spans="2:38" x14ac:dyDescent="0.25">
      <c r="H112" t="s">
        <v>558</v>
      </c>
      <c r="I112" t="s">
        <v>472</v>
      </c>
      <c r="J112" t="s">
        <v>1256</v>
      </c>
      <c r="K112">
        <v>1</v>
      </c>
      <c r="L112">
        <v>1</v>
      </c>
      <c r="M112">
        <v>1</v>
      </c>
      <c r="N112">
        <v>1</v>
      </c>
      <c r="O112">
        <v>1</v>
      </c>
      <c r="P112">
        <v>1</v>
      </c>
      <c r="Q112">
        <v>1</v>
      </c>
      <c r="R112">
        <v>1</v>
      </c>
      <c r="S112">
        <v>1</v>
      </c>
      <c r="T112">
        <v>1</v>
      </c>
      <c r="U112">
        <v>1</v>
      </c>
      <c r="V112">
        <v>1</v>
      </c>
      <c r="W112">
        <v>1</v>
      </c>
      <c r="X112">
        <v>1</v>
      </c>
      <c r="Y112">
        <v>1</v>
      </c>
      <c r="Z112">
        <v>1</v>
      </c>
      <c r="AA112">
        <v>1</v>
      </c>
      <c r="AB112">
        <v>1</v>
      </c>
      <c r="AC112">
        <v>1</v>
      </c>
      <c r="AD112">
        <v>1</v>
      </c>
      <c r="AE112">
        <v>1</v>
      </c>
      <c r="AF112">
        <v>1</v>
      </c>
      <c r="AG112">
        <v>1</v>
      </c>
      <c r="AH112">
        <v>1</v>
      </c>
      <c r="AI112">
        <v>1</v>
      </c>
      <c r="AJ112">
        <v>1</v>
      </c>
      <c r="AK112">
        <v>1</v>
      </c>
      <c r="AL112">
        <v>1</v>
      </c>
    </row>
    <row r="113" spans="4:38" x14ac:dyDescent="0.25">
      <c r="D113" t="s">
        <v>1216</v>
      </c>
      <c r="E113">
        <v>30</v>
      </c>
      <c r="F113">
        <v>0.9</v>
      </c>
      <c r="H113">
        <v>2020</v>
      </c>
      <c r="I113" t="s">
        <v>470</v>
      </c>
      <c r="J113" t="s">
        <v>117</v>
      </c>
      <c r="K113">
        <v>2</v>
      </c>
      <c r="L113">
        <v>2</v>
      </c>
      <c r="M113">
        <v>2</v>
      </c>
      <c r="N113">
        <v>2</v>
      </c>
      <c r="O113">
        <v>2</v>
      </c>
      <c r="P113">
        <v>2</v>
      </c>
      <c r="Q113">
        <v>2</v>
      </c>
      <c r="R113">
        <v>2</v>
      </c>
      <c r="S113">
        <v>2</v>
      </c>
      <c r="T113">
        <v>2</v>
      </c>
      <c r="U113">
        <v>2</v>
      </c>
      <c r="V113">
        <v>2</v>
      </c>
      <c r="W113">
        <v>2</v>
      </c>
      <c r="X113">
        <v>2</v>
      </c>
      <c r="Y113">
        <v>2</v>
      </c>
      <c r="Z113">
        <v>2</v>
      </c>
      <c r="AA113">
        <v>2</v>
      </c>
      <c r="AB113">
        <v>2</v>
      </c>
      <c r="AC113">
        <v>2</v>
      </c>
      <c r="AD113">
        <v>2</v>
      </c>
      <c r="AE113">
        <v>2</v>
      </c>
      <c r="AF113">
        <v>2</v>
      </c>
      <c r="AG113">
        <v>2</v>
      </c>
      <c r="AH113">
        <v>2</v>
      </c>
      <c r="AI113">
        <v>2</v>
      </c>
      <c r="AJ113">
        <v>2</v>
      </c>
      <c r="AK113">
        <v>2</v>
      </c>
      <c r="AL113">
        <v>2</v>
      </c>
    </row>
    <row r="114" spans="4:38" x14ac:dyDescent="0.25">
      <c r="H114" t="s">
        <v>558</v>
      </c>
      <c r="I114" t="s">
        <v>472</v>
      </c>
      <c r="J114" t="s">
        <v>1256</v>
      </c>
      <c r="K114">
        <v>1</v>
      </c>
      <c r="L114">
        <v>1</v>
      </c>
      <c r="M114">
        <v>1</v>
      </c>
      <c r="N114">
        <v>1</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row>
    <row r="115" spans="4:38" x14ac:dyDescent="0.25">
      <c r="D115" t="s">
        <v>1218</v>
      </c>
      <c r="E115">
        <v>30</v>
      </c>
      <c r="F115">
        <v>0.9</v>
      </c>
      <c r="H115">
        <v>2020</v>
      </c>
      <c r="I115" t="s">
        <v>470</v>
      </c>
      <c r="J115" t="s">
        <v>141</v>
      </c>
      <c r="K115">
        <v>2</v>
      </c>
      <c r="L115">
        <v>2</v>
      </c>
      <c r="M115">
        <v>2</v>
      </c>
      <c r="N115">
        <v>2</v>
      </c>
      <c r="O115">
        <v>2</v>
      </c>
      <c r="P115">
        <v>2</v>
      </c>
      <c r="Q115">
        <v>2</v>
      </c>
      <c r="R115">
        <v>2</v>
      </c>
      <c r="S115">
        <v>2</v>
      </c>
      <c r="T115">
        <v>2</v>
      </c>
      <c r="U115">
        <v>2</v>
      </c>
      <c r="V115">
        <v>2</v>
      </c>
      <c r="W115">
        <v>2</v>
      </c>
      <c r="X115">
        <v>2</v>
      </c>
      <c r="Y115">
        <v>2</v>
      </c>
      <c r="Z115">
        <v>2</v>
      </c>
      <c r="AA115">
        <v>2</v>
      </c>
      <c r="AB115">
        <v>2</v>
      </c>
      <c r="AC115">
        <v>2</v>
      </c>
      <c r="AD115">
        <v>2</v>
      </c>
      <c r="AE115">
        <v>2</v>
      </c>
      <c r="AF115">
        <v>2</v>
      </c>
      <c r="AG115">
        <v>2</v>
      </c>
      <c r="AH115">
        <v>2</v>
      </c>
      <c r="AI115">
        <v>2</v>
      </c>
      <c r="AJ115">
        <v>2</v>
      </c>
      <c r="AK115">
        <v>2</v>
      </c>
      <c r="AL115">
        <v>2</v>
      </c>
    </row>
    <row r="116" spans="4:38" x14ac:dyDescent="0.25">
      <c r="H116" t="s">
        <v>558</v>
      </c>
      <c r="I116" t="s">
        <v>472</v>
      </c>
      <c r="J116" t="s">
        <v>1256</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c r="AF116">
        <v>1</v>
      </c>
      <c r="AG116">
        <v>1</v>
      </c>
      <c r="AH116">
        <v>1</v>
      </c>
      <c r="AI116">
        <v>1</v>
      </c>
      <c r="AJ116">
        <v>1</v>
      </c>
      <c r="AK116">
        <v>1</v>
      </c>
      <c r="AL116">
        <v>1</v>
      </c>
    </row>
    <row r="117" spans="4:38" x14ac:dyDescent="0.25">
      <c r="D117" t="s">
        <v>1220</v>
      </c>
      <c r="E117">
        <v>30</v>
      </c>
      <c r="F117">
        <v>0.9</v>
      </c>
      <c r="H117">
        <v>2025</v>
      </c>
      <c r="I117" t="s">
        <v>470</v>
      </c>
      <c r="J117" t="s">
        <v>120</v>
      </c>
      <c r="K117">
        <f t="shared" ref="K117:AL117" si="72">K105*$B$105</f>
        <v>1.8</v>
      </c>
      <c r="L117">
        <f t="shared" si="72"/>
        <v>1.8</v>
      </c>
      <c r="M117">
        <f t="shared" si="72"/>
        <v>1.8</v>
      </c>
      <c r="N117">
        <f t="shared" si="72"/>
        <v>1.8</v>
      </c>
      <c r="O117">
        <f t="shared" si="72"/>
        <v>1.8</v>
      </c>
      <c r="P117">
        <f t="shared" si="72"/>
        <v>1.8</v>
      </c>
      <c r="Q117">
        <f t="shared" si="72"/>
        <v>1.8</v>
      </c>
      <c r="R117">
        <f t="shared" si="72"/>
        <v>1.8</v>
      </c>
      <c r="S117">
        <f t="shared" si="72"/>
        <v>1.8</v>
      </c>
      <c r="T117">
        <f t="shared" si="72"/>
        <v>1.8</v>
      </c>
      <c r="U117">
        <f t="shared" si="72"/>
        <v>1.8</v>
      </c>
      <c r="V117">
        <f t="shared" si="72"/>
        <v>1.8</v>
      </c>
      <c r="W117">
        <f t="shared" si="72"/>
        <v>1.8</v>
      </c>
      <c r="X117">
        <f t="shared" si="72"/>
        <v>1.8</v>
      </c>
      <c r="Y117">
        <f t="shared" si="72"/>
        <v>1.8</v>
      </c>
      <c r="Z117">
        <f t="shared" si="72"/>
        <v>1.8</v>
      </c>
      <c r="AA117">
        <f t="shared" si="72"/>
        <v>1.8</v>
      </c>
      <c r="AB117">
        <f t="shared" si="72"/>
        <v>1.8</v>
      </c>
      <c r="AC117">
        <f t="shared" si="72"/>
        <v>1.8</v>
      </c>
      <c r="AD117">
        <f t="shared" si="72"/>
        <v>1.8</v>
      </c>
      <c r="AE117">
        <f t="shared" si="72"/>
        <v>1.8</v>
      </c>
      <c r="AF117">
        <f t="shared" si="72"/>
        <v>1.8</v>
      </c>
      <c r="AG117">
        <f t="shared" si="72"/>
        <v>1.8</v>
      </c>
      <c r="AH117">
        <f t="shared" si="72"/>
        <v>1.8</v>
      </c>
      <c r="AI117">
        <f t="shared" si="72"/>
        <v>1.8</v>
      </c>
      <c r="AJ117">
        <f t="shared" si="72"/>
        <v>1.8</v>
      </c>
      <c r="AK117">
        <f t="shared" si="72"/>
        <v>1.8</v>
      </c>
      <c r="AL117">
        <f t="shared" si="72"/>
        <v>1.8</v>
      </c>
    </row>
    <row r="118" spans="4:38" x14ac:dyDescent="0.25">
      <c r="H118" t="s">
        <v>558</v>
      </c>
      <c r="I118" t="s">
        <v>472</v>
      </c>
      <c r="J118" t="s">
        <v>1256</v>
      </c>
      <c r="K118">
        <v>1</v>
      </c>
      <c r="L118">
        <v>1</v>
      </c>
      <c r="M118">
        <v>1</v>
      </c>
      <c r="N118">
        <v>1</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row>
    <row r="119" spans="4:38" x14ac:dyDescent="0.25">
      <c r="D119" t="s">
        <v>1222</v>
      </c>
      <c r="E119">
        <v>30</v>
      </c>
      <c r="F119">
        <v>0.9</v>
      </c>
      <c r="H119">
        <v>2025</v>
      </c>
      <c r="I119" t="s">
        <v>470</v>
      </c>
      <c r="J119" t="s">
        <v>128</v>
      </c>
      <c r="K119">
        <f>K107*$B$105</f>
        <v>1.8</v>
      </c>
      <c r="L119">
        <f>L107*$B$105</f>
        <v>1.8</v>
      </c>
      <c r="M119">
        <f t="shared" ref="M119:AL119" si="73">M107*$B$105</f>
        <v>1.8</v>
      </c>
      <c r="N119">
        <f t="shared" si="73"/>
        <v>1.8</v>
      </c>
      <c r="O119">
        <f t="shared" si="73"/>
        <v>1.8</v>
      </c>
      <c r="P119">
        <f t="shared" si="73"/>
        <v>1.8</v>
      </c>
      <c r="Q119">
        <f t="shared" si="73"/>
        <v>1.8</v>
      </c>
      <c r="R119">
        <f t="shared" si="73"/>
        <v>1.8</v>
      </c>
      <c r="S119">
        <f t="shared" si="73"/>
        <v>1.8</v>
      </c>
      <c r="T119">
        <f t="shared" si="73"/>
        <v>1.8</v>
      </c>
      <c r="U119">
        <f t="shared" si="73"/>
        <v>1.8</v>
      </c>
      <c r="V119">
        <f t="shared" si="73"/>
        <v>1.8</v>
      </c>
      <c r="W119">
        <f t="shared" si="73"/>
        <v>1.8</v>
      </c>
      <c r="X119">
        <f t="shared" si="73"/>
        <v>1.8</v>
      </c>
      <c r="Y119">
        <f t="shared" si="73"/>
        <v>1.8</v>
      </c>
      <c r="Z119">
        <f t="shared" si="73"/>
        <v>1.8</v>
      </c>
      <c r="AA119">
        <f t="shared" si="73"/>
        <v>1.8</v>
      </c>
      <c r="AB119">
        <f t="shared" si="73"/>
        <v>1.8</v>
      </c>
      <c r="AC119">
        <f t="shared" si="73"/>
        <v>1.8</v>
      </c>
      <c r="AD119">
        <f t="shared" si="73"/>
        <v>1.8</v>
      </c>
      <c r="AE119">
        <f t="shared" si="73"/>
        <v>1.8</v>
      </c>
      <c r="AF119">
        <f t="shared" si="73"/>
        <v>1.8</v>
      </c>
      <c r="AG119">
        <f t="shared" si="73"/>
        <v>1.8</v>
      </c>
      <c r="AH119">
        <f t="shared" si="73"/>
        <v>1.8</v>
      </c>
      <c r="AI119">
        <f t="shared" si="73"/>
        <v>1.8</v>
      </c>
      <c r="AJ119">
        <f t="shared" si="73"/>
        <v>1.8</v>
      </c>
      <c r="AK119">
        <f t="shared" si="73"/>
        <v>1.8</v>
      </c>
      <c r="AL119">
        <f t="shared" si="73"/>
        <v>1.8</v>
      </c>
    </row>
    <row r="120" spans="4:38" x14ac:dyDescent="0.25">
      <c r="H120" t="s">
        <v>558</v>
      </c>
      <c r="I120" t="s">
        <v>472</v>
      </c>
      <c r="J120" t="s">
        <v>1256</v>
      </c>
      <c r="K120">
        <v>1</v>
      </c>
      <c r="L120">
        <v>1</v>
      </c>
      <c r="M120">
        <v>1</v>
      </c>
      <c r="N120">
        <v>1</v>
      </c>
      <c r="O120">
        <v>1</v>
      </c>
      <c r="P120">
        <v>1</v>
      </c>
      <c r="Q120">
        <v>1</v>
      </c>
      <c r="R120">
        <v>1</v>
      </c>
      <c r="S120">
        <v>1</v>
      </c>
      <c r="T120">
        <v>1</v>
      </c>
      <c r="U120">
        <v>1</v>
      </c>
      <c r="V120">
        <v>1</v>
      </c>
      <c r="W120">
        <v>1</v>
      </c>
      <c r="X120">
        <v>1</v>
      </c>
      <c r="Y120">
        <v>1</v>
      </c>
      <c r="Z120">
        <v>1</v>
      </c>
      <c r="AA120">
        <v>1</v>
      </c>
      <c r="AB120">
        <v>1</v>
      </c>
      <c r="AC120">
        <v>1</v>
      </c>
      <c r="AD120">
        <v>1</v>
      </c>
      <c r="AE120">
        <v>1</v>
      </c>
      <c r="AF120">
        <v>1</v>
      </c>
      <c r="AG120">
        <v>1</v>
      </c>
      <c r="AH120">
        <v>1</v>
      </c>
      <c r="AI120">
        <v>1</v>
      </c>
      <c r="AJ120">
        <v>1</v>
      </c>
      <c r="AK120">
        <v>1</v>
      </c>
      <c r="AL120">
        <v>1</v>
      </c>
    </row>
    <row r="121" spans="4:38" x14ac:dyDescent="0.25">
      <c r="D121" t="s">
        <v>1224</v>
      </c>
      <c r="E121">
        <v>30</v>
      </c>
      <c r="F121">
        <v>0.9</v>
      </c>
      <c r="H121">
        <v>2025</v>
      </c>
      <c r="I121" t="s">
        <v>470</v>
      </c>
      <c r="J121" t="s">
        <v>126</v>
      </c>
      <c r="K121">
        <f>K109*$B$105</f>
        <v>0.9900000000000001</v>
      </c>
      <c r="L121">
        <f>L109*$B$105</f>
        <v>0.9900000000000001</v>
      </c>
      <c r="M121">
        <f t="shared" ref="M121:AL121" si="74">M109*$B$105</f>
        <v>0.9900000000000001</v>
      </c>
      <c r="N121">
        <f t="shared" si="74"/>
        <v>0.9900000000000001</v>
      </c>
      <c r="O121">
        <f t="shared" si="74"/>
        <v>0.9900000000000001</v>
      </c>
      <c r="P121">
        <f t="shared" si="74"/>
        <v>0.9900000000000001</v>
      </c>
      <c r="Q121">
        <f t="shared" si="74"/>
        <v>0.9900000000000001</v>
      </c>
      <c r="R121">
        <f t="shared" si="74"/>
        <v>0.9900000000000001</v>
      </c>
      <c r="S121">
        <f t="shared" si="74"/>
        <v>0.9900000000000001</v>
      </c>
      <c r="T121">
        <f t="shared" si="74"/>
        <v>0.9900000000000001</v>
      </c>
      <c r="U121">
        <f t="shared" si="74"/>
        <v>0.9900000000000001</v>
      </c>
      <c r="V121">
        <f t="shared" si="74"/>
        <v>0.9900000000000001</v>
      </c>
      <c r="W121">
        <f t="shared" si="74"/>
        <v>0.9900000000000001</v>
      </c>
      <c r="X121">
        <f t="shared" si="74"/>
        <v>0.9900000000000001</v>
      </c>
      <c r="Y121">
        <f t="shared" si="74"/>
        <v>0.9900000000000001</v>
      </c>
      <c r="Z121">
        <f t="shared" si="74"/>
        <v>0.9900000000000001</v>
      </c>
      <c r="AA121">
        <f t="shared" si="74"/>
        <v>0.9900000000000001</v>
      </c>
      <c r="AB121">
        <f t="shared" si="74"/>
        <v>0.9900000000000001</v>
      </c>
      <c r="AC121">
        <f t="shared" si="74"/>
        <v>0.9900000000000001</v>
      </c>
      <c r="AD121">
        <f t="shared" si="74"/>
        <v>0.9900000000000001</v>
      </c>
      <c r="AE121">
        <f t="shared" si="74"/>
        <v>0.9900000000000001</v>
      </c>
      <c r="AF121">
        <f t="shared" si="74"/>
        <v>0.9900000000000001</v>
      </c>
      <c r="AG121">
        <f t="shared" si="74"/>
        <v>0.9900000000000001</v>
      </c>
      <c r="AH121">
        <f t="shared" si="74"/>
        <v>0.9900000000000001</v>
      </c>
      <c r="AI121">
        <f t="shared" si="74"/>
        <v>0.9900000000000001</v>
      </c>
      <c r="AJ121">
        <f t="shared" si="74"/>
        <v>0.9900000000000001</v>
      </c>
      <c r="AK121">
        <f t="shared" si="74"/>
        <v>0.9900000000000001</v>
      </c>
      <c r="AL121">
        <f t="shared" si="74"/>
        <v>0.9900000000000001</v>
      </c>
    </row>
    <row r="122" spans="4:38" x14ac:dyDescent="0.25">
      <c r="H122" t="s">
        <v>558</v>
      </c>
      <c r="I122" t="s">
        <v>472</v>
      </c>
      <c r="J122" t="s">
        <v>1256</v>
      </c>
      <c r="K122">
        <v>1</v>
      </c>
      <c r="L122">
        <v>1</v>
      </c>
      <c r="M122">
        <v>1</v>
      </c>
      <c r="N122">
        <v>1</v>
      </c>
      <c r="O122">
        <v>1</v>
      </c>
      <c r="P122">
        <v>1</v>
      </c>
      <c r="Q122">
        <v>1</v>
      </c>
      <c r="R122">
        <v>1</v>
      </c>
      <c r="S122">
        <v>1</v>
      </c>
      <c r="T122">
        <v>1</v>
      </c>
      <c r="U122">
        <v>1</v>
      </c>
      <c r="V122">
        <v>1</v>
      </c>
      <c r="W122">
        <v>1</v>
      </c>
      <c r="X122">
        <v>1</v>
      </c>
      <c r="Y122">
        <v>1</v>
      </c>
      <c r="Z122">
        <v>1</v>
      </c>
      <c r="AA122">
        <v>1</v>
      </c>
      <c r="AB122">
        <v>1</v>
      </c>
      <c r="AC122">
        <v>1</v>
      </c>
      <c r="AD122">
        <v>1</v>
      </c>
      <c r="AE122">
        <v>1</v>
      </c>
      <c r="AF122">
        <v>1</v>
      </c>
      <c r="AG122">
        <v>1</v>
      </c>
      <c r="AH122">
        <v>1</v>
      </c>
      <c r="AI122">
        <v>1</v>
      </c>
      <c r="AJ122">
        <v>1</v>
      </c>
      <c r="AK122">
        <v>1</v>
      </c>
      <c r="AL122">
        <v>1</v>
      </c>
    </row>
    <row r="123" spans="4:38" x14ac:dyDescent="0.25">
      <c r="D123" t="s">
        <v>1226</v>
      </c>
      <c r="E123">
        <v>30</v>
      </c>
      <c r="F123">
        <v>0.9</v>
      </c>
      <c r="H123">
        <v>2025</v>
      </c>
      <c r="I123" t="s">
        <v>470</v>
      </c>
      <c r="J123" t="s">
        <v>134</v>
      </c>
      <c r="K123">
        <f>K111*$B$105</f>
        <v>1.8</v>
      </c>
      <c r="L123">
        <f>L111*$B$105</f>
        <v>1.8</v>
      </c>
      <c r="M123">
        <f t="shared" ref="M123:AL123" si="75">M111*$B$105</f>
        <v>1.8</v>
      </c>
      <c r="N123">
        <f t="shared" si="75"/>
        <v>1.8</v>
      </c>
      <c r="O123">
        <f t="shared" si="75"/>
        <v>1.8</v>
      </c>
      <c r="P123">
        <f t="shared" si="75"/>
        <v>1.8</v>
      </c>
      <c r="Q123">
        <f t="shared" si="75"/>
        <v>1.8</v>
      </c>
      <c r="R123">
        <f t="shared" si="75"/>
        <v>1.8</v>
      </c>
      <c r="S123">
        <f t="shared" si="75"/>
        <v>1.8</v>
      </c>
      <c r="T123">
        <f t="shared" si="75"/>
        <v>1.8</v>
      </c>
      <c r="U123">
        <f t="shared" si="75"/>
        <v>1.8</v>
      </c>
      <c r="V123">
        <f t="shared" si="75"/>
        <v>1.8</v>
      </c>
      <c r="W123">
        <f t="shared" si="75"/>
        <v>1.8</v>
      </c>
      <c r="X123">
        <f t="shared" si="75"/>
        <v>1.8</v>
      </c>
      <c r="Y123">
        <f t="shared" si="75"/>
        <v>1.8</v>
      </c>
      <c r="Z123">
        <f t="shared" si="75"/>
        <v>1.8</v>
      </c>
      <c r="AA123">
        <f t="shared" si="75"/>
        <v>1.8</v>
      </c>
      <c r="AB123">
        <f t="shared" si="75"/>
        <v>1.8</v>
      </c>
      <c r="AC123">
        <f t="shared" si="75"/>
        <v>1.8</v>
      </c>
      <c r="AD123">
        <f t="shared" si="75"/>
        <v>1.8</v>
      </c>
      <c r="AE123">
        <f t="shared" si="75"/>
        <v>1.8</v>
      </c>
      <c r="AF123">
        <f t="shared" si="75"/>
        <v>1.8</v>
      </c>
      <c r="AG123">
        <f t="shared" si="75"/>
        <v>1.8</v>
      </c>
      <c r="AH123">
        <f t="shared" si="75"/>
        <v>1.8</v>
      </c>
      <c r="AI123">
        <f t="shared" si="75"/>
        <v>1.8</v>
      </c>
      <c r="AJ123">
        <f t="shared" si="75"/>
        <v>1.8</v>
      </c>
      <c r="AK123">
        <f t="shared" si="75"/>
        <v>1.8</v>
      </c>
      <c r="AL123">
        <f t="shared" si="75"/>
        <v>1.8</v>
      </c>
    </row>
    <row r="124" spans="4:38" x14ac:dyDescent="0.25">
      <c r="H124" t="s">
        <v>558</v>
      </c>
      <c r="I124" t="s">
        <v>472</v>
      </c>
      <c r="J124" t="s">
        <v>1256</v>
      </c>
      <c r="K124">
        <v>1</v>
      </c>
      <c r="L124">
        <v>1</v>
      </c>
      <c r="M124">
        <v>1</v>
      </c>
      <c r="N124">
        <v>1</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v>1</v>
      </c>
      <c r="AL124">
        <v>1</v>
      </c>
    </row>
    <row r="125" spans="4:38" x14ac:dyDescent="0.25">
      <c r="D125" t="s">
        <v>1228</v>
      </c>
      <c r="E125">
        <v>30</v>
      </c>
      <c r="F125">
        <v>0.9</v>
      </c>
      <c r="H125">
        <v>2025</v>
      </c>
      <c r="I125" t="s">
        <v>470</v>
      </c>
      <c r="J125" t="s">
        <v>117</v>
      </c>
      <c r="K125">
        <f>K113*$B$105</f>
        <v>1.8</v>
      </c>
      <c r="L125">
        <f t="shared" ref="L125:AL125" si="76">L113*$B$105</f>
        <v>1.8</v>
      </c>
      <c r="M125">
        <f t="shared" si="76"/>
        <v>1.8</v>
      </c>
      <c r="N125">
        <f t="shared" si="76"/>
        <v>1.8</v>
      </c>
      <c r="O125">
        <f t="shared" si="76"/>
        <v>1.8</v>
      </c>
      <c r="P125">
        <f t="shared" si="76"/>
        <v>1.8</v>
      </c>
      <c r="Q125">
        <f t="shared" si="76"/>
        <v>1.8</v>
      </c>
      <c r="R125">
        <f t="shared" si="76"/>
        <v>1.8</v>
      </c>
      <c r="S125">
        <f t="shared" si="76"/>
        <v>1.8</v>
      </c>
      <c r="T125">
        <f t="shared" si="76"/>
        <v>1.8</v>
      </c>
      <c r="U125">
        <f t="shared" si="76"/>
        <v>1.8</v>
      </c>
      <c r="V125">
        <f t="shared" si="76"/>
        <v>1.8</v>
      </c>
      <c r="W125">
        <f t="shared" si="76"/>
        <v>1.8</v>
      </c>
      <c r="X125">
        <f t="shared" si="76"/>
        <v>1.8</v>
      </c>
      <c r="Y125">
        <f t="shared" si="76"/>
        <v>1.8</v>
      </c>
      <c r="Z125">
        <f t="shared" si="76"/>
        <v>1.8</v>
      </c>
      <c r="AA125">
        <f t="shared" si="76"/>
        <v>1.8</v>
      </c>
      <c r="AB125">
        <f t="shared" si="76"/>
        <v>1.8</v>
      </c>
      <c r="AC125">
        <f t="shared" si="76"/>
        <v>1.8</v>
      </c>
      <c r="AD125">
        <f t="shared" si="76"/>
        <v>1.8</v>
      </c>
      <c r="AE125">
        <f t="shared" si="76"/>
        <v>1.8</v>
      </c>
      <c r="AF125">
        <f t="shared" si="76"/>
        <v>1.8</v>
      </c>
      <c r="AG125">
        <f t="shared" si="76"/>
        <v>1.8</v>
      </c>
      <c r="AH125">
        <f t="shared" si="76"/>
        <v>1.8</v>
      </c>
      <c r="AI125">
        <f t="shared" si="76"/>
        <v>1.8</v>
      </c>
      <c r="AJ125">
        <f t="shared" si="76"/>
        <v>1.8</v>
      </c>
      <c r="AK125">
        <f t="shared" si="76"/>
        <v>1.8</v>
      </c>
      <c r="AL125">
        <f t="shared" si="76"/>
        <v>1.8</v>
      </c>
    </row>
    <row r="126" spans="4:38" x14ac:dyDescent="0.25">
      <c r="H126" t="s">
        <v>558</v>
      </c>
      <c r="I126" t="s">
        <v>472</v>
      </c>
      <c r="J126" t="s">
        <v>1256</v>
      </c>
      <c r="K126">
        <v>1</v>
      </c>
      <c r="L126">
        <v>1</v>
      </c>
      <c r="M126">
        <v>1</v>
      </c>
      <c r="N126">
        <v>1</v>
      </c>
      <c r="O126">
        <v>1</v>
      </c>
      <c r="P126">
        <v>1</v>
      </c>
      <c r="Q126">
        <v>1</v>
      </c>
      <c r="R126">
        <v>1</v>
      </c>
      <c r="S126">
        <v>1</v>
      </c>
      <c r="T126">
        <v>1</v>
      </c>
      <c r="U126">
        <v>1</v>
      </c>
      <c r="V126">
        <v>1</v>
      </c>
      <c r="W126">
        <v>1</v>
      </c>
      <c r="X126">
        <v>1</v>
      </c>
      <c r="Y126">
        <v>1</v>
      </c>
      <c r="Z126">
        <v>1</v>
      </c>
      <c r="AA126">
        <v>1</v>
      </c>
      <c r="AB126">
        <v>1</v>
      </c>
      <c r="AC126">
        <v>1</v>
      </c>
      <c r="AD126">
        <v>1</v>
      </c>
      <c r="AE126">
        <v>1</v>
      </c>
      <c r="AF126">
        <v>1</v>
      </c>
      <c r="AG126">
        <v>1</v>
      </c>
      <c r="AH126">
        <v>1</v>
      </c>
      <c r="AI126">
        <v>1</v>
      </c>
      <c r="AJ126">
        <v>1</v>
      </c>
      <c r="AK126">
        <v>1</v>
      </c>
      <c r="AL126">
        <v>1</v>
      </c>
    </row>
    <row r="127" spans="4:38" x14ac:dyDescent="0.25">
      <c r="D127" t="s">
        <v>1230</v>
      </c>
      <c r="E127">
        <v>30</v>
      </c>
      <c r="F127">
        <v>0.9</v>
      </c>
      <c r="H127">
        <v>2025</v>
      </c>
      <c r="I127" t="s">
        <v>470</v>
      </c>
      <c r="J127" t="s">
        <v>141</v>
      </c>
      <c r="K127">
        <f>K115*$B$105</f>
        <v>1.8</v>
      </c>
      <c r="L127">
        <f t="shared" ref="L127:AL127" si="77">L115*$B$105</f>
        <v>1.8</v>
      </c>
      <c r="M127">
        <f t="shared" si="77"/>
        <v>1.8</v>
      </c>
      <c r="N127">
        <f t="shared" si="77"/>
        <v>1.8</v>
      </c>
      <c r="O127">
        <f t="shared" si="77"/>
        <v>1.8</v>
      </c>
      <c r="P127">
        <f t="shared" si="77"/>
        <v>1.8</v>
      </c>
      <c r="Q127">
        <f t="shared" si="77"/>
        <v>1.8</v>
      </c>
      <c r="R127">
        <f t="shared" si="77"/>
        <v>1.8</v>
      </c>
      <c r="S127">
        <f t="shared" si="77"/>
        <v>1.8</v>
      </c>
      <c r="T127">
        <f t="shared" si="77"/>
        <v>1.8</v>
      </c>
      <c r="U127">
        <f t="shared" si="77"/>
        <v>1.8</v>
      </c>
      <c r="V127">
        <f t="shared" si="77"/>
        <v>1.8</v>
      </c>
      <c r="W127">
        <f t="shared" si="77"/>
        <v>1.8</v>
      </c>
      <c r="X127">
        <f t="shared" si="77"/>
        <v>1.8</v>
      </c>
      <c r="Y127">
        <f t="shared" si="77"/>
        <v>1.8</v>
      </c>
      <c r="Z127">
        <f t="shared" si="77"/>
        <v>1.8</v>
      </c>
      <c r="AA127">
        <f t="shared" si="77"/>
        <v>1.8</v>
      </c>
      <c r="AB127">
        <f t="shared" si="77"/>
        <v>1.8</v>
      </c>
      <c r="AC127">
        <f t="shared" si="77"/>
        <v>1.8</v>
      </c>
      <c r="AD127">
        <f t="shared" si="77"/>
        <v>1.8</v>
      </c>
      <c r="AE127">
        <f t="shared" si="77"/>
        <v>1.8</v>
      </c>
      <c r="AF127">
        <f t="shared" si="77"/>
        <v>1.8</v>
      </c>
      <c r="AG127">
        <f t="shared" si="77"/>
        <v>1.8</v>
      </c>
      <c r="AH127">
        <f t="shared" si="77"/>
        <v>1.8</v>
      </c>
      <c r="AI127">
        <f t="shared" si="77"/>
        <v>1.8</v>
      </c>
      <c r="AJ127">
        <f t="shared" si="77"/>
        <v>1.8</v>
      </c>
      <c r="AK127">
        <f t="shared" si="77"/>
        <v>1.8</v>
      </c>
      <c r="AL127">
        <f t="shared" si="77"/>
        <v>1.8</v>
      </c>
    </row>
    <row r="128" spans="4:38" x14ac:dyDescent="0.25">
      <c r="H128" t="s">
        <v>558</v>
      </c>
      <c r="I128" t="s">
        <v>472</v>
      </c>
      <c r="J128" t="s">
        <v>1256</v>
      </c>
      <c r="K128">
        <v>1</v>
      </c>
      <c r="L128">
        <v>1</v>
      </c>
      <c r="M128">
        <v>1</v>
      </c>
      <c r="N128">
        <v>1</v>
      </c>
      <c r="O128">
        <v>1</v>
      </c>
      <c r="P128">
        <v>1</v>
      </c>
      <c r="Q128">
        <v>1</v>
      </c>
      <c r="R128">
        <v>1</v>
      </c>
      <c r="S128">
        <v>1</v>
      </c>
      <c r="T128">
        <v>1</v>
      </c>
      <c r="U128">
        <v>1</v>
      </c>
      <c r="V128">
        <v>1</v>
      </c>
      <c r="W128">
        <v>1</v>
      </c>
      <c r="X128">
        <v>1</v>
      </c>
      <c r="Y128">
        <v>1</v>
      </c>
      <c r="Z128">
        <v>1</v>
      </c>
      <c r="AA128">
        <v>1</v>
      </c>
      <c r="AB128">
        <v>1</v>
      </c>
      <c r="AC128">
        <v>1</v>
      </c>
      <c r="AD128">
        <v>1</v>
      </c>
      <c r="AE128">
        <v>1</v>
      </c>
      <c r="AF128">
        <v>1</v>
      </c>
      <c r="AG128">
        <v>1</v>
      </c>
      <c r="AH128">
        <v>1</v>
      </c>
      <c r="AI128">
        <v>1</v>
      </c>
      <c r="AJ128">
        <v>1</v>
      </c>
      <c r="AK128">
        <v>1</v>
      </c>
      <c r="AL128">
        <v>1</v>
      </c>
    </row>
    <row r="129" spans="4:38" x14ac:dyDescent="0.25">
      <c r="D129" t="s">
        <v>575</v>
      </c>
      <c r="H129">
        <v>2020</v>
      </c>
    </row>
    <row r="130" spans="4:38" x14ac:dyDescent="0.25">
      <c r="D130" t="s">
        <v>1232</v>
      </c>
      <c r="E130">
        <v>30</v>
      </c>
      <c r="F130">
        <v>0.9</v>
      </c>
      <c r="H130" t="s">
        <v>558</v>
      </c>
      <c r="I130" t="s">
        <v>470</v>
      </c>
      <c r="J130" t="s">
        <v>115</v>
      </c>
      <c r="K130">
        <v>1</v>
      </c>
      <c r="L130">
        <v>1</v>
      </c>
      <c r="M130">
        <v>1</v>
      </c>
      <c r="N130">
        <v>1</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v>1</v>
      </c>
      <c r="AL130">
        <v>1</v>
      </c>
    </row>
    <row r="131" spans="4:38" x14ac:dyDescent="0.25">
      <c r="H131" t="s">
        <v>558</v>
      </c>
      <c r="I131" t="s">
        <v>472</v>
      </c>
      <c r="J131" t="s">
        <v>1258</v>
      </c>
      <c r="K131">
        <v>1</v>
      </c>
      <c r="L131">
        <v>1</v>
      </c>
      <c r="M131">
        <v>1</v>
      </c>
      <c r="N131">
        <v>1</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row>
    <row r="132" spans="4:38" x14ac:dyDescent="0.25">
      <c r="D132" t="s">
        <v>1234</v>
      </c>
      <c r="E132">
        <v>30</v>
      </c>
      <c r="F132">
        <v>0.9</v>
      </c>
      <c r="H132">
        <v>2020</v>
      </c>
      <c r="I132" t="s">
        <v>470</v>
      </c>
      <c r="J132" t="s">
        <v>117</v>
      </c>
      <c r="K132">
        <v>1</v>
      </c>
      <c r="L132">
        <v>1</v>
      </c>
      <c r="M132">
        <v>1</v>
      </c>
      <c r="N132">
        <v>1</v>
      </c>
      <c r="O132">
        <v>1</v>
      </c>
      <c r="P132">
        <v>1</v>
      </c>
      <c r="Q132">
        <v>1</v>
      </c>
      <c r="R132">
        <v>1</v>
      </c>
      <c r="S132">
        <v>1</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row>
    <row r="133" spans="4:38" x14ac:dyDescent="0.25">
      <c r="H133" t="s">
        <v>558</v>
      </c>
      <c r="I133" t="s">
        <v>472</v>
      </c>
      <c r="J133" t="s">
        <v>1258</v>
      </c>
      <c r="K133">
        <v>1</v>
      </c>
      <c r="L133">
        <v>1</v>
      </c>
      <c r="M133">
        <v>1</v>
      </c>
      <c r="N133">
        <v>1</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row>
    <row r="134" spans="4:38" x14ac:dyDescent="0.25">
      <c r="D134" t="s">
        <v>1236</v>
      </c>
      <c r="E134">
        <v>30</v>
      </c>
      <c r="F134">
        <v>0.9</v>
      </c>
      <c r="H134">
        <v>2020</v>
      </c>
      <c r="I134" t="s">
        <v>470</v>
      </c>
      <c r="J134" t="s">
        <v>119</v>
      </c>
      <c r="K134">
        <v>1</v>
      </c>
      <c r="L134">
        <v>1</v>
      </c>
      <c r="M134">
        <v>1</v>
      </c>
      <c r="N134">
        <v>1</v>
      </c>
      <c r="O134">
        <v>1</v>
      </c>
      <c r="P134">
        <v>1</v>
      </c>
      <c r="Q134">
        <v>1</v>
      </c>
      <c r="R134">
        <v>1</v>
      </c>
      <c r="S134">
        <v>1</v>
      </c>
      <c r="T134">
        <v>1</v>
      </c>
      <c r="U134">
        <v>1</v>
      </c>
      <c r="V134">
        <v>1</v>
      </c>
      <c r="W134">
        <v>1</v>
      </c>
      <c r="X134">
        <v>1</v>
      </c>
      <c r="Y134">
        <v>1</v>
      </c>
      <c r="Z134">
        <v>1</v>
      </c>
      <c r="AA134">
        <v>1</v>
      </c>
      <c r="AB134">
        <v>1</v>
      </c>
      <c r="AC134">
        <v>1</v>
      </c>
      <c r="AD134">
        <v>1</v>
      </c>
      <c r="AE134">
        <v>1</v>
      </c>
      <c r="AF134">
        <v>1</v>
      </c>
      <c r="AG134">
        <v>1</v>
      </c>
      <c r="AH134">
        <v>1</v>
      </c>
      <c r="AI134">
        <v>1</v>
      </c>
      <c r="AJ134">
        <v>1</v>
      </c>
      <c r="AK134">
        <v>1</v>
      </c>
      <c r="AL134">
        <v>1</v>
      </c>
    </row>
    <row r="135" spans="4:38" x14ac:dyDescent="0.25">
      <c r="H135" t="s">
        <v>558</v>
      </c>
      <c r="I135" t="s">
        <v>472</v>
      </c>
      <c r="J135" t="s">
        <v>1258</v>
      </c>
      <c r="K135">
        <v>1</v>
      </c>
      <c r="L135">
        <v>1</v>
      </c>
      <c r="M135">
        <v>1</v>
      </c>
      <c r="N135">
        <v>1</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row>
    <row r="136" spans="4:38" x14ac:dyDescent="0.25">
      <c r="D136" t="s">
        <v>1238</v>
      </c>
      <c r="E136">
        <v>30</v>
      </c>
      <c r="F136">
        <v>0.9</v>
      </c>
      <c r="H136">
        <v>2020</v>
      </c>
      <c r="I136" t="s">
        <v>470</v>
      </c>
      <c r="J136" t="s">
        <v>120</v>
      </c>
      <c r="K136">
        <v>1</v>
      </c>
      <c r="L136">
        <v>1</v>
      </c>
      <c r="M136">
        <v>1</v>
      </c>
      <c r="N136">
        <v>1</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v>1</v>
      </c>
      <c r="AL136">
        <v>1</v>
      </c>
    </row>
    <row r="137" spans="4:38" x14ac:dyDescent="0.25">
      <c r="H137" t="s">
        <v>558</v>
      </c>
      <c r="I137" t="s">
        <v>472</v>
      </c>
      <c r="J137" t="s">
        <v>1258</v>
      </c>
      <c r="K137">
        <v>1</v>
      </c>
      <c r="L137">
        <v>1</v>
      </c>
      <c r="M137">
        <v>1</v>
      </c>
      <c r="N137">
        <v>1</v>
      </c>
      <c r="O137">
        <v>1</v>
      </c>
      <c r="P137">
        <v>1</v>
      </c>
      <c r="Q137">
        <v>1</v>
      </c>
      <c r="R137">
        <v>1</v>
      </c>
      <c r="S137">
        <v>1</v>
      </c>
      <c r="T137">
        <v>1</v>
      </c>
      <c r="U137">
        <v>1</v>
      </c>
      <c r="V137">
        <v>1</v>
      </c>
      <c r="W137">
        <v>1</v>
      </c>
      <c r="X137">
        <v>1</v>
      </c>
      <c r="Y137">
        <v>1</v>
      </c>
      <c r="Z137">
        <v>1</v>
      </c>
      <c r="AA137">
        <v>1</v>
      </c>
      <c r="AB137">
        <v>1</v>
      </c>
      <c r="AC137">
        <v>1</v>
      </c>
      <c r="AD137">
        <v>1</v>
      </c>
      <c r="AE137">
        <v>1</v>
      </c>
      <c r="AF137">
        <v>1</v>
      </c>
      <c r="AG137">
        <v>1</v>
      </c>
      <c r="AH137">
        <v>1</v>
      </c>
      <c r="AI137">
        <v>1</v>
      </c>
      <c r="AJ137">
        <v>1</v>
      </c>
      <c r="AK137">
        <v>1</v>
      </c>
      <c r="AL137">
        <v>1</v>
      </c>
    </row>
    <row r="138" spans="4:38" x14ac:dyDescent="0.25">
      <c r="D138" t="s">
        <v>1240</v>
      </c>
      <c r="E138">
        <v>30</v>
      </c>
      <c r="F138">
        <v>0.9</v>
      </c>
      <c r="H138">
        <v>2020</v>
      </c>
      <c r="I138" t="s">
        <v>470</v>
      </c>
      <c r="J138" t="s">
        <v>126</v>
      </c>
      <c r="K138">
        <v>1</v>
      </c>
      <c r="L138">
        <v>1</v>
      </c>
      <c r="M138">
        <v>1</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row>
    <row r="139" spans="4:38" x14ac:dyDescent="0.25">
      <c r="H139" t="s">
        <v>558</v>
      </c>
      <c r="I139" t="s">
        <v>472</v>
      </c>
      <c r="J139" t="s">
        <v>1258</v>
      </c>
      <c r="K139">
        <v>1</v>
      </c>
      <c r="L139">
        <v>1</v>
      </c>
      <c r="M139">
        <v>1</v>
      </c>
      <c r="N139">
        <v>1</v>
      </c>
      <c r="O139">
        <v>1</v>
      </c>
      <c r="P139">
        <v>1</v>
      </c>
      <c r="Q139">
        <v>1</v>
      </c>
      <c r="R139">
        <v>1</v>
      </c>
      <c r="S139">
        <v>1</v>
      </c>
      <c r="T139">
        <v>1</v>
      </c>
      <c r="U139">
        <v>1</v>
      </c>
      <c r="V139">
        <v>1</v>
      </c>
      <c r="W139">
        <v>1</v>
      </c>
      <c r="X139">
        <v>1</v>
      </c>
      <c r="Y139">
        <v>1</v>
      </c>
      <c r="Z139">
        <v>1</v>
      </c>
      <c r="AA139">
        <v>1</v>
      </c>
      <c r="AB139">
        <v>1</v>
      </c>
      <c r="AC139">
        <v>1</v>
      </c>
      <c r="AD139">
        <v>1</v>
      </c>
      <c r="AE139">
        <v>1</v>
      </c>
      <c r="AF139">
        <v>1</v>
      </c>
      <c r="AG139">
        <v>1</v>
      </c>
      <c r="AH139">
        <v>1</v>
      </c>
      <c r="AI139">
        <v>1</v>
      </c>
      <c r="AJ139">
        <v>1</v>
      </c>
      <c r="AK139">
        <v>1</v>
      </c>
      <c r="AL139">
        <v>1</v>
      </c>
    </row>
    <row r="140" spans="4:38" x14ac:dyDescent="0.25">
      <c r="D140" t="s">
        <v>1242</v>
      </c>
      <c r="E140">
        <v>30</v>
      </c>
      <c r="F140">
        <v>0.9</v>
      </c>
      <c r="H140">
        <v>2020</v>
      </c>
      <c r="I140" t="s">
        <v>470</v>
      </c>
      <c r="J140" t="s">
        <v>128</v>
      </c>
      <c r="K140">
        <v>1</v>
      </c>
      <c r="L140">
        <v>1</v>
      </c>
      <c r="M140">
        <v>1</v>
      </c>
      <c r="N140">
        <v>1</v>
      </c>
      <c r="O140">
        <v>1</v>
      </c>
      <c r="P140">
        <v>1</v>
      </c>
      <c r="Q140">
        <v>1</v>
      </c>
      <c r="R140">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row>
    <row r="141" spans="4:38" x14ac:dyDescent="0.25">
      <c r="H141" t="s">
        <v>558</v>
      </c>
      <c r="I141" t="s">
        <v>472</v>
      </c>
      <c r="J141" t="s">
        <v>1258</v>
      </c>
      <c r="K141">
        <v>1</v>
      </c>
      <c r="L141">
        <v>1</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row>
    <row r="142" spans="4:38" x14ac:dyDescent="0.25">
      <c r="D142" t="s">
        <v>1244</v>
      </c>
      <c r="E142">
        <v>30</v>
      </c>
      <c r="F142">
        <v>0.9</v>
      </c>
      <c r="H142">
        <v>2020</v>
      </c>
      <c r="I142" t="s">
        <v>470</v>
      </c>
      <c r="J142" t="s">
        <v>132</v>
      </c>
      <c r="K142">
        <v>1</v>
      </c>
      <c r="L142">
        <v>1</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row>
    <row r="143" spans="4:38" x14ac:dyDescent="0.25">
      <c r="H143" t="s">
        <v>558</v>
      </c>
      <c r="I143" t="s">
        <v>472</v>
      </c>
      <c r="J143" t="s">
        <v>1258</v>
      </c>
      <c r="K143">
        <v>1</v>
      </c>
      <c r="L143">
        <v>1</v>
      </c>
      <c r="M143">
        <v>1</v>
      </c>
      <c r="N143">
        <v>1</v>
      </c>
      <c r="O143">
        <v>1</v>
      </c>
      <c r="P143">
        <v>1</v>
      </c>
      <c r="Q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row>
    <row r="144" spans="4:38" x14ac:dyDescent="0.25">
      <c r="D144" t="s">
        <v>1246</v>
      </c>
      <c r="E144">
        <v>30</v>
      </c>
      <c r="F144">
        <v>0.9</v>
      </c>
      <c r="H144">
        <v>2020</v>
      </c>
      <c r="I144" t="s">
        <v>470</v>
      </c>
      <c r="J144" t="s">
        <v>134</v>
      </c>
      <c r="K144">
        <v>1</v>
      </c>
      <c r="L144">
        <v>1</v>
      </c>
      <c r="M144">
        <v>1</v>
      </c>
      <c r="N144">
        <v>1</v>
      </c>
      <c r="O144">
        <v>1</v>
      </c>
      <c r="P144">
        <v>1</v>
      </c>
      <c r="Q144">
        <v>1</v>
      </c>
      <c r="R144">
        <v>1</v>
      </c>
      <c r="S144">
        <v>1</v>
      </c>
      <c r="T144">
        <v>1</v>
      </c>
      <c r="U144">
        <v>1</v>
      </c>
      <c r="V144">
        <v>1</v>
      </c>
      <c r="W144">
        <v>1</v>
      </c>
      <c r="X144">
        <v>1</v>
      </c>
      <c r="Y144">
        <v>1</v>
      </c>
      <c r="Z144">
        <v>1</v>
      </c>
      <c r="AA144">
        <v>1</v>
      </c>
      <c r="AB144">
        <v>1</v>
      </c>
      <c r="AC144">
        <v>1</v>
      </c>
      <c r="AD144">
        <v>1</v>
      </c>
      <c r="AE144">
        <v>1</v>
      </c>
      <c r="AF144">
        <v>1</v>
      </c>
      <c r="AG144">
        <v>1</v>
      </c>
      <c r="AH144">
        <v>1</v>
      </c>
      <c r="AI144">
        <v>1</v>
      </c>
      <c r="AJ144">
        <v>1</v>
      </c>
      <c r="AK144">
        <v>1</v>
      </c>
      <c r="AL144">
        <v>1</v>
      </c>
    </row>
    <row r="145" spans="4:38" x14ac:dyDescent="0.25">
      <c r="H145" t="s">
        <v>558</v>
      </c>
      <c r="I145" t="s">
        <v>472</v>
      </c>
      <c r="J145" t="s">
        <v>1258</v>
      </c>
      <c r="K145">
        <v>1</v>
      </c>
      <c r="L145">
        <v>1</v>
      </c>
      <c r="M145">
        <v>1</v>
      </c>
      <c r="N145">
        <v>1</v>
      </c>
      <c r="O145">
        <v>1</v>
      </c>
      <c r="P145">
        <v>1</v>
      </c>
      <c r="Q145">
        <v>1</v>
      </c>
      <c r="R145">
        <v>1</v>
      </c>
      <c r="S145">
        <v>1</v>
      </c>
      <c r="T145">
        <v>1</v>
      </c>
      <c r="U145">
        <v>1</v>
      </c>
      <c r="V145">
        <v>1</v>
      </c>
      <c r="W145">
        <v>1</v>
      </c>
      <c r="X145">
        <v>1</v>
      </c>
      <c r="Y145">
        <v>1</v>
      </c>
      <c r="Z145">
        <v>1</v>
      </c>
      <c r="AA145">
        <v>1</v>
      </c>
      <c r="AB145">
        <v>1</v>
      </c>
      <c r="AC145">
        <v>1</v>
      </c>
      <c r="AD145">
        <v>1</v>
      </c>
      <c r="AE145">
        <v>1</v>
      </c>
      <c r="AF145">
        <v>1</v>
      </c>
      <c r="AG145">
        <v>1</v>
      </c>
      <c r="AH145">
        <v>1</v>
      </c>
      <c r="AI145">
        <v>1</v>
      </c>
      <c r="AJ145">
        <v>1</v>
      </c>
      <c r="AK145">
        <v>1</v>
      </c>
      <c r="AL145">
        <v>1</v>
      </c>
    </row>
    <row r="146" spans="4:38" x14ac:dyDescent="0.25">
      <c r="D146" t="s">
        <v>1704</v>
      </c>
      <c r="E146">
        <v>30</v>
      </c>
      <c r="F146">
        <v>0.9</v>
      </c>
      <c r="H146">
        <v>2020</v>
      </c>
      <c r="I146" t="s">
        <v>470</v>
      </c>
      <c r="J146" t="s">
        <v>1701</v>
      </c>
      <c r="K146">
        <v>1</v>
      </c>
      <c r="L146">
        <v>1</v>
      </c>
      <c r="M146">
        <v>1</v>
      </c>
      <c r="N146">
        <v>1</v>
      </c>
      <c r="O146">
        <v>1</v>
      </c>
      <c r="P146">
        <v>1</v>
      </c>
      <c r="Q146">
        <v>1</v>
      </c>
      <c r="R146">
        <v>1</v>
      </c>
      <c r="S146">
        <v>1</v>
      </c>
      <c r="T146">
        <v>1</v>
      </c>
      <c r="U146">
        <v>1</v>
      </c>
      <c r="V146">
        <v>1</v>
      </c>
      <c r="W146">
        <v>1</v>
      </c>
      <c r="X146">
        <v>1</v>
      </c>
      <c r="Y146">
        <v>1</v>
      </c>
      <c r="Z146">
        <v>1</v>
      </c>
      <c r="AA146">
        <v>1</v>
      </c>
      <c r="AB146">
        <v>1</v>
      </c>
      <c r="AC146">
        <v>1</v>
      </c>
      <c r="AD146">
        <v>1</v>
      </c>
      <c r="AE146">
        <v>1</v>
      </c>
      <c r="AF146">
        <v>1</v>
      </c>
      <c r="AG146">
        <v>1</v>
      </c>
      <c r="AH146">
        <v>1</v>
      </c>
      <c r="AI146">
        <v>1</v>
      </c>
      <c r="AJ146">
        <v>1</v>
      </c>
      <c r="AK146">
        <v>1</v>
      </c>
      <c r="AL146">
        <v>1</v>
      </c>
    </row>
    <row r="147" spans="4:38" x14ac:dyDescent="0.25">
      <c r="H147" t="s">
        <v>558</v>
      </c>
      <c r="I147" t="s">
        <v>472</v>
      </c>
      <c r="J147" t="s">
        <v>1258</v>
      </c>
      <c r="K147">
        <v>1</v>
      </c>
      <c r="L147">
        <v>1</v>
      </c>
      <c r="M147">
        <v>1</v>
      </c>
      <c r="N147">
        <v>1</v>
      </c>
      <c r="O147">
        <v>1</v>
      </c>
      <c r="P147">
        <v>1</v>
      </c>
      <c r="Q147">
        <v>1</v>
      </c>
      <c r="R147">
        <v>1</v>
      </c>
      <c r="S147">
        <v>1</v>
      </c>
      <c r="T147">
        <v>1</v>
      </c>
      <c r="U147">
        <v>1</v>
      </c>
      <c r="V147">
        <v>1</v>
      </c>
      <c r="W147">
        <v>1</v>
      </c>
      <c r="X147">
        <v>1</v>
      </c>
      <c r="Y147">
        <v>1</v>
      </c>
      <c r="Z147">
        <v>1</v>
      </c>
      <c r="AA147">
        <v>1</v>
      </c>
      <c r="AB147">
        <v>1</v>
      </c>
      <c r="AC147">
        <v>1</v>
      </c>
      <c r="AD147">
        <v>1</v>
      </c>
      <c r="AE147">
        <v>1</v>
      </c>
      <c r="AF147">
        <v>1</v>
      </c>
      <c r="AG147">
        <v>1</v>
      </c>
      <c r="AH147">
        <v>1</v>
      </c>
      <c r="AI147">
        <v>1</v>
      </c>
      <c r="AJ147">
        <v>1</v>
      </c>
      <c r="AK147">
        <v>1</v>
      </c>
      <c r="AL147">
        <v>1</v>
      </c>
    </row>
    <row r="148" spans="4:38" x14ac:dyDescent="0.25">
      <c r="D148" t="s">
        <v>1248</v>
      </c>
      <c r="E148">
        <v>30</v>
      </c>
      <c r="F148">
        <v>0.9</v>
      </c>
      <c r="H148">
        <v>2020</v>
      </c>
      <c r="I148" t="s">
        <v>470</v>
      </c>
      <c r="J148" t="s">
        <v>141</v>
      </c>
      <c r="K148">
        <v>1</v>
      </c>
      <c r="L148">
        <v>1</v>
      </c>
      <c r="M148">
        <v>1</v>
      </c>
      <c r="N148">
        <v>1</v>
      </c>
      <c r="O148">
        <v>1</v>
      </c>
      <c r="P148">
        <v>1</v>
      </c>
      <c r="Q148">
        <v>1</v>
      </c>
      <c r="R148">
        <v>1</v>
      </c>
      <c r="S148">
        <v>1</v>
      </c>
      <c r="T148">
        <v>1</v>
      </c>
      <c r="U148">
        <v>1</v>
      </c>
      <c r="V148">
        <v>1</v>
      </c>
      <c r="W148">
        <v>1</v>
      </c>
      <c r="X148">
        <v>1</v>
      </c>
      <c r="Y148">
        <v>1</v>
      </c>
      <c r="Z148">
        <v>1</v>
      </c>
      <c r="AA148">
        <v>1</v>
      </c>
      <c r="AB148">
        <v>1</v>
      </c>
      <c r="AC148">
        <v>1</v>
      </c>
      <c r="AD148">
        <v>1</v>
      </c>
      <c r="AE148">
        <v>1</v>
      </c>
      <c r="AF148">
        <v>1</v>
      </c>
      <c r="AG148">
        <v>1</v>
      </c>
      <c r="AH148">
        <v>1</v>
      </c>
      <c r="AI148">
        <v>1</v>
      </c>
      <c r="AJ148">
        <v>1</v>
      </c>
      <c r="AK148">
        <v>1</v>
      </c>
      <c r="AL148">
        <v>1</v>
      </c>
    </row>
    <row r="149" spans="4:38" x14ac:dyDescent="0.25">
      <c r="I149" t="s">
        <v>472</v>
      </c>
      <c r="J149" t="s">
        <v>1258</v>
      </c>
      <c r="K149">
        <v>1</v>
      </c>
      <c r="L149">
        <v>1</v>
      </c>
      <c r="M149">
        <v>1</v>
      </c>
      <c r="N149">
        <v>1</v>
      </c>
      <c r="O149">
        <v>1</v>
      </c>
      <c r="P149">
        <v>1</v>
      </c>
      <c r="Q149">
        <v>1</v>
      </c>
      <c r="R149">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row>
    <row r="150" spans="4:38" x14ac:dyDescent="0.25">
      <c r="D150" t="s">
        <v>575</v>
      </c>
    </row>
    <row r="151" spans="4:38" x14ac:dyDescent="0.25">
      <c r="D151" t="s">
        <v>575</v>
      </c>
    </row>
    <row r="152" spans="4:38" x14ac:dyDescent="0.25">
      <c r="D152" t="s">
        <v>575</v>
      </c>
    </row>
    <row r="153" spans="4:38" x14ac:dyDescent="0.25">
      <c r="D153" t="s">
        <v>575</v>
      </c>
    </row>
    <row r="154" spans="4:38" x14ac:dyDescent="0.25">
      <c r="D154" t="s">
        <v>1184</v>
      </c>
      <c r="H154">
        <v>2020</v>
      </c>
      <c r="I154" t="s">
        <v>624</v>
      </c>
      <c r="K154">
        <f>INF_Data!E472</f>
        <v>8</v>
      </c>
      <c r="L154">
        <f>K154</f>
        <v>8</v>
      </c>
      <c r="M154">
        <f t="shared" ref="M154:AB154" si="78">L154</f>
        <v>8</v>
      </c>
      <c r="N154">
        <f t="shared" si="78"/>
        <v>8</v>
      </c>
      <c r="O154">
        <f t="shared" si="78"/>
        <v>8</v>
      </c>
      <c r="P154">
        <f t="shared" si="78"/>
        <v>8</v>
      </c>
      <c r="Q154">
        <f t="shared" si="78"/>
        <v>8</v>
      </c>
      <c r="R154">
        <f t="shared" si="78"/>
        <v>8</v>
      </c>
      <c r="S154">
        <f t="shared" si="78"/>
        <v>8</v>
      </c>
      <c r="T154">
        <f t="shared" si="78"/>
        <v>8</v>
      </c>
      <c r="U154">
        <f t="shared" si="78"/>
        <v>8</v>
      </c>
      <c r="V154">
        <f t="shared" si="78"/>
        <v>8</v>
      </c>
      <c r="W154">
        <f t="shared" si="78"/>
        <v>8</v>
      </c>
      <c r="X154">
        <f t="shared" si="78"/>
        <v>8</v>
      </c>
      <c r="Y154">
        <f t="shared" si="78"/>
        <v>8</v>
      </c>
      <c r="Z154">
        <f t="shared" si="78"/>
        <v>8</v>
      </c>
      <c r="AA154">
        <f t="shared" si="78"/>
        <v>8</v>
      </c>
      <c r="AB154">
        <f t="shared" si="78"/>
        <v>8</v>
      </c>
      <c r="AC154">
        <f t="shared" ref="AB154:AL169" si="79">AB154</f>
        <v>8</v>
      </c>
      <c r="AD154">
        <f t="shared" si="79"/>
        <v>8</v>
      </c>
      <c r="AE154">
        <f t="shared" si="79"/>
        <v>8</v>
      </c>
      <c r="AF154">
        <f t="shared" si="79"/>
        <v>8</v>
      </c>
      <c r="AG154">
        <f t="shared" si="79"/>
        <v>8</v>
      </c>
      <c r="AH154">
        <f t="shared" si="79"/>
        <v>8</v>
      </c>
      <c r="AI154">
        <f>AH154</f>
        <v>8</v>
      </c>
      <c r="AJ154">
        <f t="shared" ref="AJ154:AL169" si="80">AI154</f>
        <v>8</v>
      </c>
      <c r="AK154">
        <f t="shared" si="80"/>
        <v>8</v>
      </c>
      <c r="AL154">
        <f t="shared" si="80"/>
        <v>8</v>
      </c>
    </row>
    <row r="155" spans="4:38" x14ac:dyDescent="0.25">
      <c r="D155" t="s">
        <v>1186</v>
      </c>
      <c r="H155">
        <v>2020</v>
      </c>
      <c r="I155" t="s">
        <v>624</v>
      </c>
      <c r="K155">
        <f>INF_Data!E473</f>
        <v>11</v>
      </c>
      <c r="L155">
        <f t="shared" ref="L155:AA170" si="81">K155</f>
        <v>11</v>
      </c>
      <c r="M155">
        <f t="shared" si="81"/>
        <v>11</v>
      </c>
      <c r="N155">
        <f t="shared" si="81"/>
        <v>11</v>
      </c>
      <c r="O155">
        <f t="shared" si="81"/>
        <v>11</v>
      </c>
      <c r="P155">
        <f t="shared" si="81"/>
        <v>11</v>
      </c>
      <c r="Q155">
        <f t="shared" si="81"/>
        <v>11</v>
      </c>
      <c r="R155">
        <f t="shared" si="81"/>
        <v>11</v>
      </c>
      <c r="S155">
        <f t="shared" si="81"/>
        <v>11</v>
      </c>
      <c r="T155">
        <f t="shared" si="81"/>
        <v>11</v>
      </c>
      <c r="U155">
        <f t="shared" si="81"/>
        <v>11</v>
      </c>
      <c r="V155">
        <f t="shared" si="81"/>
        <v>11</v>
      </c>
      <c r="W155">
        <f t="shared" si="81"/>
        <v>11</v>
      </c>
      <c r="X155">
        <f t="shared" si="81"/>
        <v>11</v>
      </c>
      <c r="Y155">
        <f t="shared" si="81"/>
        <v>11</v>
      </c>
      <c r="Z155">
        <f t="shared" si="81"/>
        <v>11</v>
      </c>
      <c r="AA155">
        <f t="shared" si="81"/>
        <v>11</v>
      </c>
      <c r="AB155">
        <f t="shared" si="79"/>
        <v>11</v>
      </c>
      <c r="AC155">
        <f t="shared" si="79"/>
        <v>11</v>
      </c>
      <c r="AD155">
        <f t="shared" si="79"/>
        <v>11</v>
      </c>
      <c r="AE155">
        <f t="shared" si="79"/>
        <v>11</v>
      </c>
      <c r="AF155">
        <f t="shared" si="79"/>
        <v>11</v>
      </c>
      <c r="AG155">
        <f t="shared" si="79"/>
        <v>11</v>
      </c>
      <c r="AH155">
        <f t="shared" si="79"/>
        <v>11</v>
      </c>
      <c r="AI155">
        <f t="shared" si="79"/>
        <v>11</v>
      </c>
      <c r="AJ155">
        <f t="shared" si="79"/>
        <v>11</v>
      </c>
      <c r="AK155">
        <f t="shared" si="79"/>
        <v>11</v>
      </c>
      <c r="AL155">
        <f t="shared" si="79"/>
        <v>11</v>
      </c>
    </row>
    <row r="156" spans="4:38" x14ac:dyDescent="0.25">
      <c r="D156" t="s">
        <v>1188</v>
      </c>
      <c r="H156">
        <v>2020</v>
      </c>
      <c r="I156" t="s">
        <v>624</v>
      </c>
      <c r="K156">
        <f>INF_Data!E474</f>
        <v>8</v>
      </c>
      <c r="L156">
        <f t="shared" si="81"/>
        <v>8</v>
      </c>
      <c r="M156">
        <f t="shared" si="81"/>
        <v>8</v>
      </c>
      <c r="N156">
        <f t="shared" si="81"/>
        <v>8</v>
      </c>
      <c r="O156">
        <f t="shared" si="81"/>
        <v>8</v>
      </c>
      <c r="P156">
        <f t="shared" si="81"/>
        <v>8</v>
      </c>
      <c r="Q156">
        <f t="shared" si="81"/>
        <v>8</v>
      </c>
      <c r="R156">
        <f t="shared" si="81"/>
        <v>8</v>
      </c>
      <c r="S156">
        <f t="shared" si="81"/>
        <v>8</v>
      </c>
      <c r="T156">
        <f t="shared" si="81"/>
        <v>8</v>
      </c>
      <c r="U156">
        <f t="shared" si="81"/>
        <v>8</v>
      </c>
      <c r="V156">
        <f t="shared" si="81"/>
        <v>8</v>
      </c>
      <c r="W156">
        <f t="shared" si="81"/>
        <v>8</v>
      </c>
      <c r="X156">
        <f t="shared" si="81"/>
        <v>8</v>
      </c>
      <c r="Y156">
        <f t="shared" si="81"/>
        <v>8</v>
      </c>
      <c r="Z156">
        <f t="shared" si="81"/>
        <v>8</v>
      </c>
      <c r="AA156">
        <f t="shared" si="81"/>
        <v>8</v>
      </c>
      <c r="AB156">
        <f t="shared" si="79"/>
        <v>8</v>
      </c>
      <c r="AC156">
        <f t="shared" si="79"/>
        <v>8</v>
      </c>
      <c r="AD156">
        <f t="shared" si="79"/>
        <v>8</v>
      </c>
      <c r="AE156">
        <f t="shared" si="79"/>
        <v>8</v>
      </c>
      <c r="AF156">
        <f t="shared" si="79"/>
        <v>8</v>
      </c>
      <c r="AG156">
        <f t="shared" si="79"/>
        <v>8</v>
      </c>
      <c r="AH156">
        <f t="shared" si="79"/>
        <v>8</v>
      </c>
      <c r="AI156">
        <f t="shared" si="79"/>
        <v>8</v>
      </c>
      <c r="AJ156">
        <f t="shared" si="80"/>
        <v>8</v>
      </c>
      <c r="AK156">
        <f t="shared" si="80"/>
        <v>8</v>
      </c>
      <c r="AL156">
        <f t="shared" si="80"/>
        <v>8</v>
      </c>
    </row>
    <row r="157" spans="4:38" x14ac:dyDescent="0.25">
      <c r="D157" t="s">
        <v>1190</v>
      </c>
      <c r="H157">
        <v>2020</v>
      </c>
      <c r="I157" t="s">
        <v>624</v>
      </c>
      <c r="K157">
        <f>INF_Data!E475</f>
        <v>8</v>
      </c>
      <c r="L157">
        <f t="shared" si="81"/>
        <v>8</v>
      </c>
      <c r="M157">
        <f t="shared" si="81"/>
        <v>8</v>
      </c>
      <c r="N157">
        <f t="shared" si="81"/>
        <v>8</v>
      </c>
      <c r="O157">
        <f t="shared" si="81"/>
        <v>8</v>
      </c>
      <c r="P157">
        <f t="shared" si="81"/>
        <v>8</v>
      </c>
      <c r="Q157">
        <f t="shared" si="81"/>
        <v>8</v>
      </c>
      <c r="R157">
        <f t="shared" si="81"/>
        <v>8</v>
      </c>
      <c r="S157">
        <f t="shared" si="81"/>
        <v>8</v>
      </c>
      <c r="T157">
        <f t="shared" si="81"/>
        <v>8</v>
      </c>
      <c r="U157">
        <f t="shared" si="81"/>
        <v>8</v>
      </c>
      <c r="V157">
        <f t="shared" si="81"/>
        <v>8</v>
      </c>
      <c r="W157">
        <f t="shared" si="81"/>
        <v>8</v>
      </c>
      <c r="X157">
        <f t="shared" si="81"/>
        <v>8</v>
      </c>
      <c r="Y157">
        <f t="shared" si="81"/>
        <v>8</v>
      </c>
      <c r="Z157">
        <f t="shared" si="81"/>
        <v>8</v>
      </c>
      <c r="AA157">
        <f t="shared" si="81"/>
        <v>8</v>
      </c>
      <c r="AB157">
        <f t="shared" si="79"/>
        <v>8</v>
      </c>
      <c r="AC157">
        <f t="shared" si="79"/>
        <v>8</v>
      </c>
      <c r="AD157">
        <f t="shared" si="79"/>
        <v>8</v>
      </c>
      <c r="AE157">
        <f t="shared" si="79"/>
        <v>8</v>
      </c>
      <c r="AF157">
        <f t="shared" si="79"/>
        <v>8</v>
      </c>
      <c r="AG157">
        <f t="shared" si="79"/>
        <v>8</v>
      </c>
      <c r="AH157">
        <f t="shared" si="79"/>
        <v>8</v>
      </c>
      <c r="AI157">
        <f t="shared" si="79"/>
        <v>8</v>
      </c>
      <c r="AJ157">
        <f t="shared" si="80"/>
        <v>8</v>
      </c>
      <c r="AK157">
        <f t="shared" si="80"/>
        <v>8</v>
      </c>
      <c r="AL157">
        <f t="shared" si="80"/>
        <v>8</v>
      </c>
    </row>
    <row r="158" spans="4:38" x14ac:dyDescent="0.25">
      <c r="D158" t="s">
        <v>1192</v>
      </c>
      <c r="H158">
        <v>2020</v>
      </c>
      <c r="I158" t="s">
        <v>624</v>
      </c>
      <c r="K158">
        <f>INF_Data!E476</f>
        <v>8</v>
      </c>
      <c r="L158">
        <f t="shared" si="81"/>
        <v>8</v>
      </c>
      <c r="M158">
        <f t="shared" si="81"/>
        <v>8</v>
      </c>
      <c r="N158">
        <f t="shared" si="81"/>
        <v>8</v>
      </c>
      <c r="O158">
        <f t="shared" si="81"/>
        <v>8</v>
      </c>
      <c r="P158">
        <f t="shared" si="81"/>
        <v>8</v>
      </c>
      <c r="Q158">
        <f t="shared" si="81"/>
        <v>8</v>
      </c>
      <c r="R158">
        <f t="shared" si="81"/>
        <v>8</v>
      </c>
      <c r="S158">
        <f t="shared" si="81"/>
        <v>8</v>
      </c>
      <c r="T158">
        <f t="shared" si="81"/>
        <v>8</v>
      </c>
      <c r="U158">
        <f t="shared" si="81"/>
        <v>8</v>
      </c>
      <c r="V158">
        <f t="shared" si="81"/>
        <v>8</v>
      </c>
      <c r="W158">
        <f t="shared" si="81"/>
        <v>8</v>
      </c>
      <c r="X158">
        <f t="shared" si="81"/>
        <v>8</v>
      </c>
      <c r="Y158">
        <f t="shared" si="81"/>
        <v>8</v>
      </c>
      <c r="Z158">
        <f t="shared" si="81"/>
        <v>8</v>
      </c>
      <c r="AA158">
        <f t="shared" si="81"/>
        <v>8</v>
      </c>
      <c r="AB158">
        <f t="shared" si="79"/>
        <v>8</v>
      </c>
      <c r="AC158">
        <f t="shared" si="79"/>
        <v>8</v>
      </c>
      <c r="AD158">
        <f t="shared" si="79"/>
        <v>8</v>
      </c>
      <c r="AE158">
        <f t="shared" si="79"/>
        <v>8</v>
      </c>
      <c r="AF158">
        <f t="shared" si="79"/>
        <v>8</v>
      </c>
      <c r="AG158">
        <f t="shared" si="79"/>
        <v>8</v>
      </c>
      <c r="AH158">
        <f t="shared" si="79"/>
        <v>8</v>
      </c>
      <c r="AI158">
        <f t="shared" si="79"/>
        <v>8</v>
      </c>
      <c r="AJ158">
        <f t="shared" si="80"/>
        <v>8</v>
      </c>
      <c r="AK158">
        <f t="shared" si="80"/>
        <v>8</v>
      </c>
      <c r="AL158">
        <f t="shared" si="80"/>
        <v>8</v>
      </c>
    </row>
    <row r="159" spans="4:38" x14ac:dyDescent="0.25">
      <c r="D159" t="s">
        <v>1194</v>
      </c>
      <c r="H159">
        <v>2020</v>
      </c>
      <c r="I159" t="s">
        <v>624</v>
      </c>
      <c r="K159">
        <f>INF_Data!E477</f>
        <v>8</v>
      </c>
      <c r="L159">
        <f t="shared" si="81"/>
        <v>8</v>
      </c>
      <c r="M159">
        <f t="shared" si="81"/>
        <v>8</v>
      </c>
      <c r="N159">
        <f t="shared" si="81"/>
        <v>8</v>
      </c>
      <c r="O159">
        <f t="shared" si="81"/>
        <v>8</v>
      </c>
      <c r="P159">
        <f t="shared" si="81"/>
        <v>8</v>
      </c>
      <c r="Q159">
        <f t="shared" si="81"/>
        <v>8</v>
      </c>
      <c r="R159">
        <f t="shared" si="81"/>
        <v>8</v>
      </c>
      <c r="S159">
        <f t="shared" si="81"/>
        <v>8</v>
      </c>
      <c r="T159">
        <f t="shared" si="81"/>
        <v>8</v>
      </c>
      <c r="U159">
        <f t="shared" si="81"/>
        <v>8</v>
      </c>
      <c r="V159">
        <f t="shared" si="81"/>
        <v>8</v>
      </c>
      <c r="W159">
        <f t="shared" si="81"/>
        <v>8</v>
      </c>
      <c r="X159">
        <f t="shared" si="81"/>
        <v>8</v>
      </c>
      <c r="Y159">
        <f t="shared" si="81"/>
        <v>8</v>
      </c>
      <c r="Z159">
        <f t="shared" si="81"/>
        <v>8</v>
      </c>
      <c r="AA159">
        <f t="shared" si="81"/>
        <v>8</v>
      </c>
      <c r="AB159">
        <f t="shared" si="79"/>
        <v>8</v>
      </c>
      <c r="AC159">
        <f t="shared" si="79"/>
        <v>8</v>
      </c>
      <c r="AD159">
        <f t="shared" si="79"/>
        <v>8</v>
      </c>
      <c r="AE159">
        <f t="shared" si="79"/>
        <v>8</v>
      </c>
      <c r="AF159">
        <f t="shared" si="79"/>
        <v>8</v>
      </c>
      <c r="AG159">
        <f t="shared" si="79"/>
        <v>8</v>
      </c>
      <c r="AH159">
        <f t="shared" si="79"/>
        <v>8</v>
      </c>
      <c r="AI159">
        <f t="shared" si="79"/>
        <v>8</v>
      </c>
      <c r="AJ159">
        <f t="shared" si="80"/>
        <v>8</v>
      </c>
      <c r="AK159">
        <f t="shared" si="80"/>
        <v>8</v>
      </c>
      <c r="AL159">
        <f t="shared" si="80"/>
        <v>8</v>
      </c>
    </row>
    <row r="160" spans="4:38" x14ac:dyDescent="0.25">
      <c r="D160" t="s">
        <v>1196</v>
      </c>
      <c r="H160">
        <v>2025</v>
      </c>
      <c r="I160" t="s">
        <v>624</v>
      </c>
      <c r="K160">
        <f>K154</f>
        <v>8</v>
      </c>
      <c r="L160">
        <f t="shared" si="81"/>
        <v>8</v>
      </c>
      <c r="M160">
        <f t="shared" si="81"/>
        <v>8</v>
      </c>
      <c r="N160">
        <f t="shared" si="81"/>
        <v>8</v>
      </c>
      <c r="O160">
        <f t="shared" si="81"/>
        <v>8</v>
      </c>
      <c r="P160">
        <f t="shared" si="81"/>
        <v>8</v>
      </c>
      <c r="Q160">
        <f t="shared" si="81"/>
        <v>8</v>
      </c>
      <c r="R160">
        <f t="shared" si="81"/>
        <v>8</v>
      </c>
      <c r="S160">
        <f t="shared" si="81"/>
        <v>8</v>
      </c>
      <c r="T160">
        <f t="shared" si="81"/>
        <v>8</v>
      </c>
      <c r="U160">
        <f t="shared" si="81"/>
        <v>8</v>
      </c>
      <c r="V160">
        <f t="shared" si="81"/>
        <v>8</v>
      </c>
      <c r="W160">
        <f t="shared" si="81"/>
        <v>8</v>
      </c>
      <c r="X160">
        <f t="shared" si="81"/>
        <v>8</v>
      </c>
      <c r="Y160">
        <f t="shared" si="81"/>
        <v>8</v>
      </c>
      <c r="Z160">
        <f t="shared" si="81"/>
        <v>8</v>
      </c>
      <c r="AA160">
        <f t="shared" si="81"/>
        <v>8</v>
      </c>
      <c r="AB160">
        <f t="shared" si="79"/>
        <v>8</v>
      </c>
      <c r="AC160">
        <f t="shared" si="79"/>
        <v>8</v>
      </c>
      <c r="AD160">
        <f t="shared" si="79"/>
        <v>8</v>
      </c>
      <c r="AE160">
        <f t="shared" si="79"/>
        <v>8</v>
      </c>
      <c r="AF160">
        <f t="shared" si="79"/>
        <v>8</v>
      </c>
      <c r="AG160">
        <f t="shared" si="79"/>
        <v>8</v>
      </c>
      <c r="AH160">
        <f t="shared" si="79"/>
        <v>8</v>
      </c>
      <c r="AI160">
        <f t="shared" si="79"/>
        <v>8</v>
      </c>
      <c r="AJ160">
        <f t="shared" si="80"/>
        <v>8</v>
      </c>
      <c r="AK160">
        <f t="shared" si="80"/>
        <v>8</v>
      </c>
      <c r="AL160">
        <f t="shared" si="80"/>
        <v>8</v>
      </c>
    </row>
    <row r="161" spans="4:38" x14ac:dyDescent="0.25">
      <c r="D161" t="s">
        <v>1198</v>
      </c>
      <c r="H161">
        <v>2025</v>
      </c>
      <c r="I161" t="s">
        <v>624</v>
      </c>
      <c r="K161">
        <f t="shared" ref="K161:K165" si="82">K155</f>
        <v>11</v>
      </c>
      <c r="L161">
        <f t="shared" si="81"/>
        <v>11</v>
      </c>
      <c r="M161">
        <f t="shared" si="81"/>
        <v>11</v>
      </c>
      <c r="N161">
        <f t="shared" si="81"/>
        <v>11</v>
      </c>
      <c r="O161">
        <f t="shared" si="81"/>
        <v>11</v>
      </c>
      <c r="P161">
        <f t="shared" si="81"/>
        <v>11</v>
      </c>
      <c r="Q161">
        <f t="shared" si="81"/>
        <v>11</v>
      </c>
      <c r="R161">
        <f t="shared" si="81"/>
        <v>11</v>
      </c>
      <c r="S161">
        <f t="shared" si="81"/>
        <v>11</v>
      </c>
      <c r="T161">
        <f t="shared" si="81"/>
        <v>11</v>
      </c>
      <c r="U161">
        <f t="shared" si="81"/>
        <v>11</v>
      </c>
      <c r="V161">
        <f t="shared" si="81"/>
        <v>11</v>
      </c>
      <c r="W161">
        <f t="shared" si="81"/>
        <v>11</v>
      </c>
      <c r="X161">
        <f t="shared" si="81"/>
        <v>11</v>
      </c>
      <c r="Y161">
        <f t="shared" si="81"/>
        <v>11</v>
      </c>
      <c r="Z161">
        <f t="shared" si="81"/>
        <v>11</v>
      </c>
      <c r="AA161">
        <f t="shared" si="81"/>
        <v>11</v>
      </c>
      <c r="AB161">
        <f t="shared" si="79"/>
        <v>11</v>
      </c>
      <c r="AC161">
        <f t="shared" si="79"/>
        <v>11</v>
      </c>
      <c r="AD161">
        <f t="shared" si="79"/>
        <v>11</v>
      </c>
      <c r="AE161">
        <f t="shared" si="79"/>
        <v>11</v>
      </c>
      <c r="AF161">
        <f t="shared" si="79"/>
        <v>11</v>
      </c>
      <c r="AG161">
        <f t="shared" si="79"/>
        <v>11</v>
      </c>
      <c r="AH161">
        <f t="shared" si="79"/>
        <v>11</v>
      </c>
      <c r="AI161">
        <f t="shared" si="79"/>
        <v>11</v>
      </c>
      <c r="AJ161">
        <f t="shared" si="80"/>
        <v>11</v>
      </c>
      <c r="AK161">
        <f t="shared" si="80"/>
        <v>11</v>
      </c>
      <c r="AL161">
        <f t="shared" si="80"/>
        <v>11</v>
      </c>
    </row>
    <row r="162" spans="4:38" x14ac:dyDescent="0.25">
      <c r="D162" t="s">
        <v>1200</v>
      </c>
      <c r="H162">
        <v>2025</v>
      </c>
      <c r="I162" t="s">
        <v>624</v>
      </c>
      <c r="K162">
        <f t="shared" si="82"/>
        <v>8</v>
      </c>
      <c r="L162">
        <f t="shared" si="81"/>
        <v>8</v>
      </c>
      <c r="M162">
        <f t="shared" si="81"/>
        <v>8</v>
      </c>
      <c r="N162">
        <f t="shared" si="81"/>
        <v>8</v>
      </c>
      <c r="O162">
        <f t="shared" si="81"/>
        <v>8</v>
      </c>
      <c r="P162">
        <f t="shared" si="81"/>
        <v>8</v>
      </c>
      <c r="Q162">
        <f t="shared" si="81"/>
        <v>8</v>
      </c>
      <c r="R162">
        <f t="shared" si="81"/>
        <v>8</v>
      </c>
      <c r="S162">
        <f t="shared" si="81"/>
        <v>8</v>
      </c>
      <c r="T162">
        <f t="shared" si="81"/>
        <v>8</v>
      </c>
      <c r="U162">
        <f t="shared" si="81"/>
        <v>8</v>
      </c>
      <c r="V162">
        <f t="shared" si="81"/>
        <v>8</v>
      </c>
      <c r="W162">
        <f t="shared" si="81"/>
        <v>8</v>
      </c>
      <c r="X162">
        <f t="shared" si="81"/>
        <v>8</v>
      </c>
      <c r="Y162">
        <f t="shared" si="81"/>
        <v>8</v>
      </c>
      <c r="Z162">
        <f t="shared" si="81"/>
        <v>8</v>
      </c>
      <c r="AA162">
        <f t="shared" si="81"/>
        <v>8</v>
      </c>
      <c r="AB162">
        <f t="shared" si="79"/>
        <v>8</v>
      </c>
      <c r="AC162">
        <f t="shared" si="79"/>
        <v>8</v>
      </c>
      <c r="AD162">
        <f t="shared" si="79"/>
        <v>8</v>
      </c>
      <c r="AE162">
        <f t="shared" si="79"/>
        <v>8</v>
      </c>
      <c r="AF162">
        <f t="shared" si="79"/>
        <v>8</v>
      </c>
      <c r="AG162">
        <f t="shared" si="79"/>
        <v>8</v>
      </c>
      <c r="AH162">
        <f t="shared" si="79"/>
        <v>8</v>
      </c>
      <c r="AI162">
        <f t="shared" si="79"/>
        <v>8</v>
      </c>
      <c r="AJ162">
        <f t="shared" si="80"/>
        <v>8</v>
      </c>
      <c r="AK162">
        <f t="shared" si="80"/>
        <v>8</v>
      </c>
      <c r="AL162">
        <f t="shared" si="80"/>
        <v>8</v>
      </c>
    </row>
    <row r="163" spans="4:38" x14ac:dyDescent="0.25">
      <c r="D163" t="s">
        <v>1202</v>
      </c>
      <c r="H163">
        <v>2025</v>
      </c>
      <c r="I163" t="s">
        <v>624</v>
      </c>
      <c r="K163">
        <f t="shared" si="82"/>
        <v>8</v>
      </c>
      <c r="L163">
        <f t="shared" si="81"/>
        <v>8</v>
      </c>
      <c r="M163">
        <f t="shared" si="81"/>
        <v>8</v>
      </c>
      <c r="N163">
        <f t="shared" si="81"/>
        <v>8</v>
      </c>
      <c r="O163">
        <f t="shared" si="81"/>
        <v>8</v>
      </c>
      <c r="P163">
        <f t="shared" si="81"/>
        <v>8</v>
      </c>
      <c r="Q163">
        <f t="shared" si="81"/>
        <v>8</v>
      </c>
      <c r="R163">
        <f t="shared" si="81"/>
        <v>8</v>
      </c>
      <c r="S163">
        <f t="shared" si="81"/>
        <v>8</v>
      </c>
      <c r="T163">
        <f t="shared" si="81"/>
        <v>8</v>
      </c>
      <c r="U163">
        <f t="shared" si="81"/>
        <v>8</v>
      </c>
      <c r="V163">
        <f t="shared" si="81"/>
        <v>8</v>
      </c>
      <c r="W163">
        <f t="shared" si="81"/>
        <v>8</v>
      </c>
      <c r="X163">
        <f t="shared" si="81"/>
        <v>8</v>
      </c>
      <c r="Y163">
        <f t="shared" si="81"/>
        <v>8</v>
      </c>
      <c r="Z163">
        <f t="shared" si="81"/>
        <v>8</v>
      </c>
      <c r="AA163">
        <f t="shared" si="81"/>
        <v>8</v>
      </c>
      <c r="AB163">
        <f t="shared" si="79"/>
        <v>8</v>
      </c>
      <c r="AC163">
        <f t="shared" si="79"/>
        <v>8</v>
      </c>
      <c r="AD163">
        <f t="shared" si="79"/>
        <v>8</v>
      </c>
      <c r="AE163">
        <f t="shared" si="79"/>
        <v>8</v>
      </c>
      <c r="AF163">
        <f t="shared" si="79"/>
        <v>8</v>
      </c>
      <c r="AG163">
        <f t="shared" si="79"/>
        <v>8</v>
      </c>
      <c r="AH163">
        <f t="shared" si="79"/>
        <v>8</v>
      </c>
      <c r="AI163">
        <f t="shared" si="79"/>
        <v>8</v>
      </c>
      <c r="AJ163">
        <f t="shared" si="80"/>
        <v>8</v>
      </c>
      <c r="AK163">
        <f t="shared" si="80"/>
        <v>8</v>
      </c>
      <c r="AL163">
        <f t="shared" si="80"/>
        <v>8</v>
      </c>
    </row>
    <row r="164" spans="4:38" x14ac:dyDescent="0.25">
      <c r="D164" t="s">
        <v>1204</v>
      </c>
      <c r="H164">
        <v>2025</v>
      </c>
      <c r="I164" t="s">
        <v>624</v>
      </c>
      <c r="K164">
        <f t="shared" si="82"/>
        <v>8</v>
      </c>
      <c r="L164">
        <f t="shared" si="81"/>
        <v>8</v>
      </c>
      <c r="M164">
        <f t="shared" si="81"/>
        <v>8</v>
      </c>
      <c r="N164">
        <f t="shared" si="81"/>
        <v>8</v>
      </c>
      <c r="O164">
        <f t="shared" si="81"/>
        <v>8</v>
      </c>
      <c r="P164">
        <f t="shared" si="81"/>
        <v>8</v>
      </c>
      <c r="Q164">
        <f t="shared" si="81"/>
        <v>8</v>
      </c>
      <c r="R164">
        <f t="shared" si="81"/>
        <v>8</v>
      </c>
      <c r="S164">
        <f t="shared" si="81"/>
        <v>8</v>
      </c>
      <c r="T164">
        <f t="shared" si="81"/>
        <v>8</v>
      </c>
      <c r="U164">
        <f t="shared" si="81"/>
        <v>8</v>
      </c>
      <c r="V164">
        <f t="shared" si="81"/>
        <v>8</v>
      </c>
      <c r="W164">
        <f t="shared" si="81"/>
        <v>8</v>
      </c>
      <c r="X164">
        <f t="shared" si="81"/>
        <v>8</v>
      </c>
      <c r="Y164">
        <f t="shared" si="81"/>
        <v>8</v>
      </c>
      <c r="Z164">
        <f t="shared" si="81"/>
        <v>8</v>
      </c>
      <c r="AA164">
        <f t="shared" si="81"/>
        <v>8</v>
      </c>
      <c r="AB164">
        <f t="shared" si="79"/>
        <v>8</v>
      </c>
      <c r="AC164">
        <f t="shared" si="79"/>
        <v>8</v>
      </c>
      <c r="AD164">
        <f t="shared" si="79"/>
        <v>8</v>
      </c>
      <c r="AE164">
        <f t="shared" si="79"/>
        <v>8</v>
      </c>
      <c r="AF164">
        <f t="shared" si="79"/>
        <v>8</v>
      </c>
      <c r="AG164">
        <f t="shared" si="79"/>
        <v>8</v>
      </c>
      <c r="AH164">
        <f t="shared" si="79"/>
        <v>8</v>
      </c>
      <c r="AI164">
        <f t="shared" si="79"/>
        <v>8</v>
      </c>
      <c r="AJ164">
        <f t="shared" si="80"/>
        <v>8</v>
      </c>
      <c r="AK164">
        <f t="shared" si="80"/>
        <v>8</v>
      </c>
      <c r="AL164">
        <f t="shared" si="80"/>
        <v>8</v>
      </c>
    </row>
    <row r="165" spans="4:38" x14ac:dyDescent="0.25">
      <c r="D165" t="s">
        <v>1206</v>
      </c>
      <c r="H165">
        <v>2025</v>
      </c>
      <c r="I165" t="s">
        <v>624</v>
      </c>
      <c r="K165">
        <f t="shared" si="82"/>
        <v>8</v>
      </c>
      <c r="L165">
        <f t="shared" si="81"/>
        <v>8</v>
      </c>
      <c r="M165">
        <f t="shared" si="81"/>
        <v>8</v>
      </c>
      <c r="N165">
        <f t="shared" si="81"/>
        <v>8</v>
      </c>
      <c r="O165">
        <f t="shared" si="81"/>
        <v>8</v>
      </c>
      <c r="P165">
        <f t="shared" si="81"/>
        <v>8</v>
      </c>
      <c r="Q165">
        <f t="shared" si="81"/>
        <v>8</v>
      </c>
      <c r="R165">
        <f t="shared" si="81"/>
        <v>8</v>
      </c>
      <c r="S165">
        <f t="shared" si="81"/>
        <v>8</v>
      </c>
      <c r="T165">
        <f t="shared" si="81"/>
        <v>8</v>
      </c>
      <c r="U165">
        <f t="shared" si="81"/>
        <v>8</v>
      </c>
      <c r="V165">
        <f t="shared" si="81"/>
        <v>8</v>
      </c>
      <c r="W165">
        <f t="shared" si="81"/>
        <v>8</v>
      </c>
      <c r="X165">
        <f t="shared" si="81"/>
        <v>8</v>
      </c>
      <c r="Y165">
        <f t="shared" si="81"/>
        <v>8</v>
      </c>
      <c r="Z165">
        <f t="shared" si="81"/>
        <v>8</v>
      </c>
      <c r="AA165">
        <f t="shared" si="81"/>
        <v>8</v>
      </c>
      <c r="AB165">
        <f t="shared" si="79"/>
        <v>8</v>
      </c>
      <c r="AC165">
        <f t="shared" si="79"/>
        <v>8</v>
      </c>
      <c r="AD165">
        <f t="shared" si="79"/>
        <v>8</v>
      </c>
      <c r="AE165">
        <f t="shared" si="79"/>
        <v>8</v>
      </c>
      <c r="AF165">
        <f t="shared" si="79"/>
        <v>8</v>
      </c>
      <c r="AG165">
        <f t="shared" si="79"/>
        <v>8</v>
      </c>
      <c r="AH165">
        <f t="shared" si="79"/>
        <v>8</v>
      </c>
      <c r="AI165">
        <f t="shared" si="79"/>
        <v>8</v>
      </c>
      <c r="AJ165">
        <f t="shared" si="80"/>
        <v>8</v>
      </c>
      <c r="AK165">
        <f t="shared" si="80"/>
        <v>8</v>
      </c>
      <c r="AL165">
        <f t="shared" si="80"/>
        <v>8</v>
      </c>
    </row>
    <row r="166" spans="4:38" x14ac:dyDescent="0.25">
      <c r="D166" t="s">
        <v>1208</v>
      </c>
      <c r="H166">
        <v>2025</v>
      </c>
      <c r="I166" t="s">
        <v>624</v>
      </c>
      <c r="K166">
        <f>INF_Data!E480</f>
        <v>4</v>
      </c>
      <c r="L166">
        <f t="shared" si="81"/>
        <v>4</v>
      </c>
      <c r="M166">
        <f t="shared" si="81"/>
        <v>4</v>
      </c>
      <c r="N166">
        <f t="shared" si="81"/>
        <v>4</v>
      </c>
      <c r="O166">
        <f t="shared" si="81"/>
        <v>4</v>
      </c>
      <c r="P166">
        <f t="shared" si="81"/>
        <v>4</v>
      </c>
      <c r="Q166">
        <f t="shared" si="81"/>
        <v>4</v>
      </c>
      <c r="R166">
        <f t="shared" si="81"/>
        <v>4</v>
      </c>
      <c r="S166">
        <f t="shared" si="81"/>
        <v>4</v>
      </c>
      <c r="T166">
        <f t="shared" si="81"/>
        <v>4</v>
      </c>
      <c r="U166">
        <f t="shared" si="81"/>
        <v>4</v>
      </c>
      <c r="V166">
        <f t="shared" si="81"/>
        <v>4</v>
      </c>
      <c r="W166">
        <f t="shared" si="81"/>
        <v>4</v>
      </c>
      <c r="X166">
        <f t="shared" si="81"/>
        <v>4</v>
      </c>
      <c r="Y166">
        <f t="shared" si="81"/>
        <v>4</v>
      </c>
      <c r="Z166">
        <f t="shared" si="81"/>
        <v>4</v>
      </c>
      <c r="AA166">
        <f t="shared" si="81"/>
        <v>4</v>
      </c>
      <c r="AB166">
        <f t="shared" si="79"/>
        <v>4</v>
      </c>
      <c r="AC166">
        <f t="shared" si="79"/>
        <v>4</v>
      </c>
      <c r="AD166">
        <f t="shared" si="79"/>
        <v>4</v>
      </c>
      <c r="AE166">
        <f t="shared" si="79"/>
        <v>4</v>
      </c>
      <c r="AF166">
        <f t="shared" si="79"/>
        <v>4</v>
      </c>
      <c r="AG166">
        <f t="shared" si="79"/>
        <v>4</v>
      </c>
      <c r="AH166">
        <f t="shared" si="79"/>
        <v>4</v>
      </c>
      <c r="AI166">
        <f t="shared" si="79"/>
        <v>4</v>
      </c>
      <c r="AJ166">
        <f t="shared" si="80"/>
        <v>4</v>
      </c>
      <c r="AK166">
        <f t="shared" si="80"/>
        <v>4</v>
      </c>
      <c r="AL166">
        <f t="shared" si="80"/>
        <v>4</v>
      </c>
    </row>
    <row r="167" spans="4:38" x14ac:dyDescent="0.25">
      <c r="D167" t="s">
        <v>1210</v>
      </c>
      <c r="H167">
        <v>2025</v>
      </c>
      <c r="I167" t="s">
        <v>624</v>
      </c>
      <c r="K167">
        <f>INF_Data!E481</f>
        <v>4</v>
      </c>
      <c r="L167">
        <f t="shared" si="81"/>
        <v>4</v>
      </c>
      <c r="M167">
        <f t="shared" si="81"/>
        <v>4</v>
      </c>
      <c r="N167">
        <f t="shared" si="81"/>
        <v>4</v>
      </c>
      <c r="O167">
        <f t="shared" si="81"/>
        <v>4</v>
      </c>
      <c r="P167">
        <f t="shared" si="81"/>
        <v>4</v>
      </c>
      <c r="Q167">
        <f t="shared" si="81"/>
        <v>4</v>
      </c>
      <c r="R167">
        <f t="shared" si="81"/>
        <v>4</v>
      </c>
      <c r="S167">
        <f t="shared" si="81"/>
        <v>4</v>
      </c>
      <c r="T167">
        <f t="shared" si="81"/>
        <v>4</v>
      </c>
      <c r="U167">
        <f t="shared" si="81"/>
        <v>4</v>
      </c>
      <c r="V167">
        <f t="shared" si="81"/>
        <v>4</v>
      </c>
      <c r="W167">
        <f t="shared" si="81"/>
        <v>4</v>
      </c>
      <c r="X167">
        <f t="shared" si="81"/>
        <v>4</v>
      </c>
      <c r="Y167">
        <f t="shared" si="81"/>
        <v>4</v>
      </c>
      <c r="Z167">
        <f t="shared" si="81"/>
        <v>4</v>
      </c>
      <c r="AA167">
        <f t="shared" si="81"/>
        <v>4</v>
      </c>
      <c r="AB167">
        <f t="shared" si="79"/>
        <v>4</v>
      </c>
      <c r="AC167">
        <f t="shared" si="79"/>
        <v>4</v>
      </c>
      <c r="AD167">
        <f t="shared" si="79"/>
        <v>4</v>
      </c>
      <c r="AE167">
        <f t="shared" si="79"/>
        <v>4</v>
      </c>
      <c r="AF167">
        <f t="shared" si="79"/>
        <v>4</v>
      </c>
      <c r="AG167">
        <f t="shared" si="79"/>
        <v>4</v>
      </c>
      <c r="AH167">
        <f t="shared" si="79"/>
        <v>4</v>
      </c>
      <c r="AI167">
        <f t="shared" si="79"/>
        <v>4</v>
      </c>
      <c r="AJ167">
        <f t="shared" si="80"/>
        <v>4</v>
      </c>
      <c r="AK167">
        <f t="shared" si="80"/>
        <v>4</v>
      </c>
      <c r="AL167">
        <f t="shared" si="80"/>
        <v>4</v>
      </c>
    </row>
    <row r="168" spans="4:38" x14ac:dyDescent="0.25">
      <c r="D168" t="s">
        <v>1212</v>
      </c>
      <c r="H168">
        <v>2020</v>
      </c>
      <c r="I168" t="s">
        <v>624</v>
      </c>
      <c r="K168">
        <f>INF_Data!E482</f>
        <v>4</v>
      </c>
      <c r="L168">
        <f t="shared" si="81"/>
        <v>4</v>
      </c>
      <c r="M168">
        <f t="shared" si="81"/>
        <v>4</v>
      </c>
      <c r="N168">
        <f t="shared" si="81"/>
        <v>4</v>
      </c>
      <c r="O168">
        <f t="shared" si="81"/>
        <v>4</v>
      </c>
      <c r="P168">
        <f t="shared" si="81"/>
        <v>4</v>
      </c>
      <c r="Q168">
        <f t="shared" si="81"/>
        <v>4</v>
      </c>
      <c r="R168">
        <f t="shared" si="81"/>
        <v>4</v>
      </c>
      <c r="S168">
        <f t="shared" si="81"/>
        <v>4</v>
      </c>
      <c r="T168">
        <f t="shared" si="81"/>
        <v>4</v>
      </c>
      <c r="U168">
        <f t="shared" si="81"/>
        <v>4</v>
      </c>
      <c r="V168">
        <f t="shared" si="81"/>
        <v>4</v>
      </c>
      <c r="W168">
        <f t="shared" si="81"/>
        <v>4</v>
      </c>
      <c r="X168">
        <f t="shared" si="81"/>
        <v>4</v>
      </c>
      <c r="Y168">
        <f t="shared" si="81"/>
        <v>4</v>
      </c>
      <c r="Z168">
        <f t="shared" si="81"/>
        <v>4</v>
      </c>
      <c r="AA168">
        <f t="shared" si="81"/>
        <v>4</v>
      </c>
      <c r="AB168">
        <f t="shared" si="79"/>
        <v>4</v>
      </c>
      <c r="AC168">
        <f t="shared" si="79"/>
        <v>4</v>
      </c>
      <c r="AD168">
        <f t="shared" si="79"/>
        <v>4</v>
      </c>
      <c r="AE168">
        <f t="shared" si="79"/>
        <v>4</v>
      </c>
      <c r="AF168">
        <f t="shared" si="79"/>
        <v>4</v>
      </c>
      <c r="AG168">
        <f t="shared" si="79"/>
        <v>4</v>
      </c>
      <c r="AH168">
        <f t="shared" si="79"/>
        <v>4</v>
      </c>
      <c r="AI168">
        <f t="shared" si="79"/>
        <v>4</v>
      </c>
      <c r="AJ168">
        <f t="shared" si="80"/>
        <v>4</v>
      </c>
      <c r="AK168">
        <f t="shared" si="80"/>
        <v>4</v>
      </c>
      <c r="AL168">
        <f t="shared" si="80"/>
        <v>4</v>
      </c>
    </row>
    <row r="169" spans="4:38" x14ac:dyDescent="0.25">
      <c r="D169" t="s">
        <v>1214</v>
      </c>
      <c r="H169">
        <v>2020</v>
      </c>
      <c r="I169" t="s">
        <v>624</v>
      </c>
      <c r="K169">
        <f>INF_Data!E483</f>
        <v>4</v>
      </c>
      <c r="L169">
        <f t="shared" si="81"/>
        <v>4</v>
      </c>
      <c r="M169">
        <f t="shared" si="81"/>
        <v>4</v>
      </c>
      <c r="N169">
        <f t="shared" si="81"/>
        <v>4</v>
      </c>
      <c r="O169">
        <f t="shared" si="81"/>
        <v>4</v>
      </c>
      <c r="P169">
        <f t="shared" si="81"/>
        <v>4</v>
      </c>
      <c r="Q169">
        <f t="shared" si="81"/>
        <v>4</v>
      </c>
      <c r="R169">
        <f t="shared" si="81"/>
        <v>4</v>
      </c>
      <c r="S169">
        <f t="shared" si="81"/>
        <v>4</v>
      </c>
      <c r="T169">
        <f t="shared" si="81"/>
        <v>4</v>
      </c>
      <c r="U169">
        <f t="shared" si="81"/>
        <v>4</v>
      </c>
      <c r="V169">
        <f t="shared" si="81"/>
        <v>4</v>
      </c>
      <c r="W169">
        <f t="shared" si="81"/>
        <v>4</v>
      </c>
      <c r="X169">
        <f t="shared" si="81"/>
        <v>4</v>
      </c>
      <c r="Y169">
        <f t="shared" si="81"/>
        <v>4</v>
      </c>
      <c r="Z169">
        <f t="shared" si="81"/>
        <v>4</v>
      </c>
      <c r="AA169">
        <f t="shared" si="81"/>
        <v>4</v>
      </c>
      <c r="AB169">
        <f t="shared" si="79"/>
        <v>4</v>
      </c>
      <c r="AC169">
        <f t="shared" si="79"/>
        <v>4</v>
      </c>
      <c r="AD169">
        <f t="shared" si="79"/>
        <v>4</v>
      </c>
      <c r="AE169">
        <f t="shared" si="79"/>
        <v>4</v>
      </c>
      <c r="AF169">
        <f t="shared" si="79"/>
        <v>4</v>
      </c>
      <c r="AG169">
        <f t="shared" si="79"/>
        <v>4</v>
      </c>
      <c r="AH169">
        <f t="shared" si="79"/>
        <v>4</v>
      </c>
      <c r="AI169">
        <f t="shared" si="79"/>
        <v>4</v>
      </c>
      <c r="AJ169">
        <f t="shared" si="80"/>
        <v>4</v>
      </c>
      <c r="AK169">
        <f t="shared" si="80"/>
        <v>4</v>
      </c>
      <c r="AL169">
        <f t="shared" si="80"/>
        <v>4</v>
      </c>
    </row>
    <row r="170" spans="4:38" x14ac:dyDescent="0.25">
      <c r="D170" t="s">
        <v>1216</v>
      </c>
      <c r="H170">
        <v>2020</v>
      </c>
      <c r="I170" t="s">
        <v>624</v>
      </c>
      <c r="K170">
        <f>INF_Data!E484</f>
        <v>4</v>
      </c>
      <c r="L170">
        <f t="shared" si="81"/>
        <v>4</v>
      </c>
      <c r="M170">
        <f t="shared" si="81"/>
        <v>4</v>
      </c>
      <c r="N170">
        <f t="shared" si="81"/>
        <v>4</v>
      </c>
      <c r="O170">
        <f t="shared" si="81"/>
        <v>4</v>
      </c>
      <c r="P170">
        <f t="shared" si="81"/>
        <v>4</v>
      </c>
      <c r="Q170">
        <f t="shared" si="81"/>
        <v>4</v>
      </c>
      <c r="R170">
        <f t="shared" si="81"/>
        <v>4</v>
      </c>
      <c r="S170">
        <f t="shared" si="81"/>
        <v>4</v>
      </c>
      <c r="T170">
        <f t="shared" si="81"/>
        <v>4</v>
      </c>
      <c r="U170">
        <f t="shared" si="81"/>
        <v>4</v>
      </c>
      <c r="V170">
        <f t="shared" si="81"/>
        <v>4</v>
      </c>
      <c r="W170">
        <f t="shared" si="81"/>
        <v>4</v>
      </c>
      <c r="X170">
        <f t="shared" si="81"/>
        <v>4</v>
      </c>
      <c r="Y170">
        <f t="shared" si="81"/>
        <v>4</v>
      </c>
      <c r="Z170">
        <f t="shared" si="81"/>
        <v>4</v>
      </c>
      <c r="AA170">
        <f t="shared" ref="AA170:AL185" si="83">Z170</f>
        <v>4</v>
      </c>
      <c r="AB170">
        <f t="shared" si="83"/>
        <v>4</v>
      </c>
      <c r="AC170">
        <f t="shared" si="83"/>
        <v>4</v>
      </c>
      <c r="AD170">
        <f t="shared" si="83"/>
        <v>4</v>
      </c>
      <c r="AE170">
        <f t="shared" si="83"/>
        <v>4</v>
      </c>
      <c r="AF170">
        <f t="shared" si="83"/>
        <v>4</v>
      </c>
      <c r="AG170">
        <f t="shared" si="83"/>
        <v>4</v>
      </c>
      <c r="AH170">
        <f t="shared" si="83"/>
        <v>4</v>
      </c>
      <c r="AI170">
        <f t="shared" si="83"/>
        <v>4</v>
      </c>
      <c r="AJ170">
        <f t="shared" si="83"/>
        <v>4</v>
      </c>
      <c r="AK170">
        <f t="shared" si="83"/>
        <v>4</v>
      </c>
      <c r="AL170">
        <f t="shared" si="83"/>
        <v>4</v>
      </c>
    </row>
    <row r="171" spans="4:38" x14ac:dyDescent="0.25">
      <c r="D171" t="s">
        <v>1218</v>
      </c>
      <c r="H171">
        <v>2020</v>
      </c>
      <c r="I171" t="s">
        <v>624</v>
      </c>
      <c r="K171">
        <f>INF_Data!E485</f>
        <v>4</v>
      </c>
      <c r="L171">
        <f t="shared" ref="L171:AA186" si="84">K171</f>
        <v>4</v>
      </c>
      <c r="M171">
        <f t="shared" si="84"/>
        <v>4</v>
      </c>
      <c r="N171">
        <f t="shared" si="84"/>
        <v>4</v>
      </c>
      <c r="O171">
        <f t="shared" si="84"/>
        <v>4</v>
      </c>
      <c r="P171">
        <f t="shared" si="84"/>
        <v>4</v>
      </c>
      <c r="Q171">
        <f t="shared" si="84"/>
        <v>4</v>
      </c>
      <c r="R171">
        <f t="shared" si="84"/>
        <v>4</v>
      </c>
      <c r="S171">
        <f t="shared" si="84"/>
        <v>4</v>
      </c>
      <c r="T171">
        <f t="shared" si="84"/>
        <v>4</v>
      </c>
      <c r="U171">
        <f t="shared" si="84"/>
        <v>4</v>
      </c>
      <c r="V171">
        <f t="shared" si="84"/>
        <v>4</v>
      </c>
      <c r="W171">
        <f t="shared" si="84"/>
        <v>4</v>
      </c>
      <c r="X171">
        <f t="shared" si="84"/>
        <v>4</v>
      </c>
      <c r="Y171">
        <f t="shared" si="84"/>
        <v>4</v>
      </c>
      <c r="Z171">
        <f t="shared" si="84"/>
        <v>4</v>
      </c>
      <c r="AA171">
        <f t="shared" si="84"/>
        <v>4</v>
      </c>
      <c r="AB171">
        <f t="shared" si="83"/>
        <v>4</v>
      </c>
      <c r="AC171">
        <f t="shared" si="83"/>
        <v>4</v>
      </c>
      <c r="AD171">
        <f t="shared" si="83"/>
        <v>4</v>
      </c>
      <c r="AE171">
        <f t="shared" si="83"/>
        <v>4</v>
      </c>
      <c r="AF171">
        <f t="shared" si="83"/>
        <v>4</v>
      </c>
      <c r="AG171">
        <f t="shared" si="83"/>
        <v>4</v>
      </c>
      <c r="AH171">
        <f t="shared" si="83"/>
        <v>4</v>
      </c>
      <c r="AI171">
        <f t="shared" si="83"/>
        <v>4</v>
      </c>
      <c r="AJ171">
        <f t="shared" si="83"/>
        <v>4</v>
      </c>
      <c r="AK171">
        <f t="shared" si="83"/>
        <v>4</v>
      </c>
      <c r="AL171">
        <f t="shared" si="83"/>
        <v>4</v>
      </c>
    </row>
    <row r="172" spans="4:38" x14ac:dyDescent="0.25">
      <c r="D172" t="s">
        <v>1220</v>
      </c>
      <c r="H172">
        <v>2025</v>
      </c>
      <c r="I172" t="s">
        <v>624</v>
      </c>
      <c r="K172">
        <f>K166</f>
        <v>4</v>
      </c>
      <c r="L172">
        <f t="shared" si="84"/>
        <v>4</v>
      </c>
      <c r="M172">
        <f t="shared" si="84"/>
        <v>4</v>
      </c>
      <c r="N172">
        <f t="shared" si="84"/>
        <v>4</v>
      </c>
      <c r="O172">
        <f t="shared" si="84"/>
        <v>4</v>
      </c>
      <c r="P172">
        <f t="shared" si="84"/>
        <v>4</v>
      </c>
      <c r="Q172">
        <f t="shared" si="84"/>
        <v>4</v>
      </c>
      <c r="R172">
        <f t="shared" si="84"/>
        <v>4</v>
      </c>
      <c r="S172">
        <f t="shared" si="84"/>
        <v>4</v>
      </c>
      <c r="T172">
        <f t="shared" si="84"/>
        <v>4</v>
      </c>
      <c r="U172">
        <f t="shared" si="84"/>
        <v>4</v>
      </c>
      <c r="V172">
        <f t="shared" si="84"/>
        <v>4</v>
      </c>
      <c r="W172">
        <f t="shared" si="84"/>
        <v>4</v>
      </c>
      <c r="X172">
        <f t="shared" si="84"/>
        <v>4</v>
      </c>
      <c r="Y172">
        <f t="shared" si="84"/>
        <v>4</v>
      </c>
      <c r="Z172">
        <f t="shared" si="84"/>
        <v>4</v>
      </c>
      <c r="AA172">
        <f t="shared" si="84"/>
        <v>4</v>
      </c>
      <c r="AB172">
        <f t="shared" si="83"/>
        <v>4</v>
      </c>
      <c r="AC172">
        <f t="shared" si="83"/>
        <v>4</v>
      </c>
      <c r="AD172">
        <f t="shared" si="83"/>
        <v>4</v>
      </c>
      <c r="AE172">
        <f t="shared" si="83"/>
        <v>4</v>
      </c>
      <c r="AF172">
        <f t="shared" si="83"/>
        <v>4</v>
      </c>
      <c r="AG172">
        <f t="shared" si="83"/>
        <v>4</v>
      </c>
      <c r="AH172">
        <f t="shared" si="83"/>
        <v>4</v>
      </c>
      <c r="AI172">
        <f t="shared" si="83"/>
        <v>4</v>
      </c>
      <c r="AJ172">
        <f t="shared" si="83"/>
        <v>4</v>
      </c>
      <c r="AK172">
        <f t="shared" si="83"/>
        <v>4</v>
      </c>
      <c r="AL172">
        <f t="shared" si="83"/>
        <v>4</v>
      </c>
    </row>
    <row r="173" spans="4:38" x14ac:dyDescent="0.25">
      <c r="D173" t="s">
        <v>1222</v>
      </c>
      <c r="H173">
        <v>2025</v>
      </c>
      <c r="I173" t="s">
        <v>624</v>
      </c>
      <c r="K173">
        <f t="shared" ref="K173:K177" si="85">K167</f>
        <v>4</v>
      </c>
      <c r="L173">
        <f t="shared" si="84"/>
        <v>4</v>
      </c>
      <c r="M173">
        <f t="shared" si="84"/>
        <v>4</v>
      </c>
      <c r="N173">
        <f t="shared" si="84"/>
        <v>4</v>
      </c>
      <c r="O173">
        <f t="shared" si="84"/>
        <v>4</v>
      </c>
      <c r="P173">
        <f t="shared" si="84"/>
        <v>4</v>
      </c>
      <c r="Q173">
        <f t="shared" si="84"/>
        <v>4</v>
      </c>
      <c r="R173">
        <f t="shared" si="84"/>
        <v>4</v>
      </c>
      <c r="S173">
        <f t="shared" si="84"/>
        <v>4</v>
      </c>
      <c r="T173">
        <f t="shared" si="84"/>
        <v>4</v>
      </c>
      <c r="U173">
        <f t="shared" si="84"/>
        <v>4</v>
      </c>
      <c r="V173">
        <f t="shared" si="84"/>
        <v>4</v>
      </c>
      <c r="W173">
        <f t="shared" si="84"/>
        <v>4</v>
      </c>
      <c r="X173">
        <f t="shared" si="84"/>
        <v>4</v>
      </c>
      <c r="Y173">
        <f t="shared" si="84"/>
        <v>4</v>
      </c>
      <c r="Z173">
        <f t="shared" si="84"/>
        <v>4</v>
      </c>
      <c r="AA173">
        <f t="shared" si="84"/>
        <v>4</v>
      </c>
      <c r="AB173">
        <f t="shared" si="83"/>
        <v>4</v>
      </c>
      <c r="AC173">
        <f t="shared" si="83"/>
        <v>4</v>
      </c>
      <c r="AD173">
        <f t="shared" si="83"/>
        <v>4</v>
      </c>
      <c r="AE173">
        <f t="shared" si="83"/>
        <v>4</v>
      </c>
      <c r="AF173">
        <f t="shared" si="83"/>
        <v>4</v>
      </c>
      <c r="AG173">
        <f t="shared" si="83"/>
        <v>4</v>
      </c>
      <c r="AH173">
        <f t="shared" si="83"/>
        <v>4</v>
      </c>
      <c r="AI173">
        <f t="shared" si="83"/>
        <v>4</v>
      </c>
      <c r="AJ173">
        <f t="shared" si="83"/>
        <v>4</v>
      </c>
      <c r="AK173">
        <f t="shared" si="83"/>
        <v>4</v>
      </c>
      <c r="AL173">
        <f t="shared" si="83"/>
        <v>4</v>
      </c>
    </row>
    <row r="174" spans="4:38" x14ac:dyDescent="0.25">
      <c r="D174" t="s">
        <v>1224</v>
      </c>
      <c r="H174">
        <v>2025</v>
      </c>
      <c r="I174" t="s">
        <v>624</v>
      </c>
      <c r="K174">
        <f t="shared" si="85"/>
        <v>4</v>
      </c>
      <c r="L174">
        <f t="shared" si="84"/>
        <v>4</v>
      </c>
      <c r="M174">
        <f t="shared" si="84"/>
        <v>4</v>
      </c>
      <c r="N174">
        <f t="shared" si="84"/>
        <v>4</v>
      </c>
      <c r="O174">
        <f t="shared" si="84"/>
        <v>4</v>
      </c>
      <c r="P174">
        <f t="shared" si="84"/>
        <v>4</v>
      </c>
      <c r="Q174">
        <f t="shared" si="84"/>
        <v>4</v>
      </c>
      <c r="R174">
        <f t="shared" si="84"/>
        <v>4</v>
      </c>
      <c r="S174">
        <f t="shared" si="84"/>
        <v>4</v>
      </c>
      <c r="T174">
        <f t="shared" si="84"/>
        <v>4</v>
      </c>
      <c r="U174">
        <f t="shared" si="84"/>
        <v>4</v>
      </c>
      <c r="V174">
        <f t="shared" si="84"/>
        <v>4</v>
      </c>
      <c r="W174">
        <f t="shared" si="84"/>
        <v>4</v>
      </c>
      <c r="X174">
        <f t="shared" si="84"/>
        <v>4</v>
      </c>
      <c r="Y174">
        <f t="shared" si="84"/>
        <v>4</v>
      </c>
      <c r="Z174">
        <f t="shared" si="84"/>
        <v>4</v>
      </c>
      <c r="AA174">
        <f t="shared" si="84"/>
        <v>4</v>
      </c>
      <c r="AB174">
        <f t="shared" si="83"/>
        <v>4</v>
      </c>
      <c r="AC174">
        <f t="shared" si="83"/>
        <v>4</v>
      </c>
      <c r="AD174">
        <f t="shared" si="83"/>
        <v>4</v>
      </c>
      <c r="AE174">
        <f t="shared" si="83"/>
        <v>4</v>
      </c>
      <c r="AF174">
        <f t="shared" si="83"/>
        <v>4</v>
      </c>
      <c r="AG174">
        <f t="shared" si="83"/>
        <v>4</v>
      </c>
      <c r="AH174">
        <f t="shared" si="83"/>
        <v>4</v>
      </c>
      <c r="AI174">
        <f t="shared" si="83"/>
        <v>4</v>
      </c>
      <c r="AJ174">
        <f t="shared" si="83"/>
        <v>4</v>
      </c>
      <c r="AK174">
        <f t="shared" si="83"/>
        <v>4</v>
      </c>
      <c r="AL174">
        <f t="shared" si="83"/>
        <v>4</v>
      </c>
    </row>
    <row r="175" spans="4:38" x14ac:dyDescent="0.25">
      <c r="D175" t="s">
        <v>1226</v>
      </c>
      <c r="H175">
        <v>2025</v>
      </c>
      <c r="I175" t="s">
        <v>624</v>
      </c>
      <c r="K175">
        <f t="shared" si="85"/>
        <v>4</v>
      </c>
      <c r="L175">
        <f t="shared" si="84"/>
        <v>4</v>
      </c>
      <c r="M175">
        <f t="shared" si="84"/>
        <v>4</v>
      </c>
      <c r="N175">
        <f t="shared" si="84"/>
        <v>4</v>
      </c>
      <c r="O175">
        <f t="shared" si="84"/>
        <v>4</v>
      </c>
      <c r="P175">
        <f t="shared" si="84"/>
        <v>4</v>
      </c>
      <c r="Q175">
        <f t="shared" si="84"/>
        <v>4</v>
      </c>
      <c r="R175">
        <f t="shared" si="84"/>
        <v>4</v>
      </c>
      <c r="S175">
        <f t="shared" si="84"/>
        <v>4</v>
      </c>
      <c r="T175">
        <f t="shared" si="84"/>
        <v>4</v>
      </c>
      <c r="U175">
        <f t="shared" si="84"/>
        <v>4</v>
      </c>
      <c r="V175">
        <f t="shared" si="84"/>
        <v>4</v>
      </c>
      <c r="W175">
        <f t="shared" si="84"/>
        <v>4</v>
      </c>
      <c r="X175">
        <f t="shared" si="84"/>
        <v>4</v>
      </c>
      <c r="Y175">
        <f t="shared" si="84"/>
        <v>4</v>
      </c>
      <c r="Z175">
        <f t="shared" si="84"/>
        <v>4</v>
      </c>
      <c r="AA175">
        <f t="shared" si="84"/>
        <v>4</v>
      </c>
      <c r="AB175">
        <f t="shared" si="83"/>
        <v>4</v>
      </c>
      <c r="AC175">
        <f t="shared" si="83"/>
        <v>4</v>
      </c>
      <c r="AD175">
        <f t="shared" si="83"/>
        <v>4</v>
      </c>
      <c r="AE175">
        <f t="shared" si="83"/>
        <v>4</v>
      </c>
      <c r="AF175">
        <f t="shared" si="83"/>
        <v>4</v>
      </c>
      <c r="AG175">
        <f t="shared" si="83"/>
        <v>4</v>
      </c>
      <c r="AH175">
        <f t="shared" si="83"/>
        <v>4</v>
      </c>
      <c r="AI175">
        <f t="shared" si="83"/>
        <v>4</v>
      </c>
      <c r="AJ175">
        <f t="shared" si="83"/>
        <v>4</v>
      </c>
      <c r="AK175">
        <f t="shared" si="83"/>
        <v>4</v>
      </c>
      <c r="AL175">
        <f t="shared" si="83"/>
        <v>4</v>
      </c>
    </row>
    <row r="176" spans="4:38" x14ac:dyDescent="0.25">
      <c r="D176" t="s">
        <v>1228</v>
      </c>
      <c r="H176">
        <v>2025</v>
      </c>
      <c r="I176" t="s">
        <v>624</v>
      </c>
      <c r="K176">
        <f t="shared" si="85"/>
        <v>4</v>
      </c>
      <c r="L176">
        <f t="shared" si="84"/>
        <v>4</v>
      </c>
      <c r="M176">
        <f t="shared" si="84"/>
        <v>4</v>
      </c>
      <c r="N176">
        <f t="shared" si="84"/>
        <v>4</v>
      </c>
      <c r="O176">
        <f t="shared" si="84"/>
        <v>4</v>
      </c>
      <c r="P176">
        <f t="shared" si="84"/>
        <v>4</v>
      </c>
      <c r="Q176">
        <f t="shared" si="84"/>
        <v>4</v>
      </c>
      <c r="R176">
        <f t="shared" si="84"/>
        <v>4</v>
      </c>
      <c r="S176">
        <f t="shared" si="84"/>
        <v>4</v>
      </c>
      <c r="T176">
        <f t="shared" si="84"/>
        <v>4</v>
      </c>
      <c r="U176">
        <f t="shared" si="84"/>
        <v>4</v>
      </c>
      <c r="V176">
        <f t="shared" si="84"/>
        <v>4</v>
      </c>
      <c r="W176">
        <f t="shared" si="84"/>
        <v>4</v>
      </c>
      <c r="X176">
        <f t="shared" si="84"/>
        <v>4</v>
      </c>
      <c r="Y176">
        <f t="shared" si="84"/>
        <v>4</v>
      </c>
      <c r="Z176">
        <f t="shared" si="84"/>
        <v>4</v>
      </c>
      <c r="AA176">
        <f t="shared" si="84"/>
        <v>4</v>
      </c>
      <c r="AB176">
        <f t="shared" si="83"/>
        <v>4</v>
      </c>
      <c r="AC176">
        <f t="shared" si="83"/>
        <v>4</v>
      </c>
      <c r="AD176">
        <f t="shared" si="83"/>
        <v>4</v>
      </c>
      <c r="AE176">
        <f t="shared" si="83"/>
        <v>4</v>
      </c>
      <c r="AF176">
        <f t="shared" si="83"/>
        <v>4</v>
      </c>
      <c r="AG176">
        <f t="shared" si="83"/>
        <v>4</v>
      </c>
      <c r="AH176">
        <f t="shared" si="83"/>
        <v>4</v>
      </c>
      <c r="AI176">
        <f t="shared" si="83"/>
        <v>4</v>
      </c>
      <c r="AJ176">
        <f t="shared" si="83"/>
        <v>4</v>
      </c>
      <c r="AK176">
        <f t="shared" si="83"/>
        <v>4</v>
      </c>
      <c r="AL176">
        <f t="shared" si="83"/>
        <v>4</v>
      </c>
    </row>
    <row r="177" spans="4:38" x14ac:dyDescent="0.25">
      <c r="D177" t="s">
        <v>1230</v>
      </c>
      <c r="H177">
        <v>2025</v>
      </c>
      <c r="I177" t="s">
        <v>624</v>
      </c>
      <c r="K177">
        <f t="shared" si="85"/>
        <v>4</v>
      </c>
      <c r="L177">
        <f t="shared" si="84"/>
        <v>4</v>
      </c>
      <c r="M177">
        <f t="shared" si="84"/>
        <v>4</v>
      </c>
      <c r="N177">
        <f t="shared" si="84"/>
        <v>4</v>
      </c>
      <c r="O177">
        <f t="shared" si="84"/>
        <v>4</v>
      </c>
      <c r="P177">
        <f t="shared" si="84"/>
        <v>4</v>
      </c>
      <c r="Q177">
        <f t="shared" si="84"/>
        <v>4</v>
      </c>
      <c r="R177">
        <f t="shared" si="84"/>
        <v>4</v>
      </c>
      <c r="S177">
        <f t="shared" si="84"/>
        <v>4</v>
      </c>
      <c r="T177">
        <f t="shared" si="84"/>
        <v>4</v>
      </c>
      <c r="U177">
        <f t="shared" si="84"/>
        <v>4</v>
      </c>
      <c r="V177">
        <f t="shared" si="84"/>
        <v>4</v>
      </c>
      <c r="W177">
        <f t="shared" si="84"/>
        <v>4</v>
      </c>
      <c r="X177">
        <f t="shared" si="84"/>
        <v>4</v>
      </c>
      <c r="Y177">
        <f t="shared" si="84"/>
        <v>4</v>
      </c>
      <c r="Z177">
        <f t="shared" si="84"/>
        <v>4</v>
      </c>
      <c r="AA177">
        <f t="shared" si="84"/>
        <v>4</v>
      </c>
      <c r="AB177">
        <f t="shared" si="83"/>
        <v>4</v>
      </c>
      <c r="AC177">
        <f t="shared" si="83"/>
        <v>4</v>
      </c>
      <c r="AD177">
        <f t="shared" si="83"/>
        <v>4</v>
      </c>
      <c r="AE177">
        <f t="shared" si="83"/>
        <v>4</v>
      </c>
      <c r="AF177">
        <f t="shared" si="83"/>
        <v>4</v>
      </c>
      <c r="AG177">
        <f t="shared" si="83"/>
        <v>4</v>
      </c>
      <c r="AH177">
        <f t="shared" si="83"/>
        <v>4</v>
      </c>
      <c r="AI177">
        <f t="shared" si="83"/>
        <v>4</v>
      </c>
      <c r="AJ177">
        <f t="shared" si="83"/>
        <v>4</v>
      </c>
      <c r="AK177">
        <f t="shared" si="83"/>
        <v>4</v>
      </c>
      <c r="AL177">
        <f t="shared" si="83"/>
        <v>4</v>
      </c>
    </row>
    <row r="178" spans="4:38" x14ac:dyDescent="0.25">
      <c r="D178" t="s">
        <v>1232</v>
      </c>
      <c r="H178">
        <v>2020</v>
      </c>
      <c r="I178" t="s">
        <v>624</v>
      </c>
      <c r="K178">
        <f>INF_Data!E487</f>
        <v>6</v>
      </c>
      <c r="L178">
        <f t="shared" si="84"/>
        <v>6</v>
      </c>
      <c r="M178">
        <f t="shared" si="84"/>
        <v>6</v>
      </c>
      <c r="N178">
        <f t="shared" si="84"/>
        <v>6</v>
      </c>
      <c r="O178">
        <f t="shared" si="84"/>
        <v>6</v>
      </c>
      <c r="P178">
        <f t="shared" si="84"/>
        <v>6</v>
      </c>
      <c r="Q178">
        <f t="shared" si="84"/>
        <v>6</v>
      </c>
      <c r="R178">
        <f t="shared" si="84"/>
        <v>6</v>
      </c>
      <c r="S178">
        <f t="shared" si="84"/>
        <v>6</v>
      </c>
      <c r="T178">
        <f t="shared" si="84"/>
        <v>6</v>
      </c>
      <c r="U178">
        <f t="shared" si="84"/>
        <v>6</v>
      </c>
      <c r="V178">
        <f t="shared" si="84"/>
        <v>6</v>
      </c>
      <c r="W178">
        <f t="shared" si="84"/>
        <v>6</v>
      </c>
      <c r="X178">
        <f t="shared" si="84"/>
        <v>6</v>
      </c>
      <c r="Y178">
        <f t="shared" si="84"/>
        <v>6</v>
      </c>
      <c r="Z178">
        <f t="shared" si="84"/>
        <v>6</v>
      </c>
      <c r="AA178">
        <f t="shared" si="84"/>
        <v>6</v>
      </c>
      <c r="AB178">
        <f t="shared" si="83"/>
        <v>6</v>
      </c>
      <c r="AC178">
        <f t="shared" si="83"/>
        <v>6</v>
      </c>
      <c r="AD178">
        <f t="shared" si="83"/>
        <v>6</v>
      </c>
      <c r="AE178">
        <f t="shared" si="83"/>
        <v>6</v>
      </c>
      <c r="AF178">
        <f t="shared" si="83"/>
        <v>6</v>
      </c>
      <c r="AG178">
        <f t="shared" si="83"/>
        <v>6</v>
      </c>
      <c r="AH178">
        <f t="shared" si="83"/>
        <v>6</v>
      </c>
      <c r="AI178">
        <f t="shared" si="83"/>
        <v>6</v>
      </c>
      <c r="AJ178">
        <f t="shared" si="83"/>
        <v>6</v>
      </c>
      <c r="AK178">
        <f t="shared" si="83"/>
        <v>6</v>
      </c>
      <c r="AL178">
        <f t="shared" si="83"/>
        <v>6</v>
      </c>
    </row>
    <row r="179" spans="4:38" x14ac:dyDescent="0.25">
      <c r="D179" t="s">
        <v>1234</v>
      </c>
      <c r="H179">
        <v>2020</v>
      </c>
      <c r="I179" t="s">
        <v>624</v>
      </c>
      <c r="K179">
        <f>K178</f>
        <v>6</v>
      </c>
      <c r="L179">
        <f t="shared" si="84"/>
        <v>6</v>
      </c>
      <c r="M179">
        <f t="shared" si="84"/>
        <v>6</v>
      </c>
      <c r="N179">
        <f t="shared" si="84"/>
        <v>6</v>
      </c>
      <c r="O179">
        <f t="shared" si="84"/>
        <v>6</v>
      </c>
      <c r="P179">
        <f t="shared" si="84"/>
        <v>6</v>
      </c>
      <c r="Q179">
        <f t="shared" si="84"/>
        <v>6</v>
      </c>
      <c r="R179">
        <f t="shared" si="84"/>
        <v>6</v>
      </c>
      <c r="S179">
        <f t="shared" si="84"/>
        <v>6</v>
      </c>
      <c r="T179">
        <f t="shared" si="84"/>
        <v>6</v>
      </c>
      <c r="U179">
        <f t="shared" si="84"/>
        <v>6</v>
      </c>
      <c r="V179">
        <f t="shared" si="84"/>
        <v>6</v>
      </c>
      <c r="W179">
        <f t="shared" si="84"/>
        <v>6</v>
      </c>
      <c r="X179">
        <f t="shared" si="84"/>
        <v>6</v>
      </c>
      <c r="Y179">
        <f t="shared" si="84"/>
        <v>6</v>
      </c>
      <c r="Z179">
        <f t="shared" si="84"/>
        <v>6</v>
      </c>
      <c r="AA179">
        <f t="shared" si="84"/>
        <v>6</v>
      </c>
      <c r="AB179">
        <f t="shared" si="83"/>
        <v>6</v>
      </c>
      <c r="AC179">
        <f t="shared" si="83"/>
        <v>6</v>
      </c>
      <c r="AD179">
        <f t="shared" si="83"/>
        <v>6</v>
      </c>
      <c r="AE179">
        <f t="shared" si="83"/>
        <v>6</v>
      </c>
      <c r="AF179">
        <f t="shared" si="83"/>
        <v>6</v>
      </c>
      <c r="AG179">
        <f t="shared" si="83"/>
        <v>6</v>
      </c>
      <c r="AH179">
        <f t="shared" si="83"/>
        <v>6</v>
      </c>
      <c r="AI179">
        <f t="shared" si="83"/>
        <v>6</v>
      </c>
      <c r="AJ179">
        <f t="shared" si="83"/>
        <v>6</v>
      </c>
      <c r="AK179">
        <f t="shared" si="83"/>
        <v>6</v>
      </c>
      <c r="AL179">
        <f t="shared" si="83"/>
        <v>6</v>
      </c>
    </row>
    <row r="180" spans="4:38" x14ac:dyDescent="0.25">
      <c r="D180" t="s">
        <v>1236</v>
      </c>
      <c r="H180">
        <v>2020</v>
      </c>
      <c r="I180" t="s">
        <v>624</v>
      </c>
      <c r="K180">
        <f t="shared" ref="K180:Z187" si="86">K179</f>
        <v>6</v>
      </c>
      <c r="L180">
        <f t="shared" si="84"/>
        <v>6</v>
      </c>
      <c r="M180">
        <f t="shared" si="84"/>
        <v>6</v>
      </c>
      <c r="N180">
        <f t="shared" si="84"/>
        <v>6</v>
      </c>
      <c r="O180">
        <f t="shared" si="84"/>
        <v>6</v>
      </c>
      <c r="P180">
        <f t="shared" si="84"/>
        <v>6</v>
      </c>
      <c r="Q180">
        <f t="shared" si="84"/>
        <v>6</v>
      </c>
      <c r="R180">
        <f t="shared" si="84"/>
        <v>6</v>
      </c>
      <c r="S180">
        <f t="shared" si="84"/>
        <v>6</v>
      </c>
      <c r="T180">
        <f t="shared" si="84"/>
        <v>6</v>
      </c>
      <c r="U180">
        <f t="shared" si="84"/>
        <v>6</v>
      </c>
      <c r="V180">
        <f t="shared" si="84"/>
        <v>6</v>
      </c>
      <c r="W180">
        <f t="shared" si="84"/>
        <v>6</v>
      </c>
      <c r="X180">
        <f t="shared" si="84"/>
        <v>6</v>
      </c>
      <c r="Y180">
        <f t="shared" si="84"/>
        <v>6</v>
      </c>
      <c r="Z180">
        <f t="shared" si="84"/>
        <v>6</v>
      </c>
      <c r="AA180">
        <f t="shared" si="84"/>
        <v>6</v>
      </c>
      <c r="AB180">
        <f t="shared" si="83"/>
        <v>6</v>
      </c>
      <c r="AC180">
        <f t="shared" si="83"/>
        <v>6</v>
      </c>
      <c r="AD180">
        <f t="shared" si="83"/>
        <v>6</v>
      </c>
      <c r="AE180">
        <f t="shared" si="83"/>
        <v>6</v>
      </c>
      <c r="AF180">
        <f t="shared" si="83"/>
        <v>6</v>
      </c>
      <c r="AG180">
        <f t="shared" si="83"/>
        <v>6</v>
      </c>
      <c r="AH180">
        <f t="shared" si="83"/>
        <v>6</v>
      </c>
      <c r="AI180">
        <f t="shared" si="83"/>
        <v>6</v>
      </c>
      <c r="AJ180">
        <f t="shared" si="83"/>
        <v>6</v>
      </c>
      <c r="AK180">
        <f t="shared" si="83"/>
        <v>6</v>
      </c>
      <c r="AL180">
        <f t="shared" si="83"/>
        <v>6</v>
      </c>
    </row>
    <row r="181" spans="4:38" x14ac:dyDescent="0.25">
      <c r="D181" t="s">
        <v>1238</v>
      </c>
      <c r="H181">
        <v>2020</v>
      </c>
      <c r="I181" t="s">
        <v>624</v>
      </c>
      <c r="K181">
        <f t="shared" si="86"/>
        <v>6</v>
      </c>
      <c r="L181">
        <f t="shared" si="84"/>
        <v>6</v>
      </c>
      <c r="M181">
        <f t="shared" si="84"/>
        <v>6</v>
      </c>
      <c r="N181">
        <f t="shared" si="84"/>
        <v>6</v>
      </c>
      <c r="O181">
        <f t="shared" si="84"/>
        <v>6</v>
      </c>
      <c r="P181">
        <f t="shared" si="84"/>
        <v>6</v>
      </c>
      <c r="Q181">
        <f t="shared" si="84"/>
        <v>6</v>
      </c>
      <c r="R181">
        <f t="shared" si="84"/>
        <v>6</v>
      </c>
      <c r="S181">
        <f t="shared" si="84"/>
        <v>6</v>
      </c>
      <c r="T181">
        <f t="shared" si="84"/>
        <v>6</v>
      </c>
      <c r="U181">
        <f t="shared" si="84"/>
        <v>6</v>
      </c>
      <c r="V181">
        <f t="shared" si="84"/>
        <v>6</v>
      </c>
      <c r="W181">
        <f t="shared" si="84"/>
        <v>6</v>
      </c>
      <c r="X181">
        <f t="shared" si="84"/>
        <v>6</v>
      </c>
      <c r="Y181">
        <f t="shared" si="84"/>
        <v>6</v>
      </c>
      <c r="Z181">
        <f t="shared" si="84"/>
        <v>6</v>
      </c>
      <c r="AA181">
        <f t="shared" si="84"/>
        <v>6</v>
      </c>
      <c r="AB181">
        <f t="shared" si="83"/>
        <v>6</v>
      </c>
      <c r="AC181">
        <f t="shared" si="83"/>
        <v>6</v>
      </c>
      <c r="AD181">
        <f t="shared" si="83"/>
        <v>6</v>
      </c>
      <c r="AE181">
        <f t="shared" si="83"/>
        <v>6</v>
      </c>
      <c r="AF181">
        <f t="shared" si="83"/>
        <v>6</v>
      </c>
      <c r="AG181">
        <f t="shared" si="83"/>
        <v>6</v>
      </c>
      <c r="AH181">
        <f t="shared" si="83"/>
        <v>6</v>
      </c>
      <c r="AI181">
        <f t="shared" si="83"/>
        <v>6</v>
      </c>
      <c r="AJ181">
        <f t="shared" si="83"/>
        <v>6</v>
      </c>
      <c r="AK181">
        <f t="shared" si="83"/>
        <v>6</v>
      </c>
      <c r="AL181">
        <f t="shared" si="83"/>
        <v>6</v>
      </c>
    </row>
    <row r="182" spans="4:38" x14ac:dyDescent="0.25">
      <c r="D182" t="s">
        <v>1240</v>
      </c>
      <c r="H182">
        <v>2020</v>
      </c>
      <c r="I182" t="s">
        <v>624</v>
      </c>
      <c r="K182">
        <f t="shared" si="86"/>
        <v>6</v>
      </c>
      <c r="L182">
        <f t="shared" si="84"/>
        <v>6</v>
      </c>
      <c r="M182">
        <f t="shared" si="84"/>
        <v>6</v>
      </c>
      <c r="N182">
        <f t="shared" si="84"/>
        <v>6</v>
      </c>
      <c r="O182">
        <f t="shared" si="84"/>
        <v>6</v>
      </c>
      <c r="P182">
        <f t="shared" si="84"/>
        <v>6</v>
      </c>
      <c r="Q182">
        <f t="shared" si="84"/>
        <v>6</v>
      </c>
      <c r="R182">
        <f t="shared" si="84"/>
        <v>6</v>
      </c>
      <c r="S182">
        <f t="shared" si="84"/>
        <v>6</v>
      </c>
      <c r="T182">
        <f t="shared" si="84"/>
        <v>6</v>
      </c>
      <c r="U182">
        <f t="shared" si="84"/>
        <v>6</v>
      </c>
      <c r="V182">
        <f t="shared" si="84"/>
        <v>6</v>
      </c>
      <c r="W182">
        <f t="shared" si="84"/>
        <v>6</v>
      </c>
      <c r="X182">
        <f t="shared" si="84"/>
        <v>6</v>
      </c>
      <c r="Y182">
        <f t="shared" si="84"/>
        <v>6</v>
      </c>
      <c r="Z182">
        <f t="shared" si="84"/>
        <v>6</v>
      </c>
      <c r="AA182">
        <f t="shared" si="84"/>
        <v>6</v>
      </c>
      <c r="AB182">
        <f t="shared" si="83"/>
        <v>6</v>
      </c>
      <c r="AC182">
        <f t="shared" si="83"/>
        <v>6</v>
      </c>
      <c r="AD182">
        <f t="shared" si="83"/>
        <v>6</v>
      </c>
      <c r="AE182">
        <f t="shared" si="83"/>
        <v>6</v>
      </c>
      <c r="AF182">
        <f t="shared" si="83"/>
        <v>6</v>
      </c>
      <c r="AG182">
        <f t="shared" si="83"/>
        <v>6</v>
      </c>
      <c r="AH182">
        <f t="shared" si="83"/>
        <v>6</v>
      </c>
      <c r="AI182">
        <f t="shared" si="83"/>
        <v>6</v>
      </c>
      <c r="AJ182">
        <f t="shared" si="83"/>
        <v>6</v>
      </c>
      <c r="AK182">
        <f t="shared" si="83"/>
        <v>6</v>
      </c>
      <c r="AL182">
        <f t="shared" si="83"/>
        <v>6</v>
      </c>
    </row>
    <row r="183" spans="4:38" x14ac:dyDescent="0.25">
      <c r="D183" t="s">
        <v>1242</v>
      </c>
      <c r="H183">
        <v>2020</v>
      </c>
      <c r="I183" t="s">
        <v>624</v>
      </c>
      <c r="K183">
        <f t="shared" si="86"/>
        <v>6</v>
      </c>
      <c r="L183">
        <f t="shared" si="84"/>
        <v>6</v>
      </c>
      <c r="M183">
        <f t="shared" si="84"/>
        <v>6</v>
      </c>
      <c r="N183">
        <f t="shared" si="84"/>
        <v>6</v>
      </c>
      <c r="O183">
        <f t="shared" si="84"/>
        <v>6</v>
      </c>
      <c r="P183">
        <f t="shared" si="84"/>
        <v>6</v>
      </c>
      <c r="Q183">
        <f t="shared" si="84"/>
        <v>6</v>
      </c>
      <c r="R183">
        <f t="shared" si="84"/>
        <v>6</v>
      </c>
      <c r="S183">
        <f t="shared" si="84"/>
        <v>6</v>
      </c>
      <c r="T183">
        <f t="shared" si="84"/>
        <v>6</v>
      </c>
      <c r="U183">
        <f t="shared" si="84"/>
        <v>6</v>
      </c>
      <c r="V183">
        <f t="shared" si="84"/>
        <v>6</v>
      </c>
      <c r="W183">
        <f t="shared" si="84"/>
        <v>6</v>
      </c>
      <c r="X183">
        <f t="shared" si="84"/>
        <v>6</v>
      </c>
      <c r="Y183">
        <f t="shared" si="84"/>
        <v>6</v>
      </c>
      <c r="Z183">
        <f t="shared" si="84"/>
        <v>6</v>
      </c>
      <c r="AA183">
        <f t="shared" si="84"/>
        <v>6</v>
      </c>
      <c r="AB183">
        <f t="shared" si="83"/>
        <v>6</v>
      </c>
      <c r="AC183">
        <f t="shared" si="83"/>
        <v>6</v>
      </c>
      <c r="AD183">
        <f t="shared" si="83"/>
        <v>6</v>
      </c>
      <c r="AE183">
        <f t="shared" si="83"/>
        <v>6</v>
      </c>
      <c r="AF183">
        <f t="shared" si="83"/>
        <v>6</v>
      </c>
      <c r="AG183">
        <f t="shared" si="83"/>
        <v>6</v>
      </c>
      <c r="AH183">
        <f t="shared" si="83"/>
        <v>6</v>
      </c>
      <c r="AI183">
        <f t="shared" si="83"/>
        <v>6</v>
      </c>
      <c r="AJ183">
        <f t="shared" si="83"/>
        <v>6</v>
      </c>
      <c r="AK183">
        <f t="shared" si="83"/>
        <v>6</v>
      </c>
      <c r="AL183">
        <f t="shared" si="83"/>
        <v>6</v>
      </c>
    </row>
    <row r="184" spans="4:38" x14ac:dyDescent="0.25">
      <c r="D184" t="s">
        <v>1244</v>
      </c>
      <c r="H184">
        <v>2020</v>
      </c>
      <c r="I184" t="s">
        <v>624</v>
      </c>
      <c r="K184">
        <f t="shared" si="86"/>
        <v>6</v>
      </c>
      <c r="L184">
        <f t="shared" si="84"/>
        <v>6</v>
      </c>
      <c r="M184">
        <f t="shared" si="84"/>
        <v>6</v>
      </c>
      <c r="N184">
        <f t="shared" si="84"/>
        <v>6</v>
      </c>
      <c r="O184">
        <f t="shared" si="84"/>
        <v>6</v>
      </c>
      <c r="P184">
        <f t="shared" si="84"/>
        <v>6</v>
      </c>
      <c r="Q184">
        <f t="shared" si="84"/>
        <v>6</v>
      </c>
      <c r="R184">
        <f t="shared" si="84"/>
        <v>6</v>
      </c>
      <c r="S184">
        <f t="shared" si="84"/>
        <v>6</v>
      </c>
      <c r="T184">
        <f t="shared" si="84"/>
        <v>6</v>
      </c>
      <c r="U184">
        <f t="shared" si="84"/>
        <v>6</v>
      </c>
      <c r="V184">
        <f t="shared" si="84"/>
        <v>6</v>
      </c>
      <c r="W184">
        <f t="shared" si="84"/>
        <v>6</v>
      </c>
      <c r="X184">
        <f t="shared" si="84"/>
        <v>6</v>
      </c>
      <c r="Y184">
        <f t="shared" si="84"/>
        <v>6</v>
      </c>
      <c r="Z184">
        <f t="shared" si="84"/>
        <v>6</v>
      </c>
      <c r="AA184">
        <f t="shared" si="84"/>
        <v>6</v>
      </c>
      <c r="AB184">
        <f t="shared" si="83"/>
        <v>6</v>
      </c>
      <c r="AC184">
        <f t="shared" si="83"/>
        <v>6</v>
      </c>
      <c r="AD184">
        <f t="shared" si="83"/>
        <v>6</v>
      </c>
      <c r="AE184">
        <f t="shared" si="83"/>
        <v>6</v>
      </c>
      <c r="AF184">
        <f t="shared" si="83"/>
        <v>6</v>
      </c>
      <c r="AG184">
        <f t="shared" si="83"/>
        <v>6</v>
      </c>
      <c r="AH184">
        <f t="shared" si="83"/>
        <v>6</v>
      </c>
      <c r="AI184">
        <f t="shared" si="83"/>
        <v>6</v>
      </c>
      <c r="AJ184">
        <f t="shared" si="83"/>
        <v>6</v>
      </c>
      <c r="AK184">
        <f t="shared" si="83"/>
        <v>6</v>
      </c>
      <c r="AL184">
        <f t="shared" si="83"/>
        <v>6</v>
      </c>
    </row>
    <row r="185" spans="4:38" x14ac:dyDescent="0.25">
      <c r="D185" t="s">
        <v>1246</v>
      </c>
      <c r="H185">
        <v>2020</v>
      </c>
      <c r="I185" t="s">
        <v>624</v>
      </c>
      <c r="K185">
        <f t="shared" si="86"/>
        <v>6</v>
      </c>
      <c r="L185">
        <f t="shared" si="84"/>
        <v>6</v>
      </c>
      <c r="M185">
        <f t="shared" si="84"/>
        <v>6</v>
      </c>
      <c r="N185">
        <f t="shared" si="84"/>
        <v>6</v>
      </c>
      <c r="O185">
        <f t="shared" si="84"/>
        <v>6</v>
      </c>
      <c r="P185">
        <f t="shared" si="84"/>
        <v>6</v>
      </c>
      <c r="Q185">
        <f t="shared" si="84"/>
        <v>6</v>
      </c>
      <c r="R185">
        <f t="shared" si="84"/>
        <v>6</v>
      </c>
      <c r="S185">
        <f t="shared" si="84"/>
        <v>6</v>
      </c>
      <c r="T185">
        <f t="shared" si="84"/>
        <v>6</v>
      </c>
      <c r="U185">
        <f t="shared" si="84"/>
        <v>6</v>
      </c>
      <c r="V185">
        <f t="shared" si="84"/>
        <v>6</v>
      </c>
      <c r="W185">
        <f t="shared" si="84"/>
        <v>6</v>
      </c>
      <c r="X185">
        <f t="shared" si="84"/>
        <v>6</v>
      </c>
      <c r="Y185">
        <f t="shared" si="84"/>
        <v>6</v>
      </c>
      <c r="Z185">
        <f t="shared" si="84"/>
        <v>6</v>
      </c>
      <c r="AA185">
        <f t="shared" si="84"/>
        <v>6</v>
      </c>
      <c r="AB185">
        <f t="shared" si="83"/>
        <v>6</v>
      </c>
      <c r="AC185">
        <f t="shared" si="83"/>
        <v>6</v>
      </c>
      <c r="AD185">
        <f t="shared" si="83"/>
        <v>6</v>
      </c>
      <c r="AE185">
        <f t="shared" si="83"/>
        <v>6</v>
      </c>
      <c r="AF185">
        <f t="shared" si="83"/>
        <v>6</v>
      </c>
      <c r="AG185">
        <f t="shared" si="83"/>
        <v>6</v>
      </c>
      <c r="AH185">
        <f t="shared" si="83"/>
        <v>6</v>
      </c>
      <c r="AI185">
        <f t="shared" si="83"/>
        <v>6</v>
      </c>
      <c r="AJ185">
        <f t="shared" si="83"/>
        <v>6</v>
      </c>
      <c r="AK185">
        <f t="shared" si="83"/>
        <v>6</v>
      </c>
      <c r="AL185">
        <f t="shared" si="83"/>
        <v>6</v>
      </c>
    </row>
    <row r="186" spans="4:38" x14ac:dyDescent="0.25">
      <c r="D186" t="s">
        <v>1704</v>
      </c>
      <c r="H186">
        <v>2020</v>
      </c>
      <c r="I186" t="s">
        <v>624</v>
      </c>
      <c r="K186">
        <f t="shared" si="86"/>
        <v>6</v>
      </c>
      <c r="L186">
        <f t="shared" si="84"/>
        <v>6</v>
      </c>
      <c r="M186">
        <f t="shared" si="84"/>
        <v>6</v>
      </c>
      <c r="N186">
        <f t="shared" si="84"/>
        <v>6</v>
      </c>
      <c r="O186">
        <f t="shared" si="84"/>
        <v>6</v>
      </c>
      <c r="P186">
        <f t="shared" si="84"/>
        <v>6</v>
      </c>
      <c r="Q186">
        <f t="shared" si="84"/>
        <v>6</v>
      </c>
      <c r="R186">
        <f t="shared" si="84"/>
        <v>6</v>
      </c>
      <c r="S186">
        <f t="shared" si="84"/>
        <v>6</v>
      </c>
      <c r="T186">
        <f t="shared" si="84"/>
        <v>6</v>
      </c>
      <c r="U186">
        <f t="shared" si="84"/>
        <v>6</v>
      </c>
      <c r="V186">
        <f t="shared" si="84"/>
        <v>6</v>
      </c>
      <c r="W186">
        <f t="shared" si="84"/>
        <v>6</v>
      </c>
      <c r="X186">
        <f t="shared" si="84"/>
        <v>6</v>
      </c>
      <c r="Y186">
        <f t="shared" si="84"/>
        <v>6</v>
      </c>
      <c r="Z186">
        <f t="shared" si="84"/>
        <v>6</v>
      </c>
      <c r="AA186">
        <f t="shared" ref="AA186:AL186" si="87">Z186</f>
        <v>6</v>
      </c>
      <c r="AB186">
        <f t="shared" si="87"/>
        <v>6</v>
      </c>
      <c r="AC186">
        <f t="shared" si="87"/>
        <v>6</v>
      </c>
      <c r="AD186">
        <f t="shared" si="87"/>
        <v>6</v>
      </c>
      <c r="AE186">
        <f t="shared" si="87"/>
        <v>6</v>
      </c>
      <c r="AF186">
        <f t="shared" si="87"/>
        <v>6</v>
      </c>
      <c r="AG186">
        <f t="shared" si="87"/>
        <v>6</v>
      </c>
      <c r="AH186">
        <f t="shared" si="87"/>
        <v>6</v>
      </c>
      <c r="AI186">
        <f t="shared" si="87"/>
        <v>6</v>
      </c>
      <c r="AJ186">
        <f t="shared" si="87"/>
        <v>6</v>
      </c>
      <c r="AK186">
        <f t="shared" si="87"/>
        <v>6</v>
      </c>
      <c r="AL186">
        <f t="shared" si="87"/>
        <v>6</v>
      </c>
    </row>
    <row r="187" spans="4:38" x14ac:dyDescent="0.25">
      <c r="D187" t="s">
        <v>1248</v>
      </c>
      <c r="H187">
        <v>2020</v>
      </c>
      <c r="I187" t="s">
        <v>624</v>
      </c>
      <c r="K187">
        <f t="shared" si="86"/>
        <v>6</v>
      </c>
      <c r="L187">
        <f t="shared" si="86"/>
        <v>6</v>
      </c>
      <c r="M187">
        <f t="shared" si="86"/>
        <v>6</v>
      </c>
      <c r="N187">
        <f t="shared" si="86"/>
        <v>6</v>
      </c>
      <c r="O187">
        <f t="shared" si="86"/>
        <v>6</v>
      </c>
      <c r="P187">
        <f t="shared" si="86"/>
        <v>6</v>
      </c>
      <c r="Q187">
        <f t="shared" si="86"/>
        <v>6</v>
      </c>
      <c r="R187">
        <f t="shared" si="86"/>
        <v>6</v>
      </c>
      <c r="S187">
        <f t="shared" si="86"/>
        <v>6</v>
      </c>
      <c r="T187">
        <f t="shared" si="86"/>
        <v>6</v>
      </c>
      <c r="U187">
        <f t="shared" si="86"/>
        <v>6</v>
      </c>
      <c r="V187">
        <f t="shared" si="86"/>
        <v>6</v>
      </c>
      <c r="W187">
        <f t="shared" si="86"/>
        <v>6</v>
      </c>
      <c r="X187">
        <f t="shared" si="86"/>
        <v>6</v>
      </c>
      <c r="Y187">
        <f t="shared" si="86"/>
        <v>6</v>
      </c>
      <c r="Z187">
        <f t="shared" si="86"/>
        <v>6</v>
      </c>
      <c r="AA187">
        <f t="shared" ref="AA187:AL187" si="88">AA186</f>
        <v>6</v>
      </c>
      <c r="AB187">
        <f t="shared" si="88"/>
        <v>6</v>
      </c>
      <c r="AC187">
        <f t="shared" si="88"/>
        <v>6</v>
      </c>
      <c r="AD187">
        <f t="shared" si="88"/>
        <v>6</v>
      </c>
      <c r="AE187">
        <f t="shared" si="88"/>
        <v>6</v>
      </c>
      <c r="AF187">
        <f t="shared" si="88"/>
        <v>6</v>
      </c>
      <c r="AG187">
        <f t="shared" si="88"/>
        <v>6</v>
      </c>
      <c r="AH187">
        <f t="shared" si="88"/>
        <v>6</v>
      </c>
      <c r="AI187">
        <f t="shared" si="88"/>
        <v>6</v>
      </c>
      <c r="AJ187">
        <f t="shared" si="88"/>
        <v>6</v>
      </c>
      <c r="AK187">
        <f t="shared" si="88"/>
        <v>6</v>
      </c>
      <c r="AL187">
        <f t="shared" si="88"/>
        <v>6</v>
      </c>
    </row>
  </sheetData>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03D7-4264-427B-A722-99F006353784}">
  <dimension ref="B2:AK60"/>
  <sheetViews>
    <sheetView topLeftCell="A31" workbookViewId="0">
      <selection activeCell="F45" sqref="F45"/>
    </sheetView>
  </sheetViews>
  <sheetFormatPr defaultRowHeight="15" x14ac:dyDescent="0.25"/>
  <cols>
    <col min="3" max="3" width="22" customWidth="1"/>
    <col min="4" max="4" width="26.5703125" customWidth="1"/>
    <col min="5" max="5" width="25.7109375" customWidth="1"/>
    <col min="6" max="6" width="15.28515625" bestFit="1" customWidth="1"/>
    <col min="7" max="7" width="10.5703125" customWidth="1"/>
  </cols>
  <sheetData>
    <row r="2" spans="2:34" x14ac:dyDescent="0.25">
      <c r="B2" s="5" t="s">
        <v>1290</v>
      </c>
    </row>
    <row r="5" spans="2:34" x14ac:dyDescent="0.25">
      <c r="B5" t="s">
        <v>1291</v>
      </c>
    </row>
    <row r="6" spans="2:34" x14ac:dyDescent="0.25">
      <c r="B6" t="s">
        <v>1292</v>
      </c>
      <c r="C6" t="s">
        <v>327</v>
      </c>
      <c r="D6" t="s">
        <v>326</v>
      </c>
      <c r="E6" t="s">
        <v>582</v>
      </c>
      <c r="F6" t="s">
        <v>1293</v>
      </c>
      <c r="G6" t="s">
        <v>162</v>
      </c>
      <c r="H6" s="485" t="s">
        <v>164</v>
      </c>
      <c r="I6" t="s">
        <v>166</v>
      </c>
      <c r="J6" t="s">
        <v>168</v>
      </c>
      <c r="K6" t="s">
        <v>170</v>
      </c>
      <c r="L6" t="s">
        <v>173</v>
      </c>
      <c r="M6" t="s">
        <v>175</v>
      </c>
      <c r="N6" t="s">
        <v>177</v>
      </c>
      <c r="O6" t="s">
        <v>179</v>
      </c>
      <c r="P6" t="s">
        <v>181</v>
      </c>
      <c r="Q6" t="s">
        <v>183</v>
      </c>
      <c r="R6" t="s">
        <v>185</v>
      </c>
      <c r="S6" t="s">
        <v>188</v>
      </c>
      <c r="T6" t="s">
        <v>190</v>
      </c>
      <c r="U6" t="s">
        <v>192</v>
      </c>
      <c r="V6" t="s">
        <v>194</v>
      </c>
      <c r="W6" t="s">
        <v>196</v>
      </c>
      <c r="X6" t="s">
        <v>198</v>
      </c>
      <c r="Y6" t="s">
        <v>9</v>
      </c>
      <c r="Z6" t="s">
        <v>201</v>
      </c>
      <c r="AA6" t="s">
        <v>203</v>
      </c>
      <c r="AB6" t="s">
        <v>205</v>
      </c>
      <c r="AC6" t="s">
        <v>207</v>
      </c>
      <c r="AD6" t="s">
        <v>210</v>
      </c>
      <c r="AE6" t="s">
        <v>212</v>
      </c>
      <c r="AF6" t="s">
        <v>214</v>
      </c>
      <c r="AG6" t="s">
        <v>217</v>
      </c>
      <c r="AH6" t="s">
        <v>219</v>
      </c>
    </row>
    <row r="7" spans="2:34" x14ac:dyDescent="0.25">
      <c r="B7" t="s">
        <v>1294</v>
      </c>
      <c r="C7" t="s">
        <v>332</v>
      </c>
      <c r="D7" t="s">
        <v>1295</v>
      </c>
      <c r="E7">
        <v>2025</v>
      </c>
      <c r="F7" s="575" t="s">
        <v>1134</v>
      </c>
      <c r="G7" s="193">
        <f>INF_BY!H124*1.05</f>
        <v>0</v>
      </c>
      <c r="H7" s="193">
        <f>INF_BY!I124*1.05</f>
        <v>4.2000000000000003E-2</v>
      </c>
      <c r="I7" s="193">
        <f>INF_BY!J124*1.05</f>
        <v>1.0500000000000001E-2</v>
      </c>
      <c r="J7" s="193">
        <f>INF_BY!K124*1.05</f>
        <v>5.2500000000000005E-2</v>
      </c>
      <c r="K7" s="193">
        <f>INF_BY!L124*1.05</f>
        <v>0.92400000000000004</v>
      </c>
      <c r="L7" s="193">
        <f>INF_BY!M124*1.05</f>
        <v>1.0500000000000001E-2</v>
      </c>
      <c r="M7" s="193">
        <f>INF_BY!N124*1.05</f>
        <v>0.30449999999999999</v>
      </c>
      <c r="N7" s="193">
        <f>INF_BY!O124*1.05</f>
        <v>0</v>
      </c>
      <c r="O7" s="193">
        <f>INF_BY!P124*1.05</f>
        <v>1.2284999999999999</v>
      </c>
      <c r="P7" s="193">
        <f>INF_BY!Q124*1.05</f>
        <v>1.7955000000000001</v>
      </c>
      <c r="Q7" s="193">
        <f>INF_BY!R124*1.05</f>
        <v>0</v>
      </c>
      <c r="R7" s="193">
        <f>INF_BY!S124*1.05</f>
        <v>11.140499999999999</v>
      </c>
      <c r="S7" s="193">
        <f>INF_BY!T124*1.05</f>
        <v>5.2500000000000005E-2</v>
      </c>
      <c r="T7" s="193">
        <f>INF_BY!U124*1.05</f>
        <v>1.1655000000000002</v>
      </c>
      <c r="U7" s="193">
        <f>INF_BY!V124*1.05</f>
        <v>0.23100000000000001</v>
      </c>
      <c r="V7" s="193">
        <f>INF_BY!W124*1.05</f>
        <v>3.5385000000000004</v>
      </c>
      <c r="W7" s="193">
        <f>INF_BY!X124*1.05</f>
        <v>2.016</v>
      </c>
      <c r="X7" s="193">
        <f>INF_BY!Y124*1.05</f>
        <v>4.2000000000000003E-2</v>
      </c>
      <c r="Y7" s="193">
        <f>INF_BY!Z124*1.05</f>
        <v>1.4595</v>
      </c>
      <c r="Z7" s="193">
        <f>INF_BY!AA124*1.05</f>
        <v>1.3860000000000001</v>
      </c>
      <c r="AA7" s="193">
        <f>INF_BY!AB124*1.05</f>
        <v>0.27300000000000002</v>
      </c>
      <c r="AB7" s="193">
        <f>INF_BY!AC124*1.05</f>
        <v>0.66150000000000009</v>
      </c>
      <c r="AC7" s="193">
        <f>INF_BY!AD124*1.05</f>
        <v>0.49349999999999999</v>
      </c>
      <c r="AD7" s="193">
        <f>INF_BY!AE124*1.05</f>
        <v>1.0500000000000001E-2</v>
      </c>
      <c r="AE7" s="193">
        <f>INF_BY!AF124*1.05</f>
        <v>0</v>
      </c>
      <c r="AF7" s="193">
        <f>INF_BY!AG124*1.05</f>
        <v>0.33600000000000002</v>
      </c>
      <c r="AG7" s="193">
        <f>INF_BY!AH124*1.05</f>
        <v>2.1</v>
      </c>
      <c r="AH7" s="193">
        <f>INF_BY!AI124*1.05</f>
        <v>4.0635000000000003</v>
      </c>
    </row>
    <row r="8" spans="2:34" x14ac:dyDescent="0.25">
      <c r="B8" t="s">
        <v>1294</v>
      </c>
      <c r="C8" t="s">
        <v>332</v>
      </c>
      <c r="D8" t="s">
        <v>1295</v>
      </c>
      <c r="E8">
        <v>2030</v>
      </c>
      <c r="F8" s="575" t="s">
        <v>1134</v>
      </c>
    </row>
    <row r="9" spans="2:34" x14ac:dyDescent="0.25">
      <c r="B9" t="s">
        <v>1294</v>
      </c>
      <c r="C9" t="s">
        <v>332</v>
      </c>
      <c r="D9" t="s">
        <v>1295</v>
      </c>
      <c r="E9">
        <v>2035</v>
      </c>
      <c r="F9" s="575" t="s">
        <v>1134</v>
      </c>
    </row>
    <row r="10" spans="2:34" x14ac:dyDescent="0.25">
      <c r="B10" t="s">
        <v>1294</v>
      </c>
      <c r="C10" t="s">
        <v>332</v>
      </c>
      <c r="D10" t="s">
        <v>1295</v>
      </c>
      <c r="E10">
        <v>2040</v>
      </c>
      <c r="F10" s="575" t="s">
        <v>1134</v>
      </c>
    </row>
    <row r="11" spans="2:34" x14ac:dyDescent="0.25">
      <c r="B11" t="s">
        <v>1294</v>
      </c>
      <c r="C11" t="s">
        <v>332</v>
      </c>
      <c r="D11" t="s">
        <v>1295</v>
      </c>
      <c r="E11">
        <v>2045</v>
      </c>
      <c r="F11" s="575" t="s">
        <v>1134</v>
      </c>
    </row>
    <row r="12" spans="2:34" x14ac:dyDescent="0.25">
      <c r="B12" t="s">
        <v>1294</v>
      </c>
      <c r="C12" t="s">
        <v>332</v>
      </c>
      <c r="D12" t="s">
        <v>1295</v>
      </c>
      <c r="E12">
        <v>2050</v>
      </c>
      <c r="F12" s="575" t="s">
        <v>1134</v>
      </c>
    </row>
    <row r="13" spans="2:34" x14ac:dyDescent="0.25">
      <c r="B13" t="s">
        <v>1294</v>
      </c>
      <c r="C13" t="s">
        <v>332</v>
      </c>
      <c r="D13" t="s">
        <v>1295</v>
      </c>
      <c r="E13">
        <v>2055</v>
      </c>
      <c r="F13" s="575" t="s">
        <v>1134</v>
      </c>
    </row>
    <row r="14" spans="2:34" x14ac:dyDescent="0.25">
      <c r="B14" t="s">
        <v>1294</v>
      </c>
      <c r="C14" t="s">
        <v>332</v>
      </c>
      <c r="D14" t="s">
        <v>1295</v>
      </c>
      <c r="E14">
        <v>2060</v>
      </c>
      <c r="F14" s="575" t="s">
        <v>1134</v>
      </c>
    </row>
    <row r="15" spans="2:34" x14ac:dyDescent="0.25">
      <c r="B15" t="s">
        <v>1294</v>
      </c>
      <c r="C15" t="s">
        <v>332</v>
      </c>
      <c r="D15" t="s">
        <v>1295</v>
      </c>
      <c r="E15">
        <v>2065</v>
      </c>
      <c r="F15" s="575" t="s">
        <v>1134</v>
      </c>
    </row>
    <row r="16" spans="2:34" x14ac:dyDescent="0.25">
      <c r="B16" t="s">
        <v>1294</v>
      </c>
      <c r="C16" t="s">
        <v>332</v>
      </c>
      <c r="D16" t="s">
        <v>1295</v>
      </c>
      <c r="E16">
        <v>2070</v>
      </c>
      <c r="F16" s="575" t="s">
        <v>1134</v>
      </c>
    </row>
    <row r="17" spans="2:37" x14ac:dyDescent="0.25">
      <c r="B17" t="s">
        <v>1294</v>
      </c>
      <c r="C17" t="s">
        <v>332</v>
      </c>
      <c r="D17" t="s">
        <v>1295</v>
      </c>
      <c r="E17">
        <v>2075</v>
      </c>
      <c r="F17" s="575" t="s">
        <v>1134</v>
      </c>
    </row>
    <row r="18" spans="2:37" x14ac:dyDescent="0.25">
      <c r="B18" t="s">
        <v>1294</v>
      </c>
      <c r="C18" t="s">
        <v>332</v>
      </c>
      <c r="D18" t="s">
        <v>1295</v>
      </c>
      <c r="E18">
        <v>2080</v>
      </c>
      <c r="F18" s="575" t="s">
        <v>1134</v>
      </c>
    </row>
    <row r="19" spans="2:37" x14ac:dyDescent="0.25">
      <c r="B19" t="s">
        <v>1294</v>
      </c>
      <c r="C19" t="s">
        <v>332</v>
      </c>
      <c r="D19" t="s">
        <v>1295</v>
      </c>
      <c r="E19">
        <v>2085</v>
      </c>
      <c r="F19" s="575" t="s">
        <v>1134</v>
      </c>
    </row>
    <row r="20" spans="2:37" x14ac:dyDescent="0.25">
      <c r="B20" t="s">
        <v>1294</v>
      </c>
      <c r="C20" t="s">
        <v>332</v>
      </c>
      <c r="D20" t="s">
        <v>1295</v>
      </c>
      <c r="E20">
        <v>2090</v>
      </c>
      <c r="F20" s="575" t="s">
        <v>1134</v>
      </c>
    </row>
    <row r="21" spans="2:37" x14ac:dyDescent="0.25">
      <c r="B21" t="s">
        <v>1294</v>
      </c>
      <c r="C21" t="s">
        <v>332</v>
      </c>
      <c r="D21" t="s">
        <v>1295</v>
      </c>
      <c r="E21">
        <v>2095</v>
      </c>
      <c r="F21" s="575" t="s">
        <v>1134</v>
      </c>
    </row>
    <row r="22" spans="2:37" x14ac:dyDescent="0.25">
      <c r="B22" t="s">
        <v>1294</v>
      </c>
      <c r="C22" t="s">
        <v>332</v>
      </c>
      <c r="D22" t="s">
        <v>1295</v>
      </c>
      <c r="E22">
        <v>2100</v>
      </c>
      <c r="F22" s="575" t="s">
        <v>1134</v>
      </c>
    </row>
    <row r="25" spans="2:37" x14ac:dyDescent="0.25">
      <c r="B25" s="5" t="s">
        <v>1296</v>
      </c>
    </row>
    <row r="28" spans="2:37" x14ac:dyDescent="0.25">
      <c r="B28" s="293" t="s">
        <v>1297</v>
      </c>
      <c r="G28" t="s">
        <v>162</v>
      </c>
      <c r="H28" s="485" t="s">
        <v>164</v>
      </c>
      <c r="I28" t="s">
        <v>166</v>
      </c>
      <c r="J28" t="s">
        <v>168</v>
      </c>
      <c r="K28" t="s">
        <v>170</v>
      </c>
      <c r="L28" t="s">
        <v>173</v>
      </c>
      <c r="M28" t="s">
        <v>175</v>
      </c>
      <c r="N28" t="s">
        <v>177</v>
      </c>
      <c r="O28" t="s">
        <v>179</v>
      </c>
      <c r="P28" t="s">
        <v>181</v>
      </c>
      <c r="Q28" t="s">
        <v>183</v>
      </c>
      <c r="R28" t="s">
        <v>185</v>
      </c>
      <c r="S28" t="s">
        <v>188</v>
      </c>
      <c r="T28" t="s">
        <v>190</v>
      </c>
      <c r="U28" t="s">
        <v>192</v>
      </c>
      <c r="V28" t="s">
        <v>194</v>
      </c>
      <c r="W28" t="s">
        <v>196</v>
      </c>
      <c r="X28" t="s">
        <v>198</v>
      </c>
      <c r="Y28" t="s">
        <v>9</v>
      </c>
      <c r="Z28" t="s">
        <v>201</v>
      </c>
      <c r="AA28" t="s">
        <v>203</v>
      </c>
      <c r="AB28" t="s">
        <v>205</v>
      </c>
      <c r="AC28" t="s">
        <v>207</v>
      </c>
      <c r="AD28" t="s">
        <v>210</v>
      </c>
      <c r="AE28" t="s">
        <v>212</v>
      </c>
      <c r="AF28" t="s">
        <v>214</v>
      </c>
      <c r="AG28" t="s">
        <v>217</v>
      </c>
      <c r="AH28" t="s">
        <v>219</v>
      </c>
    </row>
    <row r="30" spans="2:37" x14ac:dyDescent="0.25">
      <c r="B30" s="293"/>
      <c r="C30" s="293"/>
      <c r="D30" s="293"/>
      <c r="E30" s="293"/>
      <c r="F30" s="293" t="s">
        <v>1298</v>
      </c>
    </row>
    <row r="31" spans="2:37" x14ac:dyDescent="0.25">
      <c r="B31" s="293" t="s">
        <v>1299</v>
      </c>
      <c r="C31" s="293" t="s">
        <v>1300</v>
      </c>
      <c r="D31" t="s">
        <v>1293</v>
      </c>
      <c r="E31" s="293" t="s">
        <v>582</v>
      </c>
      <c r="F31" s="293" t="s">
        <v>327</v>
      </c>
      <c r="G31" t="str">
        <f>CONCATENATE("UC_FLO~LHS~",G28)</f>
        <v>UC_FLO~LHS~AFE</v>
      </c>
      <c r="H31" t="str">
        <f t="shared" ref="H31:AH31" si="0">CONCATENATE("UC_FLO~LHS~",H28)</f>
        <v>UC_FLO~LHS~AFN</v>
      </c>
      <c r="I31" t="str">
        <f t="shared" si="0"/>
        <v>UC_FLO~LHS~AFW</v>
      </c>
      <c r="J31" t="str">
        <f t="shared" si="0"/>
        <v>UC_FLO~LHS~AFZ</v>
      </c>
      <c r="K31" t="str">
        <f t="shared" si="0"/>
        <v>UC_FLO~LHS~ANZ</v>
      </c>
      <c r="L31" t="str">
        <f t="shared" si="0"/>
        <v>UC_FLO~LHS~ASC</v>
      </c>
      <c r="M31" t="str">
        <f t="shared" si="0"/>
        <v>UC_FLO~LHS~ASE</v>
      </c>
      <c r="N31" t="str">
        <f t="shared" si="0"/>
        <v>UC_FLO~LHS~ASO</v>
      </c>
      <c r="O31" t="str">
        <f t="shared" si="0"/>
        <v>UC_FLO~LHS~BRA</v>
      </c>
      <c r="P31" t="str">
        <f t="shared" si="0"/>
        <v>UC_FLO~LHS~CAN</v>
      </c>
      <c r="Q31" t="str">
        <f t="shared" si="0"/>
        <v>UC_FLO~LHS~CHL</v>
      </c>
      <c r="R31" t="str">
        <f t="shared" si="0"/>
        <v>UC_FLO~LHS~CHN</v>
      </c>
      <c r="S31" t="str">
        <f t="shared" si="0"/>
        <v>UC_FLO~LHS~ENE</v>
      </c>
      <c r="T31" t="str">
        <f t="shared" si="0"/>
        <v>UC_FLO~LHS~ENW</v>
      </c>
      <c r="U31" t="str">
        <f t="shared" si="0"/>
        <v>UC_FLO~LHS~EUE</v>
      </c>
      <c r="V31" t="str">
        <f t="shared" si="0"/>
        <v>UC_FLO~LHS~EUM</v>
      </c>
      <c r="W31" t="str">
        <f t="shared" si="0"/>
        <v>UC_FLO~LHS~EUW</v>
      </c>
      <c r="X31" t="str">
        <f t="shared" si="0"/>
        <v>UC_FLO~LHS~IDN</v>
      </c>
      <c r="Y31" t="str">
        <f t="shared" si="0"/>
        <v>UC_FLO~LHS~IND</v>
      </c>
      <c r="Z31" t="str">
        <f t="shared" si="0"/>
        <v>UC_FLO~LHS~JPN</v>
      </c>
      <c r="AA31" t="str">
        <f t="shared" si="0"/>
        <v>UC_FLO~LHS~LAM</v>
      </c>
      <c r="AB31" t="str">
        <f t="shared" si="0"/>
        <v>UC_FLO~LHS~MDA</v>
      </c>
      <c r="AC31" t="str">
        <f t="shared" si="0"/>
        <v>UC_FLO~LHS~MEA</v>
      </c>
      <c r="AD31" t="str">
        <f t="shared" si="0"/>
        <v>UC_FLO~LHS~MEX</v>
      </c>
      <c r="AE31" t="str">
        <f t="shared" si="0"/>
        <v>UC_FLO~LHS~NIG</v>
      </c>
      <c r="AF31" t="str">
        <f t="shared" si="0"/>
        <v>UC_FLO~LHS~RUS</v>
      </c>
      <c r="AG31" t="str">
        <f t="shared" si="0"/>
        <v>UC_FLO~LHS~SKT</v>
      </c>
      <c r="AH31" t="str">
        <f t="shared" si="0"/>
        <v>UC_FLO~LHS~USA</v>
      </c>
      <c r="AI31" s="293" t="s">
        <v>1301</v>
      </c>
      <c r="AJ31" s="293" t="s">
        <v>1302</v>
      </c>
      <c r="AK31" s="293" t="s">
        <v>1303</v>
      </c>
    </row>
    <row r="32" spans="2:37" x14ac:dyDescent="0.25">
      <c r="B32" t="s">
        <v>1304</v>
      </c>
      <c r="C32" s="9" t="s">
        <v>1250</v>
      </c>
      <c r="D32" t="s">
        <v>1305</v>
      </c>
      <c r="F32" t="s">
        <v>332</v>
      </c>
      <c r="G32">
        <f>-INF_BY!H129</f>
        <v>0</v>
      </c>
      <c r="H32">
        <f>-INF_BY!I129</f>
        <v>-0.11764705882352942</v>
      </c>
      <c r="I32">
        <f>-INF_BY!J129</f>
        <v>-8.1967213114754106E-2</v>
      </c>
      <c r="J32">
        <f>-INF_BY!K129</f>
        <v>-3.7537537537537538E-2</v>
      </c>
      <c r="K32">
        <f>-INF_BY!L129</f>
        <v>-0.31417350946090683</v>
      </c>
      <c r="L32">
        <f>-INF_BY!M129</f>
        <v>-2.3809523809523812E-2</v>
      </c>
      <c r="M32">
        <f>-INF_BY!N129</f>
        <v>-0.27619047619047615</v>
      </c>
      <c r="N32">
        <f>-INF_BY!O129</f>
        <v>0</v>
      </c>
      <c r="O32">
        <f>-INF_BY!P129</f>
        <v>-0.6428571428571429</v>
      </c>
      <c r="P32">
        <f>-INF_BY!Q129</f>
        <v>-0.37467134092900961</v>
      </c>
      <c r="Q32">
        <f>-INF_BY!R129</f>
        <v>0</v>
      </c>
      <c r="R32">
        <f>-INF_BY!S129</f>
        <v>-0.23240022780041181</v>
      </c>
      <c r="S32">
        <f>-INF_BY!T129</f>
        <v>-0.30303030303030304</v>
      </c>
      <c r="T32">
        <f>-INF_BY!U129</f>
        <v>-0.32618277990008815</v>
      </c>
      <c r="U32">
        <f>-INF_BY!V129</f>
        <v>-0.27500000000000002</v>
      </c>
      <c r="V32">
        <f>-INF_BY!W129</f>
        <v>-0.79857819905213279</v>
      </c>
      <c r="W32">
        <f>-INF_BY!X129</f>
        <v>-0.7007299270072993</v>
      </c>
      <c r="X32">
        <f>-INF_BY!Y129</f>
        <v>-0.14285714285714288</v>
      </c>
      <c r="Y32">
        <f>-INF_BY!Z129</f>
        <v>-0.27634194831013914</v>
      </c>
      <c r="Z32">
        <f>-INF_BY!AA129</f>
        <v>-1</v>
      </c>
      <c r="AA32">
        <f>-INF_BY!AB129</f>
        <v>-0.37410071942446044</v>
      </c>
      <c r="AB32">
        <f>-INF_BY!AC129</f>
        <v>-0.88732394366197187</v>
      </c>
      <c r="AC32">
        <f>-INF_BY!AD129</f>
        <v>-7.1179766772679079E-2</v>
      </c>
      <c r="AD32">
        <f>-INF_BY!AE129</f>
        <v>-1</v>
      </c>
      <c r="AE32">
        <f>-INF_BY!AF129</f>
        <v>0</v>
      </c>
      <c r="AF32">
        <f>-INF_BY!AG129</f>
        <v>-8.0869345463735157E-2</v>
      </c>
      <c r="AG32">
        <f>-INF_BY!AH129</f>
        <v>-1</v>
      </c>
      <c r="AH32">
        <f>-INF_BY!AI129</f>
        <v>-0.780241935483871</v>
      </c>
      <c r="AI32">
        <v>0</v>
      </c>
      <c r="AJ32">
        <v>5</v>
      </c>
      <c r="AK32" t="s">
        <v>1306</v>
      </c>
    </row>
    <row r="33" spans="2:37" x14ac:dyDescent="0.25">
      <c r="C33" s="9" t="s">
        <v>1250</v>
      </c>
      <c r="D33" s="575" t="s">
        <v>1307</v>
      </c>
      <c r="G33">
        <f>1+G32</f>
        <v>1</v>
      </c>
      <c r="H33">
        <f>1+H32</f>
        <v>0.88235294117647056</v>
      </c>
      <c r="I33">
        <f t="shared" ref="I33:AH33" si="1">1+I32</f>
        <v>0.91803278688524592</v>
      </c>
      <c r="J33">
        <f t="shared" si="1"/>
        <v>0.96246246246246248</v>
      </c>
      <c r="K33">
        <f t="shared" si="1"/>
        <v>0.68582649053909317</v>
      </c>
      <c r="L33">
        <f t="shared" si="1"/>
        <v>0.97619047619047616</v>
      </c>
      <c r="M33">
        <f t="shared" si="1"/>
        <v>0.7238095238095239</v>
      </c>
      <c r="N33">
        <f t="shared" si="1"/>
        <v>1</v>
      </c>
      <c r="O33">
        <f t="shared" si="1"/>
        <v>0.3571428571428571</v>
      </c>
      <c r="P33">
        <f t="shared" si="1"/>
        <v>0.62532865907099033</v>
      </c>
      <c r="Q33">
        <f t="shared" si="1"/>
        <v>1</v>
      </c>
      <c r="R33">
        <f t="shared" si="1"/>
        <v>0.76759977219958819</v>
      </c>
      <c r="S33">
        <f t="shared" si="1"/>
        <v>0.69696969696969702</v>
      </c>
      <c r="T33">
        <f t="shared" si="1"/>
        <v>0.67381722009991185</v>
      </c>
      <c r="U33">
        <f t="shared" si="1"/>
        <v>0.72499999999999998</v>
      </c>
      <c r="V33">
        <f t="shared" si="1"/>
        <v>0.20142180094786721</v>
      </c>
      <c r="W33">
        <f t="shared" si="1"/>
        <v>0.2992700729927007</v>
      </c>
      <c r="X33">
        <f t="shared" si="1"/>
        <v>0.8571428571428571</v>
      </c>
      <c r="Y33">
        <f t="shared" si="1"/>
        <v>0.72365805168986086</v>
      </c>
      <c r="Z33">
        <f t="shared" si="1"/>
        <v>0</v>
      </c>
      <c r="AA33">
        <f t="shared" si="1"/>
        <v>0.62589928057553956</v>
      </c>
      <c r="AB33">
        <f t="shared" si="1"/>
        <v>0.11267605633802813</v>
      </c>
      <c r="AC33">
        <f t="shared" si="1"/>
        <v>0.92882023322732088</v>
      </c>
      <c r="AD33">
        <f t="shared" si="1"/>
        <v>0</v>
      </c>
      <c r="AE33">
        <f t="shared" si="1"/>
        <v>1</v>
      </c>
      <c r="AF33">
        <f t="shared" si="1"/>
        <v>0.91913065453626486</v>
      </c>
      <c r="AG33">
        <f t="shared" si="1"/>
        <v>0</v>
      </c>
      <c r="AH33">
        <f t="shared" si="1"/>
        <v>0.219758064516129</v>
      </c>
    </row>
    <row r="34" spans="2:37" x14ac:dyDescent="0.25">
      <c r="C34" s="9" t="s">
        <v>1250</v>
      </c>
      <c r="D34" t="s">
        <v>1305</v>
      </c>
      <c r="F34" t="s">
        <v>332</v>
      </c>
      <c r="G34">
        <f t="shared" ref="G34:G39" si="2">G32</f>
        <v>0</v>
      </c>
      <c r="H34">
        <f t="shared" ref="H34:AH34" si="3">H32</f>
        <v>-0.11764705882352942</v>
      </c>
      <c r="I34">
        <f t="shared" si="3"/>
        <v>-8.1967213114754106E-2</v>
      </c>
      <c r="J34">
        <f t="shared" si="3"/>
        <v>-3.7537537537537538E-2</v>
      </c>
      <c r="K34">
        <f t="shared" si="3"/>
        <v>-0.31417350946090683</v>
      </c>
      <c r="L34">
        <f t="shared" si="3"/>
        <v>-2.3809523809523812E-2</v>
      </c>
      <c r="M34">
        <f t="shared" si="3"/>
        <v>-0.27619047619047615</v>
      </c>
      <c r="N34">
        <f t="shared" si="3"/>
        <v>0</v>
      </c>
      <c r="O34">
        <f t="shared" si="3"/>
        <v>-0.6428571428571429</v>
      </c>
      <c r="P34">
        <f t="shared" si="3"/>
        <v>-0.37467134092900961</v>
      </c>
      <c r="Q34">
        <f t="shared" si="3"/>
        <v>0</v>
      </c>
      <c r="R34">
        <f t="shared" si="3"/>
        <v>-0.23240022780041181</v>
      </c>
      <c r="S34">
        <f t="shared" si="3"/>
        <v>-0.30303030303030304</v>
      </c>
      <c r="T34">
        <f t="shared" si="3"/>
        <v>-0.32618277990008815</v>
      </c>
      <c r="U34">
        <f t="shared" si="3"/>
        <v>-0.27500000000000002</v>
      </c>
      <c r="V34">
        <f t="shared" si="3"/>
        <v>-0.79857819905213279</v>
      </c>
      <c r="W34">
        <f t="shared" si="3"/>
        <v>-0.7007299270072993</v>
      </c>
      <c r="X34">
        <f t="shared" si="3"/>
        <v>-0.14285714285714288</v>
      </c>
      <c r="Y34">
        <f t="shared" si="3"/>
        <v>-0.27634194831013914</v>
      </c>
      <c r="Z34">
        <f t="shared" si="3"/>
        <v>-1</v>
      </c>
      <c r="AA34">
        <f t="shared" si="3"/>
        <v>-0.37410071942446044</v>
      </c>
      <c r="AB34">
        <f t="shared" si="3"/>
        <v>-0.88732394366197187</v>
      </c>
      <c r="AC34">
        <f t="shared" si="3"/>
        <v>-7.1179766772679079E-2</v>
      </c>
      <c r="AD34">
        <f t="shared" si="3"/>
        <v>-1</v>
      </c>
      <c r="AE34">
        <f t="shared" si="3"/>
        <v>0</v>
      </c>
      <c r="AF34">
        <f t="shared" si="3"/>
        <v>-8.0869345463735157E-2</v>
      </c>
      <c r="AG34">
        <f t="shared" si="3"/>
        <v>-1</v>
      </c>
      <c r="AH34">
        <f t="shared" si="3"/>
        <v>-0.780241935483871</v>
      </c>
    </row>
    <row r="35" spans="2:37" x14ac:dyDescent="0.25">
      <c r="C35" s="9" t="s">
        <v>1250</v>
      </c>
      <c r="D35" s="575" t="s">
        <v>1307</v>
      </c>
      <c r="G35">
        <f t="shared" si="2"/>
        <v>1</v>
      </c>
      <c r="H35">
        <f t="shared" ref="H35:AH35" si="4">H33</f>
        <v>0.88235294117647056</v>
      </c>
      <c r="I35">
        <f t="shared" si="4"/>
        <v>0.91803278688524592</v>
      </c>
      <c r="J35">
        <f t="shared" si="4"/>
        <v>0.96246246246246248</v>
      </c>
      <c r="K35">
        <f t="shared" si="4"/>
        <v>0.68582649053909317</v>
      </c>
      <c r="L35">
        <f t="shared" si="4"/>
        <v>0.97619047619047616</v>
      </c>
      <c r="M35">
        <f t="shared" si="4"/>
        <v>0.7238095238095239</v>
      </c>
      <c r="N35">
        <f t="shared" si="4"/>
        <v>1</v>
      </c>
      <c r="O35">
        <f t="shared" si="4"/>
        <v>0.3571428571428571</v>
      </c>
      <c r="P35">
        <f t="shared" si="4"/>
        <v>0.62532865907099033</v>
      </c>
      <c r="Q35">
        <f t="shared" si="4"/>
        <v>1</v>
      </c>
      <c r="R35">
        <f t="shared" si="4"/>
        <v>0.76759977219958819</v>
      </c>
      <c r="S35">
        <f t="shared" si="4"/>
        <v>0.69696969696969702</v>
      </c>
      <c r="T35">
        <f t="shared" si="4"/>
        <v>0.67381722009991185</v>
      </c>
      <c r="U35">
        <f t="shared" si="4"/>
        <v>0.72499999999999998</v>
      </c>
      <c r="V35">
        <f t="shared" si="4"/>
        <v>0.20142180094786721</v>
      </c>
      <c r="W35">
        <f t="shared" si="4"/>
        <v>0.2992700729927007</v>
      </c>
      <c r="X35">
        <f t="shared" si="4"/>
        <v>0.8571428571428571</v>
      </c>
      <c r="Y35">
        <f t="shared" si="4"/>
        <v>0.72365805168986086</v>
      </c>
      <c r="Z35">
        <f t="shared" si="4"/>
        <v>0</v>
      </c>
      <c r="AA35">
        <f t="shared" si="4"/>
        <v>0.62589928057553956</v>
      </c>
      <c r="AB35">
        <f t="shared" si="4"/>
        <v>0.11267605633802813</v>
      </c>
      <c r="AC35">
        <f t="shared" si="4"/>
        <v>0.92882023322732088</v>
      </c>
      <c r="AD35">
        <f t="shared" si="4"/>
        <v>0</v>
      </c>
      <c r="AE35">
        <f t="shared" si="4"/>
        <v>1</v>
      </c>
      <c r="AF35">
        <f t="shared" si="4"/>
        <v>0.91913065453626486</v>
      </c>
      <c r="AG35">
        <f t="shared" si="4"/>
        <v>0</v>
      </c>
      <c r="AH35">
        <f t="shared" si="4"/>
        <v>0.219758064516129</v>
      </c>
    </row>
    <row r="36" spans="2:37" x14ac:dyDescent="0.25">
      <c r="C36" s="9" t="s">
        <v>1250</v>
      </c>
      <c r="D36" t="s">
        <v>1305</v>
      </c>
      <c r="F36" t="s">
        <v>332</v>
      </c>
      <c r="G36">
        <f t="shared" si="2"/>
        <v>0</v>
      </c>
      <c r="H36">
        <f t="shared" ref="H36:AH36" si="5">H34</f>
        <v>-0.11764705882352942</v>
      </c>
      <c r="I36">
        <f t="shared" si="5"/>
        <v>-8.1967213114754106E-2</v>
      </c>
      <c r="J36">
        <f t="shared" si="5"/>
        <v>-3.7537537537537538E-2</v>
      </c>
      <c r="K36">
        <f t="shared" si="5"/>
        <v>-0.31417350946090683</v>
      </c>
      <c r="L36">
        <f t="shared" si="5"/>
        <v>-2.3809523809523812E-2</v>
      </c>
      <c r="M36">
        <f t="shared" si="5"/>
        <v>-0.27619047619047615</v>
      </c>
      <c r="N36">
        <f t="shared" si="5"/>
        <v>0</v>
      </c>
      <c r="O36">
        <f t="shared" si="5"/>
        <v>-0.6428571428571429</v>
      </c>
      <c r="P36">
        <f t="shared" si="5"/>
        <v>-0.37467134092900961</v>
      </c>
      <c r="Q36">
        <f t="shared" si="5"/>
        <v>0</v>
      </c>
      <c r="R36">
        <f t="shared" si="5"/>
        <v>-0.23240022780041181</v>
      </c>
      <c r="S36">
        <f t="shared" si="5"/>
        <v>-0.30303030303030304</v>
      </c>
      <c r="T36">
        <f t="shared" si="5"/>
        <v>-0.32618277990008815</v>
      </c>
      <c r="U36">
        <f t="shared" si="5"/>
        <v>-0.27500000000000002</v>
      </c>
      <c r="V36">
        <f t="shared" si="5"/>
        <v>-0.79857819905213279</v>
      </c>
      <c r="W36">
        <f t="shared" si="5"/>
        <v>-0.7007299270072993</v>
      </c>
      <c r="X36">
        <f t="shared" si="5"/>
        <v>-0.14285714285714288</v>
      </c>
      <c r="Y36">
        <f t="shared" si="5"/>
        <v>-0.27634194831013914</v>
      </c>
      <c r="Z36">
        <f t="shared" si="5"/>
        <v>-1</v>
      </c>
      <c r="AA36">
        <f t="shared" si="5"/>
        <v>-0.37410071942446044</v>
      </c>
      <c r="AB36">
        <f t="shared" si="5"/>
        <v>-0.88732394366197187</v>
      </c>
      <c r="AC36">
        <f t="shared" si="5"/>
        <v>-7.1179766772679079E-2</v>
      </c>
      <c r="AD36">
        <f t="shared" si="5"/>
        <v>-1</v>
      </c>
      <c r="AE36">
        <f t="shared" si="5"/>
        <v>0</v>
      </c>
      <c r="AF36">
        <f t="shared" si="5"/>
        <v>-8.0869345463735157E-2</v>
      </c>
      <c r="AG36">
        <f t="shared" si="5"/>
        <v>-1</v>
      </c>
      <c r="AH36">
        <f t="shared" si="5"/>
        <v>-0.780241935483871</v>
      </c>
    </row>
    <row r="37" spans="2:37" x14ac:dyDescent="0.25">
      <c r="C37" s="9" t="s">
        <v>1250</v>
      </c>
      <c r="D37" s="575" t="s">
        <v>1307</v>
      </c>
      <c r="G37">
        <f t="shared" si="2"/>
        <v>1</v>
      </c>
      <c r="H37">
        <f t="shared" ref="H37:AH37" si="6">H35</f>
        <v>0.88235294117647056</v>
      </c>
      <c r="I37">
        <f t="shared" si="6"/>
        <v>0.91803278688524592</v>
      </c>
      <c r="J37">
        <f t="shared" si="6"/>
        <v>0.96246246246246248</v>
      </c>
      <c r="K37">
        <f t="shared" si="6"/>
        <v>0.68582649053909317</v>
      </c>
      <c r="L37">
        <f t="shared" si="6"/>
        <v>0.97619047619047616</v>
      </c>
      <c r="M37">
        <f t="shared" si="6"/>
        <v>0.7238095238095239</v>
      </c>
      <c r="N37">
        <f t="shared" si="6"/>
        <v>1</v>
      </c>
      <c r="O37">
        <f t="shared" si="6"/>
        <v>0.3571428571428571</v>
      </c>
      <c r="P37">
        <f t="shared" si="6"/>
        <v>0.62532865907099033</v>
      </c>
      <c r="Q37">
        <f t="shared" si="6"/>
        <v>1</v>
      </c>
      <c r="R37">
        <f t="shared" si="6"/>
        <v>0.76759977219958819</v>
      </c>
      <c r="S37">
        <f t="shared" si="6"/>
        <v>0.69696969696969702</v>
      </c>
      <c r="T37">
        <f t="shared" si="6"/>
        <v>0.67381722009991185</v>
      </c>
      <c r="U37">
        <f t="shared" si="6"/>
        <v>0.72499999999999998</v>
      </c>
      <c r="V37">
        <f t="shared" si="6"/>
        <v>0.20142180094786721</v>
      </c>
      <c r="W37">
        <f t="shared" si="6"/>
        <v>0.2992700729927007</v>
      </c>
      <c r="X37">
        <f t="shared" si="6"/>
        <v>0.8571428571428571</v>
      </c>
      <c r="Y37">
        <f t="shared" si="6"/>
        <v>0.72365805168986086</v>
      </c>
      <c r="Z37">
        <f t="shared" si="6"/>
        <v>0</v>
      </c>
      <c r="AA37">
        <f t="shared" si="6"/>
        <v>0.62589928057553956</v>
      </c>
      <c r="AB37">
        <f t="shared" si="6"/>
        <v>0.11267605633802813</v>
      </c>
      <c r="AC37">
        <f t="shared" si="6"/>
        <v>0.92882023322732088</v>
      </c>
      <c r="AD37">
        <f t="shared" si="6"/>
        <v>0</v>
      </c>
      <c r="AE37">
        <f t="shared" si="6"/>
        <v>1</v>
      </c>
      <c r="AF37">
        <f t="shared" si="6"/>
        <v>0.91913065453626486</v>
      </c>
      <c r="AG37">
        <f t="shared" si="6"/>
        <v>0</v>
      </c>
      <c r="AH37">
        <f t="shared" si="6"/>
        <v>0.219758064516129</v>
      </c>
    </row>
    <row r="38" spans="2:37" x14ac:dyDescent="0.25">
      <c r="C38" s="9" t="s">
        <v>1250</v>
      </c>
      <c r="D38" t="s">
        <v>1305</v>
      </c>
      <c r="F38" t="s">
        <v>332</v>
      </c>
      <c r="G38">
        <f t="shared" si="2"/>
        <v>0</v>
      </c>
      <c r="H38">
        <f t="shared" ref="H38:AH38" si="7">H36</f>
        <v>-0.11764705882352942</v>
      </c>
      <c r="I38">
        <f t="shared" si="7"/>
        <v>-8.1967213114754106E-2</v>
      </c>
      <c r="J38">
        <f t="shared" si="7"/>
        <v>-3.7537537537537538E-2</v>
      </c>
      <c r="K38">
        <f t="shared" si="7"/>
        <v>-0.31417350946090683</v>
      </c>
      <c r="L38">
        <f t="shared" si="7"/>
        <v>-2.3809523809523812E-2</v>
      </c>
      <c r="M38">
        <f t="shared" si="7"/>
        <v>-0.27619047619047615</v>
      </c>
      <c r="N38">
        <f t="shared" si="7"/>
        <v>0</v>
      </c>
      <c r="O38">
        <f t="shared" si="7"/>
        <v>-0.6428571428571429</v>
      </c>
      <c r="P38">
        <f t="shared" si="7"/>
        <v>-0.37467134092900961</v>
      </c>
      <c r="Q38">
        <f t="shared" si="7"/>
        <v>0</v>
      </c>
      <c r="R38">
        <f t="shared" si="7"/>
        <v>-0.23240022780041181</v>
      </c>
      <c r="S38">
        <f t="shared" si="7"/>
        <v>-0.30303030303030304</v>
      </c>
      <c r="T38">
        <f t="shared" si="7"/>
        <v>-0.32618277990008815</v>
      </c>
      <c r="U38">
        <f t="shared" si="7"/>
        <v>-0.27500000000000002</v>
      </c>
      <c r="V38">
        <f t="shared" si="7"/>
        <v>-0.79857819905213279</v>
      </c>
      <c r="W38">
        <f t="shared" si="7"/>
        <v>-0.7007299270072993</v>
      </c>
      <c r="X38">
        <f t="shared" si="7"/>
        <v>-0.14285714285714288</v>
      </c>
      <c r="Y38">
        <f t="shared" si="7"/>
        <v>-0.27634194831013914</v>
      </c>
      <c r="Z38">
        <f t="shared" si="7"/>
        <v>-1</v>
      </c>
      <c r="AA38">
        <f t="shared" si="7"/>
        <v>-0.37410071942446044</v>
      </c>
      <c r="AB38">
        <f t="shared" si="7"/>
        <v>-0.88732394366197187</v>
      </c>
      <c r="AC38">
        <f t="shared" si="7"/>
        <v>-7.1179766772679079E-2</v>
      </c>
      <c r="AD38">
        <f t="shared" si="7"/>
        <v>-1</v>
      </c>
      <c r="AE38">
        <f t="shared" si="7"/>
        <v>0</v>
      </c>
      <c r="AF38">
        <f t="shared" si="7"/>
        <v>-8.0869345463735157E-2</v>
      </c>
      <c r="AG38">
        <f t="shared" si="7"/>
        <v>-1</v>
      </c>
      <c r="AH38">
        <f t="shared" si="7"/>
        <v>-0.780241935483871</v>
      </c>
    </row>
    <row r="39" spans="2:37" x14ac:dyDescent="0.25">
      <c r="C39" s="9" t="s">
        <v>1250</v>
      </c>
      <c r="D39" s="575" t="s">
        <v>1307</v>
      </c>
      <c r="G39">
        <f t="shared" si="2"/>
        <v>1</v>
      </c>
      <c r="H39">
        <f t="shared" ref="H39:AH39" si="8">H37</f>
        <v>0.88235294117647056</v>
      </c>
      <c r="I39">
        <f t="shared" si="8"/>
        <v>0.91803278688524592</v>
      </c>
      <c r="J39">
        <f t="shared" si="8"/>
        <v>0.96246246246246248</v>
      </c>
      <c r="K39">
        <f t="shared" si="8"/>
        <v>0.68582649053909317</v>
      </c>
      <c r="L39">
        <f t="shared" si="8"/>
        <v>0.97619047619047616</v>
      </c>
      <c r="M39">
        <f t="shared" si="8"/>
        <v>0.7238095238095239</v>
      </c>
      <c r="N39">
        <f t="shared" si="8"/>
        <v>1</v>
      </c>
      <c r="O39">
        <f t="shared" si="8"/>
        <v>0.3571428571428571</v>
      </c>
      <c r="P39">
        <f t="shared" si="8"/>
        <v>0.62532865907099033</v>
      </c>
      <c r="Q39">
        <f t="shared" si="8"/>
        <v>1</v>
      </c>
      <c r="R39">
        <f t="shared" si="8"/>
        <v>0.76759977219958819</v>
      </c>
      <c r="S39">
        <f t="shared" si="8"/>
        <v>0.69696969696969702</v>
      </c>
      <c r="T39">
        <f t="shared" si="8"/>
        <v>0.67381722009991185</v>
      </c>
      <c r="U39">
        <f t="shared" si="8"/>
        <v>0.72499999999999998</v>
      </c>
      <c r="V39">
        <f t="shared" si="8"/>
        <v>0.20142180094786721</v>
      </c>
      <c r="W39">
        <f t="shared" si="8"/>
        <v>0.2992700729927007</v>
      </c>
      <c r="X39">
        <f t="shared" si="8"/>
        <v>0.8571428571428571</v>
      </c>
      <c r="Y39">
        <f t="shared" si="8"/>
        <v>0.72365805168986086</v>
      </c>
      <c r="Z39">
        <f t="shared" si="8"/>
        <v>0</v>
      </c>
      <c r="AA39">
        <f t="shared" si="8"/>
        <v>0.62589928057553956</v>
      </c>
      <c r="AB39">
        <f t="shared" si="8"/>
        <v>0.11267605633802813</v>
      </c>
      <c r="AC39">
        <f t="shared" si="8"/>
        <v>0.92882023322732088</v>
      </c>
      <c r="AD39">
        <f t="shared" si="8"/>
        <v>0</v>
      </c>
      <c r="AE39">
        <f t="shared" si="8"/>
        <v>1</v>
      </c>
      <c r="AF39">
        <f t="shared" si="8"/>
        <v>0.91913065453626486</v>
      </c>
      <c r="AG39">
        <f t="shared" si="8"/>
        <v>0</v>
      </c>
      <c r="AH39">
        <f t="shared" si="8"/>
        <v>0.219758064516129</v>
      </c>
    </row>
    <row r="43" spans="2:37" x14ac:dyDescent="0.25">
      <c r="B43" s="5" t="s">
        <v>1308</v>
      </c>
    </row>
    <row r="46" spans="2:37" x14ac:dyDescent="0.25">
      <c r="B46" s="597"/>
      <c r="C46" s="597"/>
      <c r="D46" s="598"/>
      <c r="E46" s="597"/>
      <c r="F46" s="597"/>
      <c r="G46" s="597"/>
      <c r="H46" s="597" t="s">
        <v>162</v>
      </c>
      <c r="I46" s="597" t="s">
        <v>164</v>
      </c>
      <c r="J46" s="597" t="s">
        <v>166</v>
      </c>
      <c r="K46" s="597" t="s">
        <v>168</v>
      </c>
      <c r="L46" s="597" t="s">
        <v>170</v>
      </c>
      <c r="M46" s="597" t="s">
        <v>173</v>
      </c>
      <c r="N46" s="597" t="s">
        <v>175</v>
      </c>
      <c r="O46" s="597" t="s">
        <v>177</v>
      </c>
      <c r="P46" s="597" t="s">
        <v>179</v>
      </c>
      <c r="Q46" s="597" t="s">
        <v>181</v>
      </c>
      <c r="R46" s="597" t="s">
        <v>183</v>
      </c>
      <c r="S46" s="597" t="s">
        <v>185</v>
      </c>
      <c r="T46" s="597" t="s">
        <v>188</v>
      </c>
      <c r="U46" s="597" t="s">
        <v>190</v>
      </c>
      <c r="V46" s="597" t="s">
        <v>192</v>
      </c>
      <c r="W46" s="597" t="s">
        <v>194</v>
      </c>
      <c r="X46" s="597" t="s">
        <v>196</v>
      </c>
      <c r="Y46" s="597" t="s">
        <v>198</v>
      </c>
      <c r="Z46" s="597" t="s">
        <v>9</v>
      </c>
      <c r="AA46" s="597" t="s">
        <v>201</v>
      </c>
      <c r="AB46" s="597" t="s">
        <v>203</v>
      </c>
      <c r="AC46" s="597" t="s">
        <v>205</v>
      </c>
      <c r="AD46" s="597" t="s">
        <v>207</v>
      </c>
      <c r="AE46" s="597" t="s">
        <v>210</v>
      </c>
      <c r="AF46" s="597" t="s">
        <v>212</v>
      </c>
      <c r="AG46" s="597" t="s">
        <v>214</v>
      </c>
      <c r="AH46" s="597" t="s">
        <v>217</v>
      </c>
      <c r="AI46" s="597" t="s">
        <v>219</v>
      </c>
      <c r="AJ46" s="597"/>
      <c r="AK46" s="597"/>
    </row>
    <row r="47" spans="2:37" x14ac:dyDescent="0.25">
      <c r="B47" s="293" t="s">
        <v>1297</v>
      </c>
      <c r="C47" s="293"/>
      <c r="D47" s="293"/>
      <c r="E47" s="293"/>
      <c r="F47" s="293"/>
      <c r="G47" s="293"/>
      <c r="H47" s="597">
        <v>0</v>
      </c>
      <c r="I47" s="597">
        <v>0.36</v>
      </c>
      <c r="J47" s="597">
        <v>0.13</v>
      </c>
      <c r="K47" s="597">
        <v>1.33</v>
      </c>
      <c r="L47" s="597">
        <v>2.52</v>
      </c>
      <c r="M47" s="597">
        <v>0.42</v>
      </c>
      <c r="N47" s="597">
        <v>1.25</v>
      </c>
      <c r="O47" s="597">
        <v>0.01</v>
      </c>
      <c r="P47" s="597">
        <v>1.82</v>
      </c>
      <c r="Q47" s="597">
        <v>4.5599999999999996</v>
      </c>
      <c r="R47" s="597">
        <v>0</v>
      </c>
      <c r="S47" s="597">
        <v>46.1</v>
      </c>
      <c r="T47" s="597">
        <v>0.15</v>
      </c>
      <c r="U47" s="597">
        <v>3.52</v>
      </c>
      <c r="V47" s="597">
        <v>0.8</v>
      </c>
      <c r="W47" s="597">
        <v>4.21</v>
      </c>
      <c r="X47" s="597">
        <v>2.73</v>
      </c>
      <c r="Y47" s="597">
        <v>0.3</v>
      </c>
      <c r="Z47" s="597">
        <v>5.03</v>
      </c>
      <c r="AA47" s="597">
        <v>1.31</v>
      </c>
      <c r="AB47" s="597">
        <v>0.68</v>
      </c>
      <c r="AC47" s="597">
        <v>0.88</v>
      </c>
      <c r="AD47" s="597">
        <v>6.6</v>
      </c>
      <c r="AE47" s="597">
        <v>0.01</v>
      </c>
      <c r="AF47" s="597">
        <v>0</v>
      </c>
      <c r="AG47" s="597">
        <v>3.96</v>
      </c>
      <c r="AH47" s="597">
        <v>2</v>
      </c>
      <c r="AI47" s="597">
        <v>4.95</v>
      </c>
      <c r="AJ47" s="597"/>
      <c r="AK47" s="597"/>
    </row>
    <row r="48" spans="2:37" x14ac:dyDescent="0.25">
      <c r="B48" s="293"/>
      <c r="C48" s="293"/>
      <c r="D48" s="293"/>
      <c r="E48" s="293"/>
      <c r="F48" s="293"/>
      <c r="G48" s="293"/>
      <c r="H48" s="293"/>
      <c r="I48" s="293"/>
      <c r="J48" s="293"/>
      <c r="K48" s="293"/>
      <c r="L48" s="293"/>
      <c r="M48" s="293"/>
      <c r="N48" s="293"/>
      <c r="O48" s="293"/>
      <c r="P48" s="597"/>
      <c r="Q48" s="597"/>
      <c r="R48" s="597"/>
      <c r="S48" s="597"/>
      <c r="T48" s="597"/>
      <c r="U48" s="597"/>
      <c r="V48" s="597"/>
      <c r="W48" s="597"/>
      <c r="X48" s="597"/>
      <c r="Y48" s="597"/>
      <c r="Z48" s="597"/>
      <c r="AA48" s="597"/>
      <c r="AB48" s="597"/>
      <c r="AC48" s="597"/>
      <c r="AD48" s="597"/>
      <c r="AE48" s="597"/>
      <c r="AF48" s="597"/>
      <c r="AG48" s="597"/>
      <c r="AH48" s="597"/>
      <c r="AI48" s="597"/>
      <c r="AJ48" s="597"/>
      <c r="AK48" s="597"/>
    </row>
    <row r="49" spans="2:37" x14ac:dyDescent="0.25">
      <c r="B49" s="597"/>
      <c r="C49" s="293"/>
      <c r="D49" s="293"/>
      <c r="E49" s="293" t="s">
        <v>1298</v>
      </c>
      <c r="F49" s="293"/>
      <c r="G49" s="293"/>
      <c r="H49" s="293"/>
      <c r="I49" s="293"/>
      <c r="J49" s="293"/>
      <c r="K49" s="597"/>
      <c r="L49" s="597"/>
      <c r="M49" s="293"/>
      <c r="N49" s="293"/>
      <c r="O49" s="293"/>
      <c r="P49" s="597"/>
      <c r="Q49" s="597"/>
      <c r="R49" s="597"/>
      <c r="S49" s="597"/>
      <c r="T49" s="597"/>
      <c r="U49" s="597"/>
      <c r="V49" s="597"/>
      <c r="W49" s="597"/>
      <c r="X49" s="597"/>
      <c r="Y49" s="597"/>
      <c r="Z49" s="597"/>
      <c r="AA49" s="597"/>
      <c r="AB49" s="597"/>
      <c r="AC49" s="597"/>
      <c r="AD49" s="597"/>
      <c r="AE49" s="597"/>
      <c r="AF49" s="597"/>
      <c r="AG49" s="597"/>
      <c r="AH49" s="597"/>
      <c r="AI49" s="597"/>
      <c r="AJ49" s="597"/>
      <c r="AK49" s="597"/>
    </row>
    <row r="50" spans="2:37" x14ac:dyDescent="0.25">
      <c r="B50" s="293" t="s">
        <v>1309</v>
      </c>
      <c r="C50" s="293" t="s">
        <v>1299</v>
      </c>
      <c r="D50" s="597" t="s">
        <v>1293</v>
      </c>
      <c r="E50" s="293" t="s">
        <v>327</v>
      </c>
      <c r="F50" s="293" t="s">
        <v>1310</v>
      </c>
      <c r="G50" s="293" t="s">
        <v>1311</v>
      </c>
      <c r="H50" s="293" t="s">
        <v>1312</v>
      </c>
      <c r="I50" s="293" t="s">
        <v>1313</v>
      </c>
      <c r="J50" s="293" t="s">
        <v>1314</v>
      </c>
      <c r="K50" s="293" t="s">
        <v>1315</v>
      </c>
      <c r="L50" s="293" t="s">
        <v>1316</v>
      </c>
      <c r="M50" s="293" t="s">
        <v>1317</v>
      </c>
      <c r="N50" s="293" t="s">
        <v>1318</v>
      </c>
      <c r="O50" s="293" t="s">
        <v>1319</v>
      </c>
      <c r="P50" s="293" t="s">
        <v>1320</v>
      </c>
      <c r="Q50" s="293" t="s">
        <v>1321</v>
      </c>
      <c r="R50" s="293" t="s">
        <v>1322</v>
      </c>
      <c r="S50" s="293" t="s">
        <v>1323</v>
      </c>
      <c r="T50" s="293" t="s">
        <v>1324</v>
      </c>
      <c r="U50" s="293" t="s">
        <v>1325</v>
      </c>
      <c r="V50" s="293" t="s">
        <v>1326</v>
      </c>
      <c r="W50" s="293" t="s">
        <v>1327</v>
      </c>
      <c r="X50" s="293" t="s">
        <v>1328</v>
      </c>
      <c r="Y50" s="293" t="s">
        <v>1329</v>
      </c>
      <c r="Z50" s="293" t="s">
        <v>1330</v>
      </c>
      <c r="AA50" s="293" t="s">
        <v>1331</v>
      </c>
      <c r="AB50" s="293" t="s">
        <v>1332</v>
      </c>
      <c r="AC50" s="293" t="s">
        <v>1333</v>
      </c>
      <c r="AD50" s="293" t="s">
        <v>1334</v>
      </c>
      <c r="AE50" s="293" t="s">
        <v>1335</v>
      </c>
      <c r="AF50" s="293" t="s">
        <v>1336</v>
      </c>
      <c r="AG50" s="293" t="s">
        <v>1337</v>
      </c>
      <c r="AH50" s="293" t="s">
        <v>1338</v>
      </c>
      <c r="AI50" s="293" t="s">
        <v>1339</v>
      </c>
      <c r="AJ50" s="293" t="s">
        <v>1302</v>
      </c>
      <c r="AK50" s="293" t="s">
        <v>1303</v>
      </c>
    </row>
    <row r="51" spans="2:37" x14ac:dyDescent="0.25">
      <c r="B51" s="293" t="s">
        <v>1340</v>
      </c>
      <c r="C51" s="293" t="str">
        <f>"UC_Gro_IAL_"&amp;D51</f>
        <v>UC_Gro_IAL_I-AL-PRIELC01</v>
      </c>
      <c r="D51" s="293" t="s">
        <v>1114</v>
      </c>
      <c r="E51" s="293" t="s">
        <v>332</v>
      </c>
      <c r="F51" s="293">
        <v>1.1000000000000001</v>
      </c>
      <c r="G51" s="293">
        <v>1</v>
      </c>
      <c r="H51" s="293">
        <f>IF(H47=0,0,H47*0.1)</f>
        <v>0</v>
      </c>
      <c r="I51" s="293">
        <f t="shared" ref="I51:AI51" si="9">IF(I47=0,0,I47*0.1)</f>
        <v>3.5999999999999997E-2</v>
      </c>
      <c r="J51" s="293">
        <f t="shared" si="9"/>
        <v>1.3000000000000001E-2</v>
      </c>
      <c r="K51" s="293">
        <f t="shared" si="9"/>
        <v>0.13300000000000001</v>
      </c>
      <c r="L51" s="293">
        <f t="shared" si="9"/>
        <v>0.252</v>
      </c>
      <c r="M51" s="293">
        <f t="shared" si="9"/>
        <v>4.2000000000000003E-2</v>
      </c>
      <c r="N51" s="293">
        <f t="shared" si="9"/>
        <v>0.125</v>
      </c>
      <c r="O51" s="293">
        <f t="shared" si="9"/>
        <v>1E-3</v>
      </c>
      <c r="P51" s="293">
        <f t="shared" si="9"/>
        <v>0.18200000000000002</v>
      </c>
      <c r="Q51" s="293">
        <f t="shared" si="9"/>
        <v>0.45599999999999996</v>
      </c>
      <c r="R51" s="293">
        <f t="shared" si="9"/>
        <v>0</v>
      </c>
      <c r="S51" s="293">
        <f t="shared" si="9"/>
        <v>4.6100000000000003</v>
      </c>
      <c r="T51" s="293">
        <f t="shared" si="9"/>
        <v>1.4999999999999999E-2</v>
      </c>
      <c r="U51" s="293">
        <f t="shared" si="9"/>
        <v>0.35200000000000004</v>
      </c>
      <c r="V51" s="293">
        <f t="shared" si="9"/>
        <v>8.0000000000000016E-2</v>
      </c>
      <c r="W51" s="293">
        <f t="shared" si="9"/>
        <v>0.42100000000000004</v>
      </c>
      <c r="X51" s="293">
        <f t="shared" si="9"/>
        <v>0.27300000000000002</v>
      </c>
      <c r="Y51" s="293">
        <f t="shared" si="9"/>
        <v>0.03</v>
      </c>
      <c r="Z51" s="293">
        <f t="shared" si="9"/>
        <v>0.503</v>
      </c>
      <c r="AA51" s="293">
        <f t="shared" si="9"/>
        <v>0.13100000000000001</v>
      </c>
      <c r="AB51" s="293">
        <f t="shared" si="9"/>
        <v>6.8000000000000005E-2</v>
      </c>
      <c r="AC51" s="293">
        <f t="shared" si="9"/>
        <v>8.8000000000000009E-2</v>
      </c>
      <c r="AD51" s="293">
        <f t="shared" si="9"/>
        <v>0.66</v>
      </c>
      <c r="AE51" s="293">
        <f t="shared" si="9"/>
        <v>1E-3</v>
      </c>
      <c r="AF51" s="293">
        <f t="shared" si="9"/>
        <v>0</v>
      </c>
      <c r="AG51" s="293">
        <f t="shared" si="9"/>
        <v>0.39600000000000002</v>
      </c>
      <c r="AH51" s="293">
        <f t="shared" si="9"/>
        <v>0.2</v>
      </c>
      <c r="AI51" s="293">
        <f t="shared" si="9"/>
        <v>0.49500000000000005</v>
      </c>
      <c r="AJ51" s="293">
        <v>5</v>
      </c>
      <c r="AK51" s="293" t="s">
        <v>1341</v>
      </c>
    </row>
    <row r="52" spans="2:37" x14ac:dyDescent="0.25">
      <c r="B52" s="293" t="s">
        <v>1340</v>
      </c>
      <c r="C52" s="293" t="str">
        <f t="shared" ref="C52:C60" si="10">"UC_Gro_IAL_"&amp;D52</f>
        <v>UC_Gro_IAL_I-AL-PRIH2G01</v>
      </c>
      <c r="D52" s="597" t="s">
        <v>1116</v>
      </c>
      <c r="E52" s="293" t="s">
        <v>332</v>
      </c>
      <c r="F52" s="293">
        <v>1.1000000000000001</v>
      </c>
      <c r="G52" s="293">
        <v>1</v>
      </c>
      <c r="H52" s="293">
        <f>H51</f>
        <v>0</v>
      </c>
      <c r="I52" s="293">
        <f t="shared" ref="I52:AI52" si="11">I51</f>
        <v>3.5999999999999997E-2</v>
      </c>
      <c r="J52" s="293">
        <f t="shared" si="11"/>
        <v>1.3000000000000001E-2</v>
      </c>
      <c r="K52" s="293">
        <f t="shared" si="11"/>
        <v>0.13300000000000001</v>
      </c>
      <c r="L52" s="293">
        <f t="shared" si="11"/>
        <v>0.252</v>
      </c>
      <c r="M52" s="293">
        <f t="shared" si="11"/>
        <v>4.2000000000000003E-2</v>
      </c>
      <c r="N52" s="293">
        <f t="shared" si="11"/>
        <v>0.125</v>
      </c>
      <c r="O52" s="293">
        <f t="shared" si="11"/>
        <v>1E-3</v>
      </c>
      <c r="P52" s="293">
        <f t="shared" si="11"/>
        <v>0.18200000000000002</v>
      </c>
      <c r="Q52" s="293">
        <f t="shared" si="11"/>
        <v>0.45599999999999996</v>
      </c>
      <c r="R52" s="293">
        <f t="shared" si="11"/>
        <v>0</v>
      </c>
      <c r="S52" s="293">
        <f t="shared" si="11"/>
        <v>4.6100000000000003</v>
      </c>
      <c r="T52" s="293">
        <f t="shared" si="11"/>
        <v>1.4999999999999999E-2</v>
      </c>
      <c r="U52" s="293">
        <f t="shared" si="11"/>
        <v>0.35200000000000004</v>
      </c>
      <c r="V52" s="293">
        <f t="shared" si="11"/>
        <v>8.0000000000000016E-2</v>
      </c>
      <c r="W52" s="293">
        <f t="shared" si="11"/>
        <v>0.42100000000000004</v>
      </c>
      <c r="X52" s="293">
        <f t="shared" si="11"/>
        <v>0.27300000000000002</v>
      </c>
      <c r="Y52" s="293">
        <f t="shared" si="11"/>
        <v>0.03</v>
      </c>
      <c r="Z52" s="293">
        <f t="shared" si="11"/>
        <v>0.503</v>
      </c>
      <c r="AA52" s="293">
        <f t="shared" si="11"/>
        <v>0.13100000000000001</v>
      </c>
      <c r="AB52" s="293">
        <f t="shared" si="11"/>
        <v>6.8000000000000005E-2</v>
      </c>
      <c r="AC52" s="293">
        <f t="shared" si="11"/>
        <v>8.8000000000000009E-2</v>
      </c>
      <c r="AD52" s="293">
        <f t="shared" si="11"/>
        <v>0.66</v>
      </c>
      <c r="AE52" s="293">
        <f t="shared" si="11"/>
        <v>1E-3</v>
      </c>
      <c r="AF52" s="293">
        <f t="shared" si="11"/>
        <v>0</v>
      </c>
      <c r="AG52" s="293">
        <f t="shared" si="11"/>
        <v>0.39600000000000002</v>
      </c>
      <c r="AH52" s="293">
        <f t="shared" si="11"/>
        <v>0.2</v>
      </c>
      <c r="AI52" s="293">
        <f t="shared" si="11"/>
        <v>0.49500000000000005</v>
      </c>
      <c r="AJ52" s="293">
        <v>5</v>
      </c>
      <c r="AK52" s="293" t="s">
        <v>1342</v>
      </c>
    </row>
    <row r="53" spans="2:37" x14ac:dyDescent="0.25">
      <c r="B53" s="293" t="s">
        <v>1340</v>
      </c>
      <c r="C53" s="293" t="str">
        <f t="shared" si="10"/>
        <v>UC_Gro_IAL_I-AL-PRIGAS01</v>
      </c>
      <c r="D53" s="597" t="s">
        <v>1118</v>
      </c>
      <c r="E53" s="293" t="s">
        <v>332</v>
      </c>
      <c r="F53" s="293">
        <v>1.1000000000000001</v>
      </c>
      <c r="G53" s="293">
        <v>1</v>
      </c>
      <c r="H53" s="293">
        <f t="shared" ref="H53:H60" si="12">H52</f>
        <v>0</v>
      </c>
      <c r="I53" s="293">
        <f t="shared" ref="I53:I60" si="13">I52</f>
        <v>3.5999999999999997E-2</v>
      </c>
      <c r="J53" s="293">
        <f t="shared" ref="J53:J60" si="14">J52</f>
        <v>1.3000000000000001E-2</v>
      </c>
      <c r="K53" s="293">
        <f t="shared" ref="K53:K60" si="15">K52</f>
        <v>0.13300000000000001</v>
      </c>
      <c r="L53" s="293">
        <f t="shared" ref="L53:L60" si="16">L52</f>
        <v>0.252</v>
      </c>
      <c r="M53" s="293">
        <f t="shared" ref="M53:M60" si="17">M52</f>
        <v>4.2000000000000003E-2</v>
      </c>
      <c r="N53" s="293">
        <f t="shared" ref="N53:N60" si="18">N52</f>
        <v>0.125</v>
      </c>
      <c r="O53" s="293">
        <f t="shared" ref="O53:O60" si="19">O52</f>
        <v>1E-3</v>
      </c>
      <c r="P53" s="293">
        <f t="shared" ref="P53:P60" si="20">P52</f>
        <v>0.18200000000000002</v>
      </c>
      <c r="Q53" s="293">
        <f t="shared" ref="Q53:Q60" si="21">Q52</f>
        <v>0.45599999999999996</v>
      </c>
      <c r="R53" s="293">
        <f t="shared" ref="R53:R60" si="22">R52</f>
        <v>0</v>
      </c>
      <c r="S53" s="293">
        <f t="shared" ref="S53:S60" si="23">S52</f>
        <v>4.6100000000000003</v>
      </c>
      <c r="T53" s="293">
        <f t="shared" ref="T53:T60" si="24">T52</f>
        <v>1.4999999999999999E-2</v>
      </c>
      <c r="U53" s="293">
        <f t="shared" ref="U53:U60" si="25">U52</f>
        <v>0.35200000000000004</v>
      </c>
      <c r="V53" s="293">
        <f t="shared" ref="V53:V60" si="26">V52</f>
        <v>8.0000000000000016E-2</v>
      </c>
      <c r="W53" s="293">
        <f t="shared" ref="W53:W60" si="27">W52</f>
        <v>0.42100000000000004</v>
      </c>
      <c r="X53" s="293">
        <f t="shared" ref="X53:X60" si="28">X52</f>
        <v>0.27300000000000002</v>
      </c>
      <c r="Y53" s="293">
        <f t="shared" ref="Y53:Y60" si="29">Y52</f>
        <v>0.03</v>
      </c>
      <c r="Z53" s="293">
        <f t="shared" ref="Z53:Z60" si="30">Z52</f>
        <v>0.503</v>
      </c>
      <c r="AA53" s="293">
        <f t="shared" ref="AA53:AA60" si="31">AA52</f>
        <v>0.13100000000000001</v>
      </c>
      <c r="AB53" s="293">
        <f t="shared" ref="AB53:AB60" si="32">AB52</f>
        <v>6.8000000000000005E-2</v>
      </c>
      <c r="AC53" s="293">
        <f t="shared" ref="AC53:AC60" si="33">AC52</f>
        <v>8.8000000000000009E-2</v>
      </c>
      <c r="AD53" s="293">
        <f t="shared" ref="AD53:AD60" si="34">AD52</f>
        <v>0.66</v>
      </c>
      <c r="AE53" s="293">
        <f t="shared" ref="AE53:AE60" si="35">AE52</f>
        <v>1E-3</v>
      </c>
      <c r="AF53" s="293">
        <f t="shared" ref="AF53:AF60" si="36">AF52</f>
        <v>0</v>
      </c>
      <c r="AG53" s="293">
        <f t="shared" ref="AG53:AG60" si="37">AG52</f>
        <v>0.39600000000000002</v>
      </c>
      <c r="AH53" s="293">
        <f t="shared" ref="AH53:AH60" si="38">AH52</f>
        <v>0.2</v>
      </c>
      <c r="AI53" s="293">
        <f t="shared" ref="AI53:AI60" si="39">AI52</f>
        <v>0.49500000000000005</v>
      </c>
      <c r="AJ53" s="293">
        <v>5</v>
      </c>
      <c r="AK53" s="293" t="s">
        <v>1343</v>
      </c>
    </row>
    <row r="54" spans="2:37" x14ac:dyDescent="0.25">
      <c r="B54" s="293" t="s">
        <v>1340</v>
      </c>
      <c r="C54" s="293" t="str">
        <f t="shared" si="10"/>
        <v>UC_Gro_IAL_I-AL-PRIELC-CCS01</v>
      </c>
      <c r="D54" s="597" t="s">
        <v>1120</v>
      </c>
      <c r="E54" s="293" t="s">
        <v>332</v>
      </c>
      <c r="F54" s="293">
        <v>1.1000000000000001</v>
      </c>
      <c r="G54" s="293">
        <v>1</v>
      </c>
      <c r="H54" s="293">
        <f t="shared" si="12"/>
        <v>0</v>
      </c>
      <c r="I54" s="293">
        <f t="shared" si="13"/>
        <v>3.5999999999999997E-2</v>
      </c>
      <c r="J54" s="293">
        <f t="shared" si="14"/>
        <v>1.3000000000000001E-2</v>
      </c>
      <c r="K54" s="293">
        <f t="shared" si="15"/>
        <v>0.13300000000000001</v>
      </c>
      <c r="L54" s="293">
        <f t="shared" si="16"/>
        <v>0.252</v>
      </c>
      <c r="M54" s="293">
        <f t="shared" si="17"/>
        <v>4.2000000000000003E-2</v>
      </c>
      <c r="N54" s="293">
        <f t="shared" si="18"/>
        <v>0.125</v>
      </c>
      <c r="O54" s="293">
        <f t="shared" si="19"/>
        <v>1E-3</v>
      </c>
      <c r="P54" s="293">
        <f t="shared" si="20"/>
        <v>0.18200000000000002</v>
      </c>
      <c r="Q54" s="293">
        <f t="shared" si="21"/>
        <v>0.45599999999999996</v>
      </c>
      <c r="R54" s="293">
        <f t="shared" si="22"/>
        <v>0</v>
      </c>
      <c r="S54" s="293">
        <f t="shared" si="23"/>
        <v>4.6100000000000003</v>
      </c>
      <c r="T54" s="293">
        <f t="shared" si="24"/>
        <v>1.4999999999999999E-2</v>
      </c>
      <c r="U54" s="293">
        <f t="shared" si="25"/>
        <v>0.35200000000000004</v>
      </c>
      <c r="V54" s="293">
        <f t="shared" si="26"/>
        <v>8.0000000000000016E-2</v>
      </c>
      <c r="W54" s="293">
        <f t="shared" si="27"/>
        <v>0.42100000000000004</v>
      </c>
      <c r="X54" s="293">
        <f t="shared" si="28"/>
        <v>0.27300000000000002</v>
      </c>
      <c r="Y54" s="293">
        <f t="shared" si="29"/>
        <v>0.03</v>
      </c>
      <c r="Z54" s="293">
        <f t="shared" si="30"/>
        <v>0.503</v>
      </c>
      <c r="AA54" s="293">
        <f t="shared" si="31"/>
        <v>0.13100000000000001</v>
      </c>
      <c r="AB54" s="293">
        <f t="shared" si="32"/>
        <v>6.8000000000000005E-2</v>
      </c>
      <c r="AC54" s="293">
        <f t="shared" si="33"/>
        <v>8.8000000000000009E-2</v>
      </c>
      <c r="AD54" s="293">
        <f t="shared" si="34"/>
        <v>0.66</v>
      </c>
      <c r="AE54" s="293">
        <f t="shared" si="35"/>
        <v>1E-3</v>
      </c>
      <c r="AF54" s="293">
        <f t="shared" si="36"/>
        <v>0</v>
      </c>
      <c r="AG54" s="293">
        <f t="shared" si="37"/>
        <v>0.39600000000000002</v>
      </c>
      <c r="AH54" s="293">
        <f t="shared" si="38"/>
        <v>0.2</v>
      </c>
      <c r="AI54" s="293">
        <f t="shared" si="39"/>
        <v>0.49500000000000005</v>
      </c>
      <c r="AJ54" s="293">
        <v>5</v>
      </c>
      <c r="AK54" s="293" t="s">
        <v>1344</v>
      </c>
    </row>
    <row r="55" spans="2:37" x14ac:dyDescent="0.25">
      <c r="B55" s="293" t="s">
        <v>1340</v>
      </c>
      <c r="C55" s="293" t="str">
        <f t="shared" si="10"/>
        <v>UC_Gro_IAL_I-AL-PRIH2G-CCS01</v>
      </c>
      <c r="D55" s="597" t="s">
        <v>1122</v>
      </c>
      <c r="E55" s="293" t="s">
        <v>332</v>
      </c>
      <c r="F55" s="293">
        <v>1.1000000000000001</v>
      </c>
      <c r="G55" s="293">
        <v>1</v>
      </c>
      <c r="H55" s="293">
        <f t="shared" si="12"/>
        <v>0</v>
      </c>
      <c r="I55" s="293">
        <f t="shared" si="13"/>
        <v>3.5999999999999997E-2</v>
      </c>
      <c r="J55" s="293">
        <f t="shared" si="14"/>
        <v>1.3000000000000001E-2</v>
      </c>
      <c r="K55" s="293">
        <f t="shared" si="15"/>
        <v>0.13300000000000001</v>
      </c>
      <c r="L55" s="293">
        <f t="shared" si="16"/>
        <v>0.252</v>
      </c>
      <c r="M55" s="293">
        <f t="shared" si="17"/>
        <v>4.2000000000000003E-2</v>
      </c>
      <c r="N55" s="293">
        <f t="shared" si="18"/>
        <v>0.125</v>
      </c>
      <c r="O55" s="293">
        <f t="shared" si="19"/>
        <v>1E-3</v>
      </c>
      <c r="P55" s="293">
        <f t="shared" si="20"/>
        <v>0.18200000000000002</v>
      </c>
      <c r="Q55" s="293">
        <f t="shared" si="21"/>
        <v>0.45599999999999996</v>
      </c>
      <c r="R55" s="293">
        <f t="shared" si="22"/>
        <v>0</v>
      </c>
      <c r="S55" s="293">
        <f t="shared" si="23"/>
        <v>4.6100000000000003</v>
      </c>
      <c r="T55" s="293">
        <f t="shared" si="24"/>
        <v>1.4999999999999999E-2</v>
      </c>
      <c r="U55" s="293">
        <f t="shared" si="25"/>
        <v>0.35200000000000004</v>
      </c>
      <c r="V55" s="293">
        <f t="shared" si="26"/>
        <v>8.0000000000000016E-2</v>
      </c>
      <c r="W55" s="293">
        <f t="shared" si="27"/>
        <v>0.42100000000000004</v>
      </c>
      <c r="X55" s="293">
        <f t="shared" si="28"/>
        <v>0.27300000000000002</v>
      </c>
      <c r="Y55" s="293">
        <f t="shared" si="29"/>
        <v>0.03</v>
      </c>
      <c r="Z55" s="293">
        <f t="shared" si="30"/>
        <v>0.503</v>
      </c>
      <c r="AA55" s="293">
        <f t="shared" si="31"/>
        <v>0.13100000000000001</v>
      </c>
      <c r="AB55" s="293">
        <f t="shared" si="32"/>
        <v>6.8000000000000005E-2</v>
      </c>
      <c r="AC55" s="293">
        <f t="shared" si="33"/>
        <v>8.8000000000000009E-2</v>
      </c>
      <c r="AD55" s="293">
        <f t="shared" si="34"/>
        <v>0.66</v>
      </c>
      <c r="AE55" s="293">
        <f t="shared" si="35"/>
        <v>1E-3</v>
      </c>
      <c r="AF55" s="293">
        <f t="shared" si="36"/>
        <v>0</v>
      </c>
      <c r="AG55" s="293">
        <f t="shared" si="37"/>
        <v>0.39600000000000002</v>
      </c>
      <c r="AH55" s="293">
        <f t="shared" si="38"/>
        <v>0.2</v>
      </c>
      <c r="AI55" s="293">
        <f t="shared" si="39"/>
        <v>0.49500000000000005</v>
      </c>
      <c r="AJ55" s="293">
        <v>5</v>
      </c>
      <c r="AK55" s="293" t="s">
        <v>1345</v>
      </c>
    </row>
    <row r="56" spans="2:37" x14ac:dyDescent="0.25">
      <c r="B56" s="293" t="s">
        <v>1340</v>
      </c>
      <c r="C56" s="293" t="str">
        <f t="shared" si="10"/>
        <v>UC_Gro_IAL_I-AL-PRIELC-IN01</v>
      </c>
      <c r="D56" s="597" t="s">
        <v>1124</v>
      </c>
      <c r="E56" s="293" t="s">
        <v>332</v>
      </c>
      <c r="F56" s="293">
        <v>1.1000000000000001</v>
      </c>
      <c r="G56" s="293">
        <v>1</v>
      </c>
      <c r="H56" s="293">
        <f t="shared" si="12"/>
        <v>0</v>
      </c>
      <c r="I56" s="293">
        <f t="shared" si="13"/>
        <v>3.5999999999999997E-2</v>
      </c>
      <c r="J56" s="293">
        <f t="shared" si="14"/>
        <v>1.3000000000000001E-2</v>
      </c>
      <c r="K56" s="293">
        <f t="shared" si="15"/>
        <v>0.13300000000000001</v>
      </c>
      <c r="L56" s="293">
        <f t="shared" si="16"/>
        <v>0.252</v>
      </c>
      <c r="M56" s="293">
        <f t="shared" si="17"/>
        <v>4.2000000000000003E-2</v>
      </c>
      <c r="N56" s="293">
        <f t="shared" si="18"/>
        <v>0.125</v>
      </c>
      <c r="O56" s="293">
        <f t="shared" si="19"/>
        <v>1E-3</v>
      </c>
      <c r="P56" s="293">
        <f t="shared" si="20"/>
        <v>0.18200000000000002</v>
      </c>
      <c r="Q56" s="293">
        <f t="shared" si="21"/>
        <v>0.45599999999999996</v>
      </c>
      <c r="R56" s="293">
        <f t="shared" si="22"/>
        <v>0</v>
      </c>
      <c r="S56" s="293">
        <f t="shared" si="23"/>
        <v>4.6100000000000003</v>
      </c>
      <c r="T56" s="293">
        <f t="shared" si="24"/>
        <v>1.4999999999999999E-2</v>
      </c>
      <c r="U56" s="293">
        <f t="shared" si="25"/>
        <v>0.35200000000000004</v>
      </c>
      <c r="V56" s="293">
        <f t="shared" si="26"/>
        <v>8.0000000000000016E-2</v>
      </c>
      <c r="W56" s="293">
        <f t="shared" si="27"/>
        <v>0.42100000000000004</v>
      </c>
      <c r="X56" s="293">
        <f t="shared" si="28"/>
        <v>0.27300000000000002</v>
      </c>
      <c r="Y56" s="293">
        <f t="shared" si="29"/>
        <v>0.03</v>
      </c>
      <c r="Z56" s="293">
        <f t="shared" si="30"/>
        <v>0.503</v>
      </c>
      <c r="AA56" s="293">
        <f t="shared" si="31"/>
        <v>0.13100000000000001</v>
      </c>
      <c r="AB56" s="293">
        <f t="shared" si="32"/>
        <v>6.8000000000000005E-2</v>
      </c>
      <c r="AC56" s="293">
        <f t="shared" si="33"/>
        <v>8.8000000000000009E-2</v>
      </c>
      <c r="AD56" s="293">
        <f t="shared" si="34"/>
        <v>0.66</v>
      </c>
      <c r="AE56" s="293">
        <f t="shared" si="35"/>
        <v>1E-3</v>
      </c>
      <c r="AF56" s="293">
        <f t="shared" si="36"/>
        <v>0</v>
      </c>
      <c r="AG56" s="293">
        <f t="shared" si="37"/>
        <v>0.39600000000000002</v>
      </c>
      <c r="AH56" s="293">
        <f t="shared" si="38"/>
        <v>0.2</v>
      </c>
      <c r="AI56" s="293">
        <f t="shared" si="39"/>
        <v>0.49500000000000005</v>
      </c>
      <c r="AJ56" s="293">
        <v>5</v>
      </c>
      <c r="AK56" s="293" t="s">
        <v>1346</v>
      </c>
    </row>
    <row r="57" spans="2:37" x14ac:dyDescent="0.25">
      <c r="B57" s="293" t="s">
        <v>1340</v>
      </c>
      <c r="C57" s="293" t="str">
        <f t="shared" si="10"/>
        <v>UC_Gro_IAL_I-AL-PRIH2G-IN01</v>
      </c>
      <c r="D57" s="597" t="s">
        <v>1126</v>
      </c>
      <c r="E57" s="293" t="s">
        <v>332</v>
      </c>
      <c r="F57" s="293">
        <v>1.1000000000000001</v>
      </c>
      <c r="G57" s="293">
        <v>1</v>
      </c>
      <c r="H57" s="293">
        <f t="shared" si="12"/>
        <v>0</v>
      </c>
      <c r="I57" s="293">
        <f t="shared" si="13"/>
        <v>3.5999999999999997E-2</v>
      </c>
      <c r="J57" s="293">
        <f t="shared" si="14"/>
        <v>1.3000000000000001E-2</v>
      </c>
      <c r="K57" s="293">
        <f t="shared" si="15"/>
        <v>0.13300000000000001</v>
      </c>
      <c r="L57" s="293">
        <f t="shared" si="16"/>
        <v>0.252</v>
      </c>
      <c r="M57" s="293">
        <f t="shared" si="17"/>
        <v>4.2000000000000003E-2</v>
      </c>
      <c r="N57" s="293">
        <f t="shared" si="18"/>
        <v>0.125</v>
      </c>
      <c r="O57" s="293">
        <f t="shared" si="19"/>
        <v>1E-3</v>
      </c>
      <c r="P57" s="293">
        <f t="shared" si="20"/>
        <v>0.18200000000000002</v>
      </c>
      <c r="Q57" s="293">
        <f t="shared" si="21"/>
        <v>0.45599999999999996</v>
      </c>
      <c r="R57" s="293">
        <f t="shared" si="22"/>
        <v>0</v>
      </c>
      <c r="S57" s="293">
        <f t="shared" si="23"/>
        <v>4.6100000000000003</v>
      </c>
      <c r="T57" s="293">
        <f t="shared" si="24"/>
        <v>1.4999999999999999E-2</v>
      </c>
      <c r="U57" s="293">
        <f t="shared" si="25"/>
        <v>0.35200000000000004</v>
      </c>
      <c r="V57" s="293">
        <f t="shared" si="26"/>
        <v>8.0000000000000016E-2</v>
      </c>
      <c r="W57" s="293">
        <f t="shared" si="27"/>
        <v>0.42100000000000004</v>
      </c>
      <c r="X57" s="293">
        <f t="shared" si="28"/>
        <v>0.27300000000000002</v>
      </c>
      <c r="Y57" s="293">
        <f t="shared" si="29"/>
        <v>0.03</v>
      </c>
      <c r="Z57" s="293">
        <f t="shared" si="30"/>
        <v>0.503</v>
      </c>
      <c r="AA57" s="293">
        <f t="shared" si="31"/>
        <v>0.13100000000000001</v>
      </c>
      <c r="AB57" s="293">
        <f t="shared" si="32"/>
        <v>6.8000000000000005E-2</v>
      </c>
      <c r="AC57" s="293">
        <f t="shared" si="33"/>
        <v>8.8000000000000009E-2</v>
      </c>
      <c r="AD57" s="293">
        <f t="shared" si="34"/>
        <v>0.66</v>
      </c>
      <c r="AE57" s="293">
        <f t="shared" si="35"/>
        <v>1E-3</v>
      </c>
      <c r="AF57" s="293">
        <f t="shared" si="36"/>
        <v>0</v>
      </c>
      <c r="AG57" s="293">
        <f t="shared" si="37"/>
        <v>0.39600000000000002</v>
      </c>
      <c r="AH57" s="293">
        <f t="shared" si="38"/>
        <v>0.2</v>
      </c>
      <c r="AI57" s="293">
        <f t="shared" si="39"/>
        <v>0.49500000000000005</v>
      </c>
      <c r="AJ57" s="293">
        <v>5</v>
      </c>
      <c r="AK57" s="293" t="s">
        <v>1347</v>
      </c>
    </row>
    <row r="58" spans="2:37" x14ac:dyDescent="0.25">
      <c r="B58" s="293" t="s">
        <v>1340</v>
      </c>
      <c r="C58" s="293" t="str">
        <f t="shared" si="10"/>
        <v>UC_Gro_IAL_I-AL-SECGAS01</v>
      </c>
      <c r="D58" s="597" t="s">
        <v>1128</v>
      </c>
      <c r="E58" s="293" t="s">
        <v>332</v>
      </c>
      <c r="F58" s="293">
        <v>1.1000000000000001</v>
      </c>
      <c r="G58" s="293">
        <v>1</v>
      </c>
      <c r="H58" s="293">
        <f t="shared" si="12"/>
        <v>0</v>
      </c>
      <c r="I58" s="293">
        <f t="shared" si="13"/>
        <v>3.5999999999999997E-2</v>
      </c>
      <c r="J58" s="293">
        <f t="shared" si="14"/>
        <v>1.3000000000000001E-2</v>
      </c>
      <c r="K58" s="293">
        <f t="shared" si="15"/>
        <v>0.13300000000000001</v>
      </c>
      <c r="L58" s="293">
        <f t="shared" si="16"/>
        <v>0.252</v>
      </c>
      <c r="M58" s="293">
        <f t="shared" si="17"/>
        <v>4.2000000000000003E-2</v>
      </c>
      <c r="N58" s="293">
        <f t="shared" si="18"/>
        <v>0.125</v>
      </c>
      <c r="O58" s="293">
        <f t="shared" si="19"/>
        <v>1E-3</v>
      </c>
      <c r="P58" s="293">
        <f t="shared" si="20"/>
        <v>0.18200000000000002</v>
      </c>
      <c r="Q58" s="293">
        <f t="shared" si="21"/>
        <v>0.45599999999999996</v>
      </c>
      <c r="R58" s="293">
        <f t="shared" si="22"/>
        <v>0</v>
      </c>
      <c r="S58" s="293">
        <f t="shared" si="23"/>
        <v>4.6100000000000003</v>
      </c>
      <c r="T58" s="293">
        <f t="shared" si="24"/>
        <v>1.4999999999999999E-2</v>
      </c>
      <c r="U58" s="293">
        <f t="shared" si="25"/>
        <v>0.35200000000000004</v>
      </c>
      <c r="V58" s="293">
        <f t="shared" si="26"/>
        <v>8.0000000000000016E-2</v>
      </c>
      <c r="W58" s="293">
        <f t="shared" si="27"/>
        <v>0.42100000000000004</v>
      </c>
      <c r="X58" s="293">
        <f t="shared" si="28"/>
        <v>0.27300000000000002</v>
      </c>
      <c r="Y58" s="293">
        <f t="shared" si="29"/>
        <v>0.03</v>
      </c>
      <c r="Z58" s="293">
        <f t="shared" si="30"/>
        <v>0.503</v>
      </c>
      <c r="AA58" s="293">
        <f t="shared" si="31"/>
        <v>0.13100000000000001</v>
      </c>
      <c r="AB58" s="293">
        <f t="shared" si="32"/>
        <v>6.8000000000000005E-2</v>
      </c>
      <c r="AC58" s="293">
        <f t="shared" si="33"/>
        <v>8.8000000000000009E-2</v>
      </c>
      <c r="AD58" s="293">
        <f t="shared" si="34"/>
        <v>0.66</v>
      </c>
      <c r="AE58" s="293">
        <f t="shared" si="35"/>
        <v>1E-3</v>
      </c>
      <c r="AF58" s="293">
        <f t="shared" si="36"/>
        <v>0</v>
      </c>
      <c r="AG58" s="293">
        <f t="shared" si="37"/>
        <v>0.39600000000000002</v>
      </c>
      <c r="AH58" s="293">
        <f t="shared" si="38"/>
        <v>0.2</v>
      </c>
      <c r="AI58" s="293">
        <f t="shared" si="39"/>
        <v>0.49500000000000005</v>
      </c>
      <c r="AJ58" s="293">
        <v>5</v>
      </c>
      <c r="AK58" s="293" t="s">
        <v>1348</v>
      </c>
    </row>
    <row r="59" spans="2:37" x14ac:dyDescent="0.25">
      <c r="B59" s="293" t="s">
        <v>1340</v>
      </c>
      <c r="C59" s="293" t="str">
        <f t="shared" si="10"/>
        <v>UC_Gro_IAL_I-AL-SECELC01</v>
      </c>
      <c r="D59" s="597" t="s">
        <v>1130</v>
      </c>
      <c r="E59" s="293" t="s">
        <v>332</v>
      </c>
      <c r="F59" s="293">
        <v>1.1000000000000001</v>
      </c>
      <c r="G59" s="293">
        <v>1</v>
      </c>
      <c r="H59" s="293">
        <f t="shared" si="12"/>
        <v>0</v>
      </c>
      <c r="I59" s="293">
        <f t="shared" si="13"/>
        <v>3.5999999999999997E-2</v>
      </c>
      <c r="J59" s="293">
        <f t="shared" si="14"/>
        <v>1.3000000000000001E-2</v>
      </c>
      <c r="K59" s="293">
        <f t="shared" si="15"/>
        <v>0.13300000000000001</v>
      </c>
      <c r="L59" s="293">
        <f t="shared" si="16"/>
        <v>0.252</v>
      </c>
      <c r="M59" s="293">
        <f t="shared" si="17"/>
        <v>4.2000000000000003E-2</v>
      </c>
      <c r="N59" s="293">
        <f t="shared" si="18"/>
        <v>0.125</v>
      </c>
      <c r="O59" s="293">
        <f t="shared" si="19"/>
        <v>1E-3</v>
      </c>
      <c r="P59" s="293">
        <f t="shared" si="20"/>
        <v>0.18200000000000002</v>
      </c>
      <c r="Q59" s="293">
        <f t="shared" si="21"/>
        <v>0.45599999999999996</v>
      </c>
      <c r="R59" s="293">
        <f t="shared" si="22"/>
        <v>0</v>
      </c>
      <c r="S59" s="293">
        <f t="shared" si="23"/>
        <v>4.6100000000000003</v>
      </c>
      <c r="T59" s="293">
        <f t="shared" si="24"/>
        <v>1.4999999999999999E-2</v>
      </c>
      <c r="U59" s="293">
        <f t="shared" si="25"/>
        <v>0.35200000000000004</v>
      </c>
      <c r="V59" s="293">
        <f t="shared" si="26"/>
        <v>8.0000000000000016E-2</v>
      </c>
      <c r="W59" s="293">
        <f t="shared" si="27"/>
        <v>0.42100000000000004</v>
      </c>
      <c r="X59" s="293">
        <f t="shared" si="28"/>
        <v>0.27300000000000002</v>
      </c>
      <c r="Y59" s="293">
        <f t="shared" si="29"/>
        <v>0.03</v>
      </c>
      <c r="Z59" s="293">
        <f t="shared" si="30"/>
        <v>0.503</v>
      </c>
      <c r="AA59" s="293">
        <f t="shared" si="31"/>
        <v>0.13100000000000001</v>
      </c>
      <c r="AB59" s="293">
        <f t="shared" si="32"/>
        <v>6.8000000000000005E-2</v>
      </c>
      <c r="AC59" s="293">
        <f t="shared" si="33"/>
        <v>8.8000000000000009E-2</v>
      </c>
      <c r="AD59" s="293">
        <f t="shared" si="34"/>
        <v>0.66</v>
      </c>
      <c r="AE59" s="293">
        <f t="shared" si="35"/>
        <v>1E-3</v>
      </c>
      <c r="AF59" s="293">
        <f t="shared" si="36"/>
        <v>0</v>
      </c>
      <c r="AG59" s="293">
        <f t="shared" si="37"/>
        <v>0.39600000000000002</v>
      </c>
      <c r="AH59" s="293">
        <f t="shared" si="38"/>
        <v>0.2</v>
      </c>
      <c r="AI59" s="293">
        <f t="shared" si="39"/>
        <v>0.49500000000000005</v>
      </c>
      <c r="AJ59" s="293">
        <v>5</v>
      </c>
      <c r="AK59" s="293" t="s">
        <v>1349</v>
      </c>
    </row>
    <row r="60" spans="2:37" x14ac:dyDescent="0.25">
      <c r="B60" s="293" t="s">
        <v>1340</v>
      </c>
      <c r="C60" s="293" t="str">
        <f t="shared" si="10"/>
        <v>UC_Gro_IAL_I-AL-SECH2G01</v>
      </c>
      <c r="D60" s="597" t="s">
        <v>1132</v>
      </c>
      <c r="E60" s="293" t="s">
        <v>332</v>
      </c>
      <c r="F60" s="293">
        <v>1.1000000000000001</v>
      </c>
      <c r="G60" s="293">
        <v>1</v>
      </c>
      <c r="H60" s="293">
        <f t="shared" si="12"/>
        <v>0</v>
      </c>
      <c r="I60" s="293">
        <f t="shared" si="13"/>
        <v>3.5999999999999997E-2</v>
      </c>
      <c r="J60" s="293">
        <f t="shared" si="14"/>
        <v>1.3000000000000001E-2</v>
      </c>
      <c r="K60" s="293">
        <f t="shared" si="15"/>
        <v>0.13300000000000001</v>
      </c>
      <c r="L60" s="293">
        <f t="shared" si="16"/>
        <v>0.252</v>
      </c>
      <c r="M60" s="293">
        <f t="shared" si="17"/>
        <v>4.2000000000000003E-2</v>
      </c>
      <c r="N60" s="293">
        <f t="shared" si="18"/>
        <v>0.125</v>
      </c>
      <c r="O60" s="293">
        <f t="shared" si="19"/>
        <v>1E-3</v>
      </c>
      <c r="P60" s="293">
        <f t="shared" si="20"/>
        <v>0.18200000000000002</v>
      </c>
      <c r="Q60" s="293">
        <f t="shared" si="21"/>
        <v>0.45599999999999996</v>
      </c>
      <c r="R60" s="293">
        <f t="shared" si="22"/>
        <v>0</v>
      </c>
      <c r="S60" s="293">
        <f t="shared" si="23"/>
        <v>4.6100000000000003</v>
      </c>
      <c r="T60" s="293">
        <f t="shared" si="24"/>
        <v>1.4999999999999999E-2</v>
      </c>
      <c r="U60" s="293">
        <f t="shared" si="25"/>
        <v>0.35200000000000004</v>
      </c>
      <c r="V60" s="293">
        <f t="shared" si="26"/>
        <v>8.0000000000000016E-2</v>
      </c>
      <c r="W60" s="293">
        <f t="shared" si="27"/>
        <v>0.42100000000000004</v>
      </c>
      <c r="X60" s="293">
        <f t="shared" si="28"/>
        <v>0.27300000000000002</v>
      </c>
      <c r="Y60" s="293">
        <f t="shared" si="29"/>
        <v>0.03</v>
      </c>
      <c r="Z60" s="293">
        <f t="shared" si="30"/>
        <v>0.503</v>
      </c>
      <c r="AA60" s="293">
        <f t="shared" si="31"/>
        <v>0.13100000000000001</v>
      </c>
      <c r="AB60" s="293">
        <f t="shared" si="32"/>
        <v>6.8000000000000005E-2</v>
      </c>
      <c r="AC60" s="293">
        <f t="shared" si="33"/>
        <v>8.8000000000000009E-2</v>
      </c>
      <c r="AD60" s="293">
        <f t="shared" si="34"/>
        <v>0.66</v>
      </c>
      <c r="AE60" s="293">
        <f t="shared" si="35"/>
        <v>1E-3</v>
      </c>
      <c r="AF60" s="293">
        <f t="shared" si="36"/>
        <v>0</v>
      </c>
      <c r="AG60" s="293">
        <f t="shared" si="37"/>
        <v>0.39600000000000002</v>
      </c>
      <c r="AH60" s="293">
        <f t="shared" si="38"/>
        <v>0.2</v>
      </c>
      <c r="AI60" s="293">
        <f t="shared" si="39"/>
        <v>0.49500000000000005</v>
      </c>
      <c r="AJ60" s="293">
        <v>5</v>
      </c>
      <c r="AK60" s="293" t="s">
        <v>1350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D49B-D17A-463C-A93D-6C22DCDF8C71}">
  <dimension ref="B2:S56"/>
  <sheetViews>
    <sheetView topLeftCell="A6" zoomScale="70" zoomScaleNormal="70" workbookViewId="0">
      <selection activeCell="M27" sqref="M27"/>
    </sheetView>
  </sheetViews>
  <sheetFormatPr defaultColWidth="8.7109375" defaultRowHeight="12.75" x14ac:dyDescent="0.2"/>
  <cols>
    <col min="1" max="3" width="8.7109375" style="208"/>
    <col min="4" max="4" width="13.5703125" style="208" bestFit="1" customWidth="1"/>
    <col min="5" max="16384" width="8.7109375" style="208"/>
  </cols>
  <sheetData>
    <row r="2" spans="2:19" x14ac:dyDescent="0.2">
      <c r="B2" s="314" t="s">
        <v>1351</v>
      </c>
      <c r="C2" s="315"/>
      <c r="D2" s="315"/>
      <c r="E2" s="315"/>
      <c r="F2" s="315"/>
      <c r="G2" s="315"/>
      <c r="H2" s="315"/>
      <c r="I2" s="315"/>
      <c r="J2" s="315"/>
      <c r="K2" s="315"/>
      <c r="L2" s="315"/>
      <c r="M2" s="315"/>
      <c r="N2" s="315"/>
      <c r="O2" s="315"/>
      <c r="P2" s="315"/>
      <c r="Q2" s="315"/>
      <c r="R2" s="315"/>
      <c r="S2" s="315"/>
    </row>
    <row r="4" spans="2:19" x14ac:dyDescent="0.2">
      <c r="B4" s="310" t="s">
        <v>1352</v>
      </c>
    </row>
    <row r="6" spans="2:19" ht="15" x14ac:dyDescent="0.25">
      <c r="B6" t="s">
        <v>1353</v>
      </c>
      <c r="C6"/>
      <c r="D6"/>
      <c r="E6"/>
    </row>
    <row r="7" spans="2:19" ht="15" x14ac:dyDescent="0.25">
      <c r="B7" t="s">
        <v>1354</v>
      </c>
      <c r="C7"/>
      <c r="D7"/>
      <c r="E7"/>
    </row>
    <row r="8" spans="2:19" ht="15" x14ac:dyDescent="0.25">
      <c r="B8" t="s">
        <v>1355</v>
      </c>
      <c r="C8" t="s">
        <v>1356</v>
      </c>
      <c r="D8" t="s">
        <v>1357</v>
      </c>
      <c r="E8">
        <v>2019</v>
      </c>
      <c r="J8" s="111" t="s">
        <v>1358</v>
      </c>
      <c r="K8" s="291"/>
      <c r="L8" s="291"/>
      <c r="M8" s="291"/>
      <c r="N8" s="291"/>
      <c r="O8" s="291"/>
      <c r="Q8" s="208" t="s">
        <v>1359</v>
      </c>
    </row>
    <row r="9" spans="2:19" ht="15" x14ac:dyDescent="0.25">
      <c r="B9" t="s">
        <v>1360</v>
      </c>
      <c r="C9" t="s">
        <v>162</v>
      </c>
      <c r="D9" t="s">
        <v>572</v>
      </c>
      <c r="E9" s="162"/>
      <c r="F9" s="309">
        <f>HLOOKUP(C9,'Inputs_BY IIS'!$E$78:$AF$99,19)</f>
        <v>5.2716688692798781E-2</v>
      </c>
      <c r="J9" s="291"/>
      <c r="K9" s="291"/>
      <c r="L9" s="291"/>
      <c r="M9" s="291"/>
      <c r="N9" s="291"/>
      <c r="O9" s="291"/>
    </row>
    <row r="10" spans="2:19" ht="15" x14ac:dyDescent="0.25">
      <c r="B10" t="s">
        <v>1360</v>
      </c>
      <c r="C10" t="s">
        <v>164</v>
      </c>
      <c r="D10" t="s">
        <v>572</v>
      </c>
      <c r="E10" s="162"/>
      <c r="F10" s="309">
        <f>HLOOKUP(C10,'Inputs_BY IIS'!$E$78:$AF$99,19)</f>
        <v>2.2493505512566738</v>
      </c>
      <c r="J10" s="311" t="s">
        <v>1361</v>
      </c>
      <c r="K10" s="291"/>
      <c r="L10" s="291"/>
      <c r="M10" s="291"/>
      <c r="N10" s="291"/>
      <c r="O10" s="291"/>
    </row>
    <row r="11" spans="2:19" ht="15" x14ac:dyDescent="0.25">
      <c r="B11" t="s">
        <v>1360</v>
      </c>
      <c r="C11" t="s">
        <v>166</v>
      </c>
      <c r="D11" t="s">
        <v>572</v>
      </c>
      <c r="E11" s="162"/>
      <c r="F11" s="309">
        <f>HLOOKUP(C11,'Inputs_BY IIS'!$E$78:$AF$99,19)</f>
        <v>5.7988357562078666E-2</v>
      </c>
      <c r="J11" s="291"/>
      <c r="K11" s="111">
        <v>2015</v>
      </c>
      <c r="L11" s="111">
        <v>2020</v>
      </c>
      <c r="M11" s="111">
        <v>2050</v>
      </c>
      <c r="N11" s="291"/>
      <c r="O11" s="111" t="s">
        <v>1362</v>
      </c>
    </row>
    <row r="12" spans="2:19" ht="15" x14ac:dyDescent="0.25">
      <c r="B12" t="s">
        <v>1360</v>
      </c>
      <c r="C12" t="s">
        <v>168</v>
      </c>
      <c r="D12" t="s">
        <v>572</v>
      </c>
      <c r="E12" s="162"/>
      <c r="F12" s="309">
        <f>HLOOKUP(C12,'Inputs_BY IIS'!$E$78:$AF$99,19)</f>
        <v>3.5802992396117155</v>
      </c>
      <c r="J12" s="291" t="s">
        <v>1363</v>
      </c>
      <c r="K12" s="291">
        <v>400</v>
      </c>
      <c r="L12" s="291"/>
      <c r="M12" s="291">
        <v>1574</v>
      </c>
      <c r="N12" s="291"/>
      <c r="O12" s="312">
        <f>(M12/K12)^(1/(M$11-K$11))-1</f>
        <v>3.9916385029023616E-2</v>
      </c>
    </row>
    <row r="13" spans="2:19" ht="15" x14ac:dyDescent="0.25">
      <c r="B13" t="s">
        <v>1360</v>
      </c>
      <c r="C13" t="s">
        <v>170</v>
      </c>
      <c r="D13" t="s">
        <v>572</v>
      </c>
      <c r="E13" s="162"/>
      <c r="F13" s="309">
        <f>HLOOKUP(C13,'Inputs_BY IIS'!$E$78:$AF$99,19)</f>
        <v>1.8883222342974955</v>
      </c>
      <c r="J13" s="291" t="s">
        <v>1364</v>
      </c>
      <c r="K13" s="291"/>
      <c r="L13" s="291">
        <v>608</v>
      </c>
      <c r="M13" s="291">
        <v>1012</v>
      </c>
      <c r="N13" s="291"/>
      <c r="O13" s="312">
        <f>(M13/L13)^(1/(M$11-K$11))-1</f>
        <v>1.4663874055182324E-2</v>
      </c>
    </row>
    <row r="14" spans="2:19" ht="15" x14ac:dyDescent="0.25">
      <c r="B14" t="s">
        <v>1360</v>
      </c>
      <c r="C14" t="s">
        <v>173</v>
      </c>
      <c r="D14" t="s">
        <v>572</v>
      </c>
      <c r="E14" s="162"/>
      <c r="F14" s="309">
        <f>HLOOKUP(C14,'Inputs_BY IIS'!$E$78:$AF$99,19)</f>
        <v>0.88046970789713719</v>
      </c>
      <c r="J14" s="291" t="s">
        <v>1365</v>
      </c>
      <c r="K14" s="291">
        <v>497</v>
      </c>
      <c r="L14" s="291"/>
      <c r="M14" s="291">
        <v>1332</v>
      </c>
      <c r="N14" s="291"/>
      <c r="O14" s="312">
        <f>(M14/K14)^(1/(M$11-K$11))-1</f>
        <v>2.8567494474540878E-2</v>
      </c>
    </row>
    <row r="15" spans="2:19" ht="15" x14ac:dyDescent="0.25">
      <c r="B15" t="s">
        <v>1360</v>
      </c>
      <c r="C15" t="s">
        <v>175</v>
      </c>
      <c r="D15" t="s">
        <v>572</v>
      </c>
      <c r="E15" s="162"/>
      <c r="F15" s="309">
        <f>HLOOKUP(C15,'Inputs_BY IIS'!$E$78:$AF$99,19)</f>
        <v>4.42839422381528</v>
      </c>
      <c r="J15" s="291"/>
      <c r="K15" s="291"/>
      <c r="L15" s="291"/>
      <c r="M15" s="291"/>
      <c r="N15" s="291"/>
      <c r="O15" s="291"/>
    </row>
    <row r="16" spans="2:19" ht="15" x14ac:dyDescent="0.25">
      <c r="B16" t="s">
        <v>1360</v>
      </c>
      <c r="C16" t="s">
        <v>177</v>
      </c>
      <c r="D16" t="s">
        <v>572</v>
      </c>
      <c r="E16" s="162"/>
      <c r="F16" s="309">
        <f>HLOOKUP(C16,'Inputs_BY IIS'!$E$78:$AF$99,19)</f>
        <v>3.2625625085749541</v>
      </c>
      <c r="J16" s="291"/>
      <c r="K16" s="291"/>
      <c r="L16" s="291"/>
      <c r="M16" s="291"/>
      <c r="N16" s="291"/>
      <c r="O16" s="291"/>
    </row>
    <row r="17" spans="2:15" ht="15" x14ac:dyDescent="0.25">
      <c r="B17" t="s">
        <v>1360</v>
      </c>
      <c r="C17" t="s">
        <v>179</v>
      </c>
      <c r="D17" t="s">
        <v>572</v>
      </c>
      <c r="E17" s="162"/>
      <c r="F17" s="309">
        <f>HLOOKUP(C17,'Inputs_BY IIS'!$E$78:$AF$99,19)</f>
        <v>9.8689349220260105</v>
      </c>
      <c r="J17" s="291" t="s">
        <v>1366</v>
      </c>
      <c r="K17" s="291"/>
      <c r="L17" s="291"/>
      <c r="M17" s="291"/>
      <c r="N17" s="291"/>
      <c r="O17" s="291"/>
    </row>
    <row r="18" spans="2:15" ht="15" x14ac:dyDescent="0.25">
      <c r="B18" t="s">
        <v>1360</v>
      </c>
      <c r="C18" t="s">
        <v>181</v>
      </c>
      <c r="D18" t="s">
        <v>572</v>
      </c>
      <c r="E18" s="162"/>
      <c r="F18" s="309">
        <f>HLOOKUP(C18,'Inputs_BY IIS'!$E$78:$AF$99,19)</f>
        <v>5.4848393576835424</v>
      </c>
      <c r="J18" s="291" t="s">
        <v>1367</v>
      </c>
      <c r="K18" s="291"/>
      <c r="L18" s="291"/>
      <c r="M18" s="291"/>
      <c r="N18" s="291"/>
      <c r="O18" s="291"/>
    </row>
    <row r="19" spans="2:15" ht="15" x14ac:dyDescent="0.25">
      <c r="B19" t="s">
        <v>1360</v>
      </c>
      <c r="C19" t="s">
        <v>183</v>
      </c>
      <c r="D19" t="s">
        <v>572</v>
      </c>
      <c r="E19" s="162"/>
      <c r="F19" s="309">
        <f>HLOOKUP(C19,'Inputs_BY IIS'!$E$78:$AF$99,19)</f>
        <v>0.51464269850941158</v>
      </c>
      <c r="J19" s="291"/>
      <c r="K19" s="291"/>
      <c r="L19" s="291"/>
      <c r="M19" s="291"/>
      <c r="N19" s="291"/>
      <c r="O19" s="291"/>
    </row>
    <row r="20" spans="2:15" ht="15" x14ac:dyDescent="0.25">
      <c r="B20" t="s">
        <v>1360</v>
      </c>
      <c r="C20" t="s">
        <v>185</v>
      </c>
      <c r="D20" t="s">
        <v>572</v>
      </c>
      <c r="E20" s="162"/>
      <c r="F20" s="309">
        <f>HLOOKUP(C20,'Inputs_BY IIS'!$E$78:$AF$99,19)</f>
        <v>195.80931973961327</v>
      </c>
      <c r="J20"/>
      <c r="K20"/>
      <c r="L20"/>
      <c r="M20"/>
      <c r="N20"/>
      <c r="O20"/>
    </row>
    <row r="21" spans="2:15" ht="15" x14ac:dyDescent="0.25">
      <c r="B21" t="s">
        <v>1360</v>
      </c>
      <c r="C21" t="s">
        <v>188</v>
      </c>
      <c r="D21" t="s">
        <v>572</v>
      </c>
      <c r="E21" s="162"/>
      <c r="F21" s="309">
        <f>HLOOKUP(C21,'Inputs_BY IIS'!$E$78:$AF$99,19)</f>
        <v>7.5080952303753596</v>
      </c>
    </row>
    <row r="22" spans="2:15" ht="15" x14ac:dyDescent="0.25">
      <c r="B22" t="s">
        <v>1360</v>
      </c>
      <c r="C22" t="s">
        <v>190</v>
      </c>
      <c r="D22" t="s">
        <v>572</v>
      </c>
      <c r="E22" s="162"/>
      <c r="F22" s="309">
        <f>HLOOKUP(C22,'Inputs_BY IIS'!$E$78:$AF$99,19)</f>
        <v>3.5833085752895264</v>
      </c>
    </row>
    <row r="23" spans="2:15" ht="15" x14ac:dyDescent="0.25">
      <c r="B23" t="s">
        <v>1360</v>
      </c>
      <c r="C23" t="s">
        <v>192</v>
      </c>
      <c r="D23" t="s">
        <v>572</v>
      </c>
      <c r="E23" s="162"/>
      <c r="F23" s="309">
        <f>HLOOKUP(C23,'Inputs_BY IIS'!$E$78:$AF$99,19)</f>
        <v>7.8974631502676989</v>
      </c>
    </row>
    <row r="24" spans="2:15" ht="15" x14ac:dyDescent="0.25">
      <c r="B24" t="s">
        <v>1360</v>
      </c>
      <c r="C24" t="s">
        <v>194</v>
      </c>
      <c r="D24" t="s">
        <v>572</v>
      </c>
      <c r="E24" s="162"/>
      <c r="F24" s="309">
        <f>HLOOKUP(C24,'Inputs_BY IIS'!$E$78:$AF$99,19)</f>
        <v>35.64004265680957</v>
      </c>
    </row>
    <row r="25" spans="2:15" ht="15" x14ac:dyDescent="0.25">
      <c r="B25" t="s">
        <v>1360</v>
      </c>
      <c r="C25" s="208" t="s">
        <v>196</v>
      </c>
      <c r="D25" t="s">
        <v>572</v>
      </c>
      <c r="E25" s="308"/>
      <c r="F25" s="309">
        <f>HLOOKUP(C25,'Inputs_BY IIS'!$E$78:$AF$99,19)</f>
        <v>24.132319469753142</v>
      </c>
    </row>
    <row r="26" spans="2:15" ht="15" x14ac:dyDescent="0.25">
      <c r="B26" t="s">
        <v>1360</v>
      </c>
      <c r="C26" s="208" t="s">
        <v>198</v>
      </c>
      <c r="D26" t="s">
        <v>572</v>
      </c>
      <c r="E26" s="308"/>
      <c r="F26" s="309">
        <f>HLOOKUP(C26,'Inputs_BY IIS'!$E$78:$AF$99,19)</f>
        <v>7.6537800110437857</v>
      </c>
    </row>
    <row r="27" spans="2:15" ht="15" x14ac:dyDescent="0.25">
      <c r="B27" t="s">
        <v>1360</v>
      </c>
      <c r="C27" s="208" t="s">
        <v>9</v>
      </c>
      <c r="D27" t="s">
        <v>572</v>
      </c>
      <c r="E27" s="308"/>
      <c r="F27" s="309">
        <f>HLOOKUP(C27,'Inputs_BY IIS'!$E$78:$AF$99,19)</f>
        <v>40.892262617264763</v>
      </c>
    </row>
    <row r="28" spans="2:15" ht="15" x14ac:dyDescent="0.25">
      <c r="B28" t="s">
        <v>1360</v>
      </c>
      <c r="C28" s="208" t="s">
        <v>201</v>
      </c>
      <c r="D28" t="s">
        <v>572</v>
      </c>
      <c r="E28" s="308"/>
      <c r="F28" s="309">
        <f>HLOOKUP(C28,'Inputs_BY IIS'!$E$78:$AF$99,19)</f>
        <v>32.464377227141618</v>
      </c>
    </row>
    <row r="29" spans="2:15" ht="15" x14ac:dyDescent="0.25">
      <c r="B29" t="s">
        <v>1360</v>
      </c>
      <c r="C29" s="208" t="s">
        <v>203</v>
      </c>
      <c r="D29" t="s">
        <v>572</v>
      </c>
      <c r="E29" s="308"/>
      <c r="F29" s="309">
        <f>HLOOKUP(C29,'Inputs_BY IIS'!$E$78:$AF$99,19)</f>
        <v>5.6664025284690762</v>
      </c>
    </row>
    <row r="30" spans="2:15" ht="15" x14ac:dyDescent="0.25">
      <c r="B30" t="s">
        <v>1360</v>
      </c>
      <c r="C30" s="208" t="s">
        <v>205</v>
      </c>
      <c r="D30" t="s">
        <v>572</v>
      </c>
      <c r="E30" s="308"/>
      <c r="F30" s="309">
        <f>HLOOKUP(C30,'Inputs_BY IIS'!$E$78:$AF$99,19)</f>
        <v>11.736999958762427</v>
      </c>
    </row>
    <row r="31" spans="2:15" ht="15" x14ac:dyDescent="0.25">
      <c r="B31" t="s">
        <v>1360</v>
      </c>
      <c r="C31" s="208" t="s">
        <v>207</v>
      </c>
      <c r="D31" t="s">
        <v>572</v>
      </c>
      <c r="E31" s="308"/>
      <c r="F31" s="309">
        <f>HLOOKUP(C31,'Inputs_BY IIS'!$E$78:$AF$99,19)</f>
        <v>5.6219613544091782</v>
      </c>
    </row>
    <row r="32" spans="2:15" ht="15" x14ac:dyDescent="0.25">
      <c r="B32" t="s">
        <v>1360</v>
      </c>
      <c r="C32" s="208" t="s">
        <v>210</v>
      </c>
      <c r="D32" t="s">
        <v>572</v>
      </c>
      <c r="E32" s="308"/>
      <c r="F32" s="309">
        <f>HLOOKUP(C32,'Inputs_BY IIS'!$E$78:$AF$99,19)</f>
        <v>13.058543005547314</v>
      </c>
    </row>
    <row r="33" spans="2:8" ht="15" x14ac:dyDescent="0.25">
      <c r="B33" t="s">
        <v>1360</v>
      </c>
      <c r="C33" s="208" t="s">
        <v>212</v>
      </c>
      <c r="D33" t="s">
        <v>572</v>
      </c>
      <c r="E33" s="308"/>
      <c r="F33" s="309">
        <f>HLOOKUP(C33,'Inputs_BY IIS'!$E$78:$AF$99,19)</f>
        <v>0.10543337738559756</v>
      </c>
    </row>
    <row r="34" spans="2:8" ht="15" x14ac:dyDescent="0.25">
      <c r="B34" t="s">
        <v>1360</v>
      </c>
      <c r="C34" s="208" t="s">
        <v>214</v>
      </c>
      <c r="D34" t="s">
        <v>572</v>
      </c>
      <c r="E34" s="308"/>
      <c r="F34" s="309">
        <f>HLOOKUP(C34,'Inputs_BY IIS'!$E$78:$AF$99,19)</f>
        <v>28.911536265477885</v>
      </c>
    </row>
    <row r="35" spans="2:8" ht="15" x14ac:dyDescent="0.25">
      <c r="B35" t="s">
        <v>1360</v>
      </c>
      <c r="C35" s="208" t="s">
        <v>217</v>
      </c>
      <c r="D35" t="s">
        <v>572</v>
      </c>
      <c r="E35" s="308"/>
      <c r="F35" s="309">
        <f>HLOOKUP(C35,'Inputs_BY IIS'!$E$78:$AF$99,19)</f>
        <v>26.57915576685626</v>
      </c>
    </row>
    <row r="36" spans="2:8" ht="15" x14ac:dyDescent="0.25">
      <c r="B36" t="s">
        <v>1360</v>
      </c>
      <c r="C36" s="208" t="s">
        <v>219</v>
      </c>
      <c r="D36" t="s">
        <v>572</v>
      </c>
      <c r="E36" s="308"/>
      <c r="F36" s="309">
        <f>HLOOKUP(C36,'Inputs_BY IIS'!$E$78:$AF$99,19)</f>
        <v>59.220625795903672</v>
      </c>
    </row>
    <row r="38" spans="2:8" x14ac:dyDescent="0.2">
      <c r="F38" s="316">
        <f>SUM(F9:F36)</f>
        <v>538.75014722029721</v>
      </c>
      <c r="G38" s="299" t="s">
        <v>1368</v>
      </c>
      <c r="H38" s="317" t="s">
        <v>1369</v>
      </c>
    </row>
    <row r="41" spans="2:8" x14ac:dyDescent="0.2">
      <c r="B41" s="310" t="s">
        <v>1370</v>
      </c>
    </row>
    <row r="43" spans="2:8" x14ac:dyDescent="0.2">
      <c r="B43" s="208" t="s">
        <v>1371</v>
      </c>
    </row>
    <row r="45" spans="2:8" x14ac:dyDescent="0.2">
      <c r="B45" s="208" t="s">
        <v>1372</v>
      </c>
    </row>
    <row r="46" spans="2:8" x14ac:dyDescent="0.2">
      <c r="B46" s="299" t="s">
        <v>1373</v>
      </c>
      <c r="C46" s="299" t="s">
        <v>1374</v>
      </c>
      <c r="D46" s="299" t="s">
        <v>282</v>
      </c>
    </row>
    <row r="47" spans="2:8" x14ac:dyDescent="0.2">
      <c r="B47" s="208" t="s">
        <v>1375</v>
      </c>
    </row>
    <row r="48" spans="2:8" x14ac:dyDescent="0.2">
      <c r="B48" s="313" t="s">
        <v>1376</v>
      </c>
    </row>
    <row r="51" spans="2:19" x14ac:dyDescent="0.2">
      <c r="B51" s="310" t="s">
        <v>1377</v>
      </c>
    </row>
    <row r="52" spans="2:19" x14ac:dyDescent="0.2">
      <c r="B52" s="208" t="s">
        <v>1378</v>
      </c>
    </row>
    <row r="53" spans="2:19" x14ac:dyDescent="0.2">
      <c r="B53" s="208" t="s">
        <v>1379</v>
      </c>
    </row>
    <row r="56" spans="2:19" x14ac:dyDescent="0.2">
      <c r="B56" s="314" t="s">
        <v>1380</v>
      </c>
      <c r="C56" s="315"/>
      <c r="D56" s="315"/>
      <c r="E56" s="315"/>
      <c r="F56" s="315"/>
      <c r="G56" s="315"/>
      <c r="H56" s="315"/>
      <c r="I56" s="315"/>
      <c r="J56" s="315"/>
      <c r="K56" s="315"/>
      <c r="L56" s="315"/>
      <c r="M56" s="315"/>
      <c r="N56" s="315"/>
      <c r="O56" s="315"/>
      <c r="P56" s="315"/>
      <c r="Q56" s="315"/>
      <c r="R56" s="315"/>
      <c r="S56" s="315"/>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5A2D-38BB-44E2-A5BA-8568B072FF54}">
  <dimension ref="A2:BE487"/>
  <sheetViews>
    <sheetView topLeftCell="A423" zoomScale="70" zoomScaleNormal="70" workbookViewId="0">
      <selection activeCell="O427" sqref="O427"/>
    </sheetView>
  </sheetViews>
  <sheetFormatPr defaultRowHeight="15" x14ac:dyDescent="0.25"/>
  <cols>
    <col min="1" max="1" width="28.28515625" bestFit="1" customWidth="1"/>
    <col min="2" max="2" width="21.7109375" customWidth="1"/>
    <col min="3" max="3" width="16.7109375" bestFit="1" customWidth="1"/>
    <col min="4" max="4" width="18.7109375" customWidth="1"/>
    <col min="5" max="5" width="20.42578125" customWidth="1"/>
    <col min="6" max="12" width="11.7109375" bestFit="1" customWidth="1"/>
    <col min="13" max="13" width="11.5703125" bestFit="1" customWidth="1"/>
    <col min="14" max="14" width="10.5703125" bestFit="1" customWidth="1"/>
    <col min="15" max="17" width="10.7109375" bestFit="1" customWidth="1"/>
    <col min="18" max="18" width="10.5703125" bestFit="1" customWidth="1"/>
    <col min="19" max="19" width="10.7109375" bestFit="1" customWidth="1"/>
    <col min="20" max="20" width="10.5703125" bestFit="1" customWidth="1"/>
    <col min="21" max="23" width="10.7109375" bestFit="1" customWidth="1"/>
    <col min="24" max="27" width="11.7109375" bestFit="1" customWidth="1"/>
    <col min="28" max="28" width="13.28515625" customWidth="1"/>
    <col min="29" max="29" width="11.7109375" bestFit="1" customWidth="1"/>
    <col min="30" max="30" width="11.5703125" bestFit="1" customWidth="1"/>
    <col min="31" max="31" width="37.28515625" bestFit="1" customWidth="1"/>
    <col min="32" max="33" width="11.5703125" bestFit="1" customWidth="1"/>
    <col min="34" max="34" width="12" bestFit="1" customWidth="1"/>
    <col min="35" max="40" width="9.5703125" bestFit="1" customWidth="1"/>
    <col min="41" max="41" width="10.5703125" bestFit="1" customWidth="1"/>
    <col min="42" max="45" width="9.5703125" bestFit="1" customWidth="1"/>
    <col min="47" max="57" width="11.5703125" bestFit="1" customWidth="1"/>
  </cols>
  <sheetData>
    <row r="2" spans="1:46" s="490" customFormat="1" ht="26.25" x14ac:dyDescent="0.4">
      <c r="A2" s="492" t="s">
        <v>1</v>
      </c>
    </row>
    <row r="4" spans="1:46" x14ac:dyDescent="0.25">
      <c r="C4" t="s">
        <v>224</v>
      </c>
    </row>
    <row r="5" spans="1:46" ht="30" x14ac:dyDescent="0.25">
      <c r="A5" s="493" t="s">
        <v>227</v>
      </c>
      <c r="B5">
        <v>1.9</v>
      </c>
      <c r="C5" t="s">
        <v>228</v>
      </c>
    </row>
    <row r="10" spans="1:46" s="495" customFormat="1" x14ac:dyDescent="0.25">
      <c r="A10" s="494" t="s">
        <v>1381</v>
      </c>
    </row>
    <row r="12" spans="1:46" x14ac:dyDescent="0.25">
      <c r="A12" t="s">
        <v>1382</v>
      </c>
    </row>
    <row r="14" spans="1:46" x14ac:dyDescent="0.25">
      <c r="B14" t="s">
        <v>1383</v>
      </c>
      <c r="M14" t="s">
        <v>1384</v>
      </c>
      <c r="X14" t="s">
        <v>1385</v>
      </c>
      <c r="AI14" t="s">
        <v>1386</v>
      </c>
    </row>
    <row r="15" spans="1:46" x14ac:dyDescent="0.25">
      <c r="B15" s="496" t="s">
        <v>1387</v>
      </c>
      <c r="C15" s="497" t="s">
        <v>1388</v>
      </c>
      <c r="D15" s="496" t="s">
        <v>1389</v>
      </c>
      <c r="E15" s="496" t="s">
        <v>1390</v>
      </c>
      <c r="F15" s="498" t="s">
        <v>181</v>
      </c>
      <c r="G15" s="496" t="s">
        <v>1391</v>
      </c>
      <c r="H15" s="499" t="s">
        <v>1392</v>
      </c>
      <c r="I15" s="499" t="s">
        <v>1393</v>
      </c>
      <c r="J15" s="500" t="s">
        <v>1394</v>
      </c>
      <c r="K15" s="499" t="s">
        <v>1395</v>
      </c>
      <c r="L15" s="499" t="s">
        <v>1396</v>
      </c>
      <c r="M15" s="496" t="s">
        <v>1387</v>
      </c>
      <c r="N15" s="496" t="s">
        <v>1388</v>
      </c>
      <c r="O15" s="496" t="s">
        <v>1389</v>
      </c>
      <c r="P15" s="496" t="s">
        <v>1390</v>
      </c>
      <c r="Q15" s="501" t="s">
        <v>181</v>
      </c>
      <c r="R15" s="496" t="s">
        <v>1391</v>
      </c>
      <c r="S15" s="496" t="s">
        <v>1392</v>
      </c>
      <c r="T15" s="499" t="s">
        <v>1393</v>
      </c>
      <c r="U15" s="499" t="s">
        <v>1394</v>
      </c>
      <c r="V15" s="499" t="s">
        <v>1395</v>
      </c>
      <c r="W15" s="500" t="s">
        <v>1396</v>
      </c>
      <c r="X15" s="496" t="s">
        <v>1387</v>
      </c>
      <c r="Y15" s="496" t="s">
        <v>1388</v>
      </c>
      <c r="Z15" s="496" t="s">
        <v>1389</v>
      </c>
      <c r="AA15" s="496" t="s">
        <v>1390</v>
      </c>
      <c r="AB15" s="501" t="s">
        <v>1397</v>
      </c>
      <c r="AC15" s="496" t="s">
        <v>1391</v>
      </c>
      <c r="AD15" s="496" t="s">
        <v>1392</v>
      </c>
      <c r="AE15" s="499" t="s">
        <v>1393</v>
      </c>
      <c r="AF15" s="499" t="s">
        <v>1394</v>
      </c>
      <c r="AG15" s="499" t="s">
        <v>1395</v>
      </c>
      <c r="AH15" s="499" t="s">
        <v>1396</v>
      </c>
      <c r="AI15" s="499" t="s">
        <v>1387</v>
      </c>
      <c r="AJ15" s="499" t="s">
        <v>1388</v>
      </c>
      <c r="AK15" s="499" t="s">
        <v>1389</v>
      </c>
      <c r="AL15" s="496" t="s">
        <v>1390</v>
      </c>
      <c r="AM15" s="501" t="s">
        <v>181</v>
      </c>
      <c r="AN15" s="499" t="s">
        <v>1391</v>
      </c>
      <c r="AO15" s="499" t="s">
        <v>1392</v>
      </c>
      <c r="AP15" s="499" t="s">
        <v>1398</v>
      </c>
      <c r="AQ15" s="499" t="s">
        <v>1394</v>
      </c>
      <c r="AR15" s="499" t="s">
        <v>1395</v>
      </c>
      <c r="AS15" s="500" t="s">
        <v>1396</v>
      </c>
    </row>
    <row r="16" spans="1:46" x14ac:dyDescent="0.25">
      <c r="A16" s="502" t="s">
        <v>1399</v>
      </c>
      <c r="B16" s="102">
        <v>1608.7325180603857</v>
      </c>
      <c r="C16" s="102">
        <v>8564.5520767655053</v>
      </c>
      <c r="D16" s="102">
        <v>18.637151267992017</v>
      </c>
      <c r="E16" s="102">
        <v>1.9105311074796041</v>
      </c>
      <c r="F16" s="110">
        <f>E16</f>
        <v>1.9105311074796041</v>
      </c>
      <c r="G16" s="102">
        <v>64.071678307649535</v>
      </c>
      <c r="H16" s="102">
        <v>0</v>
      </c>
      <c r="I16" s="102">
        <v>0</v>
      </c>
      <c r="J16" s="110">
        <f>B16</f>
        <v>1608.7325180603857</v>
      </c>
      <c r="K16" s="102">
        <v>3369.1850605342115</v>
      </c>
      <c r="L16" s="102">
        <v>1166.3422675943843</v>
      </c>
      <c r="M16" s="102">
        <v>277.87658273358056</v>
      </c>
      <c r="N16" s="102">
        <v>592.51974908869624</v>
      </c>
      <c r="O16" s="102">
        <v>292.65705172395246</v>
      </c>
      <c r="P16" s="102">
        <v>240.65781340317642</v>
      </c>
      <c r="Q16" s="102">
        <v>278.23806564415264</v>
      </c>
      <c r="R16" s="102">
        <v>369.1504086597451</v>
      </c>
      <c r="S16" s="102">
        <v>0</v>
      </c>
      <c r="T16" s="102">
        <v>633.59292936240354</v>
      </c>
      <c r="U16" s="102">
        <v>0</v>
      </c>
      <c r="V16" s="102">
        <v>1086.0343247336384</v>
      </c>
      <c r="W16" s="110">
        <f>M16</f>
        <v>277.87658273358056</v>
      </c>
      <c r="X16" s="102"/>
      <c r="Y16" s="102"/>
      <c r="Z16" s="102"/>
      <c r="AA16" s="102"/>
      <c r="AB16" s="102"/>
      <c r="AC16" s="102"/>
      <c r="AD16" s="102"/>
      <c r="AE16" s="102"/>
      <c r="AF16" s="102"/>
      <c r="AG16" s="102"/>
      <c r="AH16" s="102"/>
      <c r="AI16" s="102">
        <v>69.184074573412104</v>
      </c>
      <c r="AJ16" s="102">
        <v>0</v>
      </c>
      <c r="AK16" s="102">
        <v>111.75706909610558</v>
      </c>
      <c r="AL16" s="102">
        <v>77.038996589883155</v>
      </c>
      <c r="AM16" s="102">
        <v>99.766702607926504</v>
      </c>
      <c r="AN16" s="102">
        <v>112.363591643188</v>
      </c>
      <c r="AO16" s="102">
        <v>0</v>
      </c>
      <c r="AP16" s="102">
        <v>44.293769931318053</v>
      </c>
      <c r="AQ16" s="102">
        <v>0</v>
      </c>
      <c r="AR16" s="102">
        <v>343.32157350844091</v>
      </c>
      <c r="AS16" s="110">
        <f>AI16</f>
        <v>69.184074573412104</v>
      </c>
      <c r="AT16" s="102"/>
    </row>
    <row r="17" spans="1:57" x14ac:dyDescent="0.25">
      <c r="A17" s="502" t="s">
        <v>1400</v>
      </c>
      <c r="B17" s="102">
        <v>13.397291630516843</v>
      </c>
      <c r="C17" s="102">
        <v>10.263467488904604</v>
      </c>
      <c r="D17" s="102">
        <v>27.576254796998601</v>
      </c>
      <c r="E17" s="102">
        <v>0</v>
      </c>
      <c r="F17" s="110">
        <f t="shared" ref="F17:F21" si="0">E17</f>
        <v>0</v>
      </c>
      <c r="G17" s="102">
        <v>22.468899459599125</v>
      </c>
      <c r="H17" s="102">
        <v>0</v>
      </c>
      <c r="I17" s="102">
        <v>0</v>
      </c>
      <c r="J17" s="110">
        <f t="shared" ref="J17:J21" si="1">B17</f>
        <v>13.397291630516843</v>
      </c>
      <c r="K17" s="102">
        <v>5.3981944349756006</v>
      </c>
      <c r="L17" s="102">
        <v>10.231072522757758</v>
      </c>
      <c r="M17" s="102">
        <v>3.4375248140878734</v>
      </c>
      <c r="N17" s="102">
        <v>0</v>
      </c>
      <c r="O17" s="102">
        <v>6.5522852420166489</v>
      </c>
      <c r="P17" s="102">
        <v>16.603823381116541</v>
      </c>
      <c r="Q17" s="102">
        <v>19.196616284879955</v>
      </c>
      <c r="R17" s="102">
        <v>7.8433745895301135</v>
      </c>
      <c r="S17" s="102">
        <v>0</v>
      </c>
      <c r="T17" s="102">
        <v>2.0559051355346805</v>
      </c>
      <c r="U17" s="102">
        <v>0</v>
      </c>
      <c r="V17" s="102">
        <v>0</v>
      </c>
      <c r="W17" s="110">
        <f t="shared" ref="W17:W21" si="2">M17</f>
        <v>3.4375248140878734</v>
      </c>
      <c r="X17" s="102"/>
      <c r="Y17" s="102"/>
      <c r="Z17" s="102"/>
      <c r="AA17" s="102"/>
      <c r="AB17" s="102"/>
      <c r="AC17" s="102"/>
      <c r="AD17" s="102"/>
      <c r="AE17" s="102"/>
      <c r="AF17" s="102"/>
      <c r="AG17" s="102"/>
      <c r="AH17" s="102"/>
      <c r="AI17" s="102">
        <v>3.8375512925073201</v>
      </c>
      <c r="AJ17" s="102">
        <v>4.9207353133146743</v>
      </c>
      <c r="AK17" s="102">
        <v>8.9741838005702963</v>
      </c>
      <c r="AL17" s="102">
        <v>14.036019152752651</v>
      </c>
      <c r="AM17" s="102">
        <v>11.922299719634101</v>
      </c>
      <c r="AN17" s="102">
        <v>1.8244528333097201</v>
      </c>
      <c r="AO17" s="102">
        <v>0</v>
      </c>
      <c r="AP17" s="102">
        <v>2.3181712309154419</v>
      </c>
      <c r="AQ17" s="102">
        <v>0</v>
      </c>
      <c r="AR17" s="102">
        <v>0</v>
      </c>
      <c r="AS17" s="110">
        <f t="shared" ref="AS17:AS21" si="3">AI17</f>
        <v>3.8375512925073201</v>
      </c>
      <c r="AT17" s="102"/>
    </row>
    <row r="18" spans="1:57" x14ac:dyDescent="0.25">
      <c r="A18" s="502" t="s">
        <v>127</v>
      </c>
      <c r="B18" s="102">
        <v>4734.083045481927</v>
      </c>
      <c r="C18" s="102">
        <v>1178.3278404993425</v>
      </c>
      <c r="D18" s="102">
        <v>12303.980948114444</v>
      </c>
      <c r="E18" s="102">
        <v>7837.036815727055</v>
      </c>
      <c r="F18" s="110">
        <f t="shared" si="0"/>
        <v>7837.036815727055</v>
      </c>
      <c r="G18" s="102">
        <v>18574.340490512051</v>
      </c>
      <c r="H18" s="102">
        <v>16352.003635400701</v>
      </c>
      <c r="I18" s="102">
        <v>27490.053297520029</v>
      </c>
      <c r="J18" s="110">
        <f t="shared" si="1"/>
        <v>4734.083045481927</v>
      </c>
      <c r="K18" s="102">
        <v>420.2895522758987</v>
      </c>
      <c r="L18" s="102">
        <v>565.82939840149254</v>
      </c>
      <c r="M18" s="102">
        <v>1003.172507027298</v>
      </c>
      <c r="N18" s="102">
        <v>672.3461485934854</v>
      </c>
      <c r="O18" s="102">
        <v>1120.8013532605798</v>
      </c>
      <c r="P18" s="102">
        <v>1275.1651234694955</v>
      </c>
      <c r="Q18" s="102">
        <v>1217.7388002744153</v>
      </c>
      <c r="R18" s="102">
        <v>247.75387707687324</v>
      </c>
      <c r="S18" s="102">
        <v>1466.1068806518329</v>
      </c>
      <c r="T18" s="102">
        <v>144.98021435580452</v>
      </c>
      <c r="U18" s="102">
        <v>2126.3603381920834</v>
      </c>
      <c r="V18" s="102">
        <v>54.694593888241741</v>
      </c>
      <c r="W18" s="110">
        <f t="shared" si="2"/>
        <v>1003.172507027298</v>
      </c>
      <c r="X18" s="102"/>
      <c r="Y18" s="102"/>
      <c r="Z18" s="102"/>
      <c r="AA18" s="102"/>
      <c r="AB18" s="102"/>
      <c r="AC18" s="102"/>
      <c r="AD18" s="102"/>
      <c r="AE18" s="102"/>
      <c r="AF18" s="102"/>
      <c r="AG18" s="102"/>
      <c r="AH18" s="102"/>
      <c r="AI18" s="102">
        <v>743.89370806944203</v>
      </c>
      <c r="AJ18" s="102">
        <v>985.28453214474916</v>
      </c>
      <c r="AK18" s="102">
        <v>485.94780790971635</v>
      </c>
      <c r="AL18" s="102">
        <v>882.80044253707501</v>
      </c>
      <c r="AM18" s="102">
        <v>401.54304373486599</v>
      </c>
      <c r="AN18" s="102">
        <v>407.65696775367797</v>
      </c>
      <c r="AO18" s="102">
        <v>1441.14405947459</v>
      </c>
      <c r="AP18" s="102">
        <v>243.51722033756107</v>
      </c>
      <c r="AQ18" s="102">
        <v>746.80285782781584</v>
      </c>
      <c r="AR18" s="102">
        <v>137.02961168527119</v>
      </c>
      <c r="AS18" s="110">
        <f t="shared" si="3"/>
        <v>743.89370806944203</v>
      </c>
      <c r="AT18" s="102"/>
    </row>
    <row r="19" spans="1:57" x14ac:dyDescent="0.25">
      <c r="A19" s="502" t="s">
        <v>82</v>
      </c>
      <c r="B19" s="102">
        <v>12255.005461063607</v>
      </c>
      <c r="C19" s="102">
        <v>5554.679623870813</v>
      </c>
      <c r="D19" s="102">
        <v>5950.2857422827856</v>
      </c>
      <c r="E19" s="102">
        <v>0</v>
      </c>
      <c r="F19" s="110">
        <f t="shared" si="0"/>
        <v>0</v>
      </c>
      <c r="G19" s="102">
        <v>0</v>
      </c>
      <c r="H19" s="102">
        <v>0</v>
      </c>
      <c r="I19" s="102">
        <v>0</v>
      </c>
      <c r="J19" s="110">
        <f t="shared" si="1"/>
        <v>12255.005461063607</v>
      </c>
      <c r="K19" s="102">
        <v>12715.750707767818</v>
      </c>
      <c r="L19" s="102">
        <v>16942.656097686846</v>
      </c>
      <c r="M19" s="102">
        <v>0</v>
      </c>
      <c r="N19" s="102">
        <v>0</v>
      </c>
      <c r="O19" s="102">
        <v>0</v>
      </c>
      <c r="P19" s="102">
        <v>0</v>
      </c>
      <c r="Q19" s="102">
        <v>0</v>
      </c>
      <c r="R19" s="102">
        <v>0</v>
      </c>
      <c r="S19" s="102">
        <v>0</v>
      </c>
      <c r="T19" s="102">
        <v>0</v>
      </c>
      <c r="U19" s="102">
        <v>0</v>
      </c>
      <c r="V19" s="102">
        <v>0</v>
      </c>
      <c r="W19" s="110">
        <f t="shared" si="2"/>
        <v>0</v>
      </c>
      <c r="X19" s="102"/>
      <c r="Y19" s="102"/>
      <c r="Z19" s="102"/>
      <c r="AA19" s="102"/>
      <c r="AB19" s="102"/>
      <c r="AC19" s="102"/>
      <c r="AD19" s="102"/>
      <c r="AE19" s="102"/>
      <c r="AF19" s="102"/>
      <c r="AG19" s="102"/>
      <c r="AH19" s="102"/>
      <c r="AI19" s="102">
        <v>0</v>
      </c>
      <c r="AJ19" s="102">
        <v>0</v>
      </c>
      <c r="AK19" s="102">
        <v>0</v>
      </c>
      <c r="AL19" s="102">
        <v>0</v>
      </c>
      <c r="AM19" s="102">
        <v>0</v>
      </c>
      <c r="AN19" s="102">
        <v>0</v>
      </c>
      <c r="AO19" s="102">
        <v>0</v>
      </c>
      <c r="AP19" s="102">
        <v>0</v>
      </c>
      <c r="AQ19" s="102">
        <v>0</v>
      </c>
      <c r="AR19" s="102">
        <v>0</v>
      </c>
      <c r="AS19" s="110">
        <f t="shared" si="3"/>
        <v>0</v>
      </c>
      <c r="AT19" s="102"/>
    </row>
    <row r="20" spans="1:57" x14ac:dyDescent="0.25">
      <c r="A20" s="502" t="s">
        <v>125</v>
      </c>
      <c r="B20" s="102">
        <v>1044.8145378228473</v>
      </c>
      <c r="C20" s="102">
        <v>763.13653778852984</v>
      </c>
      <c r="D20" s="102">
        <v>586.05949029683723</v>
      </c>
      <c r="E20" s="102">
        <v>4275.8398996036622</v>
      </c>
      <c r="F20" s="110">
        <f t="shared" si="0"/>
        <v>4275.8398996036622</v>
      </c>
      <c r="G20" s="102">
        <v>1048.9280990348987</v>
      </c>
      <c r="H20" s="102">
        <v>3378.1012810833654</v>
      </c>
      <c r="I20" s="102">
        <v>921.27548703994012</v>
      </c>
      <c r="J20" s="110">
        <f t="shared" si="1"/>
        <v>1044.8145378228473</v>
      </c>
      <c r="K20" s="102">
        <v>141.78256716867446</v>
      </c>
      <c r="L20" s="102">
        <v>1130.1810206608427</v>
      </c>
      <c r="M20" s="102">
        <v>231.49632914261275</v>
      </c>
      <c r="N20" s="102">
        <v>317.21581209961124</v>
      </c>
      <c r="O20" s="102">
        <v>140.49406596438246</v>
      </c>
      <c r="P20" s="102">
        <v>595.32658300926346</v>
      </c>
      <c r="Q20" s="102">
        <v>118.0939110487048</v>
      </c>
      <c r="R20" s="102">
        <v>126.69612809156921</v>
      </c>
      <c r="S20" s="102">
        <v>46.450434195809294</v>
      </c>
      <c r="T20" s="102">
        <v>284.73911199002748</v>
      </c>
      <c r="U20" s="102">
        <v>331.77184786377251</v>
      </c>
      <c r="V20" s="102">
        <v>380.41490290802614</v>
      </c>
      <c r="W20" s="110">
        <f t="shared" si="2"/>
        <v>231.49632914261275</v>
      </c>
      <c r="X20" s="102">
        <v>51437.17310440127</v>
      </c>
      <c r="Y20" s="102">
        <v>55834.993664547117</v>
      </c>
      <c r="Z20" s="102">
        <v>52204.572179233008</v>
      </c>
      <c r="AA20" s="102">
        <v>53846.229900886479</v>
      </c>
      <c r="AB20" s="102">
        <v>53238.513411042397</v>
      </c>
      <c r="AC20" s="102">
        <v>53506.218997198965</v>
      </c>
      <c r="AD20" s="102">
        <v>54453.655598304598</v>
      </c>
      <c r="AE20" s="102">
        <v>57551.541136759035</v>
      </c>
      <c r="AF20" s="102">
        <v>52296.453314533137</v>
      </c>
      <c r="AG20" s="102">
        <v>53639.861787991329</v>
      </c>
      <c r="AH20" s="102">
        <v>49201.100192595899</v>
      </c>
      <c r="AI20" s="102">
        <v>392.94391564343101</v>
      </c>
      <c r="AJ20" s="102">
        <v>400.47556938112666</v>
      </c>
      <c r="AK20" s="102">
        <v>300.555428522309</v>
      </c>
      <c r="AL20" s="102">
        <v>574.83923345036214</v>
      </c>
      <c r="AM20" s="102">
        <v>154.09633481509201</v>
      </c>
      <c r="AN20" s="102">
        <v>387.37819929510403</v>
      </c>
      <c r="AO20" s="102">
        <v>277.47808921289197</v>
      </c>
      <c r="AP20" s="102">
        <v>391.78313854072809</v>
      </c>
      <c r="AQ20" s="102">
        <v>203.61549563572919</v>
      </c>
      <c r="AR20" s="102">
        <v>710.36379817818352</v>
      </c>
      <c r="AS20" s="110">
        <f t="shared" si="3"/>
        <v>392.94391564343101</v>
      </c>
      <c r="AT20" s="102"/>
    </row>
    <row r="21" spans="1:57" x14ac:dyDescent="0.25">
      <c r="A21" s="502" t="s">
        <v>1401</v>
      </c>
      <c r="B21" s="102">
        <v>321.47281106180424</v>
      </c>
      <c r="C21" s="102">
        <v>0</v>
      </c>
      <c r="D21" s="102">
        <v>1228.3914681246663</v>
      </c>
      <c r="E21" s="102">
        <v>1918.858514207571</v>
      </c>
      <c r="F21" s="110">
        <f t="shared" si="0"/>
        <v>1918.858514207571</v>
      </c>
      <c r="G21" s="102">
        <v>64.830771861637899</v>
      </c>
      <c r="H21" s="102">
        <v>0</v>
      </c>
      <c r="I21" s="102">
        <v>4.5057690897484539</v>
      </c>
      <c r="J21" s="110">
        <f t="shared" si="1"/>
        <v>321.47281106180424</v>
      </c>
      <c r="K21" s="102">
        <v>2386.4070292923116</v>
      </c>
      <c r="L21" s="102">
        <v>12.634082778501655</v>
      </c>
      <c r="M21" s="102">
        <v>55.425611367415982</v>
      </c>
      <c r="N21" s="102">
        <v>0</v>
      </c>
      <c r="O21" s="102">
        <v>0.46844499573729137</v>
      </c>
      <c r="P21" s="102">
        <v>5.012860349222886</v>
      </c>
      <c r="Q21" s="102">
        <v>5.7956504598310046</v>
      </c>
      <c r="R21" s="102">
        <v>645.12228033640315</v>
      </c>
      <c r="S21" s="102">
        <v>0</v>
      </c>
      <c r="T21" s="102">
        <v>0</v>
      </c>
      <c r="U21" s="102">
        <v>0</v>
      </c>
      <c r="V21" s="102">
        <v>0</v>
      </c>
      <c r="W21" s="110">
        <f t="shared" si="2"/>
        <v>55.425611367415982</v>
      </c>
      <c r="X21" s="102"/>
      <c r="Y21" s="102"/>
      <c r="Z21" s="102"/>
      <c r="AA21" s="102"/>
      <c r="AB21" s="102"/>
      <c r="AC21" s="102"/>
      <c r="AD21" s="102"/>
      <c r="AE21" s="102"/>
      <c r="AF21" s="102"/>
      <c r="AG21" s="102"/>
      <c r="AH21" s="102"/>
      <c r="AI21" s="102">
        <v>32.142607196956931</v>
      </c>
      <c r="AJ21" s="102"/>
      <c r="AK21" s="102"/>
      <c r="AL21" s="102"/>
      <c r="AM21" s="102"/>
      <c r="AN21" s="102"/>
      <c r="AO21" s="102"/>
      <c r="AP21" s="102"/>
      <c r="AQ21" s="102"/>
      <c r="AR21" s="102"/>
      <c r="AS21" s="110">
        <f t="shared" si="3"/>
        <v>32.142607196956931</v>
      </c>
      <c r="AT21" s="102"/>
    </row>
    <row r="22" spans="1:57" x14ac:dyDescent="0.25">
      <c r="A22" s="5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row>
    <row r="23" spans="1:57" x14ac:dyDescent="0.25">
      <c r="B23" s="102"/>
      <c r="C23" s="102"/>
      <c r="D23" s="102"/>
      <c r="E23" s="102"/>
      <c r="F23" s="102"/>
      <c r="G23" s="102"/>
      <c r="H23" s="102"/>
      <c r="I23" s="102"/>
      <c r="J23" s="102"/>
      <c r="K23" s="102"/>
      <c r="L23" s="102"/>
      <c r="M23" s="193"/>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row>
    <row r="24" spans="1:57" x14ac:dyDescent="0.25">
      <c r="B24" t="s">
        <v>1402</v>
      </c>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row>
    <row r="25" spans="1:57" x14ac:dyDescent="0.25">
      <c r="B25" s="499" t="s">
        <v>1387</v>
      </c>
      <c r="C25" s="499" t="s">
        <v>1388</v>
      </c>
      <c r="D25" s="499" t="s">
        <v>1389</v>
      </c>
      <c r="E25" s="496" t="s">
        <v>1390</v>
      </c>
      <c r="F25" s="501" t="s">
        <v>181</v>
      </c>
      <c r="G25" s="499" t="s">
        <v>1391</v>
      </c>
      <c r="H25" s="499" t="s">
        <v>1392</v>
      </c>
      <c r="I25" s="499" t="s">
        <v>1393</v>
      </c>
      <c r="J25" s="499" t="s">
        <v>1394</v>
      </c>
      <c r="K25" s="499" t="s">
        <v>1395</v>
      </c>
      <c r="L25" s="499" t="s">
        <v>1396</v>
      </c>
      <c r="M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row>
    <row r="26" spans="1:57" x14ac:dyDescent="0.25">
      <c r="B26" s="102">
        <f t="shared" ref="B26:L31" si="4">SUM(B16,M16,X16,AI16)</f>
        <v>1955.7931753673784</v>
      </c>
      <c r="C26" s="102">
        <f t="shared" si="4"/>
        <v>9157.071825854202</v>
      </c>
      <c r="D26" s="102">
        <f t="shared" si="4"/>
        <v>423.05127208805004</v>
      </c>
      <c r="E26" s="102">
        <f t="shared" si="4"/>
        <v>319.6073411005392</v>
      </c>
      <c r="F26" s="102">
        <f t="shared" si="4"/>
        <v>379.91529935955873</v>
      </c>
      <c r="G26" s="102">
        <f t="shared" si="4"/>
        <v>545.58567861058259</v>
      </c>
      <c r="H26" s="102">
        <f t="shared" si="4"/>
        <v>0</v>
      </c>
      <c r="I26" s="102">
        <f t="shared" si="4"/>
        <v>677.88669929372156</v>
      </c>
      <c r="J26" s="102">
        <f t="shared" si="4"/>
        <v>1608.7325180603857</v>
      </c>
      <c r="K26" s="102">
        <f t="shared" si="4"/>
        <v>4798.5409587762915</v>
      </c>
      <c r="L26" s="102">
        <f t="shared" si="4"/>
        <v>1513.402924901377</v>
      </c>
      <c r="M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row>
    <row r="27" spans="1:57" x14ac:dyDescent="0.25">
      <c r="B27" s="102">
        <f t="shared" si="4"/>
        <v>20.672367737112037</v>
      </c>
      <c r="C27" s="102">
        <f t="shared" si="4"/>
        <v>15.184202802219279</v>
      </c>
      <c r="D27" s="102">
        <f t="shared" si="4"/>
        <v>43.102723839585543</v>
      </c>
      <c r="E27" s="102">
        <f t="shared" si="4"/>
        <v>30.639842533869192</v>
      </c>
      <c r="F27" s="102">
        <f t="shared" si="4"/>
        <v>31.118916004514055</v>
      </c>
      <c r="G27" s="102">
        <f t="shared" si="4"/>
        <v>32.136726882438957</v>
      </c>
      <c r="H27" s="102">
        <f t="shared" si="4"/>
        <v>0</v>
      </c>
      <c r="I27" s="102">
        <f t="shared" si="4"/>
        <v>4.3740763664501223</v>
      </c>
      <c r="J27" s="102">
        <f t="shared" si="4"/>
        <v>13.397291630516843</v>
      </c>
      <c r="K27" s="102">
        <f t="shared" si="4"/>
        <v>5.3981944349756006</v>
      </c>
      <c r="L27" s="102">
        <f t="shared" si="4"/>
        <v>17.506148629352953</v>
      </c>
      <c r="M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row>
    <row r="28" spans="1:57" x14ac:dyDescent="0.25">
      <c r="B28" s="102">
        <f t="shared" si="4"/>
        <v>6481.1492605786671</v>
      </c>
      <c r="C28" s="102">
        <f t="shared" si="4"/>
        <v>2835.9585212375769</v>
      </c>
      <c r="D28" s="102">
        <f t="shared" si="4"/>
        <v>13910.730109284741</v>
      </c>
      <c r="E28" s="102">
        <f t="shared" si="4"/>
        <v>9995.002381733626</v>
      </c>
      <c r="F28" s="102">
        <f t="shared" si="4"/>
        <v>9456.3186597363365</v>
      </c>
      <c r="G28" s="102">
        <f t="shared" si="4"/>
        <v>19229.751335342604</v>
      </c>
      <c r="H28" s="102">
        <f t="shared" si="4"/>
        <v>19259.254575527124</v>
      </c>
      <c r="I28" s="102">
        <f t="shared" si="4"/>
        <v>27878.550732213396</v>
      </c>
      <c r="J28" s="102">
        <f t="shared" si="4"/>
        <v>7607.2462415018254</v>
      </c>
      <c r="K28" s="102">
        <f t="shared" si="4"/>
        <v>612.0137578494116</v>
      </c>
      <c r="L28" s="102">
        <f t="shared" si="4"/>
        <v>2312.8956134982327</v>
      </c>
      <c r="M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row>
    <row r="29" spans="1:57" x14ac:dyDescent="0.25">
      <c r="B29" s="102">
        <f t="shared" si="4"/>
        <v>12255.005461063607</v>
      </c>
      <c r="C29" s="102">
        <f t="shared" si="4"/>
        <v>5554.679623870813</v>
      </c>
      <c r="D29" s="102">
        <f t="shared" si="4"/>
        <v>5950.2857422827856</v>
      </c>
      <c r="E29" s="102">
        <f t="shared" si="4"/>
        <v>0</v>
      </c>
      <c r="F29" s="102">
        <f t="shared" si="4"/>
        <v>0</v>
      </c>
      <c r="G29" s="102">
        <f t="shared" si="4"/>
        <v>0</v>
      </c>
      <c r="H29" s="102">
        <f t="shared" si="4"/>
        <v>0</v>
      </c>
      <c r="I29" s="102">
        <f t="shared" si="4"/>
        <v>0</v>
      </c>
      <c r="J29" s="102">
        <f t="shared" si="4"/>
        <v>12255.005461063607</v>
      </c>
      <c r="K29" s="102">
        <f t="shared" si="4"/>
        <v>12715.750707767818</v>
      </c>
      <c r="L29" s="102">
        <f t="shared" si="4"/>
        <v>16942.656097686846</v>
      </c>
      <c r="M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row>
    <row r="30" spans="1:57" x14ac:dyDescent="0.25">
      <c r="B30" s="102">
        <f t="shared" si="4"/>
        <v>53106.427887010163</v>
      </c>
      <c r="C30" s="102">
        <f t="shared" si="4"/>
        <v>57315.821583816381</v>
      </c>
      <c r="D30" s="102">
        <f t="shared" si="4"/>
        <v>53231.68116401654</v>
      </c>
      <c r="E30" s="102">
        <f t="shared" si="4"/>
        <v>59292.235616949765</v>
      </c>
      <c r="F30" s="102">
        <f t="shared" si="4"/>
        <v>57786.543556509852</v>
      </c>
      <c r="G30" s="102">
        <f t="shared" si="4"/>
        <v>55069.22142362054</v>
      </c>
      <c r="H30" s="102">
        <f t="shared" si="4"/>
        <v>58155.685402796662</v>
      </c>
      <c r="I30" s="102">
        <f t="shared" si="4"/>
        <v>59149.338874329726</v>
      </c>
      <c r="J30" s="102">
        <f t="shared" si="4"/>
        <v>53876.655195855485</v>
      </c>
      <c r="K30" s="102">
        <f t="shared" si="4"/>
        <v>54872.423056246218</v>
      </c>
      <c r="L30" s="102">
        <f t="shared" si="4"/>
        <v>50955.721458042783</v>
      </c>
      <c r="M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row>
    <row r="31" spans="1:57" x14ac:dyDescent="0.25">
      <c r="B31" s="102">
        <f t="shared" si="4"/>
        <v>409.04102962617714</v>
      </c>
      <c r="C31" s="102">
        <f t="shared" si="4"/>
        <v>0</v>
      </c>
      <c r="D31" s="102">
        <f t="shared" si="4"/>
        <v>1228.8599131204037</v>
      </c>
      <c r="E31" s="102">
        <f t="shared" si="4"/>
        <v>1923.8713745567939</v>
      </c>
      <c r="F31" s="102">
        <f t="shared" si="4"/>
        <v>1924.654164667402</v>
      </c>
      <c r="G31" s="102">
        <f t="shared" si="4"/>
        <v>709.95305219804106</v>
      </c>
      <c r="H31" s="102">
        <f t="shared" si="4"/>
        <v>0</v>
      </c>
      <c r="I31" s="102">
        <f t="shared" si="4"/>
        <v>4.5057690897484539</v>
      </c>
      <c r="J31" s="102">
        <f t="shared" si="4"/>
        <v>321.47281106180424</v>
      </c>
      <c r="K31" s="102">
        <f t="shared" si="4"/>
        <v>2386.4070292923116</v>
      </c>
      <c r="L31" s="102">
        <f t="shared" si="4"/>
        <v>100.20230134287456</v>
      </c>
      <c r="M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row>
    <row r="32" spans="1:57" x14ac:dyDescent="0.25">
      <c r="A32" t="s">
        <v>466</v>
      </c>
      <c r="B32" s="102">
        <f t="shared" ref="B32:L32" si="5">SUM(B26:B31)</f>
        <v>74228.089181383111</v>
      </c>
      <c r="C32" s="102">
        <f t="shared" si="5"/>
        <v>74878.715757581202</v>
      </c>
      <c r="D32" s="102">
        <f t="shared" si="5"/>
        <v>74787.710924632105</v>
      </c>
      <c r="E32" s="102">
        <f t="shared" si="5"/>
        <v>71561.356556874598</v>
      </c>
      <c r="F32" s="102">
        <f t="shared" si="5"/>
        <v>69578.550596277666</v>
      </c>
      <c r="G32" s="102">
        <f t="shared" si="5"/>
        <v>75586.648216654197</v>
      </c>
      <c r="H32" s="102">
        <f t="shared" si="5"/>
        <v>77414.93997832379</v>
      </c>
      <c r="I32" s="102">
        <f t="shared" si="5"/>
        <v>87714.656151293049</v>
      </c>
      <c r="J32" s="102">
        <f t="shared" si="5"/>
        <v>75682.509519173618</v>
      </c>
      <c r="K32" s="102">
        <f t="shared" si="5"/>
        <v>75390.53370436703</v>
      </c>
      <c r="L32" s="102">
        <f t="shared" si="5"/>
        <v>71842.384544101456</v>
      </c>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row>
    <row r="33" spans="1:57" x14ac:dyDescent="0.25">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row>
    <row r="34" spans="1:57" x14ac:dyDescent="0.25">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row>
    <row r="35" spans="1:57" x14ac:dyDescent="0.25">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row>
    <row r="36" spans="1:57" x14ac:dyDescent="0.25">
      <c r="A36" s="502" t="s">
        <v>1403</v>
      </c>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row>
    <row r="38" spans="1:57" x14ac:dyDescent="0.25">
      <c r="A38" s="502" t="s">
        <v>1399</v>
      </c>
      <c r="B38" s="193">
        <f t="shared" ref="B38:L43" si="6">IF(B26/B$32&lt;0.01,0,B26/B$32)</f>
        <v>2.6348424119988043E-2</v>
      </c>
      <c r="C38" s="193">
        <f t="shared" si="6"/>
        <v>0.12229205233033236</v>
      </c>
      <c r="D38" s="193">
        <f t="shared" si="6"/>
        <v>0</v>
      </c>
      <c r="E38" s="193">
        <f t="shared" si="6"/>
        <v>0</v>
      </c>
      <c r="F38" s="193">
        <f t="shared" si="6"/>
        <v>0</v>
      </c>
      <c r="G38" s="193">
        <f t="shared" si="6"/>
        <v>0</v>
      </c>
      <c r="H38" s="193">
        <f t="shared" si="6"/>
        <v>0</v>
      </c>
      <c r="I38" s="193">
        <f t="shared" si="6"/>
        <v>0</v>
      </c>
      <c r="J38" s="193">
        <f t="shared" si="6"/>
        <v>2.1256331592081061E-2</v>
      </c>
      <c r="K38" s="193">
        <f t="shared" si="6"/>
        <v>6.364911777376546E-2</v>
      </c>
      <c r="L38" s="193">
        <f t="shared" si="6"/>
        <v>2.1065599847571226E-2</v>
      </c>
    </row>
    <row r="39" spans="1:57" x14ac:dyDescent="0.25">
      <c r="A39" s="502" t="s">
        <v>1400</v>
      </c>
      <c r="B39" s="193">
        <f t="shared" si="6"/>
        <v>0</v>
      </c>
      <c r="C39" s="193">
        <f t="shared" si="6"/>
        <v>0</v>
      </c>
      <c r="D39" s="193">
        <f t="shared" si="6"/>
        <v>0</v>
      </c>
      <c r="E39" s="193">
        <f t="shared" si="6"/>
        <v>0</v>
      </c>
      <c r="F39" s="193">
        <f t="shared" si="6"/>
        <v>0</v>
      </c>
      <c r="G39" s="193">
        <f t="shared" si="6"/>
        <v>0</v>
      </c>
      <c r="H39" s="193">
        <f t="shared" si="6"/>
        <v>0</v>
      </c>
      <c r="I39" s="193">
        <f t="shared" si="6"/>
        <v>0</v>
      </c>
      <c r="J39" s="193">
        <f t="shared" si="6"/>
        <v>0</v>
      </c>
      <c r="K39" s="193">
        <f t="shared" si="6"/>
        <v>0</v>
      </c>
      <c r="L39" s="193">
        <f t="shared" si="6"/>
        <v>0</v>
      </c>
    </row>
    <row r="40" spans="1:57" x14ac:dyDescent="0.25">
      <c r="A40" s="502" t="s">
        <v>127</v>
      </c>
      <c r="B40" s="193">
        <f t="shared" si="6"/>
        <v>8.7313971463570714E-2</v>
      </c>
      <c r="C40" s="193">
        <f t="shared" si="6"/>
        <v>3.7874027252536663E-2</v>
      </c>
      <c r="D40" s="193">
        <f t="shared" si="6"/>
        <v>0.18600288653443861</v>
      </c>
      <c r="E40" s="193">
        <f t="shared" si="6"/>
        <v>0.13967038724021294</v>
      </c>
      <c r="F40" s="193">
        <f t="shared" si="6"/>
        <v>0.13590853184921378</v>
      </c>
      <c r="G40" s="193">
        <f t="shared" si="6"/>
        <v>0.25440672114768631</v>
      </c>
      <c r="H40" s="193">
        <f t="shared" si="6"/>
        <v>0.24877955832452653</v>
      </c>
      <c r="I40" s="193">
        <f t="shared" si="6"/>
        <v>0.31783229799279583</v>
      </c>
      <c r="J40" s="193">
        <f t="shared" si="6"/>
        <v>0.10051524836890595</v>
      </c>
      <c r="K40" s="193">
        <f t="shared" si="6"/>
        <v>0</v>
      </c>
      <c r="L40" s="193">
        <f t="shared" si="6"/>
        <v>3.2194026244750124E-2</v>
      </c>
    </row>
    <row r="41" spans="1:57" x14ac:dyDescent="0.25">
      <c r="A41" s="502" t="s">
        <v>82</v>
      </c>
      <c r="B41" s="193">
        <f t="shared" si="6"/>
        <v>0.16509929861076422</v>
      </c>
      <c r="C41" s="193">
        <f t="shared" si="6"/>
        <v>7.4182356997868543E-2</v>
      </c>
      <c r="D41" s="193">
        <f t="shared" si="6"/>
        <v>7.9562346122335953E-2</v>
      </c>
      <c r="E41" s="193">
        <f t="shared" si="6"/>
        <v>0</v>
      </c>
      <c r="F41" s="193">
        <f t="shared" si="6"/>
        <v>0</v>
      </c>
      <c r="G41" s="193">
        <f t="shared" si="6"/>
        <v>0</v>
      </c>
      <c r="H41" s="193">
        <f t="shared" si="6"/>
        <v>0</v>
      </c>
      <c r="I41" s="193">
        <f t="shared" si="6"/>
        <v>0</v>
      </c>
      <c r="J41" s="193">
        <f t="shared" si="6"/>
        <v>0.16192652092170504</v>
      </c>
      <c r="K41" s="193">
        <f t="shared" si="6"/>
        <v>0.16866508410234604</v>
      </c>
      <c r="L41" s="193">
        <f t="shared" si="6"/>
        <v>0.23583092634246236</v>
      </c>
      <c r="Z41" s="599" t="s">
        <v>1404</v>
      </c>
    </row>
    <row r="42" spans="1:57" x14ac:dyDescent="0.25">
      <c r="A42" s="502" t="s">
        <v>125</v>
      </c>
      <c r="B42" s="193">
        <f t="shared" si="6"/>
        <v>0.7154492116487029</v>
      </c>
      <c r="C42" s="193">
        <f t="shared" si="6"/>
        <v>0.76544877945524004</v>
      </c>
      <c r="D42" s="193">
        <f t="shared" si="6"/>
        <v>0.71177043000635731</v>
      </c>
      <c r="E42" s="193">
        <f t="shared" si="6"/>
        <v>0.82855102907148304</v>
      </c>
      <c r="F42" s="193">
        <f t="shared" si="6"/>
        <v>0.83052238170079584</v>
      </c>
      <c r="G42" s="193">
        <f t="shared" si="6"/>
        <v>0.72855752600347479</v>
      </c>
      <c r="H42" s="193">
        <f t="shared" si="6"/>
        <v>0.75122044167547342</v>
      </c>
      <c r="I42" s="193">
        <f t="shared" si="6"/>
        <v>0.67433814905808953</v>
      </c>
      <c r="J42" s="193">
        <f t="shared" si="6"/>
        <v>0.71187722947012244</v>
      </c>
      <c r="K42" s="193">
        <f t="shared" si="6"/>
        <v>0.72784234783932444</v>
      </c>
      <c r="L42" s="193">
        <f t="shared" si="6"/>
        <v>0.70927102129750297</v>
      </c>
    </row>
    <row r="43" spans="1:57" x14ac:dyDescent="0.25">
      <c r="A43" s="502" t="s">
        <v>1401</v>
      </c>
      <c r="B43" s="193">
        <f t="shared" si="6"/>
        <v>0</v>
      </c>
      <c r="C43" s="193">
        <f t="shared" si="6"/>
        <v>0</v>
      </c>
      <c r="D43" s="193">
        <f t="shared" si="6"/>
        <v>1.6431308004048913E-2</v>
      </c>
      <c r="E43" s="193">
        <f t="shared" si="6"/>
        <v>2.6884221696213437E-2</v>
      </c>
      <c r="F43" s="193">
        <f t="shared" si="6"/>
        <v>2.7661601861111027E-2</v>
      </c>
      <c r="G43" s="193">
        <f t="shared" si="6"/>
        <v>0</v>
      </c>
      <c r="H43" s="193">
        <f t="shared" si="6"/>
        <v>0</v>
      </c>
      <c r="I43" s="193">
        <f t="shared" si="6"/>
        <v>0</v>
      </c>
      <c r="J43" s="193">
        <f t="shared" si="6"/>
        <v>0</v>
      </c>
      <c r="K43" s="193">
        <f t="shared" si="6"/>
        <v>3.1653934678991108E-2</v>
      </c>
      <c r="L43" s="193">
        <f t="shared" si="6"/>
        <v>0</v>
      </c>
    </row>
    <row r="44" spans="1:57" x14ac:dyDescent="0.25">
      <c r="B44" s="193">
        <f t="shared" ref="B44:L44" si="7">SUM(B38:B43)</f>
        <v>0.99421090584302585</v>
      </c>
      <c r="C44" s="193">
        <f t="shared" si="7"/>
        <v>0.9997972160359776</v>
      </c>
      <c r="D44" s="193">
        <f t="shared" si="7"/>
        <v>0.99376697066718078</v>
      </c>
      <c r="E44" s="193">
        <f t="shared" si="7"/>
        <v>0.99510563800790941</v>
      </c>
      <c r="F44" s="193">
        <f t="shared" si="7"/>
        <v>0.99409251541112065</v>
      </c>
      <c r="G44" s="193">
        <f t="shared" si="7"/>
        <v>0.98296424715116104</v>
      </c>
      <c r="H44" s="193">
        <f t="shared" si="7"/>
        <v>1</v>
      </c>
      <c r="I44" s="193">
        <f t="shared" si="7"/>
        <v>0.99217044705088542</v>
      </c>
      <c r="J44" s="193">
        <f t="shared" si="7"/>
        <v>0.99557533035281454</v>
      </c>
      <c r="K44" s="193">
        <f t="shared" si="7"/>
        <v>0.99181048439442709</v>
      </c>
      <c r="L44" s="193">
        <f t="shared" si="7"/>
        <v>0.99836157373228662</v>
      </c>
    </row>
    <row r="47" spans="1:57" x14ac:dyDescent="0.25">
      <c r="A47" s="502" t="s">
        <v>1399</v>
      </c>
      <c r="B47" s="193">
        <f t="shared" ref="B47:L51" si="8">B38/(B$44-B$43)</f>
        <v>2.6501845800661682E-2</v>
      </c>
      <c r="C47" s="193">
        <f t="shared" si="8"/>
        <v>0.12231685622730488</v>
      </c>
      <c r="D47" s="193">
        <f t="shared" si="8"/>
        <v>0</v>
      </c>
      <c r="E47" s="193">
        <f t="shared" si="8"/>
        <v>0</v>
      </c>
      <c r="F47" s="193">
        <f t="shared" si="8"/>
        <v>0</v>
      </c>
      <c r="G47" s="193">
        <f t="shared" si="8"/>
        <v>0</v>
      </c>
      <c r="H47" s="193">
        <f t="shared" si="8"/>
        <v>0</v>
      </c>
      <c r="I47" s="193">
        <f t="shared" si="8"/>
        <v>0</v>
      </c>
      <c r="J47" s="193">
        <f t="shared" si="8"/>
        <v>2.1350801836911917E-2</v>
      </c>
      <c r="K47" s="193">
        <f t="shared" si="8"/>
        <v>6.6290354205914975E-2</v>
      </c>
      <c r="L47" s="193">
        <f t="shared" si="8"/>
        <v>2.1100170921862848E-2</v>
      </c>
    </row>
    <row r="48" spans="1:57" x14ac:dyDescent="0.25">
      <c r="A48" s="502" t="s">
        <v>1400</v>
      </c>
      <c r="B48" s="193">
        <f t="shared" si="8"/>
        <v>0</v>
      </c>
      <c r="C48" s="193">
        <f t="shared" si="8"/>
        <v>0</v>
      </c>
      <c r="D48" s="193">
        <f t="shared" si="8"/>
        <v>0</v>
      </c>
      <c r="E48" s="193">
        <f t="shared" si="8"/>
        <v>0</v>
      </c>
      <c r="F48" s="193">
        <f t="shared" si="8"/>
        <v>0</v>
      </c>
      <c r="G48" s="193">
        <f t="shared" si="8"/>
        <v>0</v>
      </c>
      <c r="H48" s="193">
        <f t="shared" si="8"/>
        <v>0</v>
      </c>
      <c r="I48" s="193">
        <f t="shared" si="8"/>
        <v>0</v>
      </c>
      <c r="J48" s="193">
        <f t="shared" si="8"/>
        <v>0</v>
      </c>
      <c r="K48" s="193">
        <f t="shared" si="8"/>
        <v>0</v>
      </c>
      <c r="L48" s="193">
        <f t="shared" si="8"/>
        <v>0</v>
      </c>
    </row>
    <row r="49" spans="1:29" x14ac:dyDescent="0.25">
      <c r="A49" s="502" t="s">
        <v>127</v>
      </c>
      <c r="B49" s="193">
        <f t="shared" si="8"/>
        <v>8.7822383510804652E-2</v>
      </c>
      <c r="C49" s="193">
        <f t="shared" si="8"/>
        <v>3.7881709055662911E-2</v>
      </c>
      <c r="D49" s="193">
        <f t="shared" si="8"/>
        <v>0.19031627887966479</v>
      </c>
      <c r="E49" s="193">
        <f t="shared" si="8"/>
        <v>0.1442545939257032</v>
      </c>
      <c r="F49" s="193">
        <f t="shared" si="8"/>
        <v>0.14062932998488045</v>
      </c>
      <c r="G49" s="193">
        <f t="shared" si="8"/>
        <v>0.25881584389769108</v>
      </c>
      <c r="H49" s="193">
        <f t="shared" si="8"/>
        <v>0.24877955832452653</v>
      </c>
      <c r="I49" s="193">
        <f t="shared" si="8"/>
        <v>0.32034042027508119</v>
      </c>
      <c r="J49" s="193">
        <f t="shared" si="8"/>
        <v>0.1009619717407874</v>
      </c>
      <c r="K49" s="193">
        <f t="shared" si="8"/>
        <v>0</v>
      </c>
      <c r="L49" s="193">
        <f t="shared" si="8"/>
        <v>3.2246860347795239E-2</v>
      </c>
    </row>
    <row r="50" spans="1:29" x14ac:dyDescent="0.25">
      <c r="A50" s="502" t="s">
        <v>82</v>
      </c>
      <c r="B50" s="193">
        <f t="shared" si="8"/>
        <v>0.16606063928736611</v>
      </c>
      <c r="C50" s="193">
        <f t="shared" si="8"/>
        <v>7.4197403041377438E-2</v>
      </c>
      <c r="D50" s="193">
        <f t="shared" si="8"/>
        <v>8.1407390686570602E-2</v>
      </c>
      <c r="E50" s="193">
        <f t="shared" si="8"/>
        <v>0</v>
      </c>
      <c r="F50" s="193">
        <f t="shared" si="8"/>
        <v>0</v>
      </c>
      <c r="G50" s="193">
        <f t="shared" si="8"/>
        <v>0</v>
      </c>
      <c r="H50" s="193">
        <f t="shared" si="8"/>
        <v>0</v>
      </c>
      <c r="I50" s="193">
        <f t="shared" si="8"/>
        <v>0</v>
      </c>
      <c r="J50" s="193">
        <f t="shared" si="8"/>
        <v>0.16264617652219354</v>
      </c>
      <c r="K50" s="193">
        <f t="shared" si="8"/>
        <v>0.17566414992673199</v>
      </c>
      <c r="L50" s="193">
        <f t="shared" si="8"/>
        <v>0.23621795203999013</v>
      </c>
    </row>
    <row r="51" spans="1:29" x14ac:dyDescent="0.25">
      <c r="A51" s="502" t="s">
        <v>125</v>
      </c>
      <c r="B51" s="193">
        <f t="shared" si="8"/>
        <v>0.71961513140116762</v>
      </c>
      <c r="C51" s="193">
        <f t="shared" si="8"/>
        <v>0.76560403167565472</v>
      </c>
      <c r="D51" s="193">
        <f t="shared" si="8"/>
        <v>0.72827633043376461</v>
      </c>
      <c r="E51" s="193">
        <f t="shared" si="8"/>
        <v>0.85574540607429672</v>
      </c>
      <c r="F51" s="193">
        <f t="shared" si="8"/>
        <v>0.85937067001511946</v>
      </c>
      <c r="G51" s="193">
        <f t="shared" si="8"/>
        <v>0.74118415610230903</v>
      </c>
      <c r="H51" s="193">
        <f t="shared" si="8"/>
        <v>0.75122044167547342</v>
      </c>
      <c r="I51" s="193">
        <f t="shared" si="8"/>
        <v>0.67965957972491875</v>
      </c>
      <c r="J51" s="193">
        <f t="shared" si="8"/>
        <v>0.71504104990010708</v>
      </c>
      <c r="K51" s="193">
        <f t="shared" si="8"/>
        <v>0.75804549586735304</v>
      </c>
      <c r="L51" s="193">
        <f t="shared" si="8"/>
        <v>0.71043501669035181</v>
      </c>
    </row>
    <row r="52" spans="1:29" x14ac:dyDescent="0.25">
      <c r="A52" s="502" t="s">
        <v>1401</v>
      </c>
      <c r="B52">
        <v>0</v>
      </c>
      <c r="C52">
        <v>0</v>
      </c>
      <c r="D52">
        <v>0</v>
      </c>
      <c r="E52">
        <v>0</v>
      </c>
      <c r="F52">
        <v>0</v>
      </c>
      <c r="G52">
        <v>0</v>
      </c>
      <c r="H52">
        <v>0</v>
      </c>
      <c r="I52">
        <v>0</v>
      </c>
      <c r="J52">
        <v>0</v>
      </c>
      <c r="K52">
        <v>0</v>
      </c>
      <c r="L52">
        <v>0</v>
      </c>
    </row>
    <row r="53" spans="1:29" x14ac:dyDescent="0.25">
      <c r="B53" s="193">
        <f>SUM(B47:B52)</f>
        <v>1</v>
      </c>
      <c r="C53" s="193">
        <f t="shared" ref="C53:L53" si="9">SUM(C47:C52)</f>
        <v>1</v>
      </c>
      <c r="D53" s="193">
        <f t="shared" si="9"/>
        <v>1</v>
      </c>
      <c r="E53" s="193">
        <f t="shared" si="9"/>
        <v>0.99999999999999989</v>
      </c>
      <c r="F53" s="193">
        <f t="shared" si="9"/>
        <v>0.99999999999999989</v>
      </c>
      <c r="G53" s="193">
        <f t="shared" si="9"/>
        <v>1</v>
      </c>
      <c r="H53" s="193">
        <f t="shared" si="9"/>
        <v>1</v>
      </c>
      <c r="I53" s="193">
        <f t="shared" si="9"/>
        <v>1</v>
      </c>
      <c r="J53" s="193">
        <f t="shared" si="9"/>
        <v>1</v>
      </c>
      <c r="K53" s="193">
        <f t="shared" si="9"/>
        <v>1</v>
      </c>
      <c r="L53" s="193">
        <f t="shared" si="9"/>
        <v>1</v>
      </c>
    </row>
    <row r="55" spans="1:29" x14ac:dyDescent="0.25">
      <c r="A55" s="502" t="s">
        <v>1405</v>
      </c>
      <c r="B55" s="102"/>
      <c r="C55" s="102"/>
      <c r="D55" s="102"/>
      <c r="E55" s="102"/>
      <c r="F55" s="102"/>
      <c r="G55" s="102"/>
      <c r="H55" s="102"/>
      <c r="I55" s="102"/>
      <c r="J55" s="102"/>
      <c r="K55" s="102"/>
      <c r="L55" s="102"/>
    </row>
    <row r="56" spans="1:29" x14ac:dyDescent="0.25">
      <c r="B56" s="499" t="s">
        <v>1387</v>
      </c>
      <c r="C56" s="499" t="s">
        <v>1388</v>
      </c>
      <c r="D56" s="499" t="s">
        <v>1389</v>
      </c>
      <c r="E56" s="496" t="s">
        <v>1390</v>
      </c>
      <c r="F56" s="501" t="s">
        <v>181</v>
      </c>
      <c r="G56" s="499" t="s">
        <v>1391</v>
      </c>
      <c r="H56" s="499" t="s">
        <v>1392</v>
      </c>
      <c r="I56" s="499" t="s">
        <v>1393</v>
      </c>
      <c r="J56" s="499" t="s">
        <v>1394</v>
      </c>
      <c r="K56" s="499" t="s">
        <v>1395</v>
      </c>
      <c r="L56" s="499" t="s">
        <v>1396</v>
      </c>
    </row>
    <row r="57" spans="1:29" x14ac:dyDescent="0.25">
      <c r="A57" s="502" t="s">
        <v>133</v>
      </c>
      <c r="B57" s="102">
        <f>SUM(B47:B48)*B$32/1000</f>
        <v>1.9671813735627788</v>
      </c>
      <c r="C57" s="102">
        <f t="shared" ref="C57:L57" si="10">SUM(C47:C48)*C$32/1000</f>
        <v>9.158929109805289</v>
      </c>
      <c r="D57" s="102">
        <f t="shared" si="10"/>
        <v>0</v>
      </c>
      <c r="E57" s="102">
        <f t="shared" si="10"/>
        <v>0</v>
      </c>
      <c r="F57" s="102">
        <f t="shared" si="10"/>
        <v>0</v>
      </c>
      <c r="G57" s="102">
        <f t="shared" si="10"/>
        <v>0</v>
      </c>
      <c r="H57" s="102">
        <f t="shared" si="10"/>
        <v>0</v>
      </c>
      <c r="I57" s="102">
        <f t="shared" si="10"/>
        <v>0</v>
      </c>
      <c r="J57" s="102">
        <f t="shared" si="10"/>
        <v>1.6158822632640759</v>
      </c>
      <c r="K57" s="102">
        <f t="shared" si="10"/>
        <v>4.997665183035461</v>
      </c>
      <c r="L57" s="102">
        <f t="shared" si="10"/>
        <v>1.5158865933147385</v>
      </c>
    </row>
    <row r="58" spans="1:29" x14ac:dyDescent="0.25">
      <c r="A58" s="502" t="s">
        <v>127</v>
      </c>
      <c r="B58" s="102">
        <f>B49*B$32/1000</f>
        <v>6.5188877153616378</v>
      </c>
      <c r="C58" s="102">
        <f t="shared" ref="C58:L58" si="11">C49*C$32/1000</f>
        <v>2.8365337247903732</v>
      </c>
      <c r="D58" s="102">
        <f t="shared" si="11"/>
        <v>14.233318849104036</v>
      </c>
      <c r="E58" s="102">
        <f t="shared" si="11"/>
        <v>10.323054430884405</v>
      </c>
      <c r="F58" s="102">
        <f t="shared" si="11"/>
        <v>9.7847849516736325</v>
      </c>
      <c r="G58" s="102">
        <f t="shared" si="11"/>
        <v>19.563022145591262</v>
      </c>
      <c r="H58" s="102">
        <f t="shared" si="11"/>
        <v>19.259254575527123</v>
      </c>
      <c r="I58" s="102">
        <f t="shared" si="11"/>
        <v>28.09854981578945</v>
      </c>
      <c r="J58" s="102">
        <f t="shared" si="11"/>
        <v>7.6410553873466807</v>
      </c>
      <c r="K58" s="102">
        <f t="shared" si="11"/>
        <v>0</v>
      </c>
      <c r="L58" s="102">
        <f t="shared" si="11"/>
        <v>2.3166913414462429</v>
      </c>
    </row>
    <row r="59" spans="1:29" x14ac:dyDescent="0.25">
      <c r="A59" s="502" t="s">
        <v>82</v>
      </c>
      <c r="B59" s="102">
        <f t="shared" ref="B59:L60" si="12">B50*B$32/1000</f>
        <v>12.326363942540103</v>
      </c>
      <c r="C59" s="102">
        <f t="shared" si="12"/>
        <v>5.5558062522859917</v>
      </c>
      <c r="D59" s="102">
        <f t="shared" si="12"/>
        <v>6.0882724017958303</v>
      </c>
      <c r="E59" s="102">
        <f t="shared" si="12"/>
        <v>0</v>
      </c>
      <c r="F59" s="102">
        <f t="shared" si="12"/>
        <v>0</v>
      </c>
      <c r="G59" s="102">
        <f t="shared" si="12"/>
        <v>0</v>
      </c>
      <c r="H59" s="102">
        <f t="shared" si="12"/>
        <v>0</v>
      </c>
      <c r="I59" s="102">
        <f t="shared" si="12"/>
        <v>0</v>
      </c>
      <c r="J59" s="102">
        <f t="shared" si="12"/>
        <v>12.309470802898106</v>
      </c>
      <c r="K59" s="102">
        <f t="shared" si="12"/>
        <v>13.243414015700271</v>
      </c>
      <c r="L59" s="102">
        <f t="shared" si="12"/>
        <v>16.970460946677086</v>
      </c>
    </row>
    <row r="60" spans="1:29" x14ac:dyDescent="0.25">
      <c r="A60" s="502" t="s">
        <v>125</v>
      </c>
      <c r="B60" s="102">
        <f t="shared" si="12"/>
        <v>53.415656149918597</v>
      </c>
      <c r="C60" s="102">
        <f t="shared" si="12"/>
        <v>57.327446670699544</v>
      </c>
      <c r="D60" s="102">
        <f t="shared" si="12"/>
        <v>54.466119673732237</v>
      </c>
      <c r="E60" s="102">
        <f t="shared" si="12"/>
        <v>61.238302125990188</v>
      </c>
      <c r="F60" s="102">
        <f t="shared" si="12"/>
        <v>59.793765644604029</v>
      </c>
      <c r="G60" s="102">
        <f t="shared" si="12"/>
        <v>56.023626071062942</v>
      </c>
      <c r="H60" s="102">
        <f t="shared" si="12"/>
        <v>58.155685402796664</v>
      </c>
      <c r="I60" s="102">
        <f t="shared" si="12"/>
        <v>59.616106335503595</v>
      </c>
      <c r="J60" s="102">
        <f t="shared" si="12"/>
        <v>54.116101065664758</v>
      </c>
      <c r="K60" s="102">
        <f t="shared" si="12"/>
        <v>57.149454505631297</v>
      </c>
      <c r="L60" s="102">
        <f t="shared" si="12"/>
        <v>51.039345662663393</v>
      </c>
    </row>
    <row r="62" spans="1:29" x14ac:dyDescent="0.25">
      <c r="B62" t="s">
        <v>1394</v>
      </c>
      <c r="C62" t="s">
        <v>1392</v>
      </c>
      <c r="D62" t="s">
        <v>1394</v>
      </c>
      <c r="E62" t="s">
        <v>1394</v>
      </c>
      <c r="F62" t="s">
        <v>1389</v>
      </c>
      <c r="G62" t="s">
        <v>1395</v>
      </c>
      <c r="H62" t="s">
        <v>1395</v>
      </c>
      <c r="I62" t="s">
        <v>1395</v>
      </c>
      <c r="J62" t="s">
        <v>1388</v>
      </c>
      <c r="K62" t="s">
        <v>181</v>
      </c>
      <c r="L62" t="s">
        <v>1388</v>
      </c>
      <c r="M62" t="s">
        <v>1396</v>
      </c>
      <c r="N62" t="s">
        <v>1393</v>
      </c>
      <c r="O62" t="s">
        <v>1391</v>
      </c>
      <c r="P62" t="s">
        <v>1393</v>
      </c>
      <c r="Q62" t="s">
        <v>1391</v>
      </c>
      <c r="R62" t="s">
        <v>1391</v>
      </c>
      <c r="S62" t="s">
        <v>1395</v>
      </c>
      <c r="T62" t="s">
        <v>1395</v>
      </c>
      <c r="U62" t="s">
        <v>1395</v>
      </c>
      <c r="V62" t="s">
        <v>1388</v>
      </c>
      <c r="W62" t="s">
        <v>1395</v>
      </c>
      <c r="X62" t="s">
        <v>1392</v>
      </c>
      <c r="Y62" t="s">
        <v>1388</v>
      </c>
      <c r="Z62" t="s">
        <v>1394</v>
      </c>
      <c r="AA62" t="s">
        <v>181</v>
      </c>
      <c r="AB62" t="s">
        <v>1395</v>
      </c>
      <c r="AC62" t="s">
        <v>1390</v>
      </c>
    </row>
    <row r="64" spans="1:29" x14ac:dyDescent="0.25">
      <c r="B64" t="s">
        <v>162</v>
      </c>
      <c r="C64" s="485" t="s">
        <v>164</v>
      </c>
      <c r="D64" t="s">
        <v>166</v>
      </c>
      <c r="E64" t="s">
        <v>168</v>
      </c>
      <c r="F64" t="s">
        <v>170</v>
      </c>
      <c r="G64" t="s">
        <v>173</v>
      </c>
      <c r="H64" t="s">
        <v>175</v>
      </c>
      <c r="I64" t="s">
        <v>177</v>
      </c>
      <c r="J64" t="s">
        <v>179</v>
      </c>
      <c r="K64" t="s">
        <v>181</v>
      </c>
      <c r="L64" t="s">
        <v>183</v>
      </c>
      <c r="M64" t="s">
        <v>185</v>
      </c>
      <c r="N64" t="s">
        <v>188</v>
      </c>
      <c r="O64" t="s">
        <v>190</v>
      </c>
      <c r="P64" t="s">
        <v>192</v>
      </c>
      <c r="Q64" t="s">
        <v>194</v>
      </c>
      <c r="R64" t="s">
        <v>196</v>
      </c>
      <c r="S64" t="s">
        <v>198</v>
      </c>
      <c r="T64" t="s">
        <v>9</v>
      </c>
      <c r="U64" t="s">
        <v>201</v>
      </c>
      <c r="V64" t="s">
        <v>203</v>
      </c>
      <c r="W64" t="s">
        <v>205</v>
      </c>
      <c r="X64" t="s">
        <v>207</v>
      </c>
      <c r="Y64" t="s">
        <v>210</v>
      </c>
      <c r="Z64" t="s">
        <v>212</v>
      </c>
      <c r="AA64" t="s">
        <v>214</v>
      </c>
      <c r="AB64" t="s">
        <v>217</v>
      </c>
      <c r="AC64" t="s">
        <v>219</v>
      </c>
    </row>
    <row r="65" spans="1:29" x14ac:dyDescent="0.25">
      <c r="A65" s="502" t="s">
        <v>133</v>
      </c>
      <c r="B65" s="102" cm="1">
        <f t="array" ref="B65">SUMPRODUCT(($B$56:$L$56=B$62)*($A$57:$A$60=$A65)*$B$57:$L$60)</f>
        <v>1.6158822632640759</v>
      </c>
      <c r="C65" s="102" cm="1">
        <f t="array" ref="C65">SUMPRODUCT(($B$56:$L$56=C$62)*($A$57:$A$60=$A65)*$B$57:$L$60)</f>
        <v>0</v>
      </c>
      <c r="D65" s="102" cm="1">
        <f t="array" ref="D65">SUMPRODUCT(($B$56:$L$56=D$62)*($A$57:$A$60=$A65)*$B$57:$L$60)</f>
        <v>1.6158822632640759</v>
      </c>
      <c r="E65" s="102" cm="1">
        <f t="array" ref="E65">SUMPRODUCT(($B$56:$L$56=E$62)*($A$57:$A$60=$A65)*$B$57:$L$60)</f>
        <v>1.6158822632640759</v>
      </c>
      <c r="F65" s="102" cm="1">
        <f t="array" ref="F65">SUMPRODUCT(($B$56:$L$56=F$62)*($A$57:$A$60=$A65)*$B$57:$L$60)</f>
        <v>0</v>
      </c>
      <c r="G65" s="102" cm="1">
        <f t="array" ref="G65">SUMPRODUCT(($B$56:$L$56=G$62)*($A$57:$A$60=$A65)*$B$57:$L$60)</f>
        <v>4.997665183035461</v>
      </c>
      <c r="H65" s="102" cm="1">
        <f t="array" ref="H65">SUMPRODUCT(($B$56:$L$56=H$62)*($A$57:$A$60=$A65)*$B$57:$L$60)</f>
        <v>4.997665183035461</v>
      </c>
      <c r="I65" s="102" cm="1">
        <f t="array" ref="I65">SUMPRODUCT(($B$56:$L$56=I$62)*($A$57:$A$60=$A65)*$B$57:$L$60)</f>
        <v>4.997665183035461</v>
      </c>
      <c r="J65" s="102" cm="1">
        <f t="array" ref="J65">SUMPRODUCT(($B$56:$L$56=J$62)*($A$57:$A$60=$A65)*$B$57:$L$60)</f>
        <v>9.158929109805289</v>
      </c>
      <c r="K65" s="102" cm="1">
        <f t="array" ref="K65">SUMPRODUCT(($B$56:$L$56=K$62)*($A$57:$A$60=$A65)*$B$57:$L$60)</f>
        <v>0</v>
      </c>
      <c r="L65" s="102" cm="1">
        <f t="array" ref="L65">SUMPRODUCT(($B$56:$L$56=L$62)*($A$57:$A$60=$A65)*$B$57:$L$60)</f>
        <v>9.158929109805289</v>
      </c>
      <c r="M65" s="102" cm="1">
        <f t="array" ref="M65">SUMPRODUCT(($B$56:$L$56=M$62)*($A$57:$A$60=$A65)*$B$57:$L$60)</f>
        <v>1.5158865933147385</v>
      </c>
      <c r="N65" s="102" cm="1">
        <f t="array" ref="N65">SUMPRODUCT(($B$56:$L$56=N$62)*($A$57:$A$60=$A65)*$B$57:$L$60)</f>
        <v>0</v>
      </c>
      <c r="O65" s="102" cm="1">
        <f t="array" ref="O65">SUMPRODUCT(($B$56:$L$56=O$62)*($A$57:$A$60=$A65)*$B$57:$L$60)</f>
        <v>0</v>
      </c>
      <c r="P65" s="102" cm="1">
        <f t="array" ref="P65">SUMPRODUCT(($B$56:$L$56=P$62)*($A$57:$A$60=$A65)*$B$57:$L$60)</f>
        <v>0</v>
      </c>
      <c r="Q65" s="102" cm="1">
        <f t="array" ref="Q65">SUMPRODUCT(($B$56:$L$56=Q$62)*($A$57:$A$60=$A65)*$B$57:$L$60)</f>
        <v>0</v>
      </c>
      <c r="R65" s="102" cm="1">
        <f t="array" ref="R65">SUMPRODUCT(($B$56:$L$56=R$62)*($A$57:$A$60=$A65)*$B$57:$L$60)</f>
        <v>0</v>
      </c>
      <c r="S65" s="102" cm="1">
        <f t="array" ref="S65">SUMPRODUCT(($B$56:$L$56=S$62)*($A$57:$A$60=$A65)*$B$57:$L$60)</f>
        <v>4.997665183035461</v>
      </c>
      <c r="T65" s="102" cm="1">
        <f t="array" ref="T65">SUMPRODUCT(($B$56:$L$56=T$62)*($A$57:$A$60=$A65)*$B$57:$L$60)</f>
        <v>4.997665183035461</v>
      </c>
      <c r="U65" s="102" cm="1">
        <f t="array" ref="U65">SUMPRODUCT(($B$56:$L$56=U$62)*($A$57:$A$60=$A65)*$B$57:$L$60)</f>
        <v>4.997665183035461</v>
      </c>
      <c r="V65" s="102" cm="1">
        <f t="array" ref="V65">SUMPRODUCT(($B$56:$L$56=V$62)*($A$57:$A$60=$A65)*$B$57:$L$60)</f>
        <v>9.158929109805289</v>
      </c>
      <c r="W65" s="102" cm="1">
        <f t="array" ref="W65">SUMPRODUCT(($B$56:$L$56=W$62)*($A$57:$A$60=$A65)*$B$57:$L$60)</f>
        <v>4.997665183035461</v>
      </c>
      <c r="X65" s="102" cm="1">
        <f t="array" ref="X65">SUMPRODUCT(($B$56:$L$56=X$62)*($A$57:$A$60=$A65)*$B$57:$L$60)</f>
        <v>0</v>
      </c>
      <c r="Y65" s="102" cm="1">
        <f t="array" ref="Y65">SUMPRODUCT(($B$56:$L$56=Y$62)*($A$57:$A$60=$A65)*$B$57:$L$60)</f>
        <v>9.158929109805289</v>
      </c>
      <c r="Z65" s="102" cm="1">
        <f t="array" ref="Z65">SUMPRODUCT(($B$56:$L$56=Z$62)*($A$57:$A$60=$A65)*$B$57:$L$60)</f>
        <v>1.6158822632640759</v>
      </c>
      <c r="AA65" s="110" cm="1">
        <f t="array" ref="AA65">SUMPRODUCT(($B$56:$L$56=AA$62)*($A$57:$A$60=$A65)*$B$57:$L$60)</f>
        <v>0</v>
      </c>
      <c r="AB65" s="102" cm="1">
        <f t="array" ref="AB65">SUMPRODUCT(($B$56:$L$56=AB$62)*($A$57:$A$60=$A65)*$B$57:$L$60)</f>
        <v>4.997665183035461</v>
      </c>
      <c r="AC65" s="102" cm="1">
        <f t="array" ref="AC65">SUMPRODUCT(($B$56:$L$56=AC$62)*($A$57:$A$60=$A65)*$B$57:$L$60)</f>
        <v>0</v>
      </c>
    </row>
    <row r="66" spans="1:29" x14ac:dyDescent="0.25">
      <c r="A66" s="502" t="s">
        <v>127</v>
      </c>
      <c r="B66" s="102" cm="1">
        <f t="array" ref="B66">SUMPRODUCT(($B$56:$L$56=B$62)*($A$57:$A$60=$A66)*$B$57:$L$60)</f>
        <v>7.6410553873466807</v>
      </c>
      <c r="C66" s="102" cm="1">
        <f t="array" ref="C66">SUMPRODUCT(($B$56:$L$56=C$62)*($A$57:$A$60=$A66)*$B$57:$L$60)</f>
        <v>19.259254575527123</v>
      </c>
      <c r="D66" s="102" cm="1">
        <f t="array" ref="D66">SUMPRODUCT(($B$56:$L$56=D$62)*($A$57:$A$60=$A66)*$B$57:$L$60)</f>
        <v>7.6410553873466807</v>
      </c>
      <c r="E66" s="102" cm="1">
        <f t="array" ref="E66">SUMPRODUCT(($B$56:$L$56=E$62)*($A$57:$A$60=$A66)*$B$57:$L$60)</f>
        <v>7.6410553873466807</v>
      </c>
      <c r="F66" s="102" cm="1">
        <f t="array" ref="F66">SUMPRODUCT(($B$56:$L$56=F$62)*($A$57:$A$60=$A66)*$B$57:$L$60)</f>
        <v>14.233318849104036</v>
      </c>
      <c r="G66" s="102" cm="1">
        <f t="array" ref="G66">SUMPRODUCT(($B$56:$L$56=G$62)*($A$57:$A$60=$A66)*$B$57:$L$60)</f>
        <v>0</v>
      </c>
      <c r="H66" s="102" cm="1">
        <f t="array" ref="H66">SUMPRODUCT(($B$56:$L$56=H$62)*($A$57:$A$60=$A66)*$B$57:$L$60)</f>
        <v>0</v>
      </c>
      <c r="I66" s="102" cm="1">
        <f t="array" ref="I66">SUMPRODUCT(($B$56:$L$56=I$62)*($A$57:$A$60=$A66)*$B$57:$L$60)</f>
        <v>0</v>
      </c>
      <c r="J66" s="102" cm="1">
        <f t="array" ref="J66">SUMPRODUCT(($B$56:$L$56=J$62)*($A$57:$A$60=$A66)*$B$57:$L$60)</f>
        <v>2.8365337247903732</v>
      </c>
      <c r="K66" s="102" cm="1">
        <f t="array" ref="K66">SUMPRODUCT(($B$56:$L$56=K$62)*($A$57:$A$60=$A66)*$B$57:$L$60)</f>
        <v>9.7847849516736325</v>
      </c>
      <c r="L66" s="102" cm="1">
        <f t="array" ref="L66">SUMPRODUCT(($B$56:$L$56=L$62)*($A$57:$A$60=$A66)*$B$57:$L$60)</f>
        <v>2.8365337247903732</v>
      </c>
      <c r="M66" s="102" cm="1">
        <f t="array" ref="M66">SUMPRODUCT(($B$56:$L$56=M$62)*($A$57:$A$60=$A66)*$B$57:$L$60)</f>
        <v>2.3166913414462429</v>
      </c>
      <c r="N66" s="102" cm="1">
        <f t="array" ref="N66">SUMPRODUCT(($B$56:$L$56=N$62)*($A$57:$A$60=$A66)*$B$57:$L$60)</f>
        <v>28.09854981578945</v>
      </c>
      <c r="O66" s="102" cm="1">
        <f t="array" ref="O66">SUMPRODUCT(($B$56:$L$56=O$62)*($A$57:$A$60=$A66)*$B$57:$L$60)</f>
        <v>19.563022145591262</v>
      </c>
      <c r="P66" s="102" cm="1">
        <f t="array" ref="P66">SUMPRODUCT(($B$56:$L$56=P$62)*($A$57:$A$60=$A66)*$B$57:$L$60)</f>
        <v>28.09854981578945</v>
      </c>
      <c r="Q66" s="102" cm="1">
        <f t="array" ref="Q66">SUMPRODUCT(($B$56:$L$56=Q$62)*($A$57:$A$60=$A66)*$B$57:$L$60)</f>
        <v>19.563022145591262</v>
      </c>
      <c r="R66" s="102" cm="1">
        <f t="array" ref="R66">SUMPRODUCT(($B$56:$L$56=R$62)*($A$57:$A$60=$A66)*$B$57:$L$60)</f>
        <v>19.563022145591262</v>
      </c>
      <c r="S66" s="102" cm="1">
        <f t="array" ref="S66">SUMPRODUCT(($B$56:$L$56=S$62)*($A$57:$A$60=$A66)*$B$57:$L$60)</f>
        <v>0</v>
      </c>
      <c r="T66" s="102" cm="1">
        <f t="array" ref="T66">SUMPRODUCT(($B$56:$L$56=T$62)*($A$57:$A$60=$A66)*$B$57:$L$60)</f>
        <v>0</v>
      </c>
      <c r="U66" s="102" cm="1">
        <f t="array" ref="U66">SUMPRODUCT(($B$56:$L$56=U$62)*($A$57:$A$60=$A66)*$B$57:$L$60)</f>
        <v>0</v>
      </c>
      <c r="V66" s="102" cm="1">
        <f t="array" ref="V66">SUMPRODUCT(($B$56:$L$56=V$62)*($A$57:$A$60=$A66)*$B$57:$L$60)</f>
        <v>2.8365337247903732</v>
      </c>
      <c r="W66" s="102" cm="1">
        <f t="array" ref="W66">SUMPRODUCT(($B$56:$L$56=W$62)*($A$57:$A$60=$A66)*$B$57:$L$60)</f>
        <v>0</v>
      </c>
      <c r="X66" s="102" cm="1">
        <f t="array" ref="X66">SUMPRODUCT(($B$56:$L$56=X$62)*($A$57:$A$60=$A66)*$B$57:$L$60)</f>
        <v>19.259254575527123</v>
      </c>
      <c r="Y66" s="102" cm="1">
        <f t="array" ref="Y66">SUMPRODUCT(($B$56:$L$56=Y$62)*($A$57:$A$60=$A66)*$B$57:$L$60)</f>
        <v>2.8365337247903732</v>
      </c>
      <c r="Z66" s="102" cm="1">
        <f t="array" ref="Z66">SUMPRODUCT(($B$56:$L$56=Z$62)*($A$57:$A$60=$A66)*$B$57:$L$60)</f>
        <v>7.6410553873466807</v>
      </c>
      <c r="AA66" s="110" cm="1">
        <f t="array" ref="AA66">SUMPRODUCT(($B$56:$L$56=AA$62)*($A$57:$A$60=$A66)*$B$57:$L$60)</f>
        <v>9.7847849516736325</v>
      </c>
      <c r="AB66" s="102" cm="1">
        <f t="array" ref="AB66">SUMPRODUCT(($B$56:$L$56=AB$62)*($A$57:$A$60=$A66)*$B$57:$L$60)</f>
        <v>0</v>
      </c>
      <c r="AC66" s="102" cm="1">
        <f t="array" ref="AC66">SUMPRODUCT(($B$56:$L$56=AC$62)*($A$57:$A$60=$A66)*$B$57:$L$60)</f>
        <v>10.323054430884405</v>
      </c>
    </row>
    <row r="67" spans="1:29" x14ac:dyDescent="0.25">
      <c r="A67" s="502" t="s">
        <v>82</v>
      </c>
      <c r="B67" s="102" cm="1">
        <f t="array" ref="B67">SUMPRODUCT(($B$56:$L$56=B$62)*($A$57:$A$60=$A67)*$B$57:$L$60)</f>
        <v>12.309470802898106</v>
      </c>
      <c r="C67" s="102" cm="1">
        <f t="array" ref="C67">SUMPRODUCT(($B$56:$L$56=C$62)*($A$57:$A$60=$A67)*$B$57:$L$60)</f>
        <v>0</v>
      </c>
      <c r="D67" s="102" cm="1">
        <f t="array" ref="D67">SUMPRODUCT(($B$56:$L$56=D$62)*($A$57:$A$60=$A67)*$B$57:$L$60)</f>
        <v>12.309470802898106</v>
      </c>
      <c r="E67" s="102" cm="1">
        <f t="array" ref="E67">SUMPRODUCT(($B$56:$L$56=E$62)*($A$57:$A$60=$A67)*$B$57:$L$60)</f>
        <v>12.309470802898106</v>
      </c>
      <c r="F67" s="102" cm="1">
        <f t="array" ref="F67">SUMPRODUCT(($B$56:$L$56=F$62)*($A$57:$A$60=$A67)*$B$57:$L$60)</f>
        <v>6.0882724017958303</v>
      </c>
      <c r="G67" s="102" cm="1">
        <f t="array" ref="G67">SUMPRODUCT(($B$56:$L$56=G$62)*($A$57:$A$60=$A67)*$B$57:$L$60)</f>
        <v>13.243414015700271</v>
      </c>
      <c r="H67" s="102" cm="1">
        <f t="array" ref="H67">SUMPRODUCT(($B$56:$L$56=H$62)*($A$57:$A$60=$A67)*$B$57:$L$60)</f>
        <v>13.243414015700271</v>
      </c>
      <c r="I67" s="102" cm="1">
        <f t="array" ref="I67">SUMPRODUCT(($B$56:$L$56=I$62)*($A$57:$A$60=$A67)*$B$57:$L$60)</f>
        <v>13.243414015700271</v>
      </c>
      <c r="J67" s="102" cm="1">
        <f t="array" ref="J67">SUMPRODUCT(($B$56:$L$56=J$62)*($A$57:$A$60=$A67)*$B$57:$L$60)</f>
        <v>5.5558062522859917</v>
      </c>
      <c r="K67" s="102" cm="1">
        <f t="array" ref="K67">SUMPRODUCT(($B$56:$L$56=K$62)*($A$57:$A$60=$A67)*$B$57:$L$60)</f>
        <v>0</v>
      </c>
      <c r="L67" s="102" cm="1">
        <f t="array" ref="L67">SUMPRODUCT(($B$56:$L$56=L$62)*($A$57:$A$60=$A67)*$B$57:$L$60)</f>
        <v>5.5558062522859917</v>
      </c>
      <c r="M67" s="102" cm="1">
        <f t="array" ref="M67">SUMPRODUCT(($B$56:$L$56=M$62)*($A$57:$A$60=$A67)*$B$57:$L$60)</f>
        <v>16.970460946677086</v>
      </c>
      <c r="N67" s="102" cm="1">
        <f t="array" ref="N67">SUMPRODUCT(($B$56:$L$56=N$62)*($A$57:$A$60=$A67)*$B$57:$L$60)</f>
        <v>0</v>
      </c>
      <c r="O67" s="102" cm="1">
        <f t="array" ref="O67">SUMPRODUCT(($B$56:$L$56=O$62)*($A$57:$A$60=$A67)*$B$57:$L$60)</f>
        <v>0</v>
      </c>
      <c r="P67" s="102" cm="1">
        <f t="array" ref="P67">SUMPRODUCT(($B$56:$L$56=P$62)*($A$57:$A$60=$A67)*$B$57:$L$60)</f>
        <v>0</v>
      </c>
      <c r="Q67" s="102" cm="1">
        <f t="array" ref="Q67">SUMPRODUCT(($B$56:$L$56=Q$62)*($A$57:$A$60=$A67)*$B$57:$L$60)</f>
        <v>0</v>
      </c>
      <c r="R67" s="102" cm="1">
        <f t="array" ref="R67">SUMPRODUCT(($B$56:$L$56=R$62)*($A$57:$A$60=$A67)*$B$57:$L$60)</f>
        <v>0</v>
      </c>
      <c r="S67" s="102" cm="1">
        <f t="array" ref="S67">SUMPRODUCT(($B$56:$L$56=S$62)*($A$57:$A$60=$A67)*$B$57:$L$60)</f>
        <v>13.243414015700271</v>
      </c>
      <c r="T67" s="102" cm="1">
        <f t="array" ref="T67">SUMPRODUCT(($B$56:$L$56=T$62)*($A$57:$A$60=$A67)*$B$57:$L$60)</f>
        <v>13.243414015700271</v>
      </c>
      <c r="U67" s="102" cm="1">
        <f t="array" ref="U67">SUMPRODUCT(($B$56:$L$56=U$62)*($A$57:$A$60=$A67)*$B$57:$L$60)</f>
        <v>13.243414015700271</v>
      </c>
      <c r="V67" s="102" cm="1">
        <f t="array" ref="V67">SUMPRODUCT(($B$56:$L$56=V$62)*($A$57:$A$60=$A67)*$B$57:$L$60)</f>
        <v>5.5558062522859917</v>
      </c>
      <c r="W67" s="102" cm="1">
        <f t="array" ref="W67">SUMPRODUCT(($B$56:$L$56=W$62)*($A$57:$A$60=$A67)*$B$57:$L$60)</f>
        <v>13.243414015700271</v>
      </c>
      <c r="X67" s="102" cm="1">
        <f t="array" ref="X67">SUMPRODUCT(($B$56:$L$56=X$62)*($A$57:$A$60=$A67)*$B$57:$L$60)</f>
        <v>0</v>
      </c>
      <c r="Y67" s="102" cm="1">
        <f t="array" ref="Y67">SUMPRODUCT(($B$56:$L$56=Y$62)*($A$57:$A$60=$A67)*$B$57:$L$60)</f>
        <v>5.5558062522859917</v>
      </c>
      <c r="Z67" s="102" cm="1">
        <f t="array" ref="Z67">SUMPRODUCT(($B$56:$L$56=Z$62)*($A$57:$A$60=$A67)*$B$57:$L$60)</f>
        <v>12.309470802898106</v>
      </c>
      <c r="AA67" s="110" cm="1">
        <f t="array" ref="AA67">SUMPRODUCT(($B$56:$L$56=AA$62)*($A$57:$A$60=$A67)*$B$57:$L$60)</f>
        <v>0</v>
      </c>
      <c r="AB67" s="102" cm="1">
        <f t="array" ref="AB67">SUMPRODUCT(($B$56:$L$56=AB$62)*($A$57:$A$60=$A67)*$B$57:$L$60)</f>
        <v>13.243414015700271</v>
      </c>
      <c r="AC67" s="102" cm="1">
        <f t="array" ref="AC67">SUMPRODUCT(($B$56:$L$56=AC$62)*($A$57:$A$60=$A67)*$B$57:$L$60)</f>
        <v>0</v>
      </c>
    </row>
    <row r="68" spans="1:29" x14ac:dyDescent="0.25">
      <c r="A68" s="502" t="s">
        <v>125</v>
      </c>
      <c r="B68" s="102" cm="1">
        <f t="array" ref="B68">SUMPRODUCT(($B$56:$L$56=B$62)*($A$57:$A$60=$A68)*$B$57:$L$60)</f>
        <v>54.116101065664758</v>
      </c>
      <c r="C68" s="102" cm="1">
        <f t="array" ref="C68">SUMPRODUCT(($B$56:$L$56=C$62)*($A$57:$A$60=$A68)*$B$57:$L$60)</f>
        <v>58.155685402796664</v>
      </c>
      <c r="D68" s="102" cm="1">
        <f t="array" ref="D68">SUMPRODUCT(($B$56:$L$56=D$62)*($A$57:$A$60=$A68)*$B$57:$L$60)</f>
        <v>54.116101065664758</v>
      </c>
      <c r="E68" s="102" cm="1">
        <f t="array" ref="E68">SUMPRODUCT(($B$56:$L$56=E$62)*($A$57:$A$60=$A68)*$B$57:$L$60)</f>
        <v>54.116101065664758</v>
      </c>
      <c r="F68" s="102" cm="1">
        <f t="array" ref="F68">SUMPRODUCT(($B$56:$L$56=F$62)*($A$57:$A$60=$A68)*$B$57:$L$60)</f>
        <v>54.466119673732237</v>
      </c>
      <c r="G68" s="102" cm="1">
        <f t="array" ref="G68">SUMPRODUCT(($B$56:$L$56=G$62)*($A$57:$A$60=$A68)*$B$57:$L$60)</f>
        <v>57.149454505631297</v>
      </c>
      <c r="H68" s="102" cm="1">
        <f t="array" ref="H68">SUMPRODUCT(($B$56:$L$56=H$62)*($A$57:$A$60=$A68)*$B$57:$L$60)</f>
        <v>57.149454505631297</v>
      </c>
      <c r="I68" s="102" cm="1">
        <f t="array" ref="I68">SUMPRODUCT(($B$56:$L$56=I$62)*($A$57:$A$60=$A68)*$B$57:$L$60)</f>
        <v>57.149454505631297</v>
      </c>
      <c r="J68" s="102" cm="1">
        <f t="array" ref="J68">SUMPRODUCT(($B$56:$L$56=J$62)*($A$57:$A$60=$A68)*$B$57:$L$60)</f>
        <v>57.327446670699544</v>
      </c>
      <c r="K68" s="102" cm="1">
        <f t="array" ref="K68">SUMPRODUCT(($B$56:$L$56=K$62)*($A$57:$A$60=$A68)*$B$57:$L$60)</f>
        <v>59.793765644604029</v>
      </c>
      <c r="L68" s="102" cm="1">
        <f t="array" ref="L68">SUMPRODUCT(($B$56:$L$56=L$62)*($A$57:$A$60=$A68)*$B$57:$L$60)</f>
        <v>57.327446670699544</v>
      </c>
      <c r="M68" s="102" cm="1">
        <f t="array" ref="M68">SUMPRODUCT(($B$56:$L$56=M$62)*($A$57:$A$60=$A68)*$B$57:$L$60)</f>
        <v>51.039345662663393</v>
      </c>
      <c r="N68" s="102" cm="1">
        <f t="array" ref="N68">SUMPRODUCT(($B$56:$L$56=N$62)*($A$57:$A$60=$A68)*$B$57:$L$60)</f>
        <v>59.616106335503595</v>
      </c>
      <c r="O68" s="102" cm="1">
        <f t="array" ref="O68">SUMPRODUCT(($B$56:$L$56=O$62)*($A$57:$A$60=$A68)*$B$57:$L$60)</f>
        <v>56.023626071062942</v>
      </c>
      <c r="P68" s="102" cm="1">
        <f t="array" ref="P68">SUMPRODUCT(($B$56:$L$56=P$62)*($A$57:$A$60=$A68)*$B$57:$L$60)</f>
        <v>59.616106335503595</v>
      </c>
      <c r="Q68" s="102" cm="1">
        <f t="array" ref="Q68">SUMPRODUCT(($B$56:$L$56=Q$62)*($A$57:$A$60=$A68)*$B$57:$L$60)</f>
        <v>56.023626071062942</v>
      </c>
      <c r="R68" s="102" cm="1">
        <f t="array" ref="R68">SUMPRODUCT(($B$56:$L$56=R$62)*($A$57:$A$60=$A68)*$B$57:$L$60)</f>
        <v>56.023626071062942</v>
      </c>
      <c r="S68" s="102" cm="1">
        <f t="array" ref="S68">SUMPRODUCT(($B$56:$L$56=S$62)*($A$57:$A$60=$A68)*$B$57:$L$60)</f>
        <v>57.149454505631297</v>
      </c>
      <c r="T68" s="102" cm="1">
        <f t="array" ref="T68">SUMPRODUCT(($B$56:$L$56=T$62)*($A$57:$A$60=$A68)*$B$57:$L$60)</f>
        <v>57.149454505631297</v>
      </c>
      <c r="U68" s="102" cm="1">
        <f t="array" ref="U68">SUMPRODUCT(($B$56:$L$56=U$62)*($A$57:$A$60=$A68)*$B$57:$L$60)</f>
        <v>57.149454505631297</v>
      </c>
      <c r="V68" s="102" cm="1">
        <f t="array" ref="V68">SUMPRODUCT(($B$56:$L$56=V$62)*($A$57:$A$60=$A68)*$B$57:$L$60)</f>
        <v>57.327446670699544</v>
      </c>
      <c r="W68" s="102" cm="1">
        <f t="array" ref="W68">SUMPRODUCT(($B$56:$L$56=W$62)*($A$57:$A$60=$A68)*$B$57:$L$60)</f>
        <v>57.149454505631297</v>
      </c>
      <c r="X68" s="102" cm="1">
        <f t="array" ref="X68">SUMPRODUCT(($B$56:$L$56=X$62)*($A$57:$A$60=$A68)*$B$57:$L$60)</f>
        <v>58.155685402796664</v>
      </c>
      <c r="Y68" s="102" cm="1">
        <f t="array" ref="Y68">SUMPRODUCT(($B$56:$L$56=Y$62)*($A$57:$A$60=$A68)*$B$57:$L$60)</f>
        <v>57.327446670699544</v>
      </c>
      <c r="Z68" s="102" cm="1">
        <f t="array" ref="Z68">SUMPRODUCT(($B$56:$L$56=Z$62)*($A$57:$A$60=$A68)*$B$57:$L$60)</f>
        <v>54.116101065664758</v>
      </c>
      <c r="AA68" s="110" cm="1">
        <f t="array" ref="AA68">SUMPRODUCT(($B$56:$L$56=AA$62)*($A$57:$A$60=$A68)*$B$57:$L$60)</f>
        <v>59.793765644604029</v>
      </c>
      <c r="AB68" s="102" cm="1">
        <f t="array" ref="AB68">SUMPRODUCT(($B$56:$L$56=AB$62)*($A$57:$A$60=$A68)*$B$57:$L$60)</f>
        <v>57.149454505631297</v>
      </c>
      <c r="AC68" s="102" cm="1">
        <f t="array" ref="AC68">SUMPRODUCT(($B$56:$L$56=AC$62)*($A$57:$A$60=$A68)*$B$57:$L$60)</f>
        <v>61.238302125990188</v>
      </c>
    </row>
    <row r="71" spans="1:29" x14ac:dyDescent="0.25">
      <c r="B71" t="s">
        <v>162</v>
      </c>
      <c r="C71" t="s">
        <v>164</v>
      </c>
      <c r="D71" t="s">
        <v>166</v>
      </c>
      <c r="E71" t="s">
        <v>168</v>
      </c>
      <c r="F71" t="s">
        <v>170</v>
      </c>
      <c r="G71" t="s">
        <v>173</v>
      </c>
      <c r="H71" t="s">
        <v>175</v>
      </c>
      <c r="I71" t="s">
        <v>177</v>
      </c>
      <c r="J71" t="s">
        <v>179</v>
      </c>
      <c r="K71" t="s">
        <v>181</v>
      </c>
      <c r="L71" t="s">
        <v>183</v>
      </c>
      <c r="M71" t="s">
        <v>185</v>
      </c>
      <c r="N71" t="s">
        <v>188</v>
      </c>
      <c r="O71" t="s">
        <v>190</v>
      </c>
      <c r="P71" t="s">
        <v>192</v>
      </c>
      <c r="Q71" t="s">
        <v>194</v>
      </c>
      <c r="R71" t="s">
        <v>196</v>
      </c>
      <c r="S71" t="s">
        <v>198</v>
      </c>
      <c r="T71" t="s">
        <v>9</v>
      </c>
      <c r="U71" t="s">
        <v>201</v>
      </c>
      <c r="V71" t="s">
        <v>203</v>
      </c>
      <c r="W71" t="s">
        <v>205</v>
      </c>
      <c r="X71" t="s">
        <v>207</v>
      </c>
      <c r="Y71" t="s">
        <v>210</v>
      </c>
      <c r="Z71" t="s">
        <v>212</v>
      </c>
      <c r="AA71" t="s">
        <v>214</v>
      </c>
      <c r="AB71" t="s">
        <v>217</v>
      </c>
      <c r="AC71" t="s">
        <v>219</v>
      </c>
    </row>
    <row r="72" spans="1:29" x14ac:dyDescent="0.25">
      <c r="B72" s="193">
        <v>0</v>
      </c>
      <c r="C72" s="193">
        <v>0.3</v>
      </c>
      <c r="D72" s="193">
        <v>0.112</v>
      </c>
      <c r="E72" s="193">
        <v>1.282</v>
      </c>
      <c r="F72" s="193">
        <v>1.921</v>
      </c>
      <c r="G72" s="193">
        <v>0.41</v>
      </c>
      <c r="H72" s="193">
        <v>0.76</v>
      </c>
      <c r="I72" s="193">
        <v>0</v>
      </c>
      <c r="J72" s="193">
        <v>0.65</v>
      </c>
      <c r="K72" s="193">
        <v>2.8540000000000001</v>
      </c>
      <c r="L72" s="193">
        <v>0</v>
      </c>
      <c r="M72" s="193">
        <v>35.043999999999997</v>
      </c>
      <c r="N72" s="193">
        <v>0.115</v>
      </c>
      <c r="O72" s="193">
        <v>2.2930000000000001</v>
      </c>
      <c r="P72" s="193">
        <v>0.57999999999999996</v>
      </c>
      <c r="Q72" s="193">
        <v>0.85</v>
      </c>
      <c r="R72" s="193">
        <v>0.82</v>
      </c>
      <c r="S72" s="193">
        <v>0.24</v>
      </c>
      <c r="T72" s="193">
        <v>3.64</v>
      </c>
      <c r="U72" s="193">
        <v>0</v>
      </c>
      <c r="V72" s="193">
        <v>0.435</v>
      </c>
      <c r="W72" s="193">
        <v>0.08</v>
      </c>
      <c r="X72" s="193">
        <v>6.133</v>
      </c>
      <c r="Y72" s="193">
        <v>0</v>
      </c>
      <c r="Z72" s="193">
        <v>0</v>
      </c>
      <c r="AA72" s="193">
        <v>3.637</v>
      </c>
      <c r="AB72" s="193">
        <v>0</v>
      </c>
      <c r="AC72" s="193">
        <v>1.0900000000000001</v>
      </c>
    </row>
    <row r="75" spans="1:29" s="495" customFormat="1" x14ac:dyDescent="0.25">
      <c r="A75" s="494" t="s">
        <v>236</v>
      </c>
    </row>
    <row r="77" spans="1:29" x14ac:dyDescent="0.25">
      <c r="A77" t="s">
        <v>1406</v>
      </c>
      <c r="B77">
        <v>3.3</v>
      </c>
      <c r="C77" t="s">
        <v>479</v>
      </c>
    </row>
    <row r="79" spans="1:29" x14ac:dyDescent="0.25">
      <c r="B79" t="s">
        <v>479</v>
      </c>
      <c r="C79" t="s">
        <v>1407</v>
      </c>
    </row>
    <row r="80" spans="1:29" x14ac:dyDescent="0.25">
      <c r="A80" t="s">
        <v>125</v>
      </c>
      <c r="B80" s="193">
        <f>D89</f>
        <v>0.47305878654511158</v>
      </c>
    </row>
    <row r="81" spans="1:4" x14ac:dyDescent="0.25">
      <c r="A81" t="s">
        <v>1408</v>
      </c>
      <c r="B81" s="193">
        <f>D90</f>
        <v>2.8269412134548881</v>
      </c>
    </row>
    <row r="82" spans="1:4" x14ac:dyDescent="0.25">
      <c r="A82" t="s">
        <v>1409</v>
      </c>
      <c r="B82" s="193"/>
      <c r="C82">
        <f>B100</f>
        <v>1.05</v>
      </c>
    </row>
    <row r="84" spans="1:4" x14ac:dyDescent="0.25">
      <c r="A84" t="s">
        <v>1410</v>
      </c>
      <c r="B84">
        <v>0.95</v>
      </c>
    </row>
    <row r="86" spans="1:4" x14ac:dyDescent="0.25">
      <c r="A86" t="s">
        <v>224</v>
      </c>
      <c r="B86" t="s">
        <v>1411</v>
      </c>
    </row>
    <row r="88" spans="1:4" x14ac:dyDescent="0.25">
      <c r="B88" t="s">
        <v>479</v>
      </c>
      <c r="D88" t="s">
        <v>1412</v>
      </c>
    </row>
    <row r="89" spans="1:4" x14ac:dyDescent="0.25">
      <c r="A89" t="s">
        <v>125</v>
      </c>
      <c r="B89">
        <f>0.16*3.6</f>
        <v>0.57600000000000007</v>
      </c>
      <c r="C89" s="193">
        <f>B89/B91</f>
        <v>0.14335114743791261</v>
      </c>
      <c r="D89" s="193">
        <f>C89*$B$77</f>
        <v>0.47305878654511158</v>
      </c>
    </row>
    <row r="90" spans="1:4" x14ac:dyDescent="0.25">
      <c r="A90" t="s">
        <v>1413</v>
      </c>
      <c r="B90" s="193">
        <f>3.27/B84</f>
        <v>3.4421052631578948</v>
      </c>
      <c r="C90" s="193">
        <f>B90/B91</f>
        <v>0.85664885256208734</v>
      </c>
      <c r="D90" s="193">
        <f>C90*$B$77</f>
        <v>2.8269412134548881</v>
      </c>
    </row>
    <row r="91" spans="1:4" x14ac:dyDescent="0.25">
      <c r="B91" s="193">
        <f>SUM(B89:B90)</f>
        <v>4.0181052631578948</v>
      </c>
    </row>
    <row r="93" spans="1:4" x14ac:dyDescent="0.25">
      <c r="A93" t="s">
        <v>1414</v>
      </c>
      <c r="B93" t="s">
        <v>1415</v>
      </c>
    </row>
    <row r="95" spans="1:4" x14ac:dyDescent="0.25">
      <c r="B95" t="s">
        <v>479</v>
      </c>
      <c r="D95" t="s">
        <v>1412</v>
      </c>
    </row>
    <row r="96" spans="1:4" x14ac:dyDescent="0.25">
      <c r="A96" t="s">
        <v>125</v>
      </c>
      <c r="B96">
        <v>0.78600000000000003</v>
      </c>
      <c r="C96" s="193">
        <f>B96/B98</f>
        <v>0.12993544120973777</v>
      </c>
      <c r="D96" s="193">
        <f>C96*$B$77</f>
        <v>0.42878695599213462</v>
      </c>
    </row>
    <row r="97" spans="1:7" x14ac:dyDescent="0.25">
      <c r="A97" t="s">
        <v>1413</v>
      </c>
      <c r="B97" s="193">
        <f>5/B84</f>
        <v>5.2631578947368425</v>
      </c>
      <c r="C97" s="193">
        <f>B97/B98</f>
        <v>0.87006455879026234</v>
      </c>
      <c r="D97" s="193">
        <f>C97*$B$77</f>
        <v>2.8712130440078654</v>
      </c>
    </row>
    <row r="98" spans="1:7" x14ac:dyDescent="0.25">
      <c r="B98" s="193">
        <f>SUM(B96:B97)</f>
        <v>6.0491578947368421</v>
      </c>
    </row>
    <row r="100" spans="1:7" x14ac:dyDescent="0.25">
      <c r="A100" t="s">
        <v>1416</v>
      </c>
      <c r="B100">
        <v>1.05</v>
      </c>
    </row>
    <row r="103" spans="1:7" s="494" customFormat="1" x14ac:dyDescent="0.25">
      <c r="A103" s="494" t="s">
        <v>1417</v>
      </c>
    </row>
    <row r="104" spans="1:7" x14ac:dyDescent="0.25">
      <c r="F104" s="502"/>
      <c r="G104" s="102"/>
    </row>
    <row r="105" spans="1:7" x14ac:dyDescent="0.25">
      <c r="A105" t="s">
        <v>1418</v>
      </c>
      <c r="C105" t="s">
        <v>224</v>
      </c>
      <c r="F105" s="502"/>
      <c r="G105" s="102"/>
    </row>
    <row r="106" spans="1:7" x14ac:dyDescent="0.25">
      <c r="A106" t="s">
        <v>133</v>
      </c>
      <c r="B106">
        <v>0.94</v>
      </c>
      <c r="C106" t="s">
        <v>241</v>
      </c>
      <c r="F106" s="502"/>
      <c r="G106" s="102"/>
    </row>
    <row r="107" spans="1:7" x14ac:dyDescent="0.25">
      <c r="A107" t="s">
        <v>82</v>
      </c>
      <c r="B107">
        <v>0.89</v>
      </c>
      <c r="F107" s="502"/>
      <c r="G107" s="102"/>
    </row>
    <row r="108" spans="1:7" x14ac:dyDescent="0.25">
      <c r="A108" s="503" t="s">
        <v>127</v>
      </c>
      <c r="B108">
        <v>0.92</v>
      </c>
      <c r="F108" s="502"/>
      <c r="G108" s="102"/>
    </row>
    <row r="109" spans="1:7" x14ac:dyDescent="0.25">
      <c r="A109" s="503" t="s">
        <v>125</v>
      </c>
      <c r="B109">
        <v>0.99</v>
      </c>
      <c r="F109" s="502"/>
      <c r="G109" s="102"/>
    </row>
    <row r="110" spans="1:7" x14ac:dyDescent="0.25">
      <c r="A110" s="503" t="s">
        <v>140</v>
      </c>
      <c r="B110">
        <v>0.9</v>
      </c>
      <c r="F110" s="502"/>
      <c r="G110" s="102"/>
    </row>
    <row r="111" spans="1:7" x14ac:dyDescent="0.25">
      <c r="A111" s="503" t="s">
        <v>1401</v>
      </c>
      <c r="B111">
        <v>0.9</v>
      </c>
      <c r="C111" t="s">
        <v>1419</v>
      </c>
      <c r="F111" s="502"/>
      <c r="G111" s="102"/>
    </row>
    <row r="112" spans="1:7" x14ac:dyDescent="0.25">
      <c r="A112" s="503"/>
      <c r="F112" s="502"/>
      <c r="G112" s="102"/>
    </row>
    <row r="113" spans="1:52" x14ac:dyDescent="0.25">
      <c r="C113" s="5" t="s">
        <v>1383</v>
      </c>
      <c r="P113" s="5" t="s">
        <v>1420</v>
      </c>
      <c r="AC113" s="5" t="s">
        <v>1385</v>
      </c>
      <c r="AP113" s="5" t="s">
        <v>1386</v>
      </c>
    </row>
    <row r="114" spans="1:52" ht="30" x14ac:dyDescent="0.25">
      <c r="C114" s="496" t="s">
        <v>1387</v>
      </c>
      <c r="D114" s="497" t="s">
        <v>1388</v>
      </c>
      <c r="E114" s="496" t="s">
        <v>1389</v>
      </c>
      <c r="F114" s="496" t="s">
        <v>1390</v>
      </c>
      <c r="G114" s="498" t="s">
        <v>181</v>
      </c>
      <c r="H114" s="496" t="s">
        <v>1391</v>
      </c>
      <c r="I114" s="499" t="s">
        <v>1392</v>
      </c>
      <c r="J114" s="499" t="s">
        <v>1393</v>
      </c>
      <c r="K114" s="500" t="s">
        <v>1394</v>
      </c>
      <c r="L114" s="499" t="s">
        <v>1395</v>
      </c>
      <c r="M114" s="499" t="s">
        <v>1396</v>
      </c>
      <c r="P114" s="496" t="s">
        <v>1387</v>
      </c>
      <c r="Q114" s="496" t="s">
        <v>1388</v>
      </c>
      <c r="R114" s="496" t="s">
        <v>1389</v>
      </c>
      <c r="S114" s="496" t="s">
        <v>1390</v>
      </c>
      <c r="T114" s="501" t="s">
        <v>181</v>
      </c>
      <c r="U114" s="496" t="s">
        <v>1391</v>
      </c>
      <c r="V114" s="496" t="s">
        <v>1392</v>
      </c>
      <c r="W114" s="499" t="s">
        <v>1393</v>
      </c>
      <c r="X114" s="499" t="s">
        <v>1394</v>
      </c>
      <c r="Y114" s="499" t="s">
        <v>1395</v>
      </c>
      <c r="Z114" s="500" t="s">
        <v>1396</v>
      </c>
      <c r="AC114" s="496" t="s">
        <v>1387</v>
      </c>
      <c r="AD114" s="496" t="s">
        <v>1388</v>
      </c>
      <c r="AE114" s="496" t="s">
        <v>1389</v>
      </c>
      <c r="AF114" s="496" t="s">
        <v>1390</v>
      </c>
      <c r="AG114" s="501" t="s">
        <v>1397</v>
      </c>
      <c r="AH114" s="496" t="s">
        <v>1391</v>
      </c>
      <c r="AI114" s="496" t="s">
        <v>1392</v>
      </c>
      <c r="AJ114" s="499" t="s">
        <v>1393</v>
      </c>
      <c r="AK114" s="499" t="s">
        <v>1394</v>
      </c>
      <c r="AL114" s="499" t="s">
        <v>1395</v>
      </c>
      <c r="AM114" s="499" t="s">
        <v>1396</v>
      </c>
      <c r="AP114" s="499" t="s">
        <v>1387</v>
      </c>
      <c r="AQ114" s="499" t="s">
        <v>1388</v>
      </c>
      <c r="AR114" s="499" t="s">
        <v>1389</v>
      </c>
      <c r="AS114" s="496" t="s">
        <v>1390</v>
      </c>
      <c r="AT114" s="501" t="s">
        <v>181</v>
      </c>
      <c r="AU114" s="499" t="s">
        <v>1391</v>
      </c>
      <c r="AV114" s="499" t="s">
        <v>1392</v>
      </c>
      <c r="AW114" s="499" t="s">
        <v>1398</v>
      </c>
      <c r="AX114" s="499" t="s">
        <v>1394</v>
      </c>
      <c r="AY114" s="499" t="s">
        <v>1395</v>
      </c>
      <c r="AZ114" s="500" t="s">
        <v>1396</v>
      </c>
    </row>
    <row r="115" spans="1:52" x14ac:dyDescent="0.25">
      <c r="B115" s="502" t="s">
        <v>1399</v>
      </c>
      <c r="C115" s="102">
        <f t="shared" ref="C115:M120" si="13">B16</f>
        <v>1608.7325180603857</v>
      </c>
      <c r="D115" s="102">
        <f t="shared" si="13"/>
        <v>8564.5520767655053</v>
      </c>
      <c r="E115" s="102">
        <f t="shared" si="13"/>
        <v>18.637151267992017</v>
      </c>
      <c r="F115" s="102">
        <f t="shared" si="13"/>
        <v>1.9105311074796041</v>
      </c>
      <c r="G115" s="102">
        <f t="shared" si="13"/>
        <v>1.9105311074796041</v>
      </c>
      <c r="H115" s="102">
        <f>G16</f>
        <v>64.071678307649535</v>
      </c>
      <c r="I115" s="102">
        <f t="shared" ref="I115:M115" si="14">H16</f>
        <v>0</v>
      </c>
      <c r="J115" s="102">
        <f t="shared" si="14"/>
        <v>0</v>
      </c>
      <c r="K115" s="102">
        <f t="shared" si="14"/>
        <v>1608.7325180603857</v>
      </c>
      <c r="L115" s="102">
        <f t="shared" si="14"/>
        <v>3369.1850605342115</v>
      </c>
      <c r="M115" s="102">
        <f t="shared" si="14"/>
        <v>1166.3422675943843</v>
      </c>
      <c r="P115" s="102">
        <f t="shared" ref="P115:Z120" si="15">M16</f>
        <v>277.87658273358056</v>
      </c>
      <c r="Q115" s="102">
        <f t="shared" si="15"/>
        <v>592.51974908869624</v>
      </c>
      <c r="R115" s="102">
        <f t="shared" si="15"/>
        <v>292.65705172395246</v>
      </c>
      <c r="S115" s="102">
        <f t="shared" si="15"/>
        <v>240.65781340317642</v>
      </c>
      <c r="T115" s="102">
        <f t="shared" si="15"/>
        <v>278.23806564415264</v>
      </c>
      <c r="U115" s="102">
        <f t="shared" si="15"/>
        <v>369.1504086597451</v>
      </c>
      <c r="V115" s="102">
        <f t="shared" si="15"/>
        <v>0</v>
      </c>
      <c r="W115" s="102">
        <f t="shared" si="15"/>
        <v>633.59292936240354</v>
      </c>
      <c r="X115" s="102">
        <f t="shared" si="15"/>
        <v>0</v>
      </c>
      <c r="Y115" s="102">
        <f t="shared" si="15"/>
        <v>1086.0343247336384</v>
      </c>
      <c r="Z115" s="102">
        <f t="shared" si="15"/>
        <v>277.87658273358056</v>
      </c>
      <c r="AC115" s="102"/>
      <c r="AD115" s="102"/>
      <c r="AE115" s="102"/>
      <c r="AF115" s="102"/>
      <c r="AG115" s="102"/>
      <c r="AH115" s="102"/>
      <c r="AI115" s="102"/>
      <c r="AJ115" s="102"/>
      <c r="AK115" s="102"/>
      <c r="AL115" s="102"/>
      <c r="AM115" s="102"/>
      <c r="AP115" s="102">
        <f t="shared" ref="AP115:AZ119" si="16">AI16</f>
        <v>69.184074573412104</v>
      </c>
      <c r="AQ115" s="102">
        <f t="shared" si="16"/>
        <v>0</v>
      </c>
      <c r="AR115" s="102">
        <f t="shared" si="16"/>
        <v>111.75706909610558</v>
      </c>
      <c r="AS115" s="102">
        <f t="shared" si="16"/>
        <v>77.038996589883155</v>
      </c>
      <c r="AT115" s="102">
        <f t="shared" si="16"/>
        <v>99.766702607926504</v>
      </c>
      <c r="AU115" s="102">
        <f t="shared" si="16"/>
        <v>112.363591643188</v>
      </c>
      <c r="AV115" s="102">
        <f t="shared" si="16"/>
        <v>0</v>
      </c>
      <c r="AW115" s="102">
        <f t="shared" si="16"/>
        <v>44.293769931318053</v>
      </c>
      <c r="AX115" s="102">
        <f t="shared" si="16"/>
        <v>0</v>
      </c>
      <c r="AY115" s="102">
        <f t="shared" si="16"/>
        <v>343.32157350844091</v>
      </c>
      <c r="AZ115" s="102">
        <f t="shared" si="16"/>
        <v>69.184074573412104</v>
      </c>
    </row>
    <row r="116" spans="1:52" x14ac:dyDescent="0.25">
      <c r="B116" s="502" t="s">
        <v>1400</v>
      </c>
      <c r="C116" s="102">
        <f t="shared" si="13"/>
        <v>13.397291630516843</v>
      </c>
      <c r="D116" s="102">
        <f t="shared" si="13"/>
        <v>10.263467488904604</v>
      </c>
      <c r="E116" s="102">
        <f t="shared" si="13"/>
        <v>27.576254796998601</v>
      </c>
      <c r="F116" s="102">
        <f t="shared" si="13"/>
        <v>0</v>
      </c>
      <c r="G116" s="102">
        <f t="shared" si="13"/>
        <v>0</v>
      </c>
      <c r="H116" s="102">
        <f t="shared" si="13"/>
        <v>22.468899459599125</v>
      </c>
      <c r="I116" s="102">
        <f t="shared" si="13"/>
        <v>0</v>
      </c>
      <c r="J116" s="102">
        <f t="shared" si="13"/>
        <v>0</v>
      </c>
      <c r="K116" s="102">
        <f t="shared" si="13"/>
        <v>13.397291630516843</v>
      </c>
      <c r="L116" s="102">
        <f t="shared" si="13"/>
        <v>5.3981944349756006</v>
      </c>
      <c r="M116" s="102">
        <f t="shared" si="13"/>
        <v>10.231072522757758</v>
      </c>
      <c r="P116" s="102">
        <f t="shared" si="15"/>
        <v>3.4375248140878734</v>
      </c>
      <c r="Q116" s="102">
        <f t="shared" si="15"/>
        <v>0</v>
      </c>
      <c r="R116" s="102">
        <f t="shared" si="15"/>
        <v>6.5522852420166489</v>
      </c>
      <c r="S116" s="102">
        <f t="shared" si="15"/>
        <v>16.603823381116541</v>
      </c>
      <c r="T116" s="102">
        <f t="shared" si="15"/>
        <v>19.196616284879955</v>
      </c>
      <c r="U116" s="102">
        <f t="shared" si="15"/>
        <v>7.8433745895301135</v>
      </c>
      <c r="V116" s="102">
        <f t="shared" si="15"/>
        <v>0</v>
      </c>
      <c r="W116" s="102">
        <f t="shared" si="15"/>
        <v>2.0559051355346805</v>
      </c>
      <c r="X116" s="102">
        <f t="shared" si="15"/>
        <v>0</v>
      </c>
      <c r="Y116" s="102">
        <f t="shared" si="15"/>
        <v>0</v>
      </c>
      <c r="Z116" s="102">
        <f t="shared" si="15"/>
        <v>3.4375248140878734</v>
      </c>
      <c r="AC116" s="102"/>
      <c r="AD116" s="102"/>
      <c r="AE116" s="102"/>
      <c r="AF116" s="102"/>
      <c r="AG116" s="102"/>
      <c r="AH116" s="102"/>
      <c r="AI116" s="102"/>
      <c r="AJ116" s="102"/>
      <c r="AK116" s="102"/>
      <c r="AL116" s="102"/>
      <c r="AM116" s="102"/>
      <c r="AP116" s="102">
        <f t="shared" si="16"/>
        <v>3.8375512925073201</v>
      </c>
      <c r="AQ116" s="102">
        <f t="shared" si="16"/>
        <v>4.9207353133146743</v>
      </c>
      <c r="AR116" s="102">
        <f t="shared" si="16"/>
        <v>8.9741838005702963</v>
      </c>
      <c r="AS116" s="102">
        <f t="shared" si="16"/>
        <v>14.036019152752651</v>
      </c>
      <c r="AT116" s="102">
        <f t="shared" si="16"/>
        <v>11.922299719634101</v>
      </c>
      <c r="AU116" s="102">
        <f t="shared" si="16"/>
        <v>1.8244528333097201</v>
      </c>
      <c r="AV116" s="102">
        <f t="shared" si="16"/>
        <v>0</v>
      </c>
      <c r="AW116" s="102">
        <f t="shared" si="16"/>
        <v>2.3181712309154419</v>
      </c>
      <c r="AX116" s="102">
        <f t="shared" si="16"/>
        <v>0</v>
      </c>
      <c r="AY116" s="102">
        <f t="shared" si="16"/>
        <v>0</v>
      </c>
      <c r="AZ116" s="102">
        <f t="shared" si="16"/>
        <v>3.8375512925073201</v>
      </c>
    </row>
    <row r="117" spans="1:52" x14ac:dyDescent="0.25">
      <c r="B117" s="502" t="s">
        <v>127</v>
      </c>
      <c r="C117" s="102">
        <f t="shared" si="13"/>
        <v>4734.083045481927</v>
      </c>
      <c r="D117" s="102">
        <f t="shared" si="13"/>
        <v>1178.3278404993425</v>
      </c>
      <c r="E117" s="102">
        <f t="shared" si="13"/>
        <v>12303.980948114444</v>
      </c>
      <c r="F117" s="102">
        <f t="shared" si="13"/>
        <v>7837.036815727055</v>
      </c>
      <c r="G117" s="102">
        <f t="shared" si="13"/>
        <v>7837.036815727055</v>
      </c>
      <c r="H117" s="102">
        <f t="shared" si="13"/>
        <v>18574.340490512051</v>
      </c>
      <c r="I117" s="102">
        <f t="shared" si="13"/>
        <v>16352.003635400701</v>
      </c>
      <c r="J117" s="102">
        <f t="shared" si="13"/>
        <v>27490.053297520029</v>
      </c>
      <c r="K117" s="102">
        <f t="shared" si="13"/>
        <v>4734.083045481927</v>
      </c>
      <c r="L117" s="102">
        <f t="shared" si="13"/>
        <v>420.2895522758987</v>
      </c>
      <c r="M117" s="102">
        <f t="shared" si="13"/>
        <v>565.82939840149254</v>
      </c>
      <c r="P117" s="102">
        <f t="shared" si="15"/>
        <v>1003.172507027298</v>
      </c>
      <c r="Q117" s="102">
        <f t="shared" si="15"/>
        <v>672.3461485934854</v>
      </c>
      <c r="R117" s="102">
        <f t="shared" si="15"/>
        <v>1120.8013532605798</v>
      </c>
      <c r="S117" s="102">
        <f t="shared" si="15"/>
        <v>1275.1651234694955</v>
      </c>
      <c r="T117" s="102">
        <f t="shared" si="15"/>
        <v>1217.7388002744153</v>
      </c>
      <c r="U117" s="102">
        <f t="shared" si="15"/>
        <v>247.75387707687324</v>
      </c>
      <c r="V117" s="102">
        <f t="shared" si="15"/>
        <v>1466.1068806518329</v>
      </c>
      <c r="W117" s="102">
        <f t="shared" si="15"/>
        <v>144.98021435580452</v>
      </c>
      <c r="X117" s="102">
        <f t="shared" si="15"/>
        <v>2126.3603381920834</v>
      </c>
      <c r="Y117" s="102">
        <f t="shared" si="15"/>
        <v>54.694593888241741</v>
      </c>
      <c r="Z117" s="102">
        <f t="shared" si="15"/>
        <v>1003.172507027298</v>
      </c>
      <c r="AC117" s="102"/>
      <c r="AD117" s="102"/>
      <c r="AE117" s="102"/>
      <c r="AF117" s="102"/>
      <c r="AG117" s="102"/>
      <c r="AH117" s="102"/>
      <c r="AI117" s="102"/>
      <c r="AJ117" s="102"/>
      <c r="AK117" s="102"/>
      <c r="AL117" s="102"/>
      <c r="AM117" s="102"/>
      <c r="AP117" s="102">
        <f t="shared" si="16"/>
        <v>743.89370806944203</v>
      </c>
      <c r="AQ117" s="102">
        <f t="shared" si="16"/>
        <v>985.28453214474916</v>
      </c>
      <c r="AR117" s="102">
        <f t="shared" si="16"/>
        <v>485.94780790971635</v>
      </c>
      <c r="AS117" s="102">
        <f t="shared" si="16"/>
        <v>882.80044253707501</v>
      </c>
      <c r="AT117" s="102">
        <f t="shared" si="16"/>
        <v>401.54304373486599</v>
      </c>
      <c r="AU117" s="102">
        <f t="shared" si="16"/>
        <v>407.65696775367797</v>
      </c>
      <c r="AV117" s="102">
        <f t="shared" si="16"/>
        <v>1441.14405947459</v>
      </c>
      <c r="AW117" s="102">
        <f t="shared" si="16"/>
        <v>243.51722033756107</v>
      </c>
      <c r="AX117" s="102">
        <f t="shared" si="16"/>
        <v>746.80285782781584</v>
      </c>
      <c r="AY117" s="102">
        <f t="shared" si="16"/>
        <v>137.02961168527119</v>
      </c>
      <c r="AZ117" s="102">
        <f t="shared" si="16"/>
        <v>743.89370806944203</v>
      </c>
    </row>
    <row r="118" spans="1:52" x14ac:dyDescent="0.25">
      <c r="B118" s="502" t="s">
        <v>82</v>
      </c>
      <c r="C118" s="102">
        <f t="shared" si="13"/>
        <v>12255.005461063607</v>
      </c>
      <c r="D118" s="102">
        <f t="shared" si="13"/>
        <v>5554.679623870813</v>
      </c>
      <c r="E118" s="102">
        <f t="shared" si="13"/>
        <v>5950.2857422827856</v>
      </c>
      <c r="F118" s="102">
        <f t="shared" si="13"/>
        <v>0</v>
      </c>
      <c r="G118" s="102">
        <f t="shared" si="13"/>
        <v>0</v>
      </c>
      <c r="H118" s="102">
        <f t="shared" si="13"/>
        <v>0</v>
      </c>
      <c r="I118" s="102">
        <f t="shared" si="13"/>
        <v>0</v>
      </c>
      <c r="J118" s="102">
        <f t="shared" si="13"/>
        <v>0</v>
      </c>
      <c r="K118" s="102">
        <f t="shared" si="13"/>
        <v>12255.005461063607</v>
      </c>
      <c r="L118" s="102">
        <f t="shared" si="13"/>
        <v>12715.750707767818</v>
      </c>
      <c r="M118" s="102">
        <f t="shared" si="13"/>
        <v>16942.656097686846</v>
      </c>
      <c r="P118" s="102">
        <f t="shared" si="15"/>
        <v>0</v>
      </c>
      <c r="Q118" s="102">
        <f t="shared" si="15"/>
        <v>0</v>
      </c>
      <c r="R118" s="102">
        <f t="shared" si="15"/>
        <v>0</v>
      </c>
      <c r="S118" s="102">
        <f t="shared" si="15"/>
        <v>0</v>
      </c>
      <c r="T118" s="102">
        <f t="shared" si="15"/>
        <v>0</v>
      </c>
      <c r="U118" s="102">
        <f t="shared" si="15"/>
        <v>0</v>
      </c>
      <c r="V118" s="102">
        <f t="shared" si="15"/>
        <v>0</v>
      </c>
      <c r="W118" s="102">
        <f t="shared" si="15"/>
        <v>0</v>
      </c>
      <c r="X118" s="102">
        <f t="shared" si="15"/>
        <v>0</v>
      </c>
      <c r="Y118" s="102">
        <f t="shared" si="15"/>
        <v>0</v>
      </c>
      <c r="Z118" s="102">
        <f t="shared" si="15"/>
        <v>0</v>
      </c>
      <c r="AC118" s="102"/>
      <c r="AD118" s="102"/>
      <c r="AE118" s="102"/>
      <c r="AF118" s="102"/>
      <c r="AG118" s="102"/>
      <c r="AH118" s="102"/>
      <c r="AI118" s="102"/>
      <c r="AJ118" s="102"/>
      <c r="AK118" s="102"/>
      <c r="AL118" s="102"/>
      <c r="AM118" s="102"/>
      <c r="AP118" s="102">
        <f t="shared" si="16"/>
        <v>0</v>
      </c>
      <c r="AQ118" s="102">
        <f t="shared" si="16"/>
        <v>0</v>
      </c>
      <c r="AR118" s="102">
        <f t="shared" si="16"/>
        <v>0</v>
      </c>
      <c r="AS118" s="102">
        <f t="shared" si="16"/>
        <v>0</v>
      </c>
      <c r="AT118" s="102">
        <f t="shared" si="16"/>
        <v>0</v>
      </c>
      <c r="AU118" s="102">
        <f t="shared" si="16"/>
        <v>0</v>
      </c>
      <c r="AV118" s="102">
        <f t="shared" si="16"/>
        <v>0</v>
      </c>
      <c r="AW118" s="102">
        <f t="shared" si="16"/>
        <v>0</v>
      </c>
      <c r="AX118" s="102">
        <f t="shared" si="16"/>
        <v>0</v>
      </c>
      <c r="AY118" s="102">
        <f t="shared" si="16"/>
        <v>0</v>
      </c>
      <c r="AZ118" s="102">
        <f t="shared" si="16"/>
        <v>0</v>
      </c>
    </row>
    <row r="119" spans="1:52" x14ac:dyDescent="0.25">
      <c r="B119" s="502" t="s">
        <v>125</v>
      </c>
      <c r="C119" s="102">
        <f t="shared" si="13"/>
        <v>1044.8145378228473</v>
      </c>
      <c r="D119" s="102">
        <f t="shared" si="13"/>
        <v>763.13653778852984</v>
      </c>
      <c r="E119" s="102">
        <f t="shared" si="13"/>
        <v>586.05949029683723</v>
      </c>
      <c r="F119" s="102">
        <f t="shared" si="13"/>
        <v>4275.8398996036622</v>
      </c>
      <c r="G119" s="102">
        <f t="shared" si="13"/>
        <v>4275.8398996036622</v>
      </c>
      <c r="H119" s="102">
        <f t="shared" si="13"/>
        <v>1048.9280990348987</v>
      </c>
      <c r="I119" s="102">
        <f t="shared" si="13"/>
        <v>3378.1012810833654</v>
      </c>
      <c r="J119" s="102">
        <f t="shared" si="13"/>
        <v>921.27548703994012</v>
      </c>
      <c r="K119" s="102">
        <f t="shared" si="13"/>
        <v>1044.8145378228473</v>
      </c>
      <c r="L119" s="102">
        <f t="shared" si="13"/>
        <v>141.78256716867446</v>
      </c>
      <c r="M119" s="102">
        <f t="shared" si="13"/>
        <v>1130.1810206608427</v>
      </c>
      <c r="P119" s="102">
        <f t="shared" si="15"/>
        <v>231.49632914261275</v>
      </c>
      <c r="Q119" s="102">
        <f t="shared" si="15"/>
        <v>317.21581209961124</v>
      </c>
      <c r="R119" s="102">
        <f t="shared" si="15"/>
        <v>140.49406596438246</v>
      </c>
      <c r="S119" s="102">
        <f t="shared" si="15"/>
        <v>595.32658300926346</v>
      </c>
      <c r="T119" s="102">
        <f t="shared" si="15"/>
        <v>118.0939110487048</v>
      </c>
      <c r="U119" s="102">
        <f t="shared" si="15"/>
        <v>126.69612809156921</v>
      </c>
      <c r="V119" s="102">
        <f t="shared" si="15"/>
        <v>46.450434195809294</v>
      </c>
      <c r="W119" s="102">
        <f t="shared" si="15"/>
        <v>284.73911199002748</v>
      </c>
      <c r="X119" s="102">
        <f t="shared" si="15"/>
        <v>331.77184786377251</v>
      </c>
      <c r="Y119" s="102">
        <f t="shared" si="15"/>
        <v>380.41490290802614</v>
      </c>
      <c r="Z119" s="102">
        <f t="shared" si="15"/>
        <v>231.49632914261275</v>
      </c>
      <c r="AC119" s="102">
        <f t="shared" ref="AC119:AM119" si="17">X20</f>
        <v>51437.17310440127</v>
      </c>
      <c r="AD119" s="102">
        <f t="shared" si="17"/>
        <v>55834.993664547117</v>
      </c>
      <c r="AE119" s="102">
        <f t="shared" si="17"/>
        <v>52204.572179233008</v>
      </c>
      <c r="AF119" s="102">
        <f t="shared" si="17"/>
        <v>53846.229900886479</v>
      </c>
      <c r="AG119" s="102">
        <f t="shared" si="17"/>
        <v>53238.513411042397</v>
      </c>
      <c r="AH119" s="102">
        <f t="shared" si="17"/>
        <v>53506.218997198965</v>
      </c>
      <c r="AI119" s="102">
        <f t="shared" si="17"/>
        <v>54453.655598304598</v>
      </c>
      <c r="AJ119" s="102">
        <f t="shared" si="17"/>
        <v>57551.541136759035</v>
      </c>
      <c r="AK119" s="102">
        <f t="shared" si="17"/>
        <v>52296.453314533137</v>
      </c>
      <c r="AL119" s="102">
        <f t="shared" si="17"/>
        <v>53639.861787991329</v>
      </c>
      <c r="AM119" s="102">
        <f t="shared" si="17"/>
        <v>49201.100192595899</v>
      </c>
      <c r="AP119" s="102">
        <f t="shared" si="16"/>
        <v>392.94391564343101</v>
      </c>
      <c r="AQ119" s="102">
        <f t="shared" si="16"/>
        <v>400.47556938112666</v>
      </c>
      <c r="AR119" s="102">
        <f t="shared" si="16"/>
        <v>300.555428522309</v>
      </c>
      <c r="AS119" s="102">
        <f t="shared" si="16"/>
        <v>574.83923345036214</v>
      </c>
      <c r="AT119" s="102">
        <f t="shared" si="16"/>
        <v>154.09633481509201</v>
      </c>
      <c r="AU119" s="102">
        <f t="shared" si="16"/>
        <v>387.37819929510403</v>
      </c>
      <c r="AV119" s="102">
        <f t="shared" si="16"/>
        <v>277.47808921289197</v>
      </c>
      <c r="AW119" s="102">
        <f t="shared" si="16"/>
        <v>391.78313854072809</v>
      </c>
      <c r="AX119" s="102">
        <f t="shared" si="16"/>
        <v>203.61549563572919</v>
      </c>
      <c r="AY119" s="102">
        <f t="shared" si="16"/>
        <v>710.36379817818352</v>
      </c>
      <c r="AZ119" s="102">
        <f t="shared" si="16"/>
        <v>392.94391564343101</v>
      </c>
    </row>
    <row r="120" spans="1:52" x14ac:dyDescent="0.25">
      <c r="B120" s="502" t="s">
        <v>1401</v>
      </c>
      <c r="C120" s="102">
        <f t="shared" si="13"/>
        <v>321.47281106180424</v>
      </c>
      <c r="D120" s="102">
        <f t="shared" si="13"/>
        <v>0</v>
      </c>
      <c r="E120" s="102">
        <f t="shared" si="13"/>
        <v>1228.3914681246663</v>
      </c>
      <c r="F120" s="102">
        <f t="shared" si="13"/>
        <v>1918.858514207571</v>
      </c>
      <c r="G120" s="102">
        <f t="shared" si="13"/>
        <v>1918.858514207571</v>
      </c>
      <c r="H120" s="102">
        <f t="shared" si="13"/>
        <v>64.830771861637899</v>
      </c>
      <c r="I120" s="102">
        <f t="shared" si="13"/>
        <v>0</v>
      </c>
      <c r="J120" s="102">
        <f t="shared" si="13"/>
        <v>4.5057690897484539</v>
      </c>
      <c r="K120" s="102">
        <f t="shared" si="13"/>
        <v>321.47281106180424</v>
      </c>
      <c r="L120" s="102">
        <f t="shared" si="13"/>
        <v>2386.4070292923116</v>
      </c>
      <c r="M120" s="102">
        <f t="shared" si="13"/>
        <v>12.634082778501655</v>
      </c>
      <c r="P120" s="102">
        <f t="shared" si="15"/>
        <v>55.425611367415982</v>
      </c>
      <c r="Q120" s="102">
        <f t="shared" si="15"/>
        <v>0</v>
      </c>
      <c r="R120" s="102">
        <f t="shared" si="15"/>
        <v>0.46844499573729137</v>
      </c>
      <c r="S120" s="102">
        <f t="shared" si="15"/>
        <v>5.012860349222886</v>
      </c>
      <c r="T120" s="102">
        <f t="shared" si="15"/>
        <v>5.7956504598310046</v>
      </c>
      <c r="U120" s="102">
        <f t="shared" si="15"/>
        <v>645.12228033640315</v>
      </c>
      <c r="V120" s="102">
        <f t="shared" si="15"/>
        <v>0</v>
      </c>
      <c r="W120" s="102">
        <f t="shared" si="15"/>
        <v>0</v>
      </c>
      <c r="X120" s="102">
        <f t="shared" si="15"/>
        <v>0</v>
      </c>
      <c r="Y120" s="102">
        <f t="shared" si="15"/>
        <v>0</v>
      </c>
      <c r="Z120" s="102">
        <f t="shared" si="15"/>
        <v>55.425611367415982</v>
      </c>
      <c r="AB120" s="102"/>
      <c r="AC120" s="102"/>
      <c r="AD120" s="102"/>
      <c r="AE120" s="102"/>
      <c r="AF120" s="102"/>
      <c r="AG120" s="102"/>
      <c r="AH120" s="102"/>
      <c r="AI120" s="102"/>
      <c r="AJ120" s="102"/>
      <c r="AK120" s="102"/>
      <c r="AL120" s="102"/>
      <c r="AP120" s="102">
        <f>AI21</f>
        <v>32.142607196956931</v>
      </c>
    </row>
    <row r="121" spans="1:52" x14ac:dyDescent="0.25">
      <c r="O121" s="502"/>
    </row>
    <row r="122" spans="1:52" x14ac:dyDescent="0.25">
      <c r="A122" s="502" t="s">
        <v>1413</v>
      </c>
      <c r="B122" s="502" t="s">
        <v>1399</v>
      </c>
      <c r="C122" s="102">
        <f t="shared" ref="C122:M123" si="18">C115*$B$106</f>
        <v>1512.2085669767625</v>
      </c>
      <c r="D122" s="102">
        <f t="shared" si="18"/>
        <v>8050.6789521595747</v>
      </c>
      <c r="E122" s="102">
        <f t="shared" si="18"/>
        <v>17.518922191912495</v>
      </c>
      <c r="F122" s="102">
        <f t="shared" si="18"/>
        <v>1.7958992410308277</v>
      </c>
      <c r="G122" s="102">
        <f t="shared" si="18"/>
        <v>1.7958992410308277</v>
      </c>
      <c r="H122" s="102">
        <f t="shared" si="18"/>
        <v>60.227377609190562</v>
      </c>
      <c r="I122" s="102">
        <f t="shared" si="18"/>
        <v>0</v>
      </c>
      <c r="J122" s="102">
        <f t="shared" si="18"/>
        <v>0</v>
      </c>
      <c r="K122" s="102">
        <f t="shared" si="18"/>
        <v>1512.2085669767625</v>
      </c>
      <c r="L122" s="102">
        <f t="shared" si="18"/>
        <v>3167.0339569021585</v>
      </c>
      <c r="M122" s="102">
        <f t="shared" si="18"/>
        <v>1096.3617315387212</v>
      </c>
      <c r="O122" s="502" t="s">
        <v>1399</v>
      </c>
      <c r="P122" s="102">
        <f t="shared" ref="P122:Z126" si="19">P115*$B$106</f>
        <v>261.20398776956569</v>
      </c>
      <c r="Q122" s="102">
        <f t="shared" si="19"/>
        <v>556.96856414337446</v>
      </c>
      <c r="R122" s="102">
        <f t="shared" si="19"/>
        <v>275.09762862051531</v>
      </c>
      <c r="S122" s="102">
        <f t="shared" si="19"/>
        <v>226.21834459898582</v>
      </c>
      <c r="T122" s="102">
        <f t="shared" si="19"/>
        <v>261.54378170550348</v>
      </c>
      <c r="U122" s="102">
        <f t="shared" si="19"/>
        <v>347.00138414016038</v>
      </c>
      <c r="V122" s="102">
        <f t="shared" si="19"/>
        <v>0</v>
      </c>
      <c r="W122" s="102">
        <f t="shared" si="19"/>
        <v>595.57735360065931</v>
      </c>
      <c r="X122" s="102">
        <f t="shared" si="19"/>
        <v>0</v>
      </c>
      <c r="Y122" s="102">
        <f t="shared" si="19"/>
        <v>1020.87226524962</v>
      </c>
      <c r="Z122" s="102">
        <f t="shared" si="19"/>
        <v>261.20398776956569</v>
      </c>
      <c r="AO122" s="502" t="s">
        <v>1399</v>
      </c>
      <c r="AP122" s="102">
        <f t="shared" ref="AP122:AZ123" si="20">AP115*$B$106</f>
        <v>65.033030099007377</v>
      </c>
      <c r="AQ122" s="102">
        <f t="shared" si="20"/>
        <v>0</v>
      </c>
      <c r="AR122" s="102">
        <f t="shared" si="20"/>
        <v>105.05164495033924</v>
      </c>
      <c r="AS122" s="102">
        <f t="shared" si="20"/>
        <v>72.416656794490166</v>
      </c>
      <c r="AT122" s="102">
        <f t="shared" si="20"/>
        <v>93.780700451450912</v>
      </c>
      <c r="AU122" s="102">
        <f t="shared" si="20"/>
        <v>105.62177614459672</v>
      </c>
      <c r="AV122" s="102">
        <f t="shared" si="20"/>
        <v>0</v>
      </c>
      <c r="AW122" s="102">
        <f t="shared" si="20"/>
        <v>41.636143735438971</v>
      </c>
      <c r="AX122" s="102">
        <f t="shared" si="20"/>
        <v>0</v>
      </c>
      <c r="AY122" s="102">
        <f t="shared" si="20"/>
        <v>322.72227909793446</v>
      </c>
      <c r="AZ122" s="102">
        <f t="shared" si="20"/>
        <v>65.033030099007377</v>
      </c>
    </row>
    <row r="123" spans="1:52" x14ac:dyDescent="0.25">
      <c r="A123" s="502"/>
      <c r="B123" s="502" t="s">
        <v>1400</v>
      </c>
      <c r="C123" s="102">
        <f t="shared" si="18"/>
        <v>12.593454132685832</v>
      </c>
      <c r="D123" s="102">
        <f t="shared" si="18"/>
        <v>9.6476594395703277</v>
      </c>
      <c r="E123" s="102">
        <f t="shared" si="18"/>
        <v>25.921679509178684</v>
      </c>
      <c r="F123" s="102">
        <f t="shared" si="18"/>
        <v>0</v>
      </c>
      <c r="G123" s="102">
        <f t="shared" si="18"/>
        <v>0</v>
      </c>
      <c r="H123" s="102">
        <f t="shared" si="18"/>
        <v>21.120765492023178</v>
      </c>
      <c r="I123" s="102">
        <f t="shared" si="18"/>
        <v>0</v>
      </c>
      <c r="J123" s="102">
        <f t="shared" si="18"/>
        <v>0</v>
      </c>
      <c r="K123" s="102">
        <f t="shared" si="18"/>
        <v>12.593454132685832</v>
      </c>
      <c r="L123" s="102">
        <f t="shared" si="18"/>
        <v>5.0743027688770646</v>
      </c>
      <c r="M123" s="102">
        <f t="shared" si="18"/>
        <v>9.6172081713922921</v>
      </c>
      <c r="O123" s="502" t="s">
        <v>1400</v>
      </c>
      <c r="P123" s="102">
        <f t="shared" si="19"/>
        <v>3.2312733252426007</v>
      </c>
      <c r="Q123" s="102">
        <f t="shared" si="19"/>
        <v>0</v>
      </c>
      <c r="R123" s="102">
        <f t="shared" si="19"/>
        <v>6.1591481274956497</v>
      </c>
      <c r="S123" s="102">
        <f t="shared" si="19"/>
        <v>15.607593978249549</v>
      </c>
      <c r="T123" s="102">
        <f t="shared" si="19"/>
        <v>18.044819307787158</v>
      </c>
      <c r="U123" s="102">
        <f t="shared" si="19"/>
        <v>7.3727721141583062</v>
      </c>
      <c r="V123" s="102">
        <f t="shared" si="19"/>
        <v>0</v>
      </c>
      <c r="W123" s="102">
        <f t="shared" si="19"/>
        <v>1.9325508274025995</v>
      </c>
      <c r="X123" s="102">
        <f t="shared" si="19"/>
        <v>0</v>
      </c>
      <c r="Y123" s="102">
        <f t="shared" si="19"/>
        <v>0</v>
      </c>
      <c r="Z123" s="102">
        <f t="shared" si="19"/>
        <v>3.2312733252426007</v>
      </c>
      <c r="AO123" s="502" t="s">
        <v>1400</v>
      </c>
      <c r="AP123" s="102">
        <f t="shared" si="20"/>
        <v>3.6072982149568809</v>
      </c>
      <c r="AQ123" s="102">
        <f t="shared" si="20"/>
        <v>4.6254911945157939</v>
      </c>
      <c r="AR123" s="102">
        <f t="shared" si="20"/>
        <v>8.4357327725360776</v>
      </c>
      <c r="AS123" s="102">
        <f t="shared" si="20"/>
        <v>13.193858003587492</v>
      </c>
      <c r="AT123" s="102">
        <f t="shared" si="20"/>
        <v>11.206961736456053</v>
      </c>
      <c r="AU123" s="102">
        <f t="shared" si="20"/>
        <v>1.7149856633111369</v>
      </c>
      <c r="AV123" s="102">
        <f t="shared" si="20"/>
        <v>0</v>
      </c>
      <c r="AW123" s="102">
        <f t="shared" si="20"/>
        <v>2.1790809570605152</v>
      </c>
      <c r="AX123" s="102">
        <f t="shared" si="20"/>
        <v>0</v>
      </c>
      <c r="AY123" s="102">
        <f t="shared" si="20"/>
        <v>0</v>
      </c>
      <c r="AZ123" s="102">
        <f t="shared" si="20"/>
        <v>3.6072982149568809</v>
      </c>
    </row>
    <row r="124" spans="1:52" x14ac:dyDescent="0.25">
      <c r="B124" s="502" t="s">
        <v>127</v>
      </c>
      <c r="C124" s="102">
        <f t="shared" ref="C124:M124" si="21">C117*$B$108</f>
        <v>4355.3564018433726</v>
      </c>
      <c r="D124" s="102">
        <f t="shared" si="21"/>
        <v>1084.0616132593952</v>
      </c>
      <c r="E124" s="102">
        <f t="shared" si="21"/>
        <v>11319.662472265289</v>
      </c>
      <c r="F124" s="102">
        <f t="shared" si="21"/>
        <v>7210.0738704688911</v>
      </c>
      <c r="G124" s="102">
        <f t="shared" si="21"/>
        <v>7210.0738704688911</v>
      </c>
      <c r="H124" s="102">
        <f t="shared" si="21"/>
        <v>17088.393251271089</v>
      </c>
      <c r="I124" s="102">
        <f t="shared" si="21"/>
        <v>15043.843344568646</v>
      </c>
      <c r="J124" s="102">
        <f t="shared" si="21"/>
        <v>25290.849033718427</v>
      </c>
      <c r="K124" s="102">
        <f t="shared" si="21"/>
        <v>4355.3564018433726</v>
      </c>
      <c r="L124" s="102">
        <f t="shared" si="21"/>
        <v>386.66638809382681</v>
      </c>
      <c r="M124" s="102">
        <f t="shared" si="21"/>
        <v>520.5630465293732</v>
      </c>
      <c r="O124" s="502" t="s">
        <v>127</v>
      </c>
      <c r="P124" s="102">
        <f t="shared" si="19"/>
        <v>942.98215660566007</v>
      </c>
      <c r="Q124" s="102">
        <f t="shared" si="19"/>
        <v>632.00537967787625</v>
      </c>
      <c r="R124" s="102">
        <f t="shared" si="19"/>
        <v>1053.5532720649451</v>
      </c>
      <c r="S124" s="102">
        <f t="shared" si="19"/>
        <v>1198.6552160613257</v>
      </c>
      <c r="T124" s="102">
        <f t="shared" si="19"/>
        <v>1144.6744722579504</v>
      </c>
      <c r="U124" s="102">
        <f t="shared" si="19"/>
        <v>232.88864445226082</v>
      </c>
      <c r="V124" s="102">
        <f t="shared" si="19"/>
        <v>1378.1404678127228</v>
      </c>
      <c r="W124" s="102">
        <f t="shared" si="19"/>
        <v>136.28140149445625</v>
      </c>
      <c r="X124" s="102">
        <f t="shared" si="19"/>
        <v>1998.7787179005584</v>
      </c>
      <c r="Y124" s="102">
        <f t="shared" si="19"/>
        <v>51.412918254947236</v>
      </c>
      <c r="Z124" s="102">
        <f t="shared" si="19"/>
        <v>942.98215660566007</v>
      </c>
      <c r="AO124" s="502" t="s">
        <v>127</v>
      </c>
      <c r="AP124" s="102">
        <f t="shared" ref="AP124:AZ124" si="22">AP117*$B$108</f>
        <v>684.3822114238867</v>
      </c>
      <c r="AQ124" s="102">
        <f t="shared" si="22"/>
        <v>906.46176957316925</v>
      </c>
      <c r="AR124" s="102">
        <f t="shared" si="22"/>
        <v>447.07198327693908</v>
      </c>
      <c r="AS124" s="102">
        <f t="shared" si="22"/>
        <v>812.17640713410901</v>
      </c>
      <c r="AT124" s="102">
        <f t="shared" si="22"/>
        <v>369.41960023607675</v>
      </c>
      <c r="AU124" s="102">
        <f t="shared" si="22"/>
        <v>375.04441033338378</v>
      </c>
      <c r="AV124" s="102">
        <f t="shared" si="22"/>
        <v>1325.8525347166228</v>
      </c>
      <c r="AW124" s="102">
        <f t="shared" si="22"/>
        <v>224.03584271055618</v>
      </c>
      <c r="AX124" s="102">
        <f t="shared" si="22"/>
        <v>687.05862920159063</v>
      </c>
      <c r="AY124" s="102">
        <f t="shared" si="22"/>
        <v>126.06724275044951</v>
      </c>
      <c r="AZ124" s="102">
        <f t="shared" si="22"/>
        <v>684.3822114238867</v>
      </c>
    </row>
    <row r="125" spans="1:52" x14ac:dyDescent="0.25">
      <c r="B125" s="502" t="s">
        <v>82</v>
      </c>
      <c r="C125" s="102">
        <f t="shared" ref="C125:M125" si="23">C118*$B$107</f>
        <v>10906.95486034661</v>
      </c>
      <c r="D125" s="102">
        <f t="shared" si="23"/>
        <v>4943.664865245024</v>
      </c>
      <c r="E125" s="102">
        <f t="shared" si="23"/>
        <v>5295.7543106316789</v>
      </c>
      <c r="F125" s="102">
        <f t="shared" si="23"/>
        <v>0</v>
      </c>
      <c r="G125" s="102">
        <f t="shared" si="23"/>
        <v>0</v>
      </c>
      <c r="H125" s="102">
        <f t="shared" si="23"/>
        <v>0</v>
      </c>
      <c r="I125" s="102">
        <f t="shared" si="23"/>
        <v>0</v>
      </c>
      <c r="J125" s="102">
        <f t="shared" si="23"/>
        <v>0</v>
      </c>
      <c r="K125" s="102">
        <f t="shared" si="23"/>
        <v>10906.95486034661</v>
      </c>
      <c r="L125" s="102">
        <f t="shared" si="23"/>
        <v>11317.018129913358</v>
      </c>
      <c r="M125" s="102">
        <f t="shared" si="23"/>
        <v>15078.963926941293</v>
      </c>
      <c r="O125" s="502" t="s">
        <v>82</v>
      </c>
      <c r="P125" s="102">
        <f t="shared" si="19"/>
        <v>0</v>
      </c>
      <c r="Q125" s="102">
        <f t="shared" si="19"/>
        <v>0</v>
      </c>
      <c r="R125" s="102">
        <f t="shared" si="19"/>
        <v>0</v>
      </c>
      <c r="S125" s="102">
        <f t="shared" si="19"/>
        <v>0</v>
      </c>
      <c r="T125" s="102">
        <f t="shared" si="19"/>
        <v>0</v>
      </c>
      <c r="U125" s="102">
        <f t="shared" si="19"/>
        <v>0</v>
      </c>
      <c r="V125" s="102">
        <f t="shared" si="19"/>
        <v>0</v>
      </c>
      <c r="W125" s="102">
        <f t="shared" si="19"/>
        <v>0</v>
      </c>
      <c r="X125" s="102">
        <f t="shared" si="19"/>
        <v>0</v>
      </c>
      <c r="Y125" s="102">
        <f t="shared" si="19"/>
        <v>0</v>
      </c>
      <c r="Z125" s="102">
        <f t="shared" si="19"/>
        <v>0</v>
      </c>
      <c r="AO125" s="502" t="s">
        <v>82</v>
      </c>
      <c r="AP125" s="102">
        <f t="shared" ref="AP125:AZ125" si="24">AP118*$B$107</f>
        <v>0</v>
      </c>
      <c r="AQ125" s="102">
        <f t="shared" si="24"/>
        <v>0</v>
      </c>
      <c r="AR125" s="102">
        <f t="shared" si="24"/>
        <v>0</v>
      </c>
      <c r="AS125" s="102">
        <f t="shared" si="24"/>
        <v>0</v>
      </c>
      <c r="AT125" s="102">
        <f t="shared" si="24"/>
        <v>0</v>
      </c>
      <c r="AU125" s="102">
        <f t="shared" si="24"/>
        <v>0</v>
      </c>
      <c r="AV125" s="102">
        <f t="shared" si="24"/>
        <v>0</v>
      </c>
      <c r="AW125" s="102">
        <f t="shared" si="24"/>
        <v>0</v>
      </c>
      <c r="AX125" s="102">
        <f t="shared" si="24"/>
        <v>0</v>
      </c>
      <c r="AY125" s="102">
        <f t="shared" si="24"/>
        <v>0</v>
      </c>
      <c r="AZ125" s="102">
        <f t="shared" si="24"/>
        <v>0</v>
      </c>
    </row>
    <row r="126" spans="1:52" x14ac:dyDescent="0.25">
      <c r="B126" s="502" t="s">
        <v>1401</v>
      </c>
      <c r="C126" s="102">
        <f t="shared" ref="C126:M126" si="25">C120*$B$111</f>
        <v>289.32552995562384</v>
      </c>
      <c r="D126" s="102">
        <f t="shared" si="25"/>
        <v>0</v>
      </c>
      <c r="E126" s="102">
        <f t="shared" si="25"/>
        <v>1105.5523213121996</v>
      </c>
      <c r="F126" s="102">
        <f t="shared" si="25"/>
        <v>1726.972662786814</v>
      </c>
      <c r="G126" s="102">
        <f t="shared" si="25"/>
        <v>1726.972662786814</v>
      </c>
      <c r="H126" s="102">
        <f t="shared" si="25"/>
        <v>58.347694675474109</v>
      </c>
      <c r="I126" s="102">
        <f t="shared" si="25"/>
        <v>0</v>
      </c>
      <c r="J126" s="102">
        <f t="shared" si="25"/>
        <v>4.0551921807736084</v>
      </c>
      <c r="K126" s="102">
        <f t="shared" si="25"/>
        <v>289.32552995562384</v>
      </c>
      <c r="L126" s="102">
        <f t="shared" si="25"/>
        <v>2147.7663263630807</v>
      </c>
      <c r="M126" s="102">
        <f t="shared" si="25"/>
        <v>11.370674500651489</v>
      </c>
      <c r="O126" s="502" t="s">
        <v>1401</v>
      </c>
      <c r="P126" s="102">
        <f t="shared" si="19"/>
        <v>217.60654939405597</v>
      </c>
      <c r="Q126" s="102">
        <f t="shared" si="19"/>
        <v>298.18286337363458</v>
      </c>
      <c r="R126" s="102">
        <f t="shared" si="19"/>
        <v>132.06442200651949</v>
      </c>
      <c r="S126" s="102">
        <f t="shared" si="19"/>
        <v>559.60698802870763</v>
      </c>
      <c r="T126" s="102">
        <f t="shared" si="19"/>
        <v>111.00827638578251</v>
      </c>
      <c r="U126" s="102">
        <f t="shared" si="19"/>
        <v>119.09436040607505</v>
      </c>
      <c r="V126" s="102">
        <f t="shared" si="19"/>
        <v>43.663408144060732</v>
      </c>
      <c r="W126" s="102">
        <f t="shared" si="19"/>
        <v>267.65476527062583</v>
      </c>
      <c r="X126" s="102">
        <f t="shared" si="19"/>
        <v>311.86553699194616</v>
      </c>
      <c r="Y126" s="102">
        <f t="shared" si="19"/>
        <v>357.59000873354455</v>
      </c>
      <c r="Z126" s="102">
        <f t="shared" si="19"/>
        <v>217.60654939405597</v>
      </c>
      <c r="AO126" s="502" t="s">
        <v>1401</v>
      </c>
      <c r="AP126" s="102">
        <f t="shared" ref="AP126:AZ126" si="26">AP120*$B$111</f>
        <v>28.92834647726124</v>
      </c>
      <c r="AQ126" s="102">
        <f t="shared" si="26"/>
        <v>0</v>
      </c>
      <c r="AR126" s="102">
        <f t="shared" si="26"/>
        <v>0</v>
      </c>
      <c r="AS126" s="102">
        <f t="shared" si="26"/>
        <v>0</v>
      </c>
      <c r="AT126" s="102">
        <f t="shared" si="26"/>
        <v>0</v>
      </c>
      <c r="AU126" s="102">
        <f t="shared" si="26"/>
        <v>0</v>
      </c>
      <c r="AV126" s="102">
        <f t="shared" si="26"/>
        <v>0</v>
      </c>
      <c r="AW126" s="102">
        <f t="shared" si="26"/>
        <v>0</v>
      </c>
      <c r="AX126" s="102">
        <f t="shared" si="26"/>
        <v>0</v>
      </c>
      <c r="AY126" s="102">
        <f t="shared" si="26"/>
        <v>0</v>
      </c>
      <c r="AZ126" s="102">
        <f t="shared" si="26"/>
        <v>0</v>
      </c>
    </row>
    <row r="127" spans="1:52" x14ac:dyDescent="0.25">
      <c r="B127" s="502" t="s">
        <v>466</v>
      </c>
      <c r="C127" s="102">
        <f>SUM(C122:C126)</f>
        <v>17076.438813255052</v>
      </c>
      <c r="D127" s="102">
        <f t="shared" ref="D127:M127" si="27">SUM(D122:D126)</f>
        <v>14088.053090103564</v>
      </c>
      <c r="E127" s="102">
        <f t="shared" si="27"/>
        <v>17764.409705910257</v>
      </c>
      <c r="F127" s="102">
        <f t="shared" si="27"/>
        <v>8938.8424324967345</v>
      </c>
      <c r="G127" s="102">
        <f t="shared" si="27"/>
        <v>8938.8424324967345</v>
      </c>
      <c r="H127" s="102">
        <f t="shared" si="27"/>
        <v>17228.089089047779</v>
      </c>
      <c r="I127" s="102">
        <f t="shared" si="27"/>
        <v>15043.843344568646</v>
      </c>
      <c r="J127" s="102">
        <f t="shared" si="27"/>
        <v>25294.904225899201</v>
      </c>
      <c r="K127" s="102">
        <f t="shared" si="27"/>
        <v>17076.438813255052</v>
      </c>
      <c r="L127" s="102">
        <f t="shared" si="27"/>
        <v>17023.559104041302</v>
      </c>
      <c r="M127" s="102">
        <f t="shared" si="27"/>
        <v>16716.876587681432</v>
      </c>
      <c r="O127" s="502" t="s">
        <v>466</v>
      </c>
      <c r="P127" s="102">
        <f>SUM(P122:P126)</f>
        <v>1425.0239670945243</v>
      </c>
      <c r="Q127" s="102">
        <f t="shared" ref="Q127:Z127" si="28">SUM(Q122:Q126)</f>
        <v>1487.1568071948852</v>
      </c>
      <c r="R127" s="102">
        <f t="shared" si="28"/>
        <v>1466.8744708194754</v>
      </c>
      <c r="S127" s="102">
        <f t="shared" si="28"/>
        <v>2000.0881426672686</v>
      </c>
      <c r="T127" s="102">
        <f t="shared" si="28"/>
        <v>1535.2713496570234</v>
      </c>
      <c r="U127" s="102">
        <f t="shared" si="28"/>
        <v>706.35716111265447</v>
      </c>
      <c r="V127" s="102">
        <f t="shared" si="28"/>
        <v>1421.8038759567835</v>
      </c>
      <c r="W127" s="102">
        <f t="shared" si="28"/>
        <v>1001.446071193144</v>
      </c>
      <c r="X127" s="102">
        <f t="shared" si="28"/>
        <v>2310.6442548925047</v>
      </c>
      <c r="Y127" s="102">
        <f t="shared" si="28"/>
        <v>1429.8751922381116</v>
      </c>
      <c r="Z127" s="102">
        <f t="shared" si="28"/>
        <v>1425.0239670945243</v>
      </c>
      <c r="AO127" s="502" t="s">
        <v>466</v>
      </c>
      <c r="AP127" s="102">
        <f>SUM(AP122:AP126)</f>
        <v>781.95088621511218</v>
      </c>
      <c r="AQ127" s="102">
        <f t="shared" ref="AQ127:AZ127" si="29">SUM(AQ122:AQ126)</f>
        <v>911.08726076768505</v>
      </c>
      <c r="AR127" s="102">
        <f t="shared" si="29"/>
        <v>560.55936099981443</v>
      </c>
      <c r="AS127" s="102">
        <f t="shared" si="29"/>
        <v>897.78692193218671</v>
      </c>
      <c r="AT127" s="102">
        <f t="shared" si="29"/>
        <v>474.4072624239837</v>
      </c>
      <c r="AU127" s="102">
        <f t="shared" si="29"/>
        <v>482.38117214129164</v>
      </c>
      <c r="AV127" s="102">
        <f t="shared" si="29"/>
        <v>1325.8525347166228</v>
      </c>
      <c r="AW127" s="102">
        <f t="shared" si="29"/>
        <v>267.85106740305565</v>
      </c>
      <c r="AX127" s="102">
        <f t="shared" si="29"/>
        <v>687.05862920159063</v>
      </c>
      <c r="AY127" s="102">
        <f t="shared" si="29"/>
        <v>448.78952184838397</v>
      </c>
      <c r="AZ127" s="102">
        <f t="shared" si="29"/>
        <v>753.02253973785093</v>
      </c>
    </row>
    <row r="128" spans="1:52" x14ac:dyDescent="0.25">
      <c r="A128" t="s">
        <v>449</v>
      </c>
    </row>
    <row r="129" spans="1:52" x14ac:dyDescent="0.25">
      <c r="A129" t="s">
        <v>1421</v>
      </c>
      <c r="B129" s="502" t="s">
        <v>1413</v>
      </c>
      <c r="C129" s="102">
        <f>SUM(C122:C126)/1000</f>
        <v>17.076438813255052</v>
      </c>
      <c r="O129" s="502" t="s">
        <v>1413</v>
      </c>
      <c r="P129" s="102">
        <f>P127/1000</f>
        <v>1.4250239670945244</v>
      </c>
      <c r="AO129" s="502" t="s">
        <v>1413</v>
      </c>
      <c r="AP129" s="193">
        <f>SUM(AP122:AP126)/1000</f>
        <v>0.78195088621511222</v>
      </c>
      <c r="AQ129" s="102">
        <f t="shared" ref="AQ129:AZ129" si="30">SUM(AQ122:AQ126)/1000</f>
        <v>0.91108726076768509</v>
      </c>
      <c r="AR129" s="102">
        <f t="shared" si="30"/>
        <v>0.5605593609998144</v>
      </c>
      <c r="AS129" s="102">
        <f t="shared" si="30"/>
        <v>0.89778692193218668</v>
      </c>
      <c r="AT129" s="102">
        <f t="shared" si="30"/>
        <v>0.47440726242398368</v>
      </c>
      <c r="AU129" s="102">
        <f t="shared" si="30"/>
        <v>0.48238117214129167</v>
      </c>
      <c r="AV129" s="102">
        <f t="shared" si="30"/>
        <v>1.3258525347166228</v>
      </c>
      <c r="AW129" s="102">
        <f t="shared" si="30"/>
        <v>0.26785106740305564</v>
      </c>
      <c r="AX129" s="102">
        <f t="shared" si="30"/>
        <v>0.68705862920159066</v>
      </c>
      <c r="AY129" s="102">
        <f t="shared" si="30"/>
        <v>0.44878952184838394</v>
      </c>
      <c r="AZ129" s="102">
        <f t="shared" si="30"/>
        <v>0.75302253973785094</v>
      </c>
    </row>
    <row r="130" spans="1:52" x14ac:dyDescent="0.25">
      <c r="B130" s="502" t="s">
        <v>125</v>
      </c>
      <c r="C130" s="102">
        <f>C119/1000</f>
        <v>1.0448145378228473</v>
      </c>
      <c r="O130" s="502" t="s">
        <v>125</v>
      </c>
      <c r="P130" s="102">
        <f>P119/1000</f>
        <v>0.23149632914261276</v>
      </c>
      <c r="AD130" s="98"/>
      <c r="AE130" s="98"/>
      <c r="AF130" s="98"/>
      <c r="AG130" s="98"/>
      <c r="AH130" s="98"/>
      <c r="AI130" s="98"/>
      <c r="AJ130" s="98"/>
      <c r="AK130" s="98"/>
      <c r="AL130" s="98"/>
      <c r="AM130" s="98"/>
      <c r="AO130" s="502" t="s">
        <v>125</v>
      </c>
      <c r="AP130" s="193">
        <f>AP119/1000</f>
        <v>0.39294391564343101</v>
      </c>
      <c r="AQ130" s="102">
        <f t="shared" ref="AQ130:AZ130" si="31">AQ119/1000</f>
        <v>0.40047556938112666</v>
      </c>
      <c r="AR130" s="102">
        <f t="shared" si="31"/>
        <v>0.30055542852230899</v>
      </c>
      <c r="AS130" s="102">
        <f t="shared" si="31"/>
        <v>0.57483923345036214</v>
      </c>
      <c r="AT130" s="102">
        <f t="shared" si="31"/>
        <v>0.154096334815092</v>
      </c>
      <c r="AU130" s="102">
        <f t="shared" si="31"/>
        <v>0.38737819929510403</v>
      </c>
      <c r="AV130" s="102">
        <f t="shared" si="31"/>
        <v>0.27747808921289197</v>
      </c>
      <c r="AW130" s="102">
        <f t="shared" si="31"/>
        <v>0.3917831385407281</v>
      </c>
      <c r="AX130" s="102">
        <f t="shared" si="31"/>
        <v>0.2036154956357292</v>
      </c>
      <c r="AY130" s="102">
        <f t="shared" si="31"/>
        <v>0.71036379817818351</v>
      </c>
      <c r="AZ130" s="102">
        <f t="shared" si="31"/>
        <v>0.39294391564343101</v>
      </c>
    </row>
    <row r="131" spans="1:52" x14ac:dyDescent="0.25">
      <c r="P131" s="102"/>
    </row>
    <row r="132" spans="1:52" x14ac:dyDescent="0.25">
      <c r="P132" s="102"/>
    </row>
    <row r="133" spans="1:52" x14ac:dyDescent="0.25">
      <c r="A133" t="s">
        <v>1422</v>
      </c>
      <c r="B133" s="502" t="s">
        <v>125</v>
      </c>
      <c r="C133" s="98">
        <f>C130+C129/B109</f>
        <v>18.293742632019871</v>
      </c>
      <c r="N133" t="s">
        <v>1423</v>
      </c>
      <c r="O133" s="502" t="s">
        <v>125</v>
      </c>
      <c r="P133" s="102">
        <f>P130+P129/B109</f>
        <v>1.6709144777229405</v>
      </c>
      <c r="AA133" t="s">
        <v>1424</v>
      </c>
      <c r="AB133" s="502" t="s">
        <v>125</v>
      </c>
      <c r="AC133" s="98">
        <f>AC119/1000</f>
        <v>51.437173104401268</v>
      </c>
      <c r="AN133" t="s">
        <v>1425</v>
      </c>
      <c r="AO133" s="502" t="s">
        <v>125</v>
      </c>
      <c r="AP133" s="193">
        <f>AP130+(AP129/B109)</f>
        <v>1.182793295658696</v>
      </c>
    </row>
    <row r="134" spans="1:52" x14ac:dyDescent="0.25">
      <c r="C134" s="98"/>
      <c r="P134" s="102"/>
      <c r="AP134" s="193"/>
    </row>
    <row r="135" spans="1:52" x14ac:dyDescent="0.25">
      <c r="A135" t="s">
        <v>1426</v>
      </c>
      <c r="B135" s="502" t="s">
        <v>140</v>
      </c>
      <c r="C135" s="98">
        <f>C129/B110</f>
        <v>18.973820903616723</v>
      </c>
      <c r="N135" t="s">
        <v>1427</v>
      </c>
      <c r="O135" s="502" t="s">
        <v>140</v>
      </c>
      <c r="P135" s="102">
        <f>P129/B110</f>
        <v>1.5833599634383604</v>
      </c>
      <c r="AA135" t="s">
        <v>1428</v>
      </c>
      <c r="AB135" s="502" t="s">
        <v>125</v>
      </c>
      <c r="AC135" s="193">
        <f>AC133+(0.2*3.6)</f>
        <v>52.157173104401267</v>
      </c>
      <c r="AN135" t="s">
        <v>1429</v>
      </c>
      <c r="AO135" s="502" t="s">
        <v>140</v>
      </c>
      <c r="AP135" s="193">
        <f>AP129/B110</f>
        <v>0.86883431801679134</v>
      </c>
    </row>
    <row r="136" spans="1:52" x14ac:dyDescent="0.25">
      <c r="B136" s="502" t="s">
        <v>125</v>
      </c>
      <c r="C136" s="102">
        <f>C130</f>
        <v>1.0448145378228473</v>
      </c>
      <c r="O136" s="502" t="s">
        <v>125</v>
      </c>
      <c r="P136" s="102">
        <f>P130</f>
        <v>0.23149632914261276</v>
      </c>
      <c r="AA136" t="s">
        <v>1430</v>
      </c>
      <c r="AO136" s="502" t="s">
        <v>125</v>
      </c>
      <c r="AP136" s="193">
        <f>AP130</f>
        <v>0.39294391564343101</v>
      </c>
    </row>
    <row r="137" spans="1:52" x14ac:dyDescent="0.25">
      <c r="P137" s="102"/>
      <c r="AP137" s="193"/>
    </row>
    <row r="138" spans="1:52" x14ac:dyDescent="0.25">
      <c r="A138" t="s">
        <v>1431</v>
      </c>
      <c r="B138" s="502" t="s">
        <v>766</v>
      </c>
      <c r="C138" s="98">
        <f>C129/B108</f>
        <v>18.561346536146797</v>
      </c>
      <c r="N138" t="s">
        <v>1432</v>
      </c>
      <c r="O138" s="502" t="s">
        <v>766</v>
      </c>
      <c r="P138" s="102">
        <f>P129/B108</f>
        <v>1.5489390946679613</v>
      </c>
      <c r="AN138" t="s">
        <v>1433</v>
      </c>
      <c r="AO138" s="502" t="s">
        <v>766</v>
      </c>
      <c r="AP138" s="193">
        <f>AP129/B108</f>
        <v>0.84994661545120886</v>
      </c>
    </row>
    <row r="139" spans="1:52" x14ac:dyDescent="0.25">
      <c r="B139" s="502" t="s">
        <v>125</v>
      </c>
      <c r="C139" s="98">
        <f>C130</f>
        <v>1.0448145378228473</v>
      </c>
      <c r="O139" s="502" t="s">
        <v>125</v>
      </c>
      <c r="P139" s="102">
        <f>P130</f>
        <v>0.23149632914261276</v>
      </c>
      <c r="AO139" s="502" t="s">
        <v>125</v>
      </c>
      <c r="AP139" s="193">
        <f>AP130</f>
        <v>0.39294391564343101</v>
      </c>
    </row>
    <row r="141" spans="1:52" x14ac:dyDescent="0.25">
      <c r="A141" t="s">
        <v>1434</v>
      </c>
      <c r="B141" s="502" t="s">
        <v>82</v>
      </c>
      <c r="C141" s="98">
        <f>C129/B107</f>
        <v>19.187009902533767</v>
      </c>
    </row>
    <row r="142" spans="1:52" x14ac:dyDescent="0.25">
      <c r="B142" s="502" t="s">
        <v>125</v>
      </c>
      <c r="C142" s="102">
        <f>C130</f>
        <v>1.0448145378228473</v>
      </c>
    </row>
    <row r="146" spans="1:7" s="494" customFormat="1" x14ac:dyDescent="0.25">
      <c r="A146" s="494" t="s">
        <v>1435</v>
      </c>
    </row>
    <row r="148" spans="1:7" x14ac:dyDescent="0.25">
      <c r="C148" s="5" t="s">
        <v>1383</v>
      </c>
      <c r="D148" s="5" t="s">
        <v>1420</v>
      </c>
      <c r="E148" s="5" t="s">
        <v>1385</v>
      </c>
      <c r="F148" s="5" t="s">
        <v>1386</v>
      </c>
      <c r="G148" s="5" t="s">
        <v>466</v>
      </c>
    </row>
    <row r="149" spans="1:7" x14ac:dyDescent="0.25">
      <c r="A149" t="s">
        <v>1422</v>
      </c>
      <c r="B149" s="502" t="s">
        <v>125</v>
      </c>
      <c r="C149" s="98">
        <f>C133</f>
        <v>18.293742632019871</v>
      </c>
      <c r="D149" s="102">
        <f>P133</f>
        <v>1.6709144777229405</v>
      </c>
      <c r="E149" s="98">
        <f>AC133</f>
        <v>51.437173104401268</v>
      </c>
      <c r="F149" s="193">
        <f>AP133</f>
        <v>1.182793295658696</v>
      </c>
      <c r="G149" s="98">
        <f>ROUND(SUM(C149:F149),0)</f>
        <v>73</v>
      </c>
    </row>
    <row r="150" spans="1:7" x14ac:dyDescent="0.25">
      <c r="A150" t="s">
        <v>1436</v>
      </c>
      <c r="B150" s="502" t="s">
        <v>140</v>
      </c>
      <c r="C150" s="98">
        <f>C135</f>
        <v>18.973820903616723</v>
      </c>
      <c r="D150" s="102">
        <f>P135</f>
        <v>1.5833599634383604</v>
      </c>
      <c r="E150" s="98"/>
      <c r="F150" s="193">
        <f>AP135</f>
        <v>0.86883431801679134</v>
      </c>
      <c r="G150" s="98">
        <f t="shared" ref="G150:G159" si="32">ROUND(SUM(C150:F150),0)</f>
        <v>21</v>
      </c>
    </row>
    <row r="151" spans="1:7" x14ac:dyDescent="0.25">
      <c r="B151" s="502" t="s">
        <v>125</v>
      </c>
      <c r="C151" s="102">
        <f>C136</f>
        <v>1.0448145378228473</v>
      </c>
      <c r="D151" s="102">
        <f>P136</f>
        <v>0.23149632914261276</v>
      </c>
      <c r="E151" s="98">
        <f>AC133</f>
        <v>51.437173104401268</v>
      </c>
      <c r="F151" s="193">
        <f>AP136</f>
        <v>0.39294391564343101</v>
      </c>
      <c r="G151" s="98">
        <f t="shared" si="32"/>
        <v>53</v>
      </c>
    </row>
    <row r="152" spans="1:7" x14ac:dyDescent="0.25">
      <c r="A152" t="s">
        <v>766</v>
      </c>
      <c r="B152" s="502" t="s">
        <v>766</v>
      </c>
      <c r="C152" s="98">
        <f>C138</f>
        <v>18.561346536146797</v>
      </c>
      <c r="D152" s="102">
        <f>P138</f>
        <v>1.5489390946679613</v>
      </c>
      <c r="F152" s="193">
        <f>AP138</f>
        <v>0.84994661545120886</v>
      </c>
      <c r="G152" s="98">
        <f t="shared" si="32"/>
        <v>21</v>
      </c>
    </row>
    <row r="153" spans="1:7" x14ac:dyDescent="0.25">
      <c r="B153" s="502" t="s">
        <v>125</v>
      </c>
      <c r="C153" s="98">
        <f>C139</f>
        <v>1.0448145378228473</v>
      </c>
      <c r="D153" s="102">
        <f>P139</f>
        <v>0.23149632914261276</v>
      </c>
      <c r="E153" s="98">
        <f>AC133</f>
        <v>51.437173104401268</v>
      </c>
      <c r="F153" s="193">
        <f>AP139</f>
        <v>0.39294391564343101</v>
      </c>
      <c r="G153" s="98">
        <f t="shared" si="32"/>
        <v>53</v>
      </c>
    </row>
    <row r="154" spans="1:7" x14ac:dyDescent="0.25">
      <c r="A154" t="s">
        <v>1437</v>
      </c>
      <c r="B154" s="502" t="s">
        <v>125</v>
      </c>
      <c r="C154" s="98">
        <f t="shared" ref="C154:D156" si="33">C149</f>
        <v>18.293742632019871</v>
      </c>
      <c r="D154" s="102">
        <f t="shared" si="33"/>
        <v>1.6709144777229405</v>
      </c>
      <c r="E154" s="193">
        <f>AC135</f>
        <v>52.157173104401267</v>
      </c>
      <c r="F154" s="193">
        <f>F149</f>
        <v>1.182793295658696</v>
      </c>
      <c r="G154" s="98">
        <f t="shared" si="32"/>
        <v>73</v>
      </c>
    </row>
    <row r="155" spans="1:7" x14ac:dyDescent="0.25">
      <c r="A155" t="s">
        <v>1438</v>
      </c>
      <c r="B155" s="502" t="s">
        <v>140</v>
      </c>
      <c r="C155" s="98">
        <f t="shared" si="33"/>
        <v>18.973820903616723</v>
      </c>
      <c r="D155" s="102">
        <f t="shared" si="33"/>
        <v>1.5833599634383604</v>
      </c>
      <c r="F155" s="193">
        <f>F150</f>
        <v>0.86883431801679134</v>
      </c>
      <c r="G155" s="98">
        <f t="shared" si="32"/>
        <v>21</v>
      </c>
    </row>
    <row r="156" spans="1:7" x14ac:dyDescent="0.25">
      <c r="B156" s="502" t="s">
        <v>125</v>
      </c>
      <c r="C156" s="98">
        <f t="shared" si="33"/>
        <v>1.0448145378228473</v>
      </c>
      <c r="D156" s="102">
        <f t="shared" si="33"/>
        <v>0.23149632914261276</v>
      </c>
      <c r="E156" s="193">
        <f>E154</f>
        <v>52.157173104401267</v>
      </c>
      <c r="F156" s="193">
        <f>F151</f>
        <v>0.39294391564343101</v>
      </c>
      <c r="G156" s="98">
        <f t="shared" si="32"/>
        <v>54</v>
      </c>
    </row>
    <row r="157" spans="1:7" x14ac:dyDescent="0.25">
      <c r="A157" t="s">
        <v>1439</v>
      </c>
      <c r="B157" s="502" t="s">
        <v>125</v>
      </c>
      <c r="C157" s="98">
        <f>C149</f>
        <v>18.293742632019871</v>
      </c>
      <c r="D157" s="117">
        <v>0</v>
      </c>
      <c r="E157" s="98">
        <f>E149</f>
        <v>51.437173104401268</v>
      </c>
      <c r="F157" s="193">
        <f>F149</f>
        <v>1.182793295658696</v>
      </c>
      <c r="G157" s="98">
        <f t="shared" si="32"/>
        <v>71</v>
      </c>
    </row>
    <row r="158" spans="1:7" x14ac:dyDescent="0.25">
      <c r="A158" t="s">
        <v>1440</v>
      </c>
      <c r="B158" s="502" t="s">
        <v>140</v>
      </c>
      <c r="C158" s="98">
        <f t="shared" ref="C158:C159" si="34">C150</f>
        <v>18.973820903616723</v>
      </c>
      <c r="D158" s="117">
        <v>0</v>
      </c>
      <c r="F158" s="193">
        <f t="shared" ref="F158:F159" si="35">F150</f>
        <v>0.86883431801679134</v>
      </c>
      <c r="G158" s="98">
        <f t="shared" si="32"/>
        <v>20</v>
      </c>
    </row>
    <row r="159" spans="1:7" x14ac:dyDescent="0.25">
      <c r="B159" s="502" t="s">
        <v>125</v>
      </c>
      <c r="C159" s="98">
        <f t="shared" si="34"/>
        <v>1.0448145378228473</v>
      </c>
      <c r="D159" s="117">
        <v>0</v>
      </c>
      <c r="E159" s="98">
        <f>E151</f>
        <v>51.437173104401268</v>
      </c>
      <c r="F159" s="193">
        <f t="shared" si="35"/>
        <v>0.39294391564343101</v>
      </c>
      <c r="G159" s="98">
        <f t="shared" si="32"/>
        <v>53</v>
      </c>
    </row>
    <row r="161" spans="1:35" x14ac:dyDescent="0.25">
      <c r="B161" s="502"/>
      <c r="C161" s="193"/>
    </row>
    <row r="162" spans="1:35" x14ac:dyDescent="0.25">
      <c r="B162" s="502"/>
      <c r="C162" s="193"/>
    </row>
    <row r="163" spans="1:35" s="495" customFormat="1" x14ac:dyDescent="0.25">
      <c r="A163" s="494" t="s">
        <v>1441</v>
      </c>
    </row>
    <row r="165" spans="1:35" x14ac:dyDescent="0.25">
      <c r="A165" s="5" t="s">
        <v>1442</v>
      </c>
      <c r="B165" t="s">
        <v>224</v>
      </c>
      <c r="C165" t="s">
        <v>245</v>
      </c>
    </row>
    <row r="166" spans="1:35" x14ac:dyDescent="0.25">
      <c r="A166" s="5"/>
    </row>
    <row r="167" spans="1:35" x14ac:dyDescent="0.25">
      <c r="A167" s="504" t="s">
        <v>1443</v>
      </c>
      <c r="B167" s="505" t="s">
        <v>1356</v>
      </c>
      <c r="C167" s="506">
        <v>2019</v>
      </c>
      <c r="F167" t="s">
        <v>1069</v>
      </c>
      <c r="G167" t="s">
        <v>454</v>
      </c>
    </row>
    <row r="168" spans="1:35" x14ac:dyDescent="0.25">
      <c r="A168" s="507" t="s">
        <v>1444</v>
      </c>
      <c r="B168" s="485" t="s">
        <v>203</v>
      </c>
      <c r="C168" s="508">
        <v>427</v>
      </c>
      <c r="D168" s="160">
        <f>C172+C182+C192+C188</f>
        <v>2360</v>
      </c>
    </row>
    <row r="169" spans="1:35" x14ac:dyDescent="0.25">
      <c r="A169" s="504" t="s">
        <v>1445</v>
      </c>
      <c r="B169" s="485" t="s">
        <v>170</v>
      </c>
      <c r="C169" s="508">
        <v>1570</v>
      </c>
      <c r="G169" t="s">
        <v>162</v>
      </c>
      <c r="H169" s="485" t="s">
        <v>164</v>
      </c>
      <c r="I169" t="s">
        <v>166</v>
      </c>
      <c r="J169" t="s">
        <v>168</v>
      </c>
      <c r="K169" t="s">
        <v>170</v>
      </c>
      <c r="L169" t="s">
        <v>173</v>
      </c>
      <c r="M169" t="s">
        <v>175</v>
      </c>
      <c r="N169" t="s">
        <v>177</v>
      </c>
      <c r="O169" t="s">
        <v>179</v>
      </c>
      <c r="P169" t="s">
        <v>181</v>
      </c>
      <c r="Q169" t="s">
        <v>183</v>
      </c>
      <c r="R169" t="s">
        <v>185</v>
      </c>
      <c r="S169" t="s">
        <v>188</v>
      </c>
      <c r="T169" t="s">
        <v>190</v>
      </c>
      <c r="U169" t="s">
        <v>192</v>
      </c>
      <c r="V169" t="s">
        <v>194</v>
      </c>
      <c r="W169" t="s">
        <v>196</v>
      </c>
      <c r="X169" t="s">
        <v>198</v>
      </c>
      <c r="Y169" t="s">
        <v>9</v>
      </c>
      <c r="Z169" t="s">
        <v>201</v>
      </c>
      <c r="AA169" t="s">
        <v>203</v>
      </c>
      <c r="AB169" t="s">
        <v>205</v>
      </c>
      <c r="AC169" t="s">
        <v>207</v>
      </c>
      <c r="AD169" t="s">
        <v>210</v>
      </c>
      <c r="AE169" t="s">
        <v>212</v>
      </c>
      <c r="AF169" t="s">
        <v>214</v>
      </c>
      <c r="AG169" t="s">
        <v>217</v>
      </c>
      <c r="AH169" t="s">
        <v>219</v>
      </c>
    </row>
    <row r="170" spans="1:35" x14ac:dyDescent="0.25">
      <c r="A170" s="504" t="s">
        <v>1446</v>
      </c>
      <c r="B170" s="485" t="s">
        <v>173</v>
      </c>
      <c r="C170" s="508">
        <v>50</v>
      </c>
      <c r="F170" t="s">
        <v>1447</v>
      </c>
      <c r="G170">
        <f>ROUND(SUMIFS($C$168:$C$208,$B$168:$B$208,G169)/1000,3)</f>
        <v>0</v>
      </c>
      <c r="H170">
        <f t="shared" ref="H170:AH170" si="36">ROUND(SUMIFS($C$168:$C$208,$B$168:$B$208,H169)/1000,3)</f>
        <v>0.3</v>
      </c>
      <c r="I170">
        <f t="shared" si="36"/>
        <v>0.112</v>
      </c>
      <c r="J170">
        <f t="shared" si="36"/>
        <v>1.282</v>
      </c>
      <c r="K170">
        <f t="shared" si="36"/>
        <v>1.921</v>
      </c>
      <c r="L170">
        <f t="shared" si="36"/>
        <v>0.41</v>
      </c>
      <c r="M170">
        <f t="shared" si="36"/>
        <v>0.76</v>
      </c>
      <c r="N170">
        <f t="shared" si="36"/>
        <v>0</v>
      </c>
      <c r="O170">
        <f t="shared" si="36"/>
        <v>0.65</v>
      </c>
      <c r="P170">
        <f t="shared" si="36"/>
        <v>2.8540000000000001</v>
      </c>
      <c r="Q170">
        <f t="shared" si="36"/>
        <v>0</v>
      </c>
      <c r="R170">
        <f t="shared" si="36"/>
        <v>35.043999999999997</v>
      </c>
      <c r="S170">
        <f t="shared" si="36"/>
        <v>0.115</v>
      </c>
      <c r="T170">
        <f t="shared" si="36"/>
        <v>2.2930000000000001</v>
      </c>
      <c r="U170">
        <f t="shared" si="36"/>
        <v>0.57999999999999996</v>
      </c>
      <c r="V170">
        <f t="shared" si="36"/>
        <v>0.85</v>
      </c>
      <c r="W170">
        <f t="shared" si="36"/>
        <v>0.82</v>
      </c>
      <c r="X170">
        <f t="shared" si="36"/>
        <v>0.24</v>
      </c>
      <c r="Y170">
        <f t="shared" si="36"/>
        <v>3.64</v>
      </c>
      <c r="Z170">
        <f t="shared" si="36"/>
        <v>0</v>
      </c>
      <c r="AA170">
        <f t="shared" si="36"/>
        <v>0.435</v>
      </c>
      <c r="AB170">
        <f t="shared" si="36"/>
        <v>0.08</v>
      </c>
      <c r="AC170">
        <f t="shared" si="36"/>
        <v>6.133</v>
      </c>
      <c r="AD170">
        <f t="shared" si="36"/>
        <v>0</v>
      </c>
      <c r="AE170">
        <f t="shared" si="36"/>
        <v>0</v>
      </c>
      <c r="AF170">
        <f t="shared" si="36"/>
        <v>3.637</v>
      </c>
      <c r="AG170">
        <f t="shared" si="36"/>
        <v>0</v>
      </c>
      <c r="AH170">
        <f t="shared" si="36"/>
        <v>1.0900000000000001</v>
      </c>
      <c r="AI170" s="102">
        <f>SUM(G170:AH170)</f>
        <v>63.246000000000009</v>
      </c>
    </row>
    <row r="171" spans="1:35" x14ac:dyDescent="0.25">
      <c r="A171" s="504" t="s">
        <v>1448</v>
      </c>
      <c r="B171" s="485" t="s">
        <v>207</v>
      </c>
      <c r="C171" s="508">
        <v>1365</v>
      </c>
      <c r="F171" t="s">
        <v>1449</v>
      </c>
      <c r="G171" s="193">
        <v>0</v>
      </c>
      <c r="H171" s="193">
        <v>9.2802878322711529E-2</v>
      </c>
      <c r="I171" s="193">
        <v>0.13983822112054617</v>
      </c>
      <c r="J171" s="193">
        <v>0.28618668919935741</v>
      </c>
      <c r="K171" s="193">
        <v>1.1533594229027837</v>
      </c>
      <c r="L171" s="193">
        <v>0.22376135318686208</v>
      </c>
      <c r="M171" s="193">
        <v>0.24123738359664817</v>
      </c>
      <c r="N171" s="193">
        <v>0</v>
      </c>
      <c r="O171" s="193">
        <v>0.82496367904037482</v>
      </c>
      <c r="P171" s="193">
        <v>3.0087685701544675</v>
      </c>
      <c r="Q171" s="193">
        <v>0</v>
      </c>
      <c r="R171" s="193">
        <v>34.663199999999954</v>
      </c>
      <c r="S171" s="193">
        <v>0.1171926463631166</v>
      </c>
      <c r="T171" s="193">
        <v>2.575544010060808</v>
      </c>
      <c r="U171" s="193">
        <v>0.9316215705832962</v>
      </c>
      <c r="V171" s="193">
        <v>1.4778115556862625</v>
      </c>
      <c r="W171" s="193">
        <v>3.4044577180628655</v>
      </c>
      <c r="X171" s="193">
        <v>0.14120002075061996</v>
      </c>
      <c r="Y171" s="193">
        <v>3.490858869660729</v>
      </c>
      <c r="Z171" s="193">
        <v>0</v>
      </c>
      <c r="AA171" s="193">
        <v>0.56364902932668337</v>
      </c>
      <c r="AB171" s="193">
        <v>9.0900290953095E-2</v>
      </c>
      <c r="AC171" s="193">
        <v>4.6225402502748025</v>
      </c>
      <c r="AD171" s="193">
        <v>0</v>
      </c>
      <c r="AE171" s="193">
        <v>0</v>
      </c>
      <c r="AF171" s="193">
        <v>3.8964612150136597</v>
      </c>
      <c r="AG171" s="193">
        <v>0</v>
      </c>
      <c r="AH171" s="193">
        <v>0.87400703517058709</v>
      </c>
      <c r="AI171" s="102">
        <f>SUM(G171:AH171)</f>
        <v>62.820362409430224</v>
      </c>
    </row>
    <row r="172" spans="1:35" x14ac:dyDescent="0.25">
      <c r="A172" s="504" t="s">
        <v>1450</v>
      </c>
      <c r="B172" s="485" t="s">
        <v>188</v>
      </c>
      <c r="C172" s="508">
        <v>55</v>
      </c>
      <c r="D172" s="101"/>
      <c r="G172" s="101">
        <f>IFERROR((G170-G171)/AVERAGE(G170,G171),0)</f>
        <v>0</v>
      </c>
      <c r="H172" s="101">
        <f t="shared" ref="H172:AI172" si="37">IFERROR((H170-H171)/AVERAGE(H170,H171),0)</f>
        <v>1.0549674307990349</v>
      </c>
      <c r="I172" s="101">
        <f t="shared" si="37"/>
        <v>-0.22108019185237957</v>
      </c>
      <c r="J172" s="101">
        <f t="shared" si="37"/>
        <v>1.2700188283182765</v>
      </c>
      <c r="K172" s="101">
        <f t="shared" si="37"/>
        <v>0.4993824543601455</v>
      </c>
      <c r="L172" s="101">
        <f t="shared" si="37"/>
        <v>0.58772484587972718</v>
      </c>
      <c r="M172" s="101">
        <f t="shared" si="37"/>
        <v>1.0362430027130052</v>
      </c>
      <c r="N172" s="101">
        <f t="shared" si="37"/>
        <v>0</v>
      </c>
      <c r="O172" s="101">
        <f t="shared" si="37"/>
        <v>-0.23724472883862172</v>
      </c>
      <c r="P172" s="101">
        <f t="shared" si="37"/>
        <v>-5.2797093490043634E-2</v>
      </c>
      <c r="Q172" s="101">
        <f t="shared" si="37"/>
        <v>0</v>
      </c>
      <c r="R172" s="101">
        <f t="shared" si="37"/>
        <v>1.092570064498484E-2</v>
      </c>
      <c r="S172" s="101">
        <f t="shared" si="37"/>
        <v>-1.8886441043336134E-2</v>
      </c>
      <c r="T172" s="101">
        <f t="shared" si="37"/>
        <v>-0.11606920240504466</v>
      </c>
      <c r="U172" s="101">
        <f t="shared" si="37"/>
        <v>-0.465224335807294</v>
      </c>
      <c r="V172" s="101">
        <f t="shared" si="37"/>
        <v>-0.53940066939926967</v>
      </c>
      <c r="W172" s="101">
        <f t="shared" si="37"/>
        <v>-1.223568983546591</v>
      </c>
      <c r="X172" s="101">
        <f t="shared" si="37"/>
        <v>0.51836292692132202</v>
      </c>
      <c r="Y172" s="101">
        <f t="shared" si="37"/>
        <v>4.1829780413636747E-2</v>
      </c>
      <c r="Z172" s="101">
        <f t="shared" si="37"/>
        <v>0</v>
      </c>
      <c r="AA172" s="101">
        <f t="shared" si="37"/>
        <v>-0.2576461310204689</v>
      </c>
      <c r="AB172" s="101">
        <f t="shared" si="37"/>
        <v>-0.1275631643726888</v>
      </c>
      <c r="AC172" s="101">
        <f t="shared" si="37"/>
        <v>0.28087101430104461</v>
      </c>
      <c r="AD172" s="101">
        <f t="shared" si="37"/>
        <v>0</v>
      </c>
      <c r="AE172" s="101">
        <f>IFERROR((AE170-AE171)/AVERAGE(AE170,AE171),0)</f>
        <v>0</v>
      </c>
      <c r="AF172" s="101">
        <f t="shared" si="37"/>
        <v>-6.8882339102396051E-2</v>
      </c>
      <c r="AG172" s="101">
        <f t="shared" si="37"/>
        <v>0</v>
      </c>
      <c r="AH172" s="101">
        <f t="shared" si="37"/>
        <v>0.21995131479827165</v>
      </c>
      <c r="AI172" s="94">
        <f t="shared" si="37"/>
        <v>6.7525957350530455E-3</v>
      </c>
    </row>
    <row r="173" spans="1:35" x14ac:dyDescent="0.25">
      <c r="A173" s="504" t="s">
        <v>180</v>
      </c>
      <c r="B173" s="485" t="s">
        <v>179</v>
      </c>
      <c r="C173" s="508">
        <v>650</v>
      </c>
      <c r="P173" s="193"/>
    </row>
    <row r="174" spans="1:35" x14ac:dyDescent="0.25">
      <c r="A174" s="504" t="s">
        <v>1451</v>
      </c>
      <c r="B174" s="485" t="s">
        <v>166</v>
      </c>
      <c r="C174" s="508">
        <v>70</v>
      </c>
    </row>
    <row r="175" spans="1:35" x14ac:dyDescent="0.25">
      <c r="A175" s="504" t="s">
        <v>182</v>
      </c>
      <c r="B175" s="485" t="s">
        <v>181</v>
      </c>
      <c r="C175" s="508">
        <v>2854</v>
      </c>
    </row>
    <row r="176" spans="1:35" x14ac:dyDescent="0.25">
      <c r="A176" s="504" t="s">
        <v>186</v>
      </c>
      <c r="B176" s="485" t="s">
        <v>185</v>
      </c>
      <c r="C176" s="508">
        <v>35044</v>
      </c>
    </row>
    <row r="177" spans="1:4" x14ac:dyDescent="0.25">
      <c r="A177" s="504" t="s">
        <v>1042</v>
      </c>
      <c r="B177" s="485" t="s">
        <v>164</v>
      </c>
      <c r="C177" s="508">
        <v>300</v>
      </c>
    </row>
    <row r="178" spans="1:4" x14ac:dyDescent="0.25">
      <c r="A178" s="504" t="s">
        <v>1452</v>
      </c>
      <c r="B178" s="485" t="s">
        <v>194</v>
      </c>
      <c r="C178" s="508">
        <v>430</v>
      </c>
    </row>
    <row r="179" spans="1:4" x14ac:dyDescent="0.25">
      <c r="A179" s="504" t="s">
        <v>1453</v>
      </c>
      <c r="B179" s="485" t="s">
        <v>196</v>
      </c>
      <c r="C179" s="508">
        <v>550</v>
      </c>
    </row>
    <row r="180" spans="1:4" x14ac:dyDescent="0.25">
      <c r="A180" s="504" t="s">
        <v>1454</v>
      </c>
      <c r="B180" s="485" t="s">
        <v>166</v>
      </c>
      <c r="C180" s="508">
        <v>42</v>
      </c>
    </row>
    <row r="181" spans="1:4" x14ac:dyDescent="0.25">
      <c r="A181" s="504" t="s">
        <v>1455</v>
      </c>
      <c r="B181" s="485" t="s">
        <v>194</v>
      </c>
      <c r="C181" s="508">
        <v>180</v>
      </c>
    </row>
    <row r="182" spans="1:4" x14ac:dyDescent="0.25">
      <c r="A182" s="504" t="s">
        <v>1456</v>
      </c>
      <c r="B182" s="485" t="s">
        <v>190</v>
      </c>
      <c r="C182" s="508">
        <v>845</v>
      </c>
      <c r="D182" s="101"/>
    </row>
    <row r="183" spans="1:4" x14ac:dyDescent="0.25">
      <c r="A183" s="504" t="s">
        <v>200</v>
      </c>
      <c r="B183" s="485" t="s">
        <v>9</v>
      </c>
      <c r="C183" s="508">
        <v>3640</v>
      </c>
    </row>
    <row r="184" spans="1:4" x14ac:dyDescent="0.25">
      <c r="A184" s="504" t="s">
        <v>1457</v>
      </c>
      <c r="B184" s="485" t="s">
        <v>198</v>
      </c>
      <c r="C184" s="508">
        <v>240</v>
      </c>
    </row>
    <row r="185" spans="1:4" x14ac:dyDescent="0.25">
      <c r="A185" s="504" t="s">
        <v>1458</v>
      </c>
      <c r="B185" s="485" t="s">
        <v>207</v>
      </c>
      <c r="C185" s="508">
        <v>360</v>
      </c>
    </row>
    <row r="186" spans="1:4" x14ac:dyDescent="0.25">
      <c r="A186" s="504" t="s">
        <v>1459</v>
      </c>
      <c r="B186" s="485" t="s">
        <v>173</v>
      </c>
      <c r="C186" s="508">
        <v>260</v>
      </c>
    </row>
    <row r="187" spans="1:4" x14ac:dyDescent="0.25">
      <c r="A187" s="504" t="s">
        <v>1460</v>
      </c>
      <c r="B187" s="485" t="s">
        <v>175</v>
      </c>
      <c r="C187" s="508">
        <v>760</v>
      </c>
    </row>
    <row r="188" spans="1:4" x14ac:dyDescent="0.25">
      <c r="A188" s="504" t="s">
        <v>1461</v>
      </c>
      <c r="B188" s="485" t="s">
        <v>188</v>
      </c>
      <c r="C188" s="508">
        <v>60</v>
      </c>
    </row>
    <row r="189" spans="1:4" x14ac:dyDescent="0.25">
      <c r="A189" s="504" t="s">
        <v>1462</v>
      </c>
      <c r="B189" s="485" t="s">
        <v>168</v>
      </c>
      <c r="C189" s="508">
        <v>565</v>
      </c>
    </row>
    <row r="190" spans="1:4" x14ac:dyDescent="0.25">
      <c r="A190" s="504" t="s">
        <v>1463</v>
      </c>
      <c r="B190" s="485" t="s">
        <v>196</v>
      </c>
      <c r="C190" s="508">
        <v>150</v>
      </c>
    </row>
    <row r="191" spans="1:4" x14ac:dyDescent="0.25">
      <c r="A191" s="504" t="s">
        <v>1464</v>
      </c>
      <c r="B191" s="485" t="s">
        <v>170</v>
      </c>
      <c r="C191" s="508">
        <v>351</v>
      </c>
    </row>
    <row r="192" spans="1:4" x14ac:dyDescent="0.25">
      <c r="A192" s="504" t="s">
        <v>1465</v>
      </c>
      <c r="B192" s="485" t="s">
        <v>190</v>
      </c>
      <c r="C192" s="508">
        <v>1400</v>
      </c>
      <c r="D192" s="101"/>
    </row>
    <row r="193" spans="1:3" x14ac:dyDescent="0.25">
      <c r="A193" s="504" t="s">
        <v>1466</v>
      </c>
      <c r="B193" s="485" t="s">
        <v>207</v>
      </c>
      <c r="C193" s="508">
        <v>391</v>
      </c>
    </row>
    <row r="194" spans="1:3" x14ac:dyDescent="0.25">
      <c r="A194" s="504" t="s">
        <v>1467</v>
      </c>
      <c r="B194" s="485" t="s">
        <v>207</v>
      </c>
      <c r="C194" s="508">
        <v>627</v>
      </c>
    </row>
    <row r="195" spans="1:3" x14ac:dyDescent="0.25">
      <c r="A195" s="504" t="s">
        <v>1468</v>
      </c>
      <c r="B195" s="485" t="s">
        <v>192</v>
      </c>
      <c r="C195" s="508">
        <v>280</v>
      </c>
    </row>
    <row r="196" spans="1:3" x14ac:dyDescent="0.25">
      <c r="A196" s="504" t="s">
        <v>1469</v>
      </c>
      <c r="B196" s="485" t="s">
        <v>214</v>
      </c>
      <c r="C196" s="508">
        <v>3637</v>
      </c>
    </row>
    <row r="197" spans="1:3" x14ac:dyDescent="0.25">
      <c r="A197" s="504" t="s">
        <v>1470</v>
      </c>
      <c r="B197" s="485" t="s">
        <v>207</v>
      </c>
      <c r="C197" s="508">
        <v>790</v>
      </c>
    </row>
    <row r="198" spans="1:3" x14ac:dyDescent="0.25">
      <c r="A198" s="504" t="s">
        <v>1471</v>
      </c>
      <c r="B198" s="485" t="s">
        <v>192</v>
      </c>
      <c r="C198" s="508">
        <v>220</v>
      </c>
    </row>
    <row r="199" spans="1:3" x14ac:dyDescent="0.25">
      <c r="A199" s="504" t="s">
        <v>1472</v>
      </c>
      <c r="B199" s="485" t="s">
        <v>192</v>
      </c>
      <c r="C199" s="508">
        <v>80</v>
      </c>
    </row>
    <row r="200" spans="1:3" x14ac:dyDescent="0.25">
      <c r="A200" s="504" t="s">
        <v>1473</v>
      </c>
      <c r="B200" s="485" t="s">
        <v>168</v>
      </c>
      <c r="C200" s="508">
        <v>717</v>
      </c>
    </row>
    <row r="201" spans="1:3" x14ac:dyDescent="0.25">
      <c r="A201" s="504" t="s">
        <v>1474</v>
      </c>
      <c r="B201" s="485" t="s">
        <v>194</v>
      </c>
      <c r="C201" s="508">
        <v>240</v>
      </c>
    </row>
    <row r="202" spans="1:3" x14ac:dyDescent="0.25">
      <c r="A202" s="504" t="s">
        <v>1475</v>
      </c>
      <c r="B202" s="485" t="s">
        <v>196</v>
      </c>
      <c r="C202" s="508">
        <v>120</v>
      </c>
    </row>
    <row r="203" spans="1:3" x14ac:dyDescent="0.25">
      <c r="A203" s="504" t="s">
        <v>1476</v>
      </c>
      <c r="B203" s="485" t="s">
        <v>173</v>
      </c>
      <c r="C203" s="508">
        <v>100</v>
      </c>
    </row>
    <row r="204" spans="1:3" x14ac:dyDescent="0.25">
      <c r="A204" s="504" t="s">
        <v>1477</v>
      </c>
      <c r="B204" s="485" t="s">
        <v>205</v>
      </c>
      <c r="C204" s="508">
        <v>80</v>
      </c>
    </row>
    <row r="205" spans="1:3" x14ac:dyDescent="0.25">
      <c r="A205" s="509" t="s">
        <v>1478</v>
      </c>
      <c r="B205" s="485" t="s">
        <v>207</v>
      </c>
      <c r="C205" s="508">
        <v>2600</v>
      </c>
    </row>
    <row r="206" spans="1:3" x14ac:dyDescent="0.25">
      <c r="A206" s="504" t="s">
        <v>1479</v>
      </c>
      <c r="B206" s="485" t="s">
        <v>190</v>
      </c>
      <c r="C206" s="508">
        <v>48</v>
      </c>
    </row>
    <row r="207" spans="1:3" x14ac:dyDescent="0.25">
      <c r="A207" s="504" t="s">
        <v>220</v>
      </c>
      <c r="B207" s="485" t="s">
        <v>219</v>
      </c>
      <c r="C207" s="508">
        <v>1090</v>
      </c>
    </row>
    <row r="208" spans="1:3" x14ac:dyDescent="0.25">
      <c r="A208" s="504" t="s">
        <v>1480</v>
      </c>
      <c r="B208" s="485" t="s">
        <v>203</v>
      </c>
      <c r="C208" s="510">
        <v>8</v>
      </c>
    </row>
    <row r="210" spans="1:3" s="495" customFormat="1" x14ac:dyDescent="0.25">
      <c r="A210" s="494" t="s">
        <v>1481</v>
      </c>
    </row>
    <row r="212" spans="1:3" x14ac:dyDescent="0.25">
      <c r="A212" t="s">
        <v>1482</v>
      </c>
      <c r="B212" t="s">
        <v>1483</v>
      </c>
      <c r="C212" t="s">
        <v>1484</v>
      </c>
    </row>
    <row r="213" spans="1:3" x14ac:dyDescent="0.25">
      <c r="A213" s="573">
        <v>45645</v>
      </c>
      <c r="B213" t="s">
        <v>1485</v>
      </c>
      <c r="C213" t="s">
        <v>1486</v>
      </c>
    </row>
    <row r="216" spans="1:3" x14ac:dyDescent="0.25">
      <c r="A216" t="s">
        <v>1487</v>
      </c>
      <c r="B216" t="s">
        <v>1488</v>
      </c>
    </row>
    <row r="217" spans="1:3" x14ac:dyDescent="0.25">
      <c r="B217" t="s">
        <v>1489</v>
      </c>
    </row>
    <row r="218" spans="1:3" x14ac:dyDescent="0.25">
      <c r="B218" t="s">
        <v>1490</v>
      </c>
    </row>
    <row r="220" spans="1:3" x14ac:dyDescent="0.25">
      <c r="A220" t="s">
        <v>1491</v>
      </c>
      <c r="B220" t="s">
        <v>1492</v>
      </c>
    </row>
    <row r="221" spans="1:3" x14ac:dyDescent="0.25">
      <c r="B221" t="s">
        <v>1493</v>
      </c>
    </row>
    <row r="224" spans="1:3" x14ac:dyDescent="0.25">
      <c r="A224" s="5" t="s">
        <v>1494</v>
      </c>
      <c r="B224" t="s">
        <v>224</v>
      </c>
      <c r="C224" t="s">
        <v>249</v>
      </c>
    </row>
    <row r="225" spans="1:35" x14ac:dyDescent="0.25">
      <c r="A225" s="5"/>
      <c r="F225" t="s">
        <v>1069</v>
      </c>
      <c r="G225" t="s">
        <v>454</v>
      </c>
    </row>
    <row r="226" spans="1:35" x14ac:dyDescent="0.25">
      <c r="C226" t="s">
        <v>1495</v>
      </c>
    </row>
    <row r="227" spans="1:35" x14ac:dyDescent="0.25">
      <c r="A227" t="s">
        <v>186</v>
      </c>
      <c r="B227">
        <v>11.4</v>
      </c>
      <c r="C227" t="s">
        <v>1496</v>
      </c>
      <c r="G227" t="s">
        <v>162</v>
      </c>
      <c r="H227" s="485" t="s">
        <v>164</v>
      </c>
      <c r="I227" t="s">
        <v>166</v>
      </c>
      <c r="J227" t="s">
        <v>168</v>
      </c>
      <c r="K227" t="s">
        <v>170</v>
      </c>
      <c r="L227" t="s">
        <v>173</v>
      </c>
      <c r="M227" t="s">
        <v>175</v>
      </c>
      <c r="N227" t="s">
        <v>177</v>
      </c>
      <c r="O227" t="s">
        <v>179</v>
      </c>
      <c r="P227" t="s">
        <v>181</v>
      </c>
      <c r="Q227" t="s">
        <v>183</v>
      </c>
      <c r="R227" t="s">
        <v>185</v>
      </c>
      <c r="S227" t="s">
        <v>188</v>
      </c>
      <c r="T227" t="s">
        <v>190</v>
      </c>
      <c r="U227" t="s">
        <v>192</v>
      </c>
      <c r="V227" t="s">
        <v>194</v>
      </c>
      <c r="W227" t="s">
        <v>196</v>
      </c>
      <c r="X227" t="s">
        <v>198</v>
      </c>
      <c r="Y227" t="s">
        <v>9</v>
      </c>
      <c r="Z227" t="s">
        <v>201</v>
      </c>
      <c r="AA227" t="s">
        <v>203</v>
      </c>
      <c r="AB227" t="s">
        <v>205</v>
      </c>
      <c r="AC227" t="s">
        <v>207</v>
      </c>
      <c r="AD227" t="s">
        <v>210</v>
      </c>
      <c r="AE227" t="s">
        <v>212</v>
      </c>
      <c r="AF227" t="s">
        <v>214</v>
      </c>
      <c r="AG227" t="s">
        <v>217</v>
      </c>
      <c r="AH227" t="s">
        <v>219</v>
      </c>
    </row>
    <row r="228" spans="1:35" x14ac:dyDescent="0.25">
      <c r="A228" t="s">
        <v>1497</v>
      </c>
      <c r="B228">
        <v>5.49</v>
      </c>
      <c r="C228" t="s">
        <v>1496</v>
      </c>
      <c r="F228" t="s">
        <v>1498</v>
      </c>
      <c r="G228">
        <v>0</v>
      </c>
      <c r="H228">
        <f>B234</f>
        <v>1.67</v>
      </c>
      <c r="I228">
        <v>0</v>
      </c>
      <c r="J228">
        <v>0</v>
      </c>
      <c r="K228">
        <v>0</v>
      </c>
      <c r="L228">
        <v>0</v>
      </c>
      <c r="M228">
        <v>0</v>
      </c>
      <c r="N228">
        <v>0</v>
      </c>
      <c r="O228">
        <f>B236</f>
        <v>1.73</v>
      </c>
      <c r="P228" s="193">
        <f>B232-AH228</f>
        <v>1.5499999999999994</v>
      </c>
      <c r="Q228">
        <v>0</v>
      </c>
      <c r="R228">
        <f>B227</f>
        <v>11.4</v>
      </c>
      <c r="S228" s="193">
        <f>$B$228*F294/SUM($F$294:$J$294)</f>
        <v>0.17680799021606197</v>
      </c>
      <c r="T228" s="193">
        <f t="shared" ref="T228:W228" si="38">$B$228*G294/SUM($F$294:$J$294)</f>
        <v>0.33347329800244596</v>
      </c>
      <c r="U228" s="193">
        <f t="shared" si="38"/>
        <v>0.25737871993477374</v>
      </c>
      <c r="V228" s="193">
        <f t="shared" si="38"/>
        <v>1.9650305748063597</v>
      </c>
      <c r="W228" s="193">
        <f t="shared" si="38"/>
        <v>2.7573094170403589</v>
      </c>
      <c r="X228">
        <v>0</v>
      </c>
      <c r="Y228" s="193">
        <f>(D252/SUM(D252:D260))*B233</f>
        <v>2.4574595055413471</v>
      </c>
      <c r="Z228">
        <f>B229</f>
        <v>1.21</v>
      </c>
      <c r="AA228">
        <v>0</v>
      </c>
      <c r="AB228">
        <v>0</v>
      </c>
      <c r="AC228">
        <f>B230</f>
        <v>0.54</v>
      </c>
      <c r="AD228">
        <v>0</v>
      </c>
      <c r="AE228">
        <v>0</v>
      </c>
      <c r="AF228">
        <v>0</v>
      </c>
      <c r="AG228" s="193">
        <f>(D257/SUM(D252:D260))*B233</f>
        <v>2.4150895140664961</v>
      </c>
      <c r="AH228" s="193">
        <f>L247/1000</f>
        <v>3.47</v>
      </c>
      <c r="AI228" s="102">
        <f>SUM(G228:AH228)</f>
        <v>31.932549019607848</v>
      </c>
    </row>
    <row r="229" spans="1:35" x14ac:dyDescent="0.25">
      <c r="A229" t="s">
        <v>202</v>
      </c>
      <c r="B229">
        <v>1.21</v>
      </c>
      <c r="C229" t="s">
        <v>1496</v>
      </c>
      <c r="F229" t="s">
        <v>1449</v>
      </c>
      <c r="G229" s="193">
        <f>ROUND(G232,3)</f>
        <v>0</v>
      </c>
      <c r="H229" s="193">
        <f t="shared" ref="H229:AI229" si="39">ROUND(H232,3)</f>
        <v>0.04</v>
      </c>
      <c r="I229" s="193">
        <f t="shared" si="39"/>
        <v>0.01</v>
      </c>
      <c r="J229" s="193">
        <f t="shared" si="39"/>
        <v>0.05</v>
      </c>
      <c r="K229" s="193">
        <f t="shared" si="39"/>
        <v>0.88</v>
      </c>
      <c r="L229" s="193">
        <f t="shared" si="39"/>
        <v>0.01</v>
      </c>
      <c r="M229" s="193">
        <f t="shared" si="39"/>
        <v>0.28999999999999998</v>
      </c>
      <c r="N229" s="193">
        <f t="shared" si="39"/>
        <v>0</v>
      </c>
      <c r="O229" s="193">
        <f t="shared" si="39"/>
        <v>1.17</v>
      </c>
      <c r="P229" s="193">
        <f t="shared" si="39"/>
        <v>1.71</v>
      </c>
      <c r="Q229" s="193">
        <f t="shared" si="39"/>
        <v>0</v>
      </c>
      <c r="R229" s="193">
        <f t="shared" si="39"/>
        <v>10.61</v>
      </c>
      <c r="S229" s="193">
        <f t="shared" si="39"/>
        <v>0.05</v>
      </c>
      <c r="T229" s="193">
        <f t="shared" si="39"/>
        <v>1.1100000000000001</v>
      </c>
      <c r="U229" s="193">
        <f t="shared" si="39"/>
        <v>0.22</v>
      </c>
      <c r="V229" s="193">
        <f t="shared" si="39"/>
        <v>3.37</v>
      </c>
      <c r="W229" s="193">
        <f t="shared" si="39"/>
        <v>1.92</v>
      </c>
      <c r="X229" s="193">
        <f t="shared" si="39"/>
        <v>0.04</v>
      </c>
      <c r="Y229" s="193">
        <f t="shared" si="39"/>
        <v>1.39</v>
      </c>
      <c r="Z229" s="193">
        <f t="shared" si="39"/>
        <v>1.32</v>
      </c>
      <c r="AA229" s="193">
        <f t="shared" si="39"/>
        <v>0.26</v>
      </c>
      <c r="AB229" s="193">
        <f t="shared" si="39"/>
        <v>0.63</v>
      </c>
      <c r="AC229" s="193">
        <f t="shared" si="39"/>
        <v>0.47</v>
      </c>
      <c r="AD229" s="193">
        <f t="shared" si="39"/>
        <v>0.01</v>
      </c>
      <c r="AE229" s="193">
        <f t="shared" si="39"/>
        <v>0</v>
      </c>
      <c r="AF229" s="193">
        <f t="shared" si="39"/>
        <v>0.32</v>
      </c>
      <c r="AG229" s="193">
        <f t="shared" si="39"/>
        <v>2</v>
      </c>
      <c r="AH229" s="193">
        <f t="shared" si="39"/>
        <v>3.87</v>
      </c>
      <c r="AI229" s="102">
        <f t="shared" si="39"/>
        <v>31.75</v>
      </c>
    </row>
    <row r="230" spans="1:35" x14ac:dyDescent="0.25">
      <c r="A230" t="s">
        <v>1499</v>
      </c>
      <c r="B230">
        <v>0.54</v>
      </c>
      <c r="C230" t="s">
        <v>1496</v>
      </c>
      <c r="G230" s="101">
        <f>IFERROR((G228-G229)/AVERAGE(G228,G229),0)</f>
        <v>0</v>
      </c>
      <c r="H230" s="101">
        <f t="shared" ref="H230:AI230" si="40">IFERROR((H228-H229)/AVERAGE(H228,H229),0)</f>
        <v>1.9064327485380117</v>
      </c>
      <c r="I230" s="101">
        <f t="shared" si="40"/>
        <v>-2</v>
      </c>
      <c r="J230" s="101">
        <f t="shared" si="40"/>
        <v>-2</v>
      </c>
      <c r="K230" s="101">
        <f t="shared" si="40"/>
        <v>-2</v>
      </c>
      <c r="L230" s="101">
        <f t="shared" si="40"/>
        <v>-2</v>
      </c>
      <c r="M230" s="101">
        <f t="shared" si="40"/>
        <v>-2</v>
      </c>
      <c r="N230" s="101">
        <f t="shared" si="40"/>
        <v>0</v>
      </c>
      <c r="O230" s="101">
        <f t="shared" si="40"/>
        <v>0.38620689655172419</v>
      </c>
      <c r="P230" s="101">
        <f t="shared" si="40"/>
        <v>-9.8159509202454365E-2</v>
      </c>
      <c r="Q230" s="101">
        <f t="shared" si="40"/>
        <v>0</v>
      </c>
      <c r="R230" s="101">
        <f t="shared" si="40"/>
        <v>7.1785552021808363E-2</v>
      </c>
      <c r="S230" s="101">
        <f t="shared" si="40"/>
        <v>1.1181968509598104</v>
      </c>
      <c r="T230" s="101">
        <f t="shared" si="40"/>
        <v>-1.0759141898532554</v>
      </c>
      <c r="U230" s="101">
        <f t="shared" si="40"/>
        <v>0.15659985824203032</v>
      </c>
      <c r="V230" s="101">
        <f t="shared" si="40"/>
        <v>-0.52669592254197539</v>
      </c>
      <c r="W230" s="101">
        <f t="shared" si="40"/>
        <v>0.35803037275655786</v>
      </c>
      <c r="X230" s="101">
        <f t="shared" si="40"/>
        <v>-2</v>
      </c>
      <c r="Y230" s="101">
        <f t="shared" si="40"/>
        <v>0.55489057337909675</v>
      </c>
      <c r="Z230" s="101">
        <f t="shared" si="40"/>
        <v>-8.6956521739130502E-2</v>
      </c>
      <c r="AA230" s="101">
        <f t="shared" si="40"/>
        <v>-2</v>
      </c>
      <c r="AB230" s="101">
        <f t="shared" si="40"/>
        <v>-2</v>
      </c>
      <c r="AC230" s="101">
        <f t="shared" si="40"/>
        <v>0.13861386138613874</v>
      </c>
      <c r="AD230" s="101">
        <f t="shared" si="40"/>
        <v>-2</v>
      </c>
      <c r="AE230" s="101">
        <f>IFERROR((AE228-AE229)/AVERAGE(AE228,AE229),0)</f>
        <v>0</v>
      </c>
      <c r="AF230" s="101">
        <f t="shared" si="40"/>
        <v>-2</v>
      </c>
      <c r="AG230" s="101">
        <f t="shared" si="40"/>
        <v>0.18803220761165496</v>
      </c>
      <c r="AH230" s="101">
        <f t="shared" si="40"/>
        <v>-0.10899182561307899</v>
      </c>
      <c r="AI230" s="94">
        <f t="shared" si="40"/>
        <v>5.7330939925674404E-3</v>
      </c>
    </row>
    <row r="231" spans="1:35" x14ac:dyDescent="0.25">
      <c r="A231" s="117" t="s">
        <v>1500</v>
      </c>
      <c r="B231" s="117">
        <v>0.51</v>
      </c>
      <c r="C231" s="117"/>
    </row>
    <row r="232" spans="1:35" x14ac:dyDescent="0.25">
      <c r="A232" t="s">
        <v>1501</v>
      </c>
      <c r="B232">
        <v>5.0199999999999996</v>
      </c>
      <c r="C232" t="s">
        <v>1496</v>
      </c>
      <c r="G232">
        <v>0</v>
      </c>
      <c r="H232">
        <v>0.04</v>
      </c>
      <c r="I232">
        <v>0.01</v>
      </c>
      <c r="J232">
        <v>0.05</v>
      </c>
      <c r="K232">
        <v>0.88</v>
      </c>
      <c r="L232">
        <v>0.01</v>
      </c>
      <c r="M232">
        <v>0.28999999999999998</v>
      </c>
      <c r="N232">
        <v>0</v>
      </c>
      <c r="O232">
        <v>1.17</v>
      </c>
      <c r="P232">
        <v>1.71</v>
      </c>
      <c r="Q232">
        <v>0</v>
      </c>
      <c r="R232">
        <v>10.61</v>
      </c>
      <c r="S232">
        <v>0.05</v>
      </c>
      <c r="T232">
        <v>1.1100000000000001</v>
      </c>
      <c r="U232">
        <v>0.22</v>
      </c>
      <c r="V232">
        <v>3.37</v>
      </c>
      <c r="W232">
        <v>1.92</v>
      </c>
      <c r="X232">
        <v>0.04</v>
      </c>
      <c r="Y232">
        <v>1.39</v>
      </c>
      <c r="Z232">
        <v>1.32</v>
      </c>
      <c r="AA232">
        <v>0.26</v>
      </c>
      <c r="AB232">
        <v>0.63</v>
      </c>
      <c r="AC232">
        <v>0.47</v>
      </c>
      <c r="AD232">
        <v>0.01</v>
      </c>
      <c r="AE232">
        <v>0</v>
      </c>
      <c r="AF232">
        <v>0.32</v>
      </c>
      <c r="AG232">
        <v>2</v>
      </c>
      <c r="AH232">
        <v>3.87</v>
      </c>
      <c r="AI232" s="102">
        <f>SUM(G232:AH232)</f>
        <v>31.75</v>
      </c>
    </row>
    <row r="233" spans="1:35" x14ac:dyDescent="0.25">
      <c r="A233" t="s">
        <v>1502</v>
      </c>
      <c r="B233">
        <v>4.97</v>
      </c>
      <c r="C233" t="s">
        <v>1496</v>
      </c>
    </row>
    <row r="234" spans="1:35" x14ac:dyDescent="0.25">
      <c r="A234" t="s">
        <v>1503</v>
      </c>
      <c r="B234">
        <v>1.67</v>
      </c>
      <c r="C234" t="s">
        <v>1496</v>
      </c>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row>
    <row r="235" spans="1:35" x14ac:dyDescent="0.25">
      <c r="A235" t="s">
        <v>1504</v>
      </c>
      <c r="B235">
        <v>0</v>
      </c>
      <c r="C235" t="s">
        <v>1496</v>
      </c>
    </row>
    <row r="236" spans="1:35" x14ac:dyDescent="0.25">
      <c r="A236" t="s">
        <v>1505</v>
      </c>
      <c r="B236">
        <v>1.73</v>
      </c>
      <c r="C236" t="s">
        <v>1496</v>
      </c>
    </row>
    <row r="238" spans="1:35" x14ac:dyDescent="0.25">
      <c r="A238" s="5" t="s">
        <v>1506</v>
      </c>
      <c r="B238" t="s">
        <v>224</v>
      </c>
      <c r="C238" t="s">
        <v>1507</v>
      </c>
    </row>
    <row r="240" spans="1:35" x14ac:dyDescent="0.25">
      <c r="A240" s="678"/>
      <c r="B240" s="678"/>
      <c r="C240" s="511"/>
      <c r="D240" s="512" t="s">
        <v>1020</v>
      </c>
      <c r="E240" s="513"/>
      <c r="F240" s="514" t="s">
        <v>1021</v>
      </c>
      <c r="G240" s="515"/>
      <c r="H240" s="514" t="s">
        <v>1022</v>
      </c>
      <c r="I240" s="515"/>
      <c r="J240" s="514" t="s">
        <v>1023</v>
      </c>
      <c r="K240" s="516"/>
      <c r="L240" s="517" t="s">
        <v>1024</v>
      </c>
    </row>
    <row r="241" spans="1:12" x14ac:dyDescent="0.25">
      <c r="A241" s="518" t="s">
        <v>1508</v>
      </c>
      <c r="B241" s="519"/>
      <c r="C241" s="520"/>
      <c r="D241" s="521"/>
      <c r="E241" s="522"/>
      <c r="F241" s="521"/>
      <c r="G241" s="521"/>
      <c r="H241" s="521"/>
      <c r="I241" s="521"/>
      <c r="J241" s="521"/>
      <c r="K241" s="521"/>
      <c r="L241" s="521"/>
    </row>
    <row r="242" spans="1:12" x14ac:dyDescent="0.25">
      <c r="A242" s="523" t="s">
        <v>1509</v>
      </c>
      <c r="B242" s="519"/>
      <c r="C242" s="520"/>
      <c r="D242" s="521"/>
      <c r="E242" s="522"/>
      <c r="F242" s="521"/>
      <c r="G242" s="521"/>
      <c r="H242" s="521"/>
      <c r="I242" s="521"/>
      <c r="J242" s="521"/>
      <c r="K242" s="521"/>
      <c r="L242" s="521"/>
    </row>
    <row r="243" spans="1:12" x14ac:dyDescent="0.25">
      <c r="A243" s="524" t="s">
        <v>1510</v>
      </c>
      <c r="B243" s="519"/>
      <c r="C243" s="520"/>
      <c r="D243" s="525">
        <v>1587</v>
      </c>
      <c r="E243" s="526"/>
      <c r="F243" s="525">
        <v>818</v>
      </c>
      <c r="G243" s="527"/>
      <c r="H243" s="525">
        <v>741</v>
      </c>
      <c r="I243" s="527"/>
      <c r="J243" s="525">
        <v>891</v>
      </c>
      <c r="K243" s="527"/>
      <c r="L243" s="525">
        <v>1093</v>
      </c>
    </row>
    <row r="244" spans="1:12" x14ac:dyDescent="0.25">
      <c r="A244" s="528" t="s">
        <v>1511</v>
      </c>
      <c r="B244" s="519"/>
      <c r="C244" s="520"/>
      <c r="D244" s="525"/>
      <c r="E244" s="526"/>
      <c r="F244" s="525"/>
      <c r="G244" s="526"/>
      <c r="H244" s="525"/>
      <c r="I244" s="526"/>
      <c r="J244" s="525"/>
      <c r="K244" s="526"/>
      <c r="L244" s="525"/>
    </row>
    <row r="245" spans="1:12" x14ac:dyDescent="0.25">
      <c r="A245" s="524" t="s">
        <v>1512</v>
      </c>
      <c r="B245" s="519"/>
      <c r="C245" s="520"/>
      <c r="D245" s="525">
        <v>1910</v>
      </c>
      <c r="E245" s="527"/>
      <c r="F245" s="525">
        <v>2010</v>
      </c>
      <c r="G245" s="527"/>
      <c r="H245" s="525">
        <v>2050</v>
      </c>
      <c r="I245" s="527"/>
      <c r="J245" s="525">
        <v>2140</v>
      </c>
      <c r="K245" s="527"/>
      <c r="L245" s="525">
        <v>1920</v>
      </c>
    </row>
    <row r="246" spans="1:12" x14ac:dyDescent="0.25">
      <c r="A246" s="524" t="s">
        <v>1513</v>
      </c>
      <c r="B246" s="519"/>
      <c r="C246" s="520"/>
      <c r="D246" s="529">
        <v>1470</v>
      </c>
      <c r="E246" s="530"/>
      <c r="F246" s="529">
        <v>1570</v>
      </c>
      <c r="G246" s="530"/>
      <c r="H246" s="529">
        <v>1590</v>
      </c>
      <c r="I246" s="530"/>
      <c r="J246" s="529">
        <v>1570</v>
      </c>
      <c r="K246" s="530"/>
      <c r="L246" s="529">
        <v>1540</v>
      </c>
    </row>
    <row r="247" spans="1:12" x14ac:dyDescent="0.25">
      <c r="A247" s="531" t="s">
        <v>466</v>
      </c>
      <c r="B247" s="519"/>
      <c r="C247" s="520"/>
      <c r="D247" s="525">
        <v>3380</v>
      </c>
      <c r="E247" s="527"/>
      <c r="F247" s="525">
        <v>3580</v>
      </c>
      <c r="G247" s="527"/>
      <c r="H247" s="525">
        <v>3630</v>
      </c>
      <c r="I247" s="527"/>
      <c r="J247" s="525">
        <v>3710</v>
      </c>
      <c r="K247" s="527"/>
      <c r="L247" s="525">
        <v>3470</v>
      </c>
    </row>
    <row r="251" spans="1:12" x14ac:dyDescent="0.25">
      <c r="A251" s="532" t="s">
        <v>1502</v>
      </c>
      <c r="C251" t="s">
        <v>1514</v>
      </c>
      <c r="D251" t="s">
        <v>1515</v>
      </c>
    </row>
    <row r="252" spans="1:12" x14ac:dyDescent="0.25">
      <c r="A252" s="533" t="s">
        <v>200</v>
      </c>
      <c r="B252" t="s">
        <v>9</v>
      </c>
      <c r="C252" t="s">
        <v>1516</v>
      </c>
      <c r="D252">
        <v>0.57999999999999996</v>
      </c>
    </row>
    <row r="253" spans="1:12" x14ac:dyDescent="0.25">
      <c r="A253" s="533" t="s">
        <v>1457</v>
      </c>
      <c r="B253" t="s">
        <v>198</v>
      </c>
      <c r="C253" t="s">
        <v>1516</v>
      </c>
    </row>
    <row r="254" spans="1:12" x14ac:dyDescent="0.25">
      <c r="A254" s="533" t="s">
        <v>1460</v>
      </c>
      <c r="B254" t="s">
        <v>175</v>
      </c>
      <c r="C254" t="s">
        <v>1516</v>
      </c>
    </row>
    <row r="255" spans="1:12" x14ac:dyDescent="0.25">
      <c r="A255" s="534" t="s">
        <v>1517</v>
      </c>
      <c r="B255" t="s">
        <v>177</v>
      </c>
      <c r="C255" t="s">
        <v>1516</v>
      </c>
    </row>
    <row r="256" spans="1:12" x14ac:dyDescent="0.25">
      <c r="A256" s="533" t="s">
        <v>1518</v>
      </c>
      <c r="B256" t="s">
        <v>175</v>
      </c>
      <c r="C256" t="s">
        <v>1516</v>
      </c>
    </row>
    <row r="257" spans="1:4" x14ac:dyDescent="0.25">
      <c r="A257" s="533" t="s">
        <v>1519</v>
      </c>
      <c r="B257" t="s">
        <v>217</v>
      </c>
      <c r="C257" t="s">
        <v>1516</v>
      </c>
      <c r="D257">
        <v>0.56999999999999995</v>
      </c>
    </row>
    <row r="258" spans="1:4" x14ac:dyDescent="0.25">
      <c r="A258" s="533" t="s">
        <v>1520</v>
      </c>
      <c r="B258" t="s">
        <v>217</v>
      </c>
      <c r="C258" t="s">
        <v>1516</v>
      </c>
    </row>
    <row r="259" spans="1:4" x14ac:dyDescent="0.25">
      <c r="A259" s="533" t="s">
        <v>1521</v>
      </c>
      <c r="B259" t="s">
        <v>175</v>
      </c>
      <c r="C259" t="s">
        <v>1516</v>
      </c>
      <c r="D259">
        <v>2.3E-2</v>
      </c>
    </row>
    <row r="260" spans="1:4" x14ac:dyDescent="0.25">
      <c r="A260" s="533" t="s">
        <v>1522</v>
      </c>
      <c r="B260" t="s">
        <v>198</v>
      </c>
      <c r="C260" t="s">
        <v>1516</v>
      </c>
    </row>
    <row r="262" spans="1:4" x14ac:dyDescent="0.25">
      <c r="A262" s="532" t="s">
        <v>1523</v>
      </c>
      <c r="C262" t="s">
        <v>1514</v>
      </c>
    </row>
    <row r="263" spans="1:4" x14ac:dyDescent="0.25">
      <c r="A263" s="533" t="s">
        <v>1444</v>
      </c>
      <c r="B263" t="s">
        <v>203</v>
      </c>
      <c r="C263" t="s">
        <v>1516</v>
      </c>
    </row>
    <row r="264" spans="1:4" x14ac:dyDescent="0.25">
      <c r="A264" s="533" t="s">
        <v>180</v>
      </c>
      <c r="B264" t="s">
        <v>179</v>
      </c>
      <c r="C264">
        <f>760800/1000000</f>
        <v>0.76080000000000003</v>
      </c>
    </row>
    <row r="265" spans="1:4" x14ac:dyDescent="0.25">
      <c r="A265" s="534" t="s">
        <v>1524</v>
      </c>
      <c r="B265" t="s">
        <v>203</v>
      </c>
    </row>
    <row r="266" spans="1:4" x14ac:dyDescent="0.25">
      <c r="A266" s="533" t="s">
        <v>1525</v>
      </c>
      <c r="B266" t="s">
        <v>203</v>
      </c>
    </row>
    <row r="267" spans="1:4" x14ac:dyDescent="0.25">
      <c r="A267" s="534" t="s">
        <v>1526</v>
      </c>
      <c r="B267" t="s">
        <v>203</v>
      </c>
    </row>
    <row r="268" spans="1:4" x14ac:dyDescent="0.25">
      <c r="A268" s="533" t="s">
        <v>1527</v>
      </c>
      <c r="B268" t="s">
        <v>203</v>
      </c>
    </row>
    <row r="269" spans="1:4" x14ac:dyDescent="0.25">
      <c r="A269" s="533" t="s">
        <v>1528</v>
      </c>
      <c r="B269" t="s">
        <v>203</v>
      </c>
    </row>
    <row r="270" spans="1:4" x14ac:dyDescent="0.25">
      <c r="A270" s="533" t="s">
        <v>1480</v>
      </c>
      <c r="B270" t="s">
        <v>203</v>
      </c>
      <c r="C270" t="s">
        <v>1516</v>
      </c>
    </row>
    <row r="273" spans="1:3" x14ac:dyDescent="0.25">
      <c r="A273" s="532" t="s">
        <v>1529</v>
      </c>
    </row>
    <row r="274" spans="1:3" x14ac:dyDescent="0.25">
      <c r="A274" s="534"/>
    </row>
    <row r="275" spans="1:3" x14ac:dyDescent="0.25">
      <c r="A275" s="534" t="s">
        <v>1446</v>
      </c>
      <c r="C275" t="s">
        <v>1516</v>
      </c>
    </row>
    <row r="276" spans="1:3" x14ac:dyDescent="0.25">
      <c r="A276" s="534" t="s">
        <v>1451</v>
      </c>
      <c r="C276" t="s">
        <v>1516</v>
      </c>
    </row>
    <row r="277" spans="1:3" x14ac:dyDescent="0.25">
      <c r="A277" s="534" t="s">
        <v>1042</v>
      </c>
      <c r="B277" t="s">
        <v>164</v>
      </c>
      <c r="C277">
        <v>0.1</v>
      </c>
    </row>
    <row r="278" spans="1:3" x14ac:dyDescent="0.25">
      <c r="A278" s="534" t="s">
        <v>1454</v>
      </c>
      <c r="C278" t="s">
        <v>1516</v>
      </c>
    </row>
    <row r="279" spans="1:3" x14ac:dyDescent="0.25">
      <c r="A279" s="534" t="s">
        <v>1530</v>
      </c>
      <c r="C279" t="s">
        <v>1516</v>
      </c>
    </row>
    <row r="280" spans="1:3" x14ac:dyDescent="0.25">
      <c r="A280" s="534" t="s">
        <v>1459</v>
      </c>
      <c r="C280" t="s">
        <v>1516</v>
      </c>
    </row>
    <row r="281" spans="1:3" x14ac:dyDescent="0.25">
      <c r="A281" s="534" t="s">
        <v>1462</v>
      </c>
      <c r="C281" t="s">
        <v>1516</v>
      </c>
    </row>
    <row r="282" spans="1:3" x14ac:dyDescent="0.25">
      <c r="A282" s="534" t="s">
        <v>213</v>
      </c>
      <c r="C282" t="s">
        <v>1516</v>
      </c>
    </row>
    <row r="283" spans="1:3" x14ac:dyDescent="0.25">
      <c r="A283" s="534" t="s">
        <v>1469</v>
      </c>
      <c r="C283" t="s">
        <v>1516</v>
      </c>
    </row>
    <row r="284" spans="1:3" x14ac:dyDescent="0.25">
      <c r="A284" s="534" t="s">
        <v>1531</v>
      </c>
      <c r="C284" t="s">
        <v>1516</v>
      </c>
    </row>
    <row r="285" spans="1:3" x14ac:dyDescent="0.25">
      <c r="A285" s="534" t="s">
        <v>1532</v>
      </c>
      <c r="C285" t="s">
        <v>1516</v>
      </c>
    </row>
    <row r="286" spans="1:3" x14ac:dyDescent="0.25">
      <c r="A286" s="534" t="s">
        <v>1473</v>
      </c>
      <c r="C286" t="s">
        <v>1516</v>
      </c>
    </row>
    <row r="287" spans="1:3" x14ac:dyDescent="0.25">
      <c r="A287" s="534" t="s">
        <v>1476</v>
      </c>
      <c r="C287" t="s">
        <v>1516</v>
      </c>
    </row>
    <row r="288" spans="1:3" x14ac:dyDescent="0.25">
      <c r="A288" s="534" t="s">
        <v>1533</v>
      </c>
      <c r="C288" t="s">
        <v>1516</v>
      </c>
    </row>
    <row r="289" spans="1:10" x14ac:dyDescent="0.25">
      <c r="A289" s="534" t="s">
        <v>1534</v>
      </c>
      <c r="C289" t="s">
        <v>1516</v>
      </c>
    </row>
    <row r="291" spans="1:10" x14ac:dyDescent="0.25">
      <c r="A291" s="535" t="s">
        <v>1535</v>
      </c>
    </row>
    <row r="293" spans="1:10" x14ac:dyDescent="0.25">
      <c r="A293" s="536" t="s">
        <v>1536</v>
      </c>
      <c r="B293" t="s">
        <v>1031</v>
      </c>
      <c r="C293" s="537" t="s">
        <v>1273</v>
      </c>
      <c r="D293" s="537" t="s">
        <v>1274</v>
      </c>
      <c r="F293" t="s">
        <v>188</v>
      </c>
      <c r="G293" t="s">
        <v>190</v>
      </c>
      <c r="H293" t="s">
        <v>192</v>
      </c>
      <c r="I293" t="s">
        <v>194</v>
      </c>
      <c r="J293" t="s">
        <v>196</v>
      </c>
    </row>
    <row r="294" spans="1:10" x14ac:dyDescent="0.25">
      <c r="A294" s="538" t="s">
        <v>1537</v>
      </c>
      <c r="B294" t="s">
        <v>188</v>
      </c>
      <c r="C294" s="539"/>
      <c r="D294" s="539"/>
      <c r="F294" cm="1">
        <f t="array" ref="F294">SUMPRODUCT(($B$294:$B$343=F$293)*($D$294:$D$343))</f>
        <v>79</v>
      </c>
      <c r="G294" cm="1">
        <f t="array" ref="G294">SUMPRODUCT(($B$294:$B$343=G$293)*($D$294:$D$343))</f>
        <v>149</v>
      </c>
      <c r="H294" cm="1">
        <f t="array" ref="H294">SUMPRODUCT(($B$294:$B$343=H$293)*($D$294:$D$343))</f>
        <v>115</v>
      </c>
      <c r="I294" cm="1">
        <f t="array" ref="I294">SUMPRODUCT(($B$294:$B$343=I$293)*($D$294:$D$343))</f>
        <v>878</v>
      </c>
      <c r="J294" cm="1">
        <f t="array" ref="J294">SUMPRODUCT(($B$294:$B$343=J$293)*($D$294:$D$343))</f>
        <v>1232</v>
      </c>
    </row>
    <row r="295" spans="1:10" x14ac:dyDescent="0.25">
      <c r="A295" s="540" t="s">
        <v>1538</v>
      </c>
      <c r="B295" t="s">
        <v>173</v>
      </c>
      <c r="C295" s="539"/>
      <c r="D295" s="539"/>
    </row>
    <row r="296" spans="1:10" x14ac:dyDescent="0.25">
      <c r="A296" s="540" t="s">
        <v>1539</v>
      </c>
      <c r="B296" t="s">
        <v>196</v>
      </c>
      <c r="C296" s="539"/>
      <c r="D296" s="539">
        <v>472</v>
      </c>
    </row>
    <row r="297" spans="1:10" x14ac:dyDescent="0.25">
      <c r="A297" s="540" t="s">
        <v>1446</v>
      </c>
      <c r="B297" t="s">
        <v>173</v>
      </c>
      <c r="C297" s="541">
        <v>36</v>
      </c>
      <c r="D297" s="539"/>
    </row>
    <row r="298" spans="1:10" x14ac:dyDescent="0.25">
      <c r="A298" s="540" t="s">
        <v>1540</v>
      </c>
      <c r="B298" t="s">
        <v>188</v>
      </c>
      <c r="C298" s="539"/>
      <c r="D298" s="539"/>
    </row>
    <row r="299" spans="1:10" x14ac:dyDescent="0.25">
      <c r="A299" s="540" t="s">
        <v>1541</v>
      </c>
      <c r="B299" t="s">
        <v>196</v>
      </c>
      <c r="C299" s="539"/>
      <c r="D299" s="539"/>
    </row>
    <row r="300" spans="1:10" x14ac:dyDescent="0.25">
      <c r="A300" s="540" t="s">
        <v>1450</v>
      </c>
      <c r="B300" t="s">
        <v>188</v>
      </c>
      <c r="C300" s="542">
        <v>69</v>
      </c>
      <c r="D300" s="539"/>
    </row>
    <row r="301" spans="1:10" x14ac:dyDescent="0.25">
      <c r="A301" s="540" t="s">
        <v>1542</v>
      </c>
      <c r="B301" t="s">
        <v>192</v>
      </c>
      <c r="C301" s="539"/>
      <c r="D301" s="539">
        <v>18</v>
      </c>
    </row>
    <row r="302" spans="1:10" x14ac:dyDescent="0.25">
      <c r="A302" s="540" t="s">
        <v>1543</v>
      </c>
      <c r="B302" t="s">
        <v>192</v>
      </c>
      <c r="C302" s="539" t="s">
        <v>558</v>
      </c>
      <c r="D302" s="539"/>
    </row>
    <row r="303" spans="1:10" x14ac:dyDescent="0.25">
      <c r="A303" s="540" t="s">
        <v>1544</v>
      </c>
      <c r="B303" t="s">
        <v>194</v>
      </c>
      <c r="C303" s="539" t="s">
        <v>558</v>
      </c>
      <c r="D303" s="539"/>
    </row>
    <row r="304" spans="1:10" x14ac:dyDescent="0.25">
      <c r="A304" s="540" t="s">
        <v>1545</v>
      </c>
      <c r="B304" t="s">
        <v>192</v>
      </c>
      <c r="C304" s="539" t="s">
        <v>558</v>
      </c>
      <c r="D304" s="539">
        <v>66</v>
      </c>
    </row>
    <row r="305" spans="1:4" x14ac:dyDescent="0.25">
      <c r="A305" s="540" t="s">
        <v>1546</v>
      </c>
      <c r="B305" t="s">
        <v>196</v>
      </c>
      <c r="C305" s="539" t="s">
        <v>558</v>
      </c>
      <c r="D305" s="539"/>
    </row>
    <row r="306" spans="1:4" x14ac:dyDescent="0.25">
      <c r="A306" s="540" t="s">
        <v>1547</v>
      </c>
      <c r="B306" t="s">
        <v>192</v>
      </c>
      <c r="C306" s="539" t="s">
        <v>558</v>
      </c>
      <c r="D306" s="539"/>
    </row>
    <row r="307" spans="1:4" x14ac:dyDescent="0.25">
      <c r="A307" s="540" t="s">
        <v>1548</v>
      </c>
      <c r="B307" t="s">
        <v>196</v>
      </c>
      <c r="C307" s="539" t="s">
        <v>558</v>
      </c>
      <c r="D307" s="539"/>
    </row>
    <row r="308" spans="1:4" x14ac:dyDescent="0.25">
      <c r="A308" s="540" t="s">
        <v>1452</v>
      </c>
      <c r="B308" t="s">
        <v>194</v>
      </c>
      <c r="C308" s="539">
        <v>430</v>
      </c>
      <c r="D308" s="539">
        <v>190</v>
      </c>
    </row>
    <row r="309" spans="1:4" x14ac:dyDescent="0.25">
      <c r="A309" s="540" t="s">
        <v>1549</v>
      </c>
      <c r="B309" t="s">
        <v>173</v>
      </c>
      <c r="C309" s="539" t="s">
        <v>558</v>
      </c>
      <c r="D309" s="539"/>
    </row>
    <row r="310" spans="1:4" x14ac:dyDescent="0.25">
      <c r="A310" s="540" t="s">
        <v>1453</v>
      </c>
      <c r="B310" t="s">
        <v>196</v>
      </c>
      <c r="C310" s="539">
        <v>550</v>
      </c>
      <c r="D310" s="539">
        <v>760</v>
      </c>
    </row>
    <row r="311" spans="1:4" x14ac:dyDescent="0.25">
      <c r="A311" s="540" t="s">
        <v>1455</v>
      </c>
      <c r="B311" t="s">
        <v>194</v>
      </c>
      <c r="C311" s="543">
        <v>182</v>
      </c>
      <c r="D311" s="539"/>
    </row>
    <row r="312" spans="1:4" x14ac:dyDescent="0.25">
      <c r="A312" s="540" t="s">
        <v>1550</v>
      </c>
      <c r="B312" t="s">
        <v>192</v>
      </c>
      <c r="C312" s="539" t="s">
        <v>558</v>
      </c>
      <c r="D312" s="539"/>
    </row>
    <row r="313" spans="1:4" x14ac:dyDescent="0.25">
      <c r="A313" s="540" t="s">
        <v>1456</v>
      </c>
      <c r="B313" t="s">
        <v>190</v>
      </c>
      <c r="C313" s="539">
        <v>844</v>
      </c>
      <c r="D313" s="539"/>
    </row>
    <row r="314" spans="1:4" x14ac:dyDescent="0.25">
      <c r="A314" s="540" t="s">
        <v>1551</v>
      </c>
      <c r="B314" t="s">
        <v>196</v>
      </c>
      <c r="C314" s="539" t="s">
        <v>558</v>
      </c>
      <c r="D314" s="539"/>
    </row>
    <row r="315" spans="1:4" x14ac:dyDescent="0.25">
      <c r="A315" s="540" t="s">
        <v>1552</v>
      </c>
      <c r="B315" t="s">
        <v>194</v>
      </c>
      <c r="C315" s="539" t="s">
        <v>558</v>
      </c>
      <c r="D315" s="539">
        <v>688</v>
      </c>
    </row>
    <row r="316" spans="1:4" x14ac:dyDescent="0.25">
      <c r="A316" s="540" t="s">
        <v>1459</v>
      </c>
      <c r="B316" t="s">
        <v>173</v>
      </c>
      <c r="C316" s="544">
        <v>278</v>
      </c>
      <c r="D316" s="539"/>
    </row>
    <row r="317" spans="1:4" x14ac:dyDescent="0.25">
      <c r="A317" s="540" t="s">
        <v>1553</v>
      </c>
      <c r="B317" t="s">
        <v>188</v>
      </c>
      <c r="C317" s="539" t="s">
        <v>558</v>
      </c>
      <c r="D317" s="539"/>
    </row>
    <row r="318" spans="1:4" x14ac:dyDescent="0.25">
      <c r="A318" s="540" t="s">
        <v>1554</v>
      </c>
      <c r="B318" t="s">
        <v>173</v>
      </c>
      <c r="C318" s="539" t="s">
        <v>558</v>
      </c>
      <c r="D318" s="539"/>
    </row>
    <row r="319" spans="1:4" x14ac:dyDescent="0.25">
      <c r="A319" s="540" t="s">
        <v>1555</v>
      </c>
      <c r="B319" t="s">
        <v>192</v>
      </c>
      <c r="C319" s="539" t="s">
        <v>558</v>
      </c>
      <c r="D319" s="539"/>
    </row>
    <row r="320" spans="1:4" x14ac:dyDescent="0.25">
      <c r="A320" s="540" t="s">
        <v>1556</v>
      </c>
      <c r="B320" t="s">
        <v>192</v>
      </c>
      <c r="C320" s="539" t="s">
        <v>558</v>
      </c>
      <c r="D320" s="539"/>
    </row>
    <row r="321" spans="1:4" x14ac:dyDescent="0.25">
      <c r="A321" s="540" t="s">
        <v>1557</v>
      </c>
      <c r="B321" t="s">
        <v>196</v>
      </c>
      <c r="C321" s="539" t="s">
        <v>558</v>
      </c>
      <c r="D321" s="539"/>
    </row>
    <row r="322" spans="1:4" x14ac:dyDescent="0.25">
      <c r="A322" s="540" t="s">
        <v>1558</v>
      </c>
      <c r="B322" t="s">
        <v>194</v>
      </c>
      <c r="C322" s="539" t="s">
        <v>558</v>
      </c>
      <c r="D322" s="539"/>
    </row>
    <row r="323" spans="1:4" x14ac:dyDescent="0.25">
      <c r="A323" s="540" t="s">
        <v>1559</v>
      </c>
      <c r="B323" t="s">
        <v>188</v>
      </c>
      <c r="C323" s="539" t="s">
        <v>558</v>
      </c>
      <c r="D323" s="539"/>
    </row>
    <row r="324" spans="1:4" x14ac:dyDescent="0.25">
      <c r="A324" s="540" t="s">
        <v>1461</v>
      </c>
      <c r="B324" t="s">
        <v>188</v>
      </c>
      <c r="C324" s="539">
        <v>60</v>
      </c>
      <c r="D324" s="539"/>
    </row>
    <row r="325" spans="1:4" x14ac:dyDescent="0.25">
      <c r="A325" s="540" t="s">
        <v>1463</v>
      </c>
      <c r="B325" t="s">
        <v>196</v>
      </c>
      <c r="C325" s="539">
        <v>100</v>
      </c>
      <c r="D325" s="539"/>
    </row>
    <row r="326" spans="1:4" x14ac:dyDescent="0.25">
      <c r="A326" s="540" t="s">
        <v>1560</v>
      </c>
      <c r="B326" t="s">
        <v>188</v>
      </c>
      <c r="C326" s="539" t="s">
        <v>558</v>
      </c>
      <c r="D326" s="539"/>
    </row>
    <row r="327" spans="1:4" x14ac:dyDescent="0.25">
      <c r="A327" s="540" t="s">
        <v>1465</v>
      </c>
      <c r="B327" t="s">
        <v>190</v>
      </c>
      <c r="C327" s="539">
        <v>1300</v>
      </c>
      <c r="D327" s="539"/>
    </row>
    <row r="328" spans="1:4" x14ac:dyDescent="0.25">
      <c r="A328" s="540" t="s">
        <v>1561</v>
      </c>
      <c r="B328" t="s">
        <v>192</v>
      </c>
      <c r="C328" s="539" t="s">
        <v>558</v>
      </c>
      <c r="D328" s="539">
        <v>13</v>
      </c>
    </row>
    <row r="329" spans="1:4" x14ac:dyDescent="0.25">
      <c r="A329" s="540" t="s">
        <v>1562</v>
      </c>
      <c r="B329" t="s">
        <v>194</v>
      </c>
      <c r="C329" s="539" t="s">
        <v>558</v>
      </c>
      <c r="D329" s="539"/>
    </row>
    <row r="330" spans="1:4" x14ac:dyDescent="0.25">
      <c r="A330" s="540" t="s">
        <v>1468</v>
      </c>
      <c r="B330" t="s">
        <v>192</v>
      </c>
      <c r="C330" s="539">
        <v>280</v>
      </c>
      <c r="D330" s="539">
        <v>8</v>
      </c>
    </row>
    <row r="331" spans="1:4" x14ac:dyDescent="0.25">
      <c r="A331" s="540" t="s">
        <v>1469</v>
      </c>
      <c r="B331" t="s">
        <v>214</v>
      </c>
      <c r="C331" s="539">
        <v>3637</v>
      </c>
      <c r="D331" s="539"/>
    </row>
    <row r="332" spans="1:4" x14ac:dyDescent="0.25">
      <c r="A332" s="540" t="s">
        <v>1563</v>
      </c>
      <c r="B332" t="s">
        <v>188</v>
      </c>
      <c r="C332" s="539" t="s">
        <v>558</v>
      </c>
      <c r="D332" s="539">
        <v>79</v>
      </c>
    </row>
    <row r="333" spans="1:4" x14ac:dyDescent="0.25">
      <c r="A333" s="540" t="s">
        <v>1471</v>
      </c>
      <c r="B333" t="s">
        <v>192</v>
      </c>
      <c r="C333" s="539">
        <v>175</v>
      </c>
      <c r="D333" s="539"/>
    </row>
    <row r="334" spans="1:4" x14ac:dyDescent="0.25">
      <c r="A334" s="540" t="s">
        <v>1472</v>
      </c>
      <c r="B334" t="s">
        <v>192</v>
      </c>
      <c r="C334" s="539">
        <v>68</v>
      </c>
      <c r="D334" s="539">
        <v>10</v>
      </c>
    </row>
    <row r="335" spans="1:4" x14ac:dyDescent="0.25">
      <c r="A335" s="540" t="s">
        <v>1474</v>
      </c>
      <c r="B335" t="s">
        <v>194</v>
      </c>
      <c r="C335" s="539">
        <v>240</v>
      </c>
      <c r="D335" s="539"/>
    </row>
    <row r="336" spans="1:4" x14ac:dyDescent="0.25">
      <c r="A336" s="540" t="s">
        <v>1475</v>
      </c>
      <c r="B336" t="s">
        <v>196</v>
      </c>
      <c r="C336" s="539">
        <v>120</v>
      </c>
      <c r="D336" s="539"/>
    </row>
    <row r="337" spans="1:7" x14ac:dyDescent="0.25">
      <c r="A337" s="540" t="s">
        <v>1564</v>
      </c>
      <c r="B337" t="s">
        <v>190</v>
      </c>
      <c r="C337" s="539" t="s">
        <v>558</v>
      </c>
      <c r="D337" s="539"/>
    </row>
    <row r="338" spans="1:7" x14ac:dyDescent="0.25">
      <c r="A338" s="540" t="s">
        <v>1476</v>
      </c>
      <c r="B338" t="s">
        <v>173</v>
      </c>
      <c r="C338" s="539">
        <v>101</v>
      </c>
      <c r="D338" s="539"/>
    </row>
    <row r="339" spans="1:7" x14ac:dyDescent="0.25">
      <c r="A339" s="540" t="s">
        <v>1477</v>
      </c>
      <c r="B339" t="s">
        <v>205</v>
      </c>
      <c r="C339" s="539">
        <v>80</v>
      </c>
      <c r="D339" s="539"/>
    </row>
    <row r="340" spans="1:7" x14ac:dyDescent="0.25">
      <c r="A340" s="540" t="s">
        <v>1565</v>
      </c>
      <c r="B340" t="s">
        <v>173</v>
      </c>
      <c r="C340" s="539" t="s">
        <v>558</v>
      </c>
      <c r="D340" s="539"/>
    </row>
    <row r="341" spans="1:7" x14ac:dyDescent="0.25">
      <c r="A341" s="540" t="s">
        <v>1566</v>
      </c>
      <c r="B341" t="s">
        <v>188</v>
      </c>
      <c r="C341" s="539" t="s">
        <v>558</v>
      </c>
      <c r="D341" s="539"/>
    </row>
    <row r="342" spans="1:7" x14ac:dyDescent="0.25">
      <c r="A342" s="540" t="s">
        <v>1479</v>
      </c>
      <c r="B342" t="s">
        <v>190</v>
      </c>
      <c r="C342" s="539">
        <v>39</v>
      </c>
      <c r="D342" s="539">
        <v>149</v>
      </c>
    </row>
    <row r="343" spans="1:7" x14ac:dyDescent="0.25">
      <c r="A343" s="540" t="s">
        <v>1567</v>
      </c>
      <c r="B343" t="s">
        <v>173</v>
      </c>
      <c r="C343" s="545" t="s">
        <v>558</v>
      </c>
      <c r="D343" s="539"/>
    </row>
    <row r="347" spans="1:7" s="495" customFormat="1" x14ac:dyDescent="0.25">
      <c r="A347" s="494" t="s">
        <v>1568</v>
      </c>
    </row>
    <row r="350" spans="1:7" x14ac:dyDescent="0.25">
      <c r="A350" s="5" t="s">
        <v>1569</v>
      </c>
    </row>
    <row r="352" spans="1:7" x14ac:dyDescent="0.25">
      <c r="B352" s="5" t="s">
        <v>1383</v>
      </c>
      <c r="C352" t="s">
        <v>1570</v>
      </c>
      <c r="D352" t="s">
        <v>1571</v>
      </c>
      <c r="G352" t="s">
        <v>1572</v>
      </c>
    </row>
    <row r="353" spans="1:9" x14ac:dyDescent="0.25">
      <c r="C353" t="s">
        <v>1573</v>
      </c>
      <c r="D353" t="s">
        <v>241</v>
      </c>
    </row>
    <row r="356" spans="1:9" x14ac:dyDescent="0.25">
      <c r="B356" t="s">
        <v>1574</v>
      </c>
      <c r="C356" t="s">
        <v>1575</v>
      </c>
      <c r="D356" t="s">
        <v>1576</v>
      </c>
      <c r="E356" t="s">
        <v>1577</v>
      </c>
      <c r="G356" t="s">
        <v>1575</v>
      </c>
      <c r="H356" t="s">
        <v>1576</v>
      </c>
      <c r="I356" t="s">
        <v>1577</v>
      </c>
    </row>
    <row r="357" spans="1:9" x14ac:dyDescent="0.25">
      <c r="A357" t="s">
        <v>767</v>
      </c>
      <c r="B357" t="s">
        <v>1578</v>
      </c>
      <c r="C357">
        <v>16</v>
      </c>
      <c r="D357">
        <v>0.6</v>
      </c>
      <c r="E357">
        <v>2.4</v>
      </c>
      <c r="G357" s="102">
        <f>C357*(Legend!$B$69/Legend!$B$70)*$B$5</f>
        <v>30.029560033151505</v>
      </c>
      <c r="H357" s="102">
        <f>D357*(Legend!$B$69/Legend!$B$70)*$B$5</f>
        <v>1.1261085012431815</v>
      </c>
      <c r="I357" s="102">
        <f>E357*(Legend!$B$69/Legend!$B$70)*$B$5</f>
        <v>4.5044340049727261</v>
      </c>
    </row>
    <row r="358" spans="1:9" x14ac:dyDescent="0.25">
      <c r="A358" t="s">
        <v>350</v>
      </c>
      <c r="B358" t="s">
        <v>1579</v>
      </c>
      <c r="C358">
        <v>24</v>
      </c>
      <c r="D358">
        <v>0.3</v>
      </c>
      <c r="E358">
        <v>1.2</v>
      </c>
      <c r="G358" s="102">
        <f>C358*(Legend!$B$69/Legend!$B$70)*$B$5</f>
        <v>45.044340049727261</v>
      </c>
      <c r="H358" s="102">
        <f>D358*(Legend!$B$69/Legend!$B$70)*$B$5</f>
        <v>0.56305425062159076</v>
      </c>
      <c r="I358" s="102">
        <f>E358*(Legend!$B$69/Legend!$B$70)*$B$5</f>
        <v>2.252217002486363</v>
      </c>
    </row>
    <row r="359" spans="1:9" x14ac:dyDescent="0.25">
      <c r="A359" t="s">
        <v>1436</v>
      </c>
      <c r="B359" t="s">
        <v>1580</v>
      </c>
      <c r="C359">
        <v>42</v>
      </c>
      <c r="D359">
        <v>1</v>
      </c>
      <c r="E359">
        <v>4.2</v>
      </c>
      <c r="G359" s="102">
        <f>C359*(Legend!$B$69/Legend!$B$70)*$B$5</f>
        <v>78.827595087022701</v>
      </c>
      <c r="H359" s="102">
        <f>D359*(Legend!$B$69/Legend!$B$70)*$B$5</f>
        <v>1.876847502071969</v>
      </c>
      <c r="I359" s="102">
        <f>E359*(Legend!$B$69/Legend!$B$70)*$B$5</f>
        <v>7.8827595087022706</v>
      </c>
    </row>
    <row r="360" spans="1:9" x14ac:dyDescent="0.25">
      <c r="A360" t="s">
        <v>767</v>
      </c>
      <c r="B360" t="s">
        <v>1581</v>
      </c>
      <c r="C360">
        <v>75</v>
      </c>
      <c r="D360">
        <v>0.4</v>
      </c>
      <c r="E360">
        <v>0.4</v>
      </c>
      <c r="G360" s="102">
        <f>C360*(Legend!$B$69/Legend!$B$70)*$B$5</f>
        <v>140.76356265539766</v>
      </c>
      <c r="H360" s="102">
        <f>D360*(Legend!$B$69/Legend!$B$70)*$B$5</f>
        <v>0.75073900082878775</v>
      </c>
      <c r="I360" s="102">
        <f>E360*(Legend!$B$69/Legend!$B$70)*$B$5</f>
        <v>0.75073900082878775</v>
      </c>
    </row>
    <row r="361" spans="1:9" x14ac:dyDescent="0.25">
      <c r="A361" t="s">
        <v>350</v>
      </c>
      <c r="B361" t="s">
        <v>1582</v>
      </c>
      <c r="C361">
        <v>156</v>
      </c>
      <c r="D361">
        <v>0.3</v>
      </c>
      <c r="E361">
        <v>0.2</v>
      </c>
      <c r="G361" s="102">
        <f>C361*(Legend!$B$69/Legend!$B$70)*$B$5</f>
        <v>292.78821032322719</v>
      </c>
      <c r="H361" s="102">
        <f>D361*(Legend!$B$69/Legend!$B$70)*$B$5</f>
        <v>0.56305425062159076</v>
      </c>
      <c r="I361" s="102">
        <f>E361*(Legend!$B$69/Legend!$B$70)*$B$5</f>
        <v>0.37536950041439388</v>
      </c>
    </row>
    <row r="362" spans="1:9" x14ac:dyDescent="0.25">
      <c r="A362" t="s">
        <v>1436</v>
      </c>
      <c r="B362" t="s">
        <v>1583</v>
      </c>
      <c r="C362">
        <v>111</v>
      </c>
      <c r="D362">
        <v>0.4</v>
      </c>
      <c r="E362">
        <v>0.4</v>
      </c>
      <c r="G362" s="102">
        <f>C362*(Legend!$B$69/Legend!$B$70)*$B$5</f>
        <v>208.33007272998859</v>
      </c>
      <c r="H362" s="102">
        <f>D362*(Legend!$B$69/Legend!$B$70)*$B$5</f>
        <v>0.75073900082878775</v>
      </c>
      <c r="I362" s="102">
        <f>E362*(Legend!$B$69/Legend!$B$70)*$B$5</f>
        <v>0.75073900082878775</v>
      </c>
    </row>
    <row r="365" spans="1:9" x14ac:dyDescent="0.25">
      <c r="B365" s="5" t="s">
        <v>1584</v>
      </c>
      <c r="C365" t="s">
        <v>1570</v>
      </c>
      <c r="D365" t="s">
        <v>1585</v>
      </c>
      <c r="G365" t="s">
        <v>1572</v>
      </c>
    </row>
    <row r="366" spans="1:9" x14ac:dyDescent="0.25">
      <c r="B366" s="5"/>
      <c r="C366" t="s">
        <v>1573</v>
      </c>
      <c r="D366" t="s">
        <v>241</v>
      </c>
    </row>
    <row r="367" spans="1:9" x14ac:dyDescent="0.25">
      <c r="B367" s="5"/>
    </row>
    <row r="369" spans="1:9" x14ac:dyDescent="0.25">
      <c r="B369" t="s">
        <v>1574</v>
      </c>
      <c r="C369" t="s">
        <v>1575</v>
      </c>
      <c r="D369" t="s">
        <v>1576</v>
      </c>
      <c r="E369" t="s">
        <v>1577</v>
      </c>
      <c r="G369" t="s">
        <v>1575</v>
      </c>
      <c r="H369" t="s">
        <v>1576</v>
      </c>
      <c r="I369" t="s">
        <v>1577</v>
      </c>
    </row>
    <row r="370" spans="1:9" x14ac:dyDescent="0.25">
      <c r="B370" t="s">
        <v>1424</v>
      </c>
      <c r="C370">
        <v>6000</v>
      </c>
      <c r="D370">
        <f>SUM(C377:C378)</f>
        <v>246</v>
      </c>
      <c r="E370">
        <f>C376</f>
        <v>250</v>
      </c>
      <c r="G370" s="102">
        <f>C370*(Legend!$B$69/Legend!$B$70)</f>
        <v>5926.8868486483234</v>
      </c>
      <c r="H370" s="102">
        <f>D370*(Legend!$B$69/Legend!$B$70)</f>
        <v>243.00236079458128</v>
      </c>
      <c r="I370" s="102">
        <f>E370*(Legend!$B$69/Legend!$B$70)</f>
        <v>246.95361869368014</v>
      </c>
    </row>
    <row r="371" spans="1:9" x14ac:dyDescent="0.25">
      <c r="B371" t="s">
        <v>1428</v>
      </c>
      <c r="C371">
        <v>6285</v>
      </c>
      <c r="D371">
        <f>SUM(C377:C379)</f>
        <v>285</v>
      </c>
      <c r="E371">
        <f>C376</f>
        <v>250</v>
      </c>
      <c r="G371" s="102">
        <f>C371*(Legend!$B$69/Legend!$B$70)</f>
        <v>6208.4139739591192</v>
      </c>
      <c r="H371" s="102">
        <f>D371*(Legend!$B$69/Legend!$B$70)</f>
        <v>281.52712531079538</v>
      </c>
      <c r="I371" s="102">
        <f>E371*(Legend!$B$69/Legend!$B$70)</f>
        <v>246.95361869368014</v>
      </c>
    </row>
    <row r="372" spans="1:9" x14ac:dyDescent="0.25">
      <c r="B372" t="s">
        <v>1586</v>
      </c>
      <c r="C372">
        <v>6000</v>
      </c>
      <c r="D372">
        <f>SUM(D377:D378)</f>
        <v>227</v>
      </c>
      <c r="E372">
        <f>D376</f>
        <v>100</v>
      </c>
      <c r="G372" s="102">
        <f>C372*(Legend!$B$69/Legend!$B$70)</f>
        <v>5926.8868486483234</v>
      </c>
      <c r="H372" s="102">
        <f>D372*(Legend!$B$69/Legend!$B$70)</f>
        <v>224.23388577386157</v>
      </c>
      <c r="I372" s="102">
        <f>E372*(Legend!$B$69/Legend!$B$70)</f>
        <v>98.781447477472057</v>
      </c>
    </row>
    <row r="374" spans="1:9" x14ac:dyDescent="0.25">
      <c r="B374" t="s">
        <v>1587</v>
      </c>
    </row>
    <row r="375" spans="1:9" x14ac:dyDescent="0.25">
      <c r="A375" t="s">
        <v>1588</v>
      </c>
      <c r="C375" t="s">
        <v>1589</v>
      </c>
      <c r="D375" t="s">
        <v>1586</v>
      </c>
    </row>
    <row r="376" spans="1:9" x14ac:dyDescent="0.25">
      <c r="A376" t="s">
        <v>1590</v>
      </c>
      <c r="B376" t="s">
        <v>1384</v>
      </c>
      <c r="C376">
        <v>250</v>
      </c>
      <c r="D376">
        <v>100</v>
      </c>
    </row>
    <row r="377" spans="1:9" x14ac:dyDescent="0.25">
      <c r="A377" t="s">
        <v>1591</v>
      </c>
      <c r="B377" t="s">
        <v>1592</v>
      </c>
      <c r="C377">
        <v>95</v>
      </c>
      <c r="D377">
        <v>80</v>
      </c>
    </row>
    <row r="378" spans="1:9" x14ac:dyDescent="0.25">
      <c r="A378" t="s">
        <v>1591</v>
      </c>
      <c r="B378" t="s">
        <v>1593</v>
      </c>
      <c r="C378">
        <v>151</v>
      </c>
      <c r="D378">
        <v>147</v>
      </c>
    </row>
    <row r="379" spans="1:9" x14ac:dyDescent="0.25">
      <c r="A379" t="s">
        <v>1591</v>
      </c>
      <c r="B379" t="s">
        <v>1594</v>
      </c>
      <c r="C379">
        <v>39</v>
      </c>
    </row>
    <row r="383" spans="1:9" x14ac:dyDescent="0.25">
      <c r="B383" s="5" t="s">
        <v>1420</v>
      </c>
      <c r="C383" t="s">
        <v>1595</v>
      </c>
      <c r="G383" t="s">
        <v>1572</v>
      </c>
    </row>
    <row r="384" spans="1:9" x14ac:dyDescent="0.25">
      <c r="C384" t="s">
        <v>1596</v>
      </c>
    </row>
    <row r="387" spans="1:7" x14ac:dyDescent="0.25">
      <c r="B387" t="s">
        <v>1574</v>
      </c>
      <c r="C387" t="s">
        <v>1575</v>
      </c>
      <c r="G387" t="s">
        <v>1575</v>
      </c>
    </row>
    <row r="388" spans="1:7" x14ac:dyDescent="0.25">
      <c r="A388" t="s">
        <v>767</v>
      </c>
      <c r="B388" t="s">
        <v>1597</v>
      </c>
      <c r="C388">
        <v>4.5</v>
      </c>
      <c r="G388" s="102">
        <f>C388*Legend!$B$47*Legend!$B$48</f>
        <v>4.4661935703929672</v>
      </c>
    </row>
    <row r="389" spans="1:7" x14ac:dyDescent="0.25">
      <c r="A389" t="s">
        <v>350</v>
      </c>
      <c r="B389" t="s">
        <v>1598</v>
      </c>
      <c r="C389">
        <v>38.299999999999997</v>
      </c>
      <c r="G389" s="102">
        <f>C389*Legend!$B$47*Legend!$B$48</f>
        <v>38.012269721344587</v>
      </c>
    </row>
    <row r="390" spans="1:7" x14ac:dyDescent="0.25">
      <c r="A390" t="s">
        <v>1436</v>
      </c>
      <c r="B390" t="s">
        <v>1599</v>
      </c>
      <c r="C390">
        <v>18.399999999999999</v>
      </c>
      <c r="G390" s="102">
        <f>C390*Legend!$B$47*Legend!$B$48</f>
        <v>18.261769265606798</v>
      </c>
    </row>
    <row r="393" spans="1:7" x14ac:dyDescent="0.25">
      <c r="B393" s="5" t="s">
        <v>1386</v>
      </c>
      <c r="C393" t="s">
        <v>1595</v>
      </c>
    </row>
    <row r="394" spans="1:7" x14ac:dyDescent="0.25">
      <c r="C394" t="s">
        <v>1596</v>
      </c>
    </row>
    <row r="397" spans="1:7" x14ac:dyDescent="0.25">
      <c r="B397" t="s">
        <v>1574</v>
      </c>
      <c r="C397" t="s">
        <v>1575</v>
      </c>
      <c r="G397" t="s">
        <v>1575</v>
      </c>
    </row>
    <row r="398" spans="1:7" x14ac:dyDescent="0.25">
      <c r="A398" t="s">
        <v>767</v>
      </c>
      <c r="B398" t="s">
        <v>1597</v>
      </c>
      <c r="C398">
        <v>3.7</v>
      </c>
      <c r="G398" s="102">
        <f>C398*Legend!$B$47*Legend!$B$48</f>
        <v>3.6722036023231062</v>
      </c>
    </row>
    <row r="399" spans="1:7" x14ac:dyDescent="0.25">
      <c r="A399" t="s">
        <v>350</v>
      </c>
      <c r="B399" t="s">
        <v>1598</v>
      </c>
      <c r="C399">
        <v>31.3</v>
      </c>
      <c r="G399" s="102">
        <f>C399*Legend!$B$47*Legend!$B$48</f>
        <v>31.064857500733304</v>
      </c>
    </row>
    <row r="400" spans="1:7" x14ac:dyDescent="0.25">
      <c r="A400" t="s">
        <v>1436</v>
      </c>
      <c r="B400" t="s">
        <v>1599</v>
      </c>
      <c r="C400">
        <v>15.1</v>
      </c>
      <c r="G400" s="102">
        <f>C400*Legend!$B$47*Legend!$B$48</f>
        <v>14.986560647318623</v>
      </c>
    </row>
    <row r="403" spans="1:9" x14ac:dyDescent="0.25">
      <c r="B403" s="5" t="s">
        <v>1600</v>
      </c>
      <c r="C403" t="s">
        <v>1601</v>
      </c>
    </row>
    <row r="405" spans="1:9" x14ac:dyDescent="0.25">
      <c r="C405" s="102" t="s">
        <v>1424</v>
      </c>
      <c r="D405" s="102" t="s">
        <v>1424</v>
      </c>
      <c r="E405" s="102" t="s">
        <v>1424</v>
      </c>
      <c r="F405" s="102" t="s">
        <v>1428</v>
      </c>
      <c r="G405" s="102" t="s">
        <v>1428</v>
      </c>
      <c r="H405" s="102" t="s">
        <v>1586</v>
      </c>
      <c r="I405" s="102" t="s">
        <v>1586</v>
      </c>
    </row>
    <row r="406" spans="1:9" x14ac:dyDescent="0.25">
      <c r="C406" s="102" t="s">
        <v>350</v>
      </c>
      <c r="D406" s="102" t="s">
        <v>1436</v>
      </c>
      <c r="E406" s="102" t="s">
        <v>767</v>
      </c>
      <c r="F406" s="102" t="s">
        <v>350</v>
      </c>
      <c r="G406" s="102" t="s">
        <v>1436</v>
      </c>
      <c r="H406" s="102" t="s">
        <v>350</v>
      </c>
      <c r="I406" s="102" t="s">
        <v>1436</v>
      </c>
    </row>
    <row r="407" spans="1:9" x14ac:dyDescent="0.25">
      <c r="C407" t="s">
        <v>1114</v>
      </c>
      <c r="D407" t="s">
        <v>1116</v>
      </c>
      <c r="E407" t="s">
        <v>1118</v>
      </c>
      <c r="F407" t="s">
        <v>1120</v>
      </c>
      <c r="G407" t="s">
        <v>1122</v>
      </c>
      <c r="H407" t="s">
        <v>1124</v>
      </c>
      <c r="I407" t="s">
        <v>1126</v>
      </c>
    </row>
    <row r="408" spans="1:9" x14ac:dyDescent="0.25">
      <c r="B408" t="s">
        <v>624</v>
      </c>
      <c r="C408" s="98">
        <f t="shared" ref="C408:I408" si="41">ROUND(SUMIF($A$357:$A$400,C$406,$G$357:$G$400)+SUMIF($B$370:$B$372,C$405,$G$370:$G$372),0)</f>
        <v>6334</v>
      </c>
      <c r="D408" s="98">
        <f t="shared" si="41"/>
        <v>6247</v>
      </c>
      <c r="E408" s="98">
        <f t="shared" si="41"/>
        <v>6106</v>
      </c>
      <c r="F408" s="98">
        <f t="shared" si="41"/>
        <v>6615</v>
      </c>
      <c r="G408" s="98">
        <f t="shared" si="41"/>
        <v>6529</v>
      </c>
      <c r="H408" s="98">
        <f t="shared" si="41"/>
        <v>6334</v>
      </c>
      <c r="I408" s="98">
        <f t="shared" si="41"/>
        <v>6247</v>
      </c>
    </row>
    <row r="409" spans="1:9" x14ac:dyDescent="0.25">
      <c r="B409" s="9" t="s">
        <v>547</v>
      </c>
      <c r="C409" s="98">
        <f t="shared" ref="C409:I409" si="42">ROUND(SUMIF($A$357:$A$400,C$406,$H$357:$H$400)+SUMIF($B$370:$B$372,C$405,$H$370:$H$372),0)</f>
        <v>244</v>
      </c>
      <c r="D409" s="98">
        <f t="shared" si="42"/>
        <v>246</v>
      </c>
      <c r="E409" s="98">
        <f t="shared" si="42"/>
        <v>245</v>
      </c>
      <c r="F409" s="98">
        <f t="shared" si="42"/>
        <v>283</v>
      </c>
      <c r="G409" s="98">
        <f t="shared" si="42"/>
        <v>284</v>
      </c>
      <c r="H409" s="98">
        <f t="shared" si="42"/>
        <v>225</v>
      </c>
      <c r="I409" s="98">
        <f t="shared" si="42"/>
        <v>227</v>
      </c>
    </row>
    <row r="410" spans="1:9" x14ac:dyDescent="0.25">
      <c r="B410" t="s">
        <v>1287</v>
      </c>
      <c r="C410" s="98">
        <f t="shared" ref="C410:I410" si="43">ROUND(SUMIF($A$357:$A$400,C$406,$I$357:$I$400)+SUMIF($B$370:$B$372,C$405,$I$370:$I$372),0)</f>
        <v>250</v>
      </c>
      <c r="D410" s="98">
        <f t="shared" si="43"/>
        <v>256</v>
      </c>
      <c r="E410" s="98">
        <f t="shared" si="43"/>
        <v>252</v>
      </c>
      <c r="F410" s="98">
        <f t="shared" si="43"/>
        <v>250</v>
      </c>
      <c r="G410" s="98">
        <f t="shared" si="43"/>
        <v>256</v>
      </c>
      <c r="H410" s="98">
        <f t="shared" si="43"/>
        <v>101</v>
      </c>
      <c r="I410" s="98">
        <f t="shared" si="43"/>
        <v>107</v>
      </c>
    </row>
    <row r="412" spans="1:9" x14ac:dyDescent="0.25">
      <c r="A412" s="5" t="s">
        <v>1602</v>
      </c>
    </row>
    <row r="414" spans="1:9" x14ac:dyDescent="0.25">
      <c r="B414" s="5" t="s">
        <v>1603</v>
      </c>
      <c r="C414" t="s">
        <v>1595</v>
      </c>
    </row>
    <row r="415" spans="1:9" x14ac:dyDescent="0.25">
      <c r="B415" s="5"/>
      <c r="C415" t="s">
        <v>1596</v>
      </c>
    </row>
    <row r="417" spans="2:7" x14ac:dyDescent="0.25">
      <c r="B417" t="s">
        <v>1574</v>
      </c>
      <c r="C417" t="s">
        <v>1575</v>
      </c>
      <c r="G417" t="s">
        <v>1575</v>
      </c>
    </row>
    <row r="418" spans="2:7" x14ac:dyDescent="0.25">
      <c r="B418" t="s">
        <v>1597</v>
      </c>
      <c r="C418">
        <v>11.3</v>
      </c>
      <c r="G418" s="102">
        <f>C418*Legend!$B$47*Legend!$B$48</f>
        <v>11.215108298986785</v>
      </c>
    </row>
    <row r="419" spans="2:7" x14ac:dyDescent="0.25">
      <c r="B419" t="s">
        <v>1598</v>
      </c>
      <c r="C419">
        <v>95.3</v>
      </c>
      <c r="G419" s="102">
        <f>C419*Legend!$B$47*Legend!$B$48</f>
        <v>94.584054946322155</v>
      </c>
    </row>
    <row r="420" spans="2:7" x14ac:dyDescent="0.25">
      <c r="B420" t="s">
        <v>1599</v>
      </c>
      <c r="C420">
        <v>45.9</v>
      </c>
      <c r="G420" s="102">
        <f>C420*Legend!$B$47*Legend!$B$48</f>
        <v>45.555174418008264</v>
      </c>
    </row>
    <row r="423" spans="2:7" x14ac:dyDescent="0.25">
      <c r="B423" s="5" t="s">
        <v>1383</v>
      </c>
      <c r="C423" t="s">
        <v>1595</v>
      </c>
    </row>
    <row r="424" spans="2:7" x14ac:dyDescent="0.25">
      <c r="B424" s="5"/>
      <c r="C424" t="s">
        <v>1596</v>
      </c>
    </row>
    <row r="426" spans="2:7" x14ac:dyDescent="0.25">
      <c r="B426" t="s">
        <v>1574</v>
      </c>
      <c r="C426" t="s">
        <v>1575</v>
      </c>
    </row>
    <row r="427" spans="2:7" x14ac:dyDescent="0.25">
      <c r="B427" t="s">
        <v>1597</v>
      </c>
      <c r="C427">
        <v>14.6</v>
      </c>
      <c r="G427" s="102">
        <f>C427*Legend!$B$47*Legend!$B$48</f>
        <v>14.49031691727496</v>
      </c>
    </row>
    <row r="428" spans="2:7" x14ac:dyDescent="0.25">
      <c r="B428" t="s">
        <v>1598</v>
      </c>
      <c r="C428">
        <v>123.4</v>
      </c>
      <c r="G428" s="102">
        <f>C428*Legend!$B$47*Legend!$B$48</f>
        <v>122.47295257477603</v>
      </c>
    </row>
    <row r="429" spans="2:7" x14ac:dyDescent="0.25">
      <c r="B429" t="s">
        <v>1599</v>
      </c>
      <c r="C429">
        <v>59.4</v>
      </c>
      <c r="G429" s="102">
        <f>C429*Legend!$B$47*Legend!$B$48</f>
        <v>58.953755129187165</v>
      </c>
    </row>
    <row r="431" spans="2:7" x14ac:dyDescent="0.25">
      <c r="B431" s="5" t="s">
        <v>1600</v>
      </c>
      <c r="C431" t="s">
        <v>1601</v>
      </c>
    </row>
    <row r="432" spans="2:7" x14ac:dyDescent="0.25">
      <c r="B432" s="5"/>
    </row>
    <row r="433" spans="2:33" x14ac:dyDescent="0.25">
      <c r="C433" t="s">
        <v>1128</v>
      </c>
      <c r="D433" t="s">
        <v>1130</v>
      </c>
      <c r="E433" t="s">
        <v>1132</v>
      </c>
    </row>
    <row r="434" spans="2:33" x14ac:dyDescent="0.25">
      <c r="B434" t="s">
        <v>624</v>
      </c>
      <c r="C434" s="98">
        <f t="array" ref="C434:E434">TRANSPOSE(G418:G420)+TRANSPOSE(G427:G429)</f>
        <v>25.705425216261744</v>
      </c>
      <c r="D434" s="98">
        <v>217.05700752109817</v>
      </c>
      <c r="E434" s="98">
        <v>104.50892954719544</v>
      </c>
    </row>
    <row r="437" spans="2:33" x14ac:dyDescent="0.25">
      <c r="B437" s="5" t="s">
        <v>1604</v>
      </c>
      <c r="C437" t="s">
        <v>1605</v>
      </c>
    </row>
    <row r="438" spans="2:33" x14ac:dyDescent="0.25">
      <c r="B438" s="5"/>
    </row>
    <row r="440" spans="2:33" x14ac:dyDescent="0.25">
      <c r="B440" s="574"/>
      <c r="D440" s="574" t="s">
        <v>1606</v>
      </c>
      <c r="E440" t="s">
        <v>1069</v>
      </c>
      <c r="F440" t="s">
        <v>587</v>
      </c>
    </row>
    <row r="441" spans="2:33" x14ac:dyDescent="0.25">
      <c r="B441" s="640" t="s">
        <v>1669</v>
      </c>
      <c r="C441" t="s">
        <v>185</v>
      </c>
      <c r="D441" s="643">
        <v>1.3</v>
      </c>
    </row>
    <row r="442" spans="2:33" x14ac:dyDescent="0.25">
      <c r="B442" s="641" t="s">
        <v>1670</v>
      </c>
      <c r="C442" t="s">
        <v>1607</v>
      </c>
      <c r="D442" s="644">
        <v>1.38</v>
      </c>
      <c r="F442" t="s">
        <v>1613</v>
      </c>
      <c r="G442" t="s">
        <v>1613</v>
      </c>
      <c r="H442" t="s">
        <v>1613</v>
      </c>
      <c r="I442" t="s">
        <v>1613</v>
      </c>
      <c r="J442" t="s">
        <v>1613</v>
      </c>
      <c r="K442" t="s">
        <v>1611</v>
      </c>
      <c r="L442" t="s">
        <v>1611</v>
      </c>
      <c r="M442" t="s">
        <v>1611</v>
      </c>
      <c r="N442" t="s">
        <v>1608</v>
      </c>
      <c r="O442" t="s">
        <v>1609</v>
      </c>
      <c r="P442" t="s">
        <v>1608</v>
      </c>
      <c r="Q442" t="s">
        <v>185</v>
      </c>
      <c r="R442" t="s">
        <v>1607</v>
      </c>
      <c r="S442" t="s">
        <v>1607</v>
      </c>
      <c r="T442" t="s">
        <v>1607</v>
      </c>
      <c r="U442" t="s">
        <v>1607</v>
      </c>
      <c r="V442" t="s">
        <v>1607</v>
      </c>
      <c r="W442" t="s">
        <v>1611</v>
      </c>
      <c r="X442" t="s">
        <v>1611</v>
      </c>
      <c r="Y442" t="s">
        <v>201</v>
      </c>
      <c r="Z442" t="s">
        <v>1608</v>
      </c>
      <c r="AA442" t="s">
        <v>1612</v>
      </c>
      <c r="AB442" t="s">
        <v>1612</v>
      </c>
      <c r="AC442" t="s">
        <v>1609</v>
      </c>
      <c r="AD442" t="s">
        <v>1613</v>
      </c>
      <c r="AE442" t="s">
        <v>1611</v>
      </c>
      <c r="AF442" t="s">
        <v>1611</v>
      </c>
      <c r="AG442" t="s">
        <v>1609</v>
      </c>
    </row>
    <row r="443" spans="2:33" x14ac:dyDescent="0.25">
      <c r="B443" s="641" t="s">
        <v>1671</v>
      </c>
      <c r="C443" t="s">
        <v>1610</v>
      </c>
      <c r="D443" s="644">
        <v>1.44</v>
      </c>
      <c r="F443" t="s">
        <v>162</v>
      </c>
      <c r="G443" s="485" t="s">
        <v>164</v>
      </c>
      <c r="H443" t="s">
        <v>166</v>
      </c>
      <c r="I443" t="s">
        <v>168</v>
      </c>
      <c r="J443" t="s">
        <v>170</v>
      </c>
      <c r="K443" t="s">
        <v>173</v>
      </c>
      <c r="L443" t="s">
        <v>175</v>
      </c>
      <c r="M443" t="s">
        <v>177</v>
      </c>
      <c r="N443" t="s">
        <v>179</v>
      </c>
      <c r="O443" t="s">
        <v>181</v>
      </c>
      <c r="P443" t="s">
        <v>183</v>
      </c>
      <c r="Q443" t="s">
        <v>185</v>
      </c>
      <c r="R443" t="s">
        <v>188</v>
      </c>
      <c r="S443" t="s">
        <v>190</v>
      </c>
      <c r="T443" t="s">
        <v>192</v>
      </c>
      <c r="U443" t="s">
        <v>194</v>
      </c>
      <c r="V443" t="s">
        <v>196</v>
      </c>
      <c r="W443" t="s">
        <v>198</v>
      </c>
      <c r="X443" t="s">
        <v>9</v>
      </c>
      <c r="Y443" t="s">
        <v>201</v>
      </c>
      <c r="Z443" t="s">
        <v>203</v>
      </c>
      <c r="AA443" t="s">
        <v>205</v>
      </c>
      <c r="AB443" t="s">
        <v>207</v>
      </c>
      <c r="AC443" t="s">
        <v>210</v>
      </c>
      <c r="AD443" t="s">
        <v>212</v>
      </c>
      <c r="AE443" t="s">
        <v>214</v>
      </c>
      <c r="AF443" t="s">
        <v>217</v>
      </c>
      <c r="AG443" t="s">
        <v>219</v>
      </c>
    </row>
    <row r="444" spans="2:33" x14ac:dyDescent="0.25">
      <c r="B444" s="641" t="s">
        <v>1672</v>
      </c>
      <c r="C444" t="s">
        <v>1609</v>
      </c>
      <c r="D444" s="644">
        <v>1.44</v>
      </c>
      <c r="F444" cm="1">
        <f t="array" ref="F444">SUMPRODUCT(($C$441:$C$449=F$442)*$D$441:$D$449)*1000</f>
        <v>1340</v>
      </c>
      <c r="G444" cm="1">
        <f t="array" ref="G444">SUMPRODUCT(($C$441:$C$449=G$442)*$D$441:$D$449)*1000</f>
        <v>1340</v>
      </c>
      <c r="H444" cm="1">
        <f t="array" ref="H444">SUMPRODUCT(($C$441:$C$449=H$442)*$D$441:$D$449)*1000</f>
        <v>1340</v>
      </c>
      <c r="I444" cm="1">
        <f t="array" ref="I444">SUMPRODUCT(($C$441:$C$449=I$442)*$D$441:$D$449)*1000</f>
        <v>1340</v>
      </c>
      <c r="J444" cm="1">
        <f t="array" ref="J444">SUMPRODUCT(($C$441:$C$449=J$442)*$D$441:$D$449)*1000</f>
        <v>1340</v>
      </c>
      <c r="K444" cm="1">
        <f t="array" ref="K444">SUMPRODUCT(($C$441:$C$449=K$442)*$D$441:$D$449)*1000</f>
        <v>1500</v>
      </c>
      <c r="L444" cm="1">
        <f t="array" ref="L444">SUMPRODUCT(($C$441:$C$449=L$442)*$D$441:$D$449)*1000</f>
        <v>1500</v>
      </c>
      <c r="M444" cm="1">
        <f t="array" ref="M444">SUMPRODUCT(($C$441:$C$449=M$442)*$D$441:$D$449)*1000</f>
        <v>1500</v>
      </c>
      <c r="N444" cm="1">
        <f t="array" ref="N444">SUMPRODUCT(($C$441:$C$449=N$442)*$D$441:$D$449)*1000</f>
        <v>1530</v>
      </c>
      <c r="O444" cm="1">
        <f t="array" ref="O444">SUMPRODUCT(($C$441:$C$449=O$442)*$D$441:$D$449)*1000</f>
        <v>1440</v>
      </c>
      <c r="P444" cm="1">
        <f t="array" ref="P444">SUMPRODUCT(($C$441:$C$449=P$442)*$D$441:$D$449)*1000</f>
        <v>1530</v>
      </c>
      <c r="Q444" cm="1">
        <f t="array" ref="Q444">SUMPRODUCT(($C$441:$C$449=Q$442)*$D$441:$D$449)*1000</f>
        <v>1300</v>
      </c>
      <c r="R444" cm="1">
        <f t="array" ref="R444">SUMPRODUCT(($C$441:$C$449=R$442)*$D$441:$D$449)*1000</f>
        <v>1380</v>
      </c>
      <c r="S444" cm="1">
        <f t="array" ref="S444">SUMPRODUCT(($C$441:$C$449=S$442)*$D$441:$D$449)*1000</f>
        <v>1380</v>
      </c>
      <c r="T444" cm="1">
        <f t="array" ref="T444">SUMPRODUCT(($C$441:$C$449=T$442)*$D$441:$D$449)*1000</f>
        <v>1380</v>
      </c>
      <c r="U444" cm="1">
        <f t="array" ref="U444">SUMPRODUCT(($C$441:$C$449=U$442)*$D$441:$D$449)*1000</f>
        <v>1380</v>
      </c>
      <c r="V444" cm="1">
        <f t="array" ref="V444">SUMPRODUCT(($C$441:$C$449=V$442)*$D$441:$D$449)*1000</f>
        <v>1380</v>
      </c>
      <c r="W444" cm="1">
        <f t="array" ref="W444">SUMPRODUCT(($C$441:$C$449=W$442)*$D$441:$D$449)*1000</f>
        <v>1500</v>
      </c>
      <c r="X444" cm="1">
        <f t="array" ref="X444">SUMPRODUCT(($C$441:$C$449=X$442)*$D$441:$D$449)*1000</f>
        <v>1500</v>
      </c>
      <c r="Y444" cm="1">
        <f t="array" ref="Y444">SUMPRODUCT(($C$441:$C$449=Y$442)*$D$441:$D$449)*1000</f>
        <v>1360</v>
      </c>
      <c r="Z444" cm="1">
        <f t="array" ref="Z444">SUMPRODUCT(($C$441:$C$449=Z$442)*$D$441:$D$449)*1000</f>
        <v>1530</v>
      </c>
      <c r="AA444" cm="1">
        <f t="array" ref="AA444">SUMPRODUCT(($C$441:$C$449=AA$442)*$D$441:$D$449)*1000</f>
        <v>1230</v>
      </c>
      <c r="AB444" cm="1">
        <f t="array" ref="AB444">SUMPRODUCT(($C$441:$C$449=AB$442)*$D$441:$D$449)*1000</f>
        <v>1230</v>
      </c>
      <c r="AC444" cm="1">
        <f t="array" ref="AC444">SUMPRODUCT(($C$441:$C$449=AC$442)*$D$441:$D$449)*1000</f>
        <v>1440</v>
      </c>
      <c r="AD444" cm="1">
        <f t="array" ref="AD444">SUMPRODUCT(($C$441:$C$449=AD$442)*$D$441:$D$449)*1000</f>
        <v>1340</v>
      </c>
      <c r="AE444" cm="1">
        <f t="array" ref="AE444">SUMPRODUCT(($C$441:$C$449=AE$442)*$D$441:$D$449)*1000</f>
        <v>1500</v>
      </c>
      <c r="AF444" cm="1">
        <f t="array" ref="AF444">SUMPRODUCT(($C$441:$C$449=AF$442)*$D$441:$D$449)*1000</f>
        <v>1500</v>
      </c>
      <c r="AG444" cm="1">
        <f t="array" ref="AG444">SUMPRODUCT(($C$441:$C$449=AG$442)*$D$441:$D$449)*1000</f>
        <v>1440</v>
      </c>
    </row>
    <row r="445" spans="2:33" x14ac:dyDescent="0.25">
      <c r="B445" s="641" t="s">
        <v>1673</v>
      </c>
      <c r="C445" t="s">
        <v>1608</v>
      </c>
      <c r="D445" s="644">
        <v>1.53</v>
      </c>
    </row>
    <row r="446" spans="2:33" x14ac:dyDescent="0.25">
      <c r="B446" s="641" t="s">
        <v>1674</v>
      </c>
      <c r="C446" t="s">
        <v>201</v>
      </c>
      <c r="D446" s="644">
        <v>1.36</v>
      </c>
    </row>
    <row r="447" spans="2:33" x14ac:dyDescent="0.25">
      <c r="B447" s="641" t="s">
        <v>1675</v>
      </c>
      <c r="C447" t="s">
        <v>1611</v>
      </c>
      <c r="D447" s="644">
        <v>1.5</v>
      </c>
    </row>
    <row r="448" spans="2:33" x14ac:dyDescent="0.25">
      <c r="B448" s="641" t="s">
        <v>1676</v>
      </c>
      <c r="C448" t="s">
        <v>1612</v>
      </c>
      <c r="D448" s="644">
        <v>1.23</v>
      </c>
    </row>
    <row r="449" spans="2:4" x14ac:dyDescent="0.25">
      <c r="B449" s="642" t="s">
        <v>1677</v>
      </c>
      <c r="C449" t="s">
        <v>1613</v>
      </c>
      <c r="D449" s="645">
        <v>1.34</v>
      </c>
    </row>
    <row r="450" spans="2:4" x14ac:dyDescent="0.25">
      <c r="B450" s="574"/>
      <c r="C450" s="574"/>
    </row>
    <row r="454" spans="2:4" s="494" customFormat="1" x14ac:dyDescent="0.25"/>
    <row r="456" spans="2:4" x14ac:dyDescent="0.25">
      <c r="B456" s="5" t="s">
        <v>707</v>
      </c>
    </row>
    <row r="458" spans="2:4" x14ac:dyDescent="0.25">
      <c r="B458" s="5" t="s">
        <v>1584</v>
      </c>
      <c r="C458" t="s">
        <v>355</v>
      </c>
      <c r="D458" t="s">
        <v>241</v>
      </c>
    </row>
    <row r="460" spans="2:4" x14ac:dyDescent="0.25">
      <c r="C460" t="s">
        <v>1614</v>
      </c>
    </row>
    <row r="461" spans="2:4" x14ac:dyDescent="0.25">
      <c r="B461" t="s">
        <v>1615</v>
      </c>
      <c r="C461">
        <v>1.55</v>
      </c>
    </row>
    <row r="462" spans="2:4" x14ac:dyDescent="0.25">
      <c r="B462" t="s">
        <v>1616</v>
      </c>
      <c r="C462">
        <v>0.1</v>
      </c>
    </row>
    <row r="463" spans="2:4" x14ac:dyDescent="0.25">
      <c r="B463" t="s">
        <v>466</v>
      </c>
      <c r="C463">
        <f>SUM(C461:C462)</f>
        <v>1.6500000000000001</v>
      </c>
    </row>
    <row r="465" spans="1:7" x14ac:dyDescent="0.25">
      <c r="B465" t="s">
        <v>1617</v>
      </c>
      <c r="C465">
        <f>C461*0.1+C462</f>
        <v>0.255</v>
      </c>
    </row>
    <row r="469" spans="1:7" s="546" customFormat="1" ht="26.25" x14ac:dyDescent="0.4">
      <c r="A469" s="492" t="s">
        <v>1618</v>
      </c>
    </row>
    <row r="471" spans="1:7" x14ac:dyDescent="0.25">
      <c r="B471" t="s">
        <v>1619</v>
      </c>
      <c r="C471" t="s">
        <v>796</v>
      </c>
      <c r="D471" t="s">
        <v>1620</v>
      </c>
      <c r="E471" t="s">
        <v>1621</v>
      </c>
      <c r="F471" t="s">
        <v>86</v>
      </c>
      <c r="G471" t="s">
        <v>224</v>
      </c>
    </row>
    <row r="472" spans="1:7" x14ac:dyDescent="0.25">
      <c r="B472" t="s">
        <v>103</v>
      </c>
      <c r="C472" t="s">
        <v>120</v>
      </c>
      <c r="E472">
        <f>E474</f>
        <v>8</v>
      </c>
    </row>
    <row r="473" spans="1:7" x14ac:dyDescent="0.25">
      <c r="C473" t="s">
        <v>126</v>
      </c>
      <c r="D473">
        <v>262</v>
      </c>
      <c r="E473">
        <f>ROUND((D473*Legend!$B$49*(Legend!$B$69/Legend!$B$67))*(277.7/8760),0)</f>
        <v>11</v>
      </c>
      <c r="G473" t="s">
        <v>257</v>
      </c>
    </row>
    <row r="474" spans="1:7" x14ac:dyDescent="0.25">
      <c r="C474" t="s">
        <v>128</v>
      </c>
      <c r="D474">
        <v>193</v>
      </c>
      <c r="E474">
        <f>ROUND((D474*Legend!$B$49*(Legend!$B$69/Legend!$B$67))*(277.7/8760),0)</f>
        <v>8</v>
      </c>
      <c r="G474" t="s">
        <v>257</v>
      </c>
    </row>
    <row r="475" spans="1:7" x14ac:dyDescent="0.25">
      <c r="C475" t="s">
        <v>134</v>
      </c>
      <c r="E475">
        <f>E474</f>
        <v>8</v>
      </c>
    </row>
    <row r="476" spans="1:7" x14ac:dyDescent="0.25">
      <c r="C476" t="s">
        <v>117</v>
      </c>
      <c r="E476">
        <f>E475</f>
        <v>8</v>
      </c>
    </row>
    <row r="477" spans="1:7" x14ac:dyDescent="0.25">
      <c r="C477" t="s">
        <v>141</v>
      </c>
      <c r="E477">
        <f>E476</f>
        <v>8</v>
      </c>
    </row>
    <row r="479" spans="1:7" x14ac:dyDescent="0.25">
      <c r="D479" t="s">
        <v>1622</v>
      </c>
      <c r="E479" t="s">
        <v>1621</v>
      </c>
    </row>
    <row r="480" spans="1:7" x14ac:dyDescent="0.25">
      <c r="B480" t="s">
        <v>107</v>
      </c>
      <c r="C480" t="s">
        <v>120</v>
      </c>
      <c r="D480">
        <v>114</v>
      </c>
      <c r="E480">
        <f>ROUND(D480*Legend!$B$50*Legend!$B$48*(277.7/8760),0)</f>
        <v>4</v>
      </c>
      <c r="F480" t="s">
        <v>1623</v>
      </c>
      <c r="G480" t="s">
        <v>260</v>
      </c>
    </row>
    <row r="481" spans="2:7" x14ac:dyDescent="0.25">
      <c r="C481" t="s">
        <v>128</v>
      </c>
      <c r="D481">
        <v>114</v>
      </c>
      <c r="E481">
        <f>ROUND(D481*Legend!$B$50*Legend!$B$48*(277.7/8760),0)</f>
        <v>4</v>
      </c>
    </row>
    <row r="482" spans="2:7" x14ac:dyDescent="0.25">
      <c r="C482" t="s">
        <v>126</v>
      </c>
      <c r="D482">
        <v>114</v>
      </c>
      <c r="E482">
        <f>ROUND(D482*Legend!$B$50*Legend!$B$48*(277.7/8760),0)</f>
        <v>4</v>
      </c>
    </row>
    <row r="483" spans="2:7" x14ac:dyDescent="0.25">
      <c r="C483" t="s">
        <v>134</v>
      </c>
      <c r="D483">
        <v>114</v>
      </c>
      <c r="E483">
        <f>ROUND(D483*Legend!$B$50*Legend!$B$48*(277.7/8760),0)</f>
        <v>4</v>
      </c>
    </row>
    <row r="484" spans="2:7" x14ac:dyDescent="0.25">
      <c r="C484" t="s">
        <v>117</v>
      </c>
      <c r="D484">
        <v>114</v>
      </c>
      <c r="E484">
        <f>ROUND(D484*Legend!$B$50*Legend!$B$48*(277.7/8760),0)</f>
        <v>4</v>
      </c>
    </row>
    <row r="485" spans="2:7" x14ac:dyDescent="0.25">
      <c r="C485" t="s">
        <v>141</v>
      </c>
      <c r="D485">
        <v>114</v>
      </c>
      <c r="E485">
        <f>ROUND(D485*Legend!$B$50*Legend!$B$48*(277.7/8760),0)</f>
        <v>4</v>
      </c>
    </row>
    <row r="487" spans="2:7" x14ac:dyDescent="0.25">
      <c r="B487" t="s">
        <v>109</v>
      </c>
      <c r="C487" t="s">
        <v>1624</v>
      </c>
      <c r="D487">
        <v>150</v>
      </c>
      <c r="E487">
        <f>ROUND(D487*Legend!$B$50*Legend!$B$48*(277.7/8760),0)</f>
        <v>6</v>
      </c>
      <c r="F487" t="s">
        <v>1625</v>
      </c>
      <c r="G487" t="s">
        <v>260</v>
      </c>
    </row>
  </sheetData>
  <mergeCells count="1">
    <mergeCell ref="A240:B240"/>
  </mergeCells>
  <conditionalFormatting sqref="G172:AI172">
    <cfRule type="colorScale" priority="3">
      <colorScale>
        <cfvo type="min"/>
        <cfvo type="percentile" val="50"/>
        <cfvo type="max"/>
        <color rgb="FFF8696B"/>
        <color rgb="FFFFEB84"/>
        <color rgb="FF63BE7B"/>
      </colorScale>
    </cfRule>
  </conditionalFormatting>
  <conditionalFormatting sqref="G230:AI230">
    <cfRule type="colorScale" priority="1">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7ee448b-45e0-4ac8-9896-0901f73c5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B83A6D1F0594147852D0B949B7BC037" ma:contentTypeVersion="18" ma:contentTypeDescription="Create a new document." ma:contentTypeScope="" ma:versionID="95dd4cbe7616cff3c1333a8232adf9f3">
  <xsd:schema xmlns:xsd="http://www.w3.org/2001/XMLSchema" xmlns:xs="http://www.w3.org/2001/XMLSchema" xmlns:p="http://schemas.microsoft.com/office/2006/metadata/properties" xmlns:ns3="a2cd626f-1546-4ce3-a33e-fcac0e3c5420" xmlns:ns4="07ee448b-45e0-4ac8-9896-0901f73c523e" targetNamespace="http://schemas.microsoft.com/office/2006/metadata/properties" ma:root="true" ma:fieldsID="1da1c2dd8e6f71ed2f9fb4852785dea7" ns3:_="" ns4:_="">
    <xsd:import namespace="a2cd626f-1546-4ce3-a33e-fcac0e3c5420"/>
    <xsd:import namespace="07ee448b-45e0-4ac8-9896-0901f73c523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element ref="ns4:_activity" minOccurs="0"/>
                <xsd:element ref="ns4:MediaServiceObjectDetectorVersions" minOccurs="0"/>
                <xsd:element ref="ns4:MediaServiceLocation"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cd626f-1546-4ce3-a33e-fcac0e3c542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ee448b-45e0-4ac8-9896-0901f73c523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description="" ma:indexed="true" ma:internalName="MediaServiceLocation"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Props1.xml><?xml version="1.0" encoding="utf-8"?>
<ds:datastoreItem xmlns:ds="http://schemas.openxmlformats.org/officeDocument/2006/customXml" ds:itemID="{766E565A-CA4E-453A-9202-92847A9BE016}">
  <ds:schemaRefs>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http://purl.org/dc/terms/"/>
    <ds:schemaRef ds:uri="07ee448b-45e0-4ac8-9896-0901f73c523e"/>
    <ds:schemaRef ds:uri="a2cd626f-1546-4ce3-a33e-fcac0e3c5420"/>
    <ds:schemaRef ds:uri="http://www.w3.org/XML/1998/namespace"/>
    <ds:schemaRef ds:uri="http://purl.org/dc/dcmitype/"/>
  </ds:schemaRefs>
</ds:datastoreItem>
</file>

<file path=customXml/itemProps2.xml><?xml version="1.0" encoding="utf-8"?>
<ds:datastoreItem xmlns:ds="http://schemas.openxmlformats.org/officeDocument/2006/customXml" ds:itemID="{E891D8BE-C96B-4E5C-8A19-E4A9E43498C2}">
  <ds:schemaRefs>
    <ds:schemaRef ds:uri="http://schemas.microsoft.com/sharepoint/v3/contenttype/forms"/>
  </ds:schemaRefs>
</ds:datastoreItem>
</file>

<file path=customXml/itemProps3.xml><?xml version="1.0" encoding="utf-8"?>
<ds:datastoreItem xmlns:ds="http://schemas.openxmlformats.org/officeDocument/2006/customXml" ds:itemID="{8E4D6FEB-7A0E-49C2-9F22-FC1B8ED0D2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cd626f-1546-4ce3-a33e-fcac0e3c5420"/>
    <ds:schemaRef ds:uri="07ee448b-45e0-4ac8-9896-0901f73c5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F7AE3BF-CEE8-4B3F-B3D2-DB99671C8641}">
  <ds:schemaRefs>
    <ds:schemaRef ds:uri="http://gemini/pivotcustomization/TableXML_Regionalization-244e2199-6610-496e-9678-7f45469b48f2"/>
  </ds:schemaRefs>
</ds:datastoreItem>
</file>

<file path=customXml/itemProps5.xml><?xml version="1.0" encoding="utf-8"?>
<ds:datastoreItem xmlns:ds="http://schemas.openxmlformats.org/officeDocument/2006/customXml" ds:itemID="{0D19E3DA-2B7F-46F4-84E4-354DC6AABFC2}">
  <ds:schemaRefs>
    <ds:schemaRef ds:uri="http://gemini/pivotcustomization/TableWidget"/>
  </ds:schemaRefs>
</ds:datastoreItem>
</file>

<file path=customXml/itemProps6.xml><?xml version="1.0" encoding="utf-8"?>
<ds:datastoreItem xmlns:ds="http://schemas.openxmlformats.org/officeDocument/2006/customXml" ds:itemID="{9AD73654-ACC0-461D-A80D-E1C2307473EC}">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vt:i4>
      </vt:variant>
    </vt:vector>
  </HeadingPairs>
  <TitlesOfParts>
    <vt:vector size="27" baseType="lpstr">
      <vt:lpstr>Legend</vt:lpstr>
      <vt:lpstr>LOG</vt:lpstr>
      <vt:lpstr>Commodities</vt:lpstr>
      <vt:lpstr>EnergyBalance</vt:lpstr>
      <vt:lpstr>Inputs_BY IIS</vt:lpstr>
      <vt:lpstr>IIS_BY Techs</vt:lpstr>
      <vt:lpstr>IIS_New Techs</vt:lpstr>
      <vt:lpstr>IIS_Prod</vt:lpstr>
      <vt:lpstr>IIS_Capacity</vt:lpstr>
      <vt:lpstr>IIS_Costs</vt:lpstr>
      <vt:lpstr>Inputs_BY INM</vt:lpstr>
      <vt:lpstr>Inputs_NT INM</vt:lpstr>
      <vt:lpstr>INM_BY Techs</vt:lpstr>
      <vt:lpstr>INM_New Techs</vt:lpstr>
      <vt:lpstr>Cem_GCP_Prod</vt:lpstr>
      <vt:lpstr>Cem_SFI_Cap</vt:lpstr>
      <vt:lpstr>Cem_GNR_Metrics</vt:lpstr>
      <vt:lpstr>Cem_NewTechs</vt:lpstr>
      <vt:lpstr>INF_Techs</vt:lpstr>
      <vt:lpstr>INF_Commodities</vt:lpstr>
      <vt:lpstr>INF_BY</vt:lpstr>
      <vt:lpstr>INF_NewTech</vt:lpstr>
      <vt:lpstr>INF_Constraints</vt:lpstr>
      <vt:lpstr>IIS_Constraints</vt:lpstr>
      <vt:lpstr>INF_Data</vt:lpstr>
      <vt:lpstr>IIS_Costs!_Ref94102448</vt:lpstr>
      <vt:lpstr>IIS_Costs!_Ref94103649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2022-05-09T09:43:51Z</dcterms:created>
  <dcterms:modified xsi:type="dcterms:W3CDTF">2026-05-21T12:53:55Z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0x0101008B83A6D1F0594147852D0B949B7BC037</vt:lpwstr>
  </property>
  <property fmtid="{D5CDD505-2E9C-101B-9397-08002B2CF9AE}" pid="3" name="MediaServiceImageTags">
    <vt:lpwstr/>
  </property>
  <property fmtid="{D5CDD505-2E9C-101B-9397-08002B2CF9AE}" pid="4" name="SaveCode">
    <vt:r8>161098659038543</vt:r8>
  </property>
</Properties>
</file>